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Gem Velsen\Aanbesteding 2021\Uitlever\Stukken 20210929\"/>
    </mc:Choice>
  </mc:AlternateContent>
  <xr:revisionPtr revIDLastSave="0" documentId="13_ncr:1_{74FBE71E-82A5-4311-A5D6-D7B6324C4F63}" xr6:coauthVersionLast="45" xr6:coauthVersionMax="45" xr10:uidLastSave="{00000000-0000-0000-0000-000000000000}"/>
  <bookViews>
    <workbookView xWindow="1950" yWindow="1950" windowWidth="23040" windowHeight="12195" firstSheet="6" activeTab="11" xr2:uid="{6B94A50E-C6A9-425D-8264-9CDF87509B65}"/>
  </bookViews>
  <sheets>
    <sheet name="Omreken" sheetId="1" r:id="rId1"/>
    <sheet name="Categorienormen" sheetId="2" r:id="rId2"/>
    <sheet name="Regulier werk" sheetId="3" r:id="rId3"/>
    <sheet name="Objectinformatie" sheetId="4" r:id="rId4"/>
    <sheet name="Objecten" sheetId="5" r:id="rId5"/>
    <sheet name="Niet-meewerkende objectleiding" sheetId="6" r:id="rId6"/>
    <sheet name="Totaalblad Objecten" sheetId="7" r:id="rId7"/>
    <sheet name="Afroep incidenteel" sheetId="8" r:id="rId8"/>
    <sheet name="Regiewerk" sheetId="9" r:id="rId9"/>
    <sheet name="Glas" sheetId="10" r:id="rId10"/>
    <sheet name="Glas per locatie" sheetId="11" r:id="rId11"/>
    <sheet name="Totaal" sheetId="12" r:id="rId12"/>
  </sheets>
  <definedNames>
    <definedName name="_xlnm.Print_Titles" localSheetId="7">'Afroep incidenteel'!$1:$3</definedName>
    <definedName name="_xlnm.Print_Titles" localSheetId="1">Categorienormen!$1:$3</definedName>
    <definedName name="_xlnm.Print_Titles" localSheetId="9">Glas!$1:$3</definedName>
    <definedName name="_xlnm.Print_Titles" localSheetId="10">'Glas per locatie'!$1:$3</definedName>
    <definedName name="_xlnm.Print_Titles" localSheetId="5">'Niet-meewerkende objectleiding'!$1:$3</definedName>
    <definedName name="_xlnm.Print_Titles" localSheetId="4">Objecten!$1:$3</definedName>
    <definedName name="_xlnm.Print_Titles" localSheetId="3">Objectinformatie!$A:$D,Objectinformatie!$1:$4</definedName>
    <definedName name="_xlnm.Print_Titles" localSheetId="8">Regiewerk!$1:$3</definedName>
    <definedName name="_xlnm.Print_Titles" localSheetId="2">'Regulier werk'!$1:$3</definedName>
    <definedName name="_xlnm.Print_Titles" localSheetId="11">Totaal!$1:$3</definedName>
    <definedName name="_xlnm.Print_Titles" localSheetId="6">'Totaalblad Objecten'!$1:$3</definedName>
    <definedName name="catdw_1_AHB_1">Categorienormen!$F$21</definedName>
    <definedName name="catdw_1_AHV_51">Categorienormen!$F$28</definedName>
    <definedName name="catdw_1_AZV_12">Categorienormen!$F$41</definedName>
    <definedName name="catdw_1_BHB_1">Categorienormen!$F$6</definedName>
    <definedName name="catdw_1_BHV_51">Categorienormen!$F$8</definedName>
    <definedName name="catdw_1_BZB_1">Categorienormen!$F$10</definedName>
    <definedName name="catdw_1_BZV_51">Categorienormen!$F$12</definedName>
    <definedName name="catdw_1_DHB_1">Categorienormen!$F$14</definedName>
    <definedName name="catdw_1_DHV_51">Categorienormen!$F$17</definedName>
    <definedName name="catdw_1_EHB_1">Categorienormen!$F$22</definedName>
    <definedName name="catdw_1_EHV_51">Categorienormen!$F$29</definedName>
    <definedName name="catdw_1_EZB_1">Categorienormen!$F$35</definedName>
    <definedName name="catdw_1_EZV_51">Categorienormen!$F$42</definedName>
    <definedName name="catdw_1_IHB_1">Categorienormen!$F$23</definedName>
    <definedName name="catdw_1_IHV_51">Categorienormen!$F$30</definedName>
    <definedName name="catdw_1_KHB_1">Categorienormen!$F$15</definedName>
    <definedName name="catdw_1_KHV_51">Categorienormen!$F$18</definedName>
    <definedName name="catdw_1_OHB_1">Categorienormen!$F$7</definedName>
    <definedName name="catdw_1_OHV_51">Categorienormen!$F$9</definedName>
    <definedName name="catdw_1_OZB_1">Categorienormen!$F$11</definedName>
    <definedName name="catdw_1_OZV_51">Categorienormen!$F$13</definedName>
    <definedName name="catdw_1_PHB_1">Categorienormen!$F$24</definedName>
    <definedName name="catdw_1_PHV_51">Categorienormen!$F$31</definedName>
    <definedName name="catdw_1_PZB_1">Categorienormen!$F$36</definedName>
    <definedName name="catdw_1_PZV_51">Categorienormen!$F$43</definedName>
    <definedName name="catdw_1_RHB_1">Categorienormen!$F$25</definedName>
    <definedName name="catdw_1_RHV_51">Categorienormen!$F$32</definedName>
    <definedName name="catdw_1_RZB_1">Categorienormen!$F$37</definedName>
    <definedName name="catdw_1_RZV_51">Categorienormen!$F$44</definedName>
    <definedName name="catdw_1_SHB_1">Categorienormen!$F$16</definedName>
    <definedName name="catdw_1_SHV_30">Categorienormen!$F$20</definedName>
    <definedName name="catdw_1_SHV_51">Categorienormen!$F$19</definedName>
    <definedName name="catdw_1_THB_1">Categorienormen!$F$26</definedName>
    <definedName name="catdw_1_THV_51">Categorienormen!$F$33</definedName>
    <definedName name="catdw_1_TZB_1">Categorienormen!$F$38</definedName>
    <definedName name="catdw_1_TZV_51">Categorienormen!$F$45</definedName>
    <definedName name="catdw_1_VHB_1">Categorienormen!$F$27</definedName>
    <definedName name="catdw_1_VHV_51">Categorienormen!$F$34</definedName>
    <definedName name="catdw_1_VZB_1">Categorienormen!$F$39</definedName>
    <definedName name="catdw_1_VZV_51">Categorienormen!$F$46</definedName>
    <definedName name="catdw_1_WZB_1">Categorienormen!$F$40</definedName>
    <definedName name="catdw_1_WZV_51">Categorienormen!$F$47</definedName>
    <definedName name="catdw_1_XBB_1">Categorienormen!$F$48</definedName>
    <definedName name="catdw_3_WBZB_1">Categorienormen!$F$51</definedName>
    <definedName name="catdw_3_WOZB_1">Categorienormen!$F$52</definedName>
    <definedName name="catdw_3_WSHB_1">Categorienormen!$F$53</definedName>
    <definedName name="catfd_1_AHB_1">Categorienormen!$C$21</definedName>
    <definedName name="catfd_1_AHV_51">Categorienormen!$C$28</definedName>
    <definedName name="catfd_1_AZV_12">Categorienormen!$C$41</definedName>
    <definedName name="catfd_1_BHB_1">Categorienormen!$C$6</definedName>
    <definedName name="catfd_1_BHV_51">Categorienormen!$C$8</definedName>
    <definedName name="catfd_1_BZB_1">Categorienormen!$C$10</definedName>
    <definedName name="catfd_1_BZV_51">Categorienormen!$C$12</definedName>
    <definedName name="catfd_1_DHB_1">Categorienormen!$C$14</definedName>
    <definedName name="catfd_1_DHV_51">Categorienormen!$C$17</definedName>
    <definedName name="catfd_1_EHB_1">Categorienormen!$C$22</definedName>
    <definedName name="catfd_1_EHV_51">Categorienormen!$C$29</definedName>
    <definedName name="catfd_1_EZB_1">Categorienormen!$C$35</definedName>
    <definedName name="catfd_1_EZV_51">Categorienormen!$C$42</definedName>
    <definedName name="catfd_1_IHB_1">Categorienormen!$C$23</definedName>
    <definedName name="catfd_1_IHV_51">Categorienormen!$C$30</definedName>
    <definedName name="catfd_1_KHB_1">Categorienormen!$C$15</definedName>
    <definedName name="catfd_1_KHV_51">Categorienormen!$C$18</definedName>
    <definedName name="catfd_1_OHB_1">Categorienormen!$C$7</definedName>
    <definedName name="catfd_1_OHV_51">Categorienormen!$C$9</definedName>
    <definedName name="catfd_1_OZB_1">Categorienormen!$C$11</definedName>
    <definedName name="catfd_1_OZV_51">Categorienormen!$C$13</definedName>
    <definedName name="catfd_1_PHB_1">Categorienormen!$C$24</definedName>
    <definedName name="catfd_1_PHV_51">Categorienormen!$C$31</definedName>
    <definedName name="catfd_1_PZB_1">Categorienormen!$C$36</definedName>
    <definedName name="catfd_1_PZV_51">Categorienormen!$C$43</definedName>
    <definedName name="catfd_1_RHB_1">Categorienormen!$C$25</definedName>
    <definedName name="catfd_1_RHV_51">Categorienormen!$C$32</definedName>
    <definedName name="catfd_1_RZB_1">Categorienormen!$C$37</definedName>
    <definedName name="catfd_1_RZV_51">Categorienormen!$C$44</definedName>
    <definedName name="catfd_1_SHB_1">Categorienormen!$C$16</definedName>
    <definedName name="catfd_1_SHV_30">Categorienormen!$C$20</definedName>
    <definedName name="catfd_1_SHV_51">Categorienormen!$C$19</definedName>
    <definedName name="catfd_1_THB_1">Categorienormen!$C$26</definedName>
    <definedName name="catfd_1_THV_51">Categorienormen!$C$33</definedName>
    <definedName name="catfd_1_TZB_1">Categorienormen!$C$38</definedName>
    <definedName name="catfd_1_TZV_51">Categorienormen!$C$45</definedName>
    <definedName name="catfd_1_VHB_1">Categorienormen!$C$27</definedName>
    <definedName name="catfd_1_VHV_51">Categorienormen!$C$34</definedName>
    <definedName name="catfd_1_VZB_1">Categorienormen!$C$39</definedName>
    <definedName name="catfd_1_VZV_51">Categorienormen!$C$46</definedName>
    <definedName name="catfd_1_WZB_1">Categorienormen!$C$40</definedName>
    <definedName name="catfd_1_WZV_51">Categorienormen!$C$47</definedName>
    <definedName name="catfd_1_XBB_1">Categorienormen!$C$48</definedName>
    <definedName name="catfd_3_WBZB_1">Categorienormen!$C$51</definedName>
    <definedName name="catfd_3_WOZB_1">Categorienormen!$C$52</definedName>
    <definedName name="catfd_3_WSHB_1">Categorienormen!$C$53</definedName>
    <definedName name="catpn_1_AHB_1">Categorienormen!$E$21</definedName>
    <definedName name="catpn_1_AHV_51">Categorienormen!$E$28</definedName>
    <definedName name="catpn_1_AZV_12">Categorienormen!$E$41</definedName>
    <definedName name="catpn_1_BHB_1">Categorienormen!$E$6</definedName>
    <definedName name="catpn_1_BHV_51">Categorienormen!$E$8</definedName>
    <definedName name="catpn_1_BZB_1">Categorienormen!$E$10</definedName>
    <definedName name="catpn_1_BZV_51">Categorienormen!$E$12</definedName>
    <definedName name="catpn_1_DHB_1">Categorienormen!$E$14</definedName>
    <definedName name="catpn_1_DHV_51">Categorienormen!$E$17</definedName>
    <definedName name="catpn_1_EHB_1">Categorienormen!$E$22</definedName>
    <definedName name="catpn_1_EHV_51">Categorienormen!$E$29</definedName>
    <definedName name="catpn_1_EZB_1">Categorienormen!$E$35</definedName>
    <definedName name="catpn_1_EZV_51">Categorienormen!$E$42</definedName>
    <definedName name="catpn_1_IHB_1">Categorienormen!$E$23</definedName>
    <definedName name="catpn_1_IHV_51">Categorienormen!$E$30</definedName>
    <definedName name="catpn_1_KHB_1">Categorienormen!$E$15</definedName>
    <definedName name="catpn_1_KHV_51">Categorienormen!$E$18</definedName>
    <definedName name="catpn_1_OHB_1">Categorienormen!$E$7</definedName>
    <definedName name="catpn_1_OHV_51">Categorienormen!$E$9</definedName>
    <definedName name="catpn_1_OZB_1">Categorienormen!$E$11</definedName>
    <definedName name="catpn_1_OZV_51">Categorienormen!$E$13</definedName>
    <definedName name="catpn_1_PHB_1">Categorienormen!$E$24</definedName>
    <definedName name="catpn_1_PHV_51">Categorienormen!$E$31</definedName>
    <definedName name="catpn_1_PZB_1">Categorienormen!$E$36</definedName>
    <definedName name="catpn_1_PZV_51">Categorienormen!$E$43</definedName>
    <definedName name="catpn_1_RHB_1">Categorienormen!$E$25</definedName>
    <definedName name="catpn_1_RHV_51">Categorienormen!$E$32</definedName>
    <definedName name="catpn_1_RZB_1">Categorienormen!$E$37</definedName>
    <definedName name="catpn_1_RZV_51">Categorienormen!$E$44</definedName>
    <definedName name="catpn_1_SHB_1">Categorienormen!$E$16</definedName>
    <definedName name="catpn_1_SHV_30">Categorienormen!$E$20</definedName>
    <definedName name="catpn_1_SHV_51">Categorienormen!$E$19</definedName>
    <definedName name="catpn_1_THB_1">Categorienormen!$E$26</definedName>
    <definedName name="catpn_1_THV_51">Categorienormen!$E$33</definedName>
    <definedName name="catpn_1_TZB_1">Categorienormen!$E$38</definedName>
    <definedName name="catpn_1_TZV_51">Categorienormen!$E$45</definedName>
    <definedName name="catpn_1_VHB_1">Categorienormen!$E$27</definedName>
    <definedName name="catpn_1_VHV_51">Categorienormen!$E$34</definedName>
    <definedName name="catpn_1_VZB_1">Categorienormen!$E$39</definedName>
    <definedName name="catpn_1_VZV_51">Categorienormen!$E$46</definedName>
    <definedName name="catpn_1_WZB_1">Categorienormen!$E$40</definedName>
    <definedName name="catpn_1_WZV_51">Categorienormen!$E$47</definedName>
    <definedName name="catpn_1_XBB_1">Categorienormen!$E$48</definedName>
    <definedName name="catpn_3_WBZB_1">Categorienormen!$E$51</definedName>
    <definedName name="catpn_3_WOZB_1">Categorienormen!$E$52</definedName>
    <definedName name="catpn_3_WSHB_1">Categorienormen!$E$53</definedName>
    <definedName name="cattf_1_AHB_1">Categorienormen!$H$21</definedName>
    <definedName name="cattf_1_AHV_51">Categorienormen!$H$28</definedName>
    <definedName name="cattf_1_AZV_12">Categorienormen!$H$41</definedName>
    <definedName name="cattf_1_BHB_1">Categorienormen!$H$6</definedName>
    <definedName name="cattf_1_BHV_51">Categorienormen!$H$8</definedName>
    <definedName name="cattf_1_BZB_1">Categorienormen!$H$10</definedName>
    <definedName name="cattf_1_BZV_51">Categorienormen!$H$12</definedName>
    <definedName name="cattf_1_DHB_1">Categorienormen!$H$14</definedName>
    <definedName name="cattf_1_DHV_51">Categorienormen!$H$17</definedName>
    <definedName name="cattf_1_EHB_1">Categorienormen!$H$22</definedName>
    <definedName name="cattf_1_EHV_51">Categorienormen!$H$29</definedName>
    <definedName name="cattf_1_EZB_1">Categorienormen!$H$35</definedName>
    <definedName name="cattf_1_EZV_51">Categorienormen!$H$42</definedName>
    <definedName name="cattf_1_IHB_1">Categorienormen!$H$23</definedName>
    <definedName name="cattf_1_IHV_51">Categorienormen!$H$30</definedName>
    <definedName name="cattf_1_KHB_1">Categorienormen!$H$15</definedName>
    <definedName name="cattf_1_KHV_51">Categorienormen!$H$18</definedName>
    <definedName name="cattf_1_OHB_1">Categorienormen!$H$7</definedName>
    <definedName name="cattf_1_OHV_51">Categorienormen!$H$9</definedName>
    <definedName name="cattf_1_OZB_1">Categorienormen!$H$11</definedName>
    <definedName name="cattf_1_OZV_51">Categorienormen!$H$13</definedName>
    <definedName name="cattf_1_PHB_1">Categorienormen!$H$24</definedName>
    <definedName name="cattf_1_PHV_51">Categorienormen!$H$31</definedName>
    <definedName name="cattf_1_PZB_1">Categorienormen!$H$36</definedName>
    <definedName name="cattf_1_PZV_51">Categorienormen!$H$43</definedName>
    <definedName name="cattf_1_RHB_1">Categorienormen!$H$25</definedName>
    <definedName name="cattf_1_RHV_51">Categorienormen!$H$32</definedName>
    <definedName name="cattf_1_RZB_1">Categorienormen!$H$37</definedName>
    <definedName name="cattf_1_RZV_51">Categorienormen!$H$44</definedName>
    <definedName name="cattf_1_SHB_1">Categorienormen!$H$16</definedName>
    <definedName name="cattf_1_SHV_30">Categorienormen!$H$20</definedName>
    <definedName name="cattf_1_SHV_51">Categorienormen!$H$19</definedName>
    <definedName name="cattf_1_THB_1">Categorienormen!$H$26</definedName>
    <definedName name="cattf_1_THV_51">Categorienormen!$H$33</definedName>
    <definedName name="cattf_1_TZB_1">Categorienormen!$H$38</definedName>
    <definedName name="cattf_1_TZV_51">Categorienormen!$H$45</definedName>
    <definedName name="cattf_1_VHB_1">Categorienormen!$H$27</definedName>
    <definedName name="cattf_1_VHV_51">Categorienormen!$H$34</definedName>
    <definedName name="cattf_1_VZB_1">Categorienormen!$H$39</definedName>
    <definedName name="cattf_1_VZV_51">Categorienormen!$H$46</definedName>
    <definedName name="cattf_1_WZB_1">Categorienormen!$H$40</definedName>
    <definedName name="cattf_1_WZV_51">Categorienormen!$H$47</definedName>
    <definedName name="cattf_1_XBB_1">Categorienormen!$H$48</definedName>
    <definedName name="cattf_3_WBZB_1">Categorienormen!$H$51</definedName>
    <definedName name="cattf_3_WOZB_1">Categorienormen!$H$52</definedName>
    <definedName name="cattf_3_WSHB_1">Categorienormen!$H$53</definedName>
    <definedName name="dagenperjaar1">Omreken!$B$9</definedName>
    <definedName name="dagenperweek1">Omreken!$B$10</definedName>
    <definedName name="dagsoorttabel1">Omreken!$A$13:$B$26</definedName>
    <definedName name="dagwerk14">'Regulier werk'!$H$37</definedName>
    <definedName name="dagwerk16">'Regulier werk'!$H$6</definedName>
    <definedName name="dagwerk17">'Regulier werk'!$H$7</definedName>
    <definedName name="dagwerk18">'Regulier werk'!$H$8</definedName>
    <definedName name="dagwerk19">'Regulier werk'!$H$9</definedName>
    <definedName name="dagwerk20">'Regulier werk'!$H$10</definedName>
    <definedName name="dagwerk21">'Regulier werk'!$H$11</definedName>
    <definedName name="dagwerk22">'Regulier werk'!$H$12</definedName>
    <definedName name="dagwerk23">'Regulier werk'!$H$13</definedName>
    <definedName name="dagwerk24">'Regulier werk'!$H$14</definedName>
    <definedName name="dagwerk25">'Regulier werk'!$H$15</definedName>
    <definedName name="dagwerk26">'Regulier werk'!$H$16</definedName>
    <definedName name="dagwerk27">'Regulier werk'!$H$17</definedName>
    <definedName name="dagwerk28">'Regulier werk'!$H$18</definedName>
    <definedName name="dagwerk29">'Regulier werk'!$H$19</definedName>
    <definedName name="dagwerk30">'Regulier werk'!$H$20</definedName>
    <definedName name="dagwerk31">'Regulier werk'!$H$21</definedName>
    <definedName name="dagwerk32">'Regulier werk'!$H$22</definedName>
    <definedName name="dagwerk33">'Regulier werk'!$H$23</definedName>
    <definedName name="dagwerk34">'Regulier werk'!$H$24</definedName>
    <definedName name="dagwerk35">'Regulier werk'!$H$25</definedName>
    <definedName name="dagwerk36">'Regulier werk'!$H$26</definedName>
    <definedName name="dagwerk37">'Regulier werk'!$H$27</definedName>
    <definedName name="dagwerk38">'Regulier werk'!$H$28</definedName>
    <definedName name="dagwerk39">'Regulier werk'!$H$29</definedName>
    <definedName name="dagwerk40">'Regulier werk'!$H$30</definedName>
    <definedName name="dagwerk41">'Regulier werk'!$H$31</definedName>
    <definedName name="dagwerk42">'Regulier werk'!$H$32</definedName>
    <definedName name="dagwerk43">'Regulier werk'!$H$33</definedName>
    <definedName name="dagwerk44">'Regulier werk'!$H$34</definedName>
    <definedName name="dagwerk45">'Regulier werk'!$H$35</definedName>
    <definedName name="dagwerk46">'Regulier werk'!$H$36</definedName>
    <definedName name="dagwerk48">'Regulier werk'!$H$44</definedName>
    <definedName name="dagwerk49">'Regulier werk'!$H$45</definedName>
    <definedName name="dagwerk50">'Regulier werk'!$H$46</definedName>
    <definedName name="dagwerktabel1">Objectinformatie!$H$5:$H$36</definedName>
    <definedName name="dagwerktabel3">Objectinformatie!$H$39:$H$41</definedName>
    <definedName name="gemuurtarief1">'Regulier werk'!$J$40</definedName>
    <definedName name="gemuurtarief3">'Regulier werk'!$J$49</definedName>
    <definedName name="kengetaltabel1">Objectinformatie!$G$5:$G$36</definedName>
    <definedName name="kengetaltabel3">Objectinformatie!$G$39:$G$41</definedName>
    <definedName name="object1_opptabel1">Objectinformatie!$J$5:$J$36</definedName>
    <definedName name="object1_opptabel3">Objectinformatie!$J$39:$J$41</definedName>
    <definedName name="object2_opptabel1">Objectinformatie!$K$5:$K$36</definedName>
    <definedName name="object2_opptabel3">Objectinformatie!$K$39:$K$41</definedName>
    <definedName name="object3_opptabel1">Objectinformatie!$L$5:$L$36</definedName>
    <definedName name="object3_opptabel3">Objectinformatie!$L$39:$L$41</definedName>
    <definedName name="object4_opptabel1">Objectinformatie!$M$5:$M$36</definedName>
    <definedName name="object4_opptabel3">Objectinformatie!$M$39:$M$41</definedName>
    <definedName name="object5_opptabel1">Objectinformatie!$N$5:$N$36</definedName>
    <definedName name="object5_opptabel3">Objectinformatie!$N$39:$N$41</definedName>
    <definedName name="object6_opptabel1">Objectinformatie!$O$5:$O$36</definedName>
    <definedName name="object6_opptabel3">Objectinformatie!$O$39:$O$41</definedName>
    <definedName name="object7_opptabel1">Objectinformatie!$P$5:$P$36</definedName>
    <definedName name="object7_opptabel3">Objectinformatie!$P$39:$P$41</definedName>
    <definedName name="objectprijs1_1">Objecten!$Q$6</definedName>
    <definedName name="objectprijs2_1">Objecten!$Q$7</definedName>
    <definedName name="objectprijs2_3">Objecten!$Q$17</definedName>
    <definedName name="objectprijs3_1">Objecten!$Q$8</definedName>
    <definedName name="objectprijs4_1">Objecten!$Q$9</definedName>
    <definedName name="objectprijs5_1">Objecten!$Q$10</definedName>
    <definedName name="objectprijs6_1">Objecten!$Q$11</definedName>
    <definedName name="objectprijs7_1">Objecten!$Q$12</definedName>
    <definedName name="objecturen1_1">Objecten!$P$6</definedName>
    <definedName name="objecturen2_1">Objecten!$P$7</definedName>
    <definedName name="objecturen2_3">Objecten!$P$17</definedName>
    <definedName name="objecturen3_1">Objecten!$P$8</definedName>
    <definedName name="objecturen4_1">Objecten!$P$9</definedName>
    <definedName name="objecturen5_1">Objecten!$P$10</definedName>
    <definedName name="objecturen6_1">Objecten!$P$11</definedName>
    <definedName name="objecturen7_1">Objecten!$P$12</definedName>
    <definedName name="objecturenhf1_1">Objecten!$O$6</definedName>
    <definedName name="objecturenhf2_1">Objecten!$O$7</definedName>
    <definedName name="objecturenhf2_3">Objecten!$O$17</definedName>
    <definedName name="objecturenhf3_1">Objecten!$O$8</definedName>
    <definedName name="objecturenhf4_1">Objecten!$O$9</definedName>
    <definedName name="objecturenhf5_1">Objecten!$O$10</definedName>
    <definedName name="objecturenhf6_1">Objecten!$O$11</definedName>
    <definedName name="objecturenhf7_1">Objecten!$O$12</definedName>
    <definedName name="prijsdag1">'Regulier werk'!$L$38</definedName>
    <definedName name="prijsdag3">'Regulier werk'!$L$47</definedName>
    <definedName name="prijsjaar">'Regulier werk'!$N$52</definedName>
    <definedName name="prijsjaar1">'Regulier werk'!$N$38</definedName>
    <definedName name="prijsjaar3">'Regulier werk'!$N$47</definedName>
    <definedName name="prijsjaarglas">Glas!$K$19</definedName>
    <definedName name="prijsjaarglas1">Glas!$K$17</definedName>
    <definedName name="prijsjaarnietmeewerkend">'Niet-meewerkende objectleiding'!$J$85</definedName>
    <definedName name="prijsjaarregie">Regiewerk!$K$11</definedName>
    <definedName name="prijsjaarregie1">Regiewerk!$K$9</definedName>
    <definedName name="prijsjaartotaal">Objecten!$Q$21</definedName>
    <definedName name="prijsjaartotaal1">Objecten!$Q$13</definedName>
    <definedName name="prijsjaartotaal3">Objecten!$Q$18</definedName>
    <definedName name="prijsjaartotaaloverzicht">'Totaalblad Objecten'!$G$12</definedName>
    <definedName name="prijsmaandtotaal1">Objecten!$R$13</definedName>
    <definedName name="prijsmaandtotaal3">Objecten!$R$18</definedName>
    <definedName name="prodnorm14">'Regulier werk'!$G$37</definedName>
    <definedName name="prodnorm16">'Regulier werk'!$G$6</definedName>
    <definedName name="prodnorm17">'Regulier werk'!$G$7</definedName>
    <definedName name="prodnorm18">'Regulier werk'!$G$8</definedName>
    <definedName name="prodnorm19">'Regulier werk'!$G$9</definedName>
    <definedName name="prodnorm20">'Regulier werk'!$G$10</definedName>
    <definedName name="prodnorm21">'Regulier werk'!$G$11</definedName>
    <definedName name="prodnorm22">'Regulier werk'!$G$12</definedName>
    <definedName name="prodnorm23">'Regulier werk'!$G$13</definedName>
    <definedName name="prodnorm24">'Regulier werk'!$G$14</definedName>
    <definedName name="prodnorm25">'Regulier werk'!$G$15</definedName>
    <definedName name="prodnorm26">'Regulier werk'!$G$16</definedName>
    <definedName name="prodnorm27">'Regulier werk'!$G$17</definedName>
    <definedName name="prodnorm28">'Regulier werk'!$G$18</definedName>
    <definedName name="prodnorm29">'Regulier werk'!$G$19</definedName>
    <definedName name="prodnorm30">'Regulier werk'!$G$20</definedName>
    <definedName name="prodnorm31">'Regulier werk'!$G$21</definedName>
    <definedName name="prodnorm32">'Regulier werk'!$G$22</definedName>
    <definedName name="prodnorm33">'Regulier werk'!$G$23</definedName>
    <definedName name="prodnorm34">'Regulier werk'!$G$24</definedName>
    <definedName name="prodnorm35">'Regulier werk'!$G$25</definedName>
    <definedName name="prodnorm36">'Regulier werk'!$G$26</definedName>
    <definedName name="prodnorm37">'Regulier werk'!$G$27</definedName>
    <definedName name="prodnorm38">'Regulier werk'!$G$28</definedName>
    <definedName name="prodnorm39">'Regulier werk'!$G$29</definedName>
    <definedName name="prodnorm40">'Regulier werk'!$G$30</definedName>
    <definedName name="prodnorm41">'Regulier werk'!$G$31</definedName>
    <definedName name="prodnorm42">'Regulier werk'!$G$32</definedName>
    <definedName name="prodnorm43">'Regulier werk'!$G$33</definedName>
    <definedName name="prodnorm44">'Regulier werk'!$G$34</definedName>
    <definedName name="prodnorm45">'Regulier werk'!$G$35</definedName>
    <definedName name="prodnorm46">'Regulier werk'!$G$36</definedName>
    <definedName name="prodnorm48">'Regulier werk'!$G$44</definedName>
    <definedName name="prodnorm49">'Regulier werk'!$G$45</definedName>
    <definedName name="prodnorm50">'Regulier werk'!$G$46</definedName>
    <definedName name="taakfreqtabel1">Objectinformatie!$E$5:$E$36</definedName>
    <definedName name="taakfreqtabel3">Objectinformatie!$E$39:$E$41</definedName>
    <definedName name="tabeltype">Omreken!$B$5:$B$5</definedName>
    <definedName name="tarieftabel1">Objectinformatie!$I$5:$I$36</definedName>
    <definedName name="tarieftabel3">Objectinformatie!$I$39:$I$41</definedName>
    <definedName name="tzpjt1">'Niet-meewerkende objectleiding'!$J$69</definedName>
    <definedName name="tzpjt1_1">'Niet-meewerkende objectleiding'!$J$13</definedName>
    <definedName name="tzpjt2_1">'Niet-meewerkende objectleiding'!$J$22</definedName>
    <definedName name="tzpjt2_3">'Niet-meewerkende objectleiding'!$J$80</definedName>
    <definedName name="tzpjt3">'Niet-meewerkende objectleiding'!$J$82</definedName>
    <definedName name="tzpjt3_1">'Niet-meewerkende objectleiding'!$J$31</definedName>
    <definedName name="tzpjt4_1">'Niet-meewerkende objectleiding'!$J$40</definedName>
    <definedName name="tzpjt5_1">'Niet-meewerkende objectleiding'!$J$49</definedName>
    <definedName name="tzpjt6_1">'Niet-meewerkende objectleiding'!$J$58</definedName>
    <definedName name="tzpjt7_1">'Niet-meewerkende objectleiding'!$J$67</definedName>
    <definedName name="tzpmt1">'Niet-meewerkende objectleiding'!$K$69</definedName>
    <definedName name="tzpmt1_1">'Niet-meewerkende objectleiding'!$K$13</definedName>
    <definedName name="tzpmt2_1">'Niet-meewerkende objectleiding'!$K$22</definedName>
    <definedName name="tzpmt2_3">'Niet-meewerkende objectleiding'!$K$80</definedName>
    <definedName name="tzpmt3">'Niet-meewerkende objectleiding'!$K$82</definedName>
    <definedName name="tzpmt3_1">'Niet-meewerkende objectleiding'!$K$31</definedName>
    <definedName name="tzpmt4_1">'Niet-meewerkende objectleiding'!$K$40</definedName>
    <definedName name="tzpmt5_1">'Niet-meewerkende objectleiding'!$K$49</definedName>
    <definedName name="tzpmt6_1">'Niet-meewerkende objectleiding'!$K$58</definedName>
    <definedName name="tzpmt7_1">'Niet-meewerkende objectleiding'!$K$67</definedName>
    <definedName name="tzujt1">'Niet-meewerkende objectleiding'!$H$69</definedName>
    <definedName name="tzujt1_1">'Niet-meewerkende objectleiding'!$H$13</definedName>
    <definedName name="tzujt2_1">'Niet-meewerkende objectleiding'!$H$22</definedName>
    <definedName name="tzujt2_3">'Niet-meewerkende objectleiding'!$H$80</definedName>
    <definedName name="tzujt3">'Niet-meewerkende objectleiding'!$H$82</definedName>
    <definedName name="tzujt3_1">'Niet-meewerkende objectleiding'!$H$31</definedName>
    <definedName name="tzujt4_1">'Niet-meewerkende objectleiding'!$H$40</definedName>
    <definedName name="tzujt5_1">'Niet-meewerkende objectleiding'!$H$49</definedName>
    <definedName name="tzujt6_1">'Niet-meewerkende objectleiding'!$H$58</definedName>
    <definedName name="tzujt7_1">'Niet-meewerkende objectleiding'!$H$67</definedName>
    <definedName name="urendag1">'Regulier werk'!$K$38</definedName>
    <definedName name="urendag3">'Regulier werk'!$K$47</definedName>
    <definedName name="urenjaar">'Regulier werk'!$M$52</definedName>
    <definedName name="urenjaar1">'Regulier werk'!$M$38</definedName>
    <definedName name="urenjaar3">'Regulier werk'!$M$47</definedName>
    <definedName name="urenjaarnietmeewerkend">'Niet-meewerkende objectleiding'!$H$85</definedName>
    <definedName name="urenjaartotaal">Objecten!$P$21</definedName>
    <definedName name="urenjaartotaal1">Objecten!$P$13</definedName>
    <definedName name="urenjaartotaal3">Objecten!$P$18</definedName>
    <definedName name="urenjaartotaalhf">Objecten!$O$21</definedName>
    <definedName name="urenjaartotaalhf1">Objecten!$O$13</definedName>
    <definedName name="urenjaartotaalhf3">Objecten!$O$18</definedName>
    <definedName name="urenjaartotaaloverzicht">'Totaalblad Objecten'!$F$12</definedName>
    <definedName name="urenjaartotaaloverzichthf">'Totaalblad Objecten'!$E$12</definedName>
    <definedName name="uurfactortabel1">Objectinformatie!$F$5:$F$36</definedName>
    <definedName name="uurfactortabel3">Objectinformatie!$F$39:$F$41</definedName>
    <definedName name="uurtarief14">'Regulier werk'!$J$37</definedName>
    <definedName name="uurtarief16">'Regulier werk'!$J$6</definedName>
    <definedName name="uurtarief17">'Regulier werk'!$J$7</definedName>
    <definedName name="uurtarief18">'Regulier werk'!$J$8</definedName>
    <definedName name="uurtarief19">'Regulier werk'!$J$9</definedName>
    <definedName name="uurtarief20">'Regulier werk'!$J$10</definedName>
    <definedName name="uurtarief21">'Regulier werk'!$J$11</definedName>
    <definedName name="uurtarief22">'Regulier werk'!$J$12</definedName>
    <definedName name="uurtarief23">'Regulier werk'!$J$13</definedName>
    <definedName name="uurtarief24">'Regulier werk'!$J$14</definedName>
    <definedName name="uurtarief25">'Regulier werk'!$J$15</definedName>
    <definedName name="uurtarief26">'Regulier werk'!$J$16</definedName>
    <definedName name="uurtarief27">'Regulier werk'!$J$17</definedName>
    <definedName name="uurtarief28">'Regulier werk'!$J$18</definedName>
    <definedName name="uurtarief29">'Regulier werk'!$J$19</definedName>
    <definedName name="uurtarief30">'Regulier werk'!$J$20</definedName>
    <definedName name="uurtarief31">'Regulier werk'!$J$21</definedName>
    <definedName name="uurtarief32">'Regulier werk'!$J$22</definedName>
    <definedName name="uurtarief33">'Regulier werk'!$J$23</definedName>
    <definedName name="uurtarief34">'Regulier werk'!$J$24</definedName>
    <definedName name="uurtarief35">'Regulier werk'!$J$25</definedName>
    <definedName name="uurtarief36">'Regulier werk'!$J$26</definedName>
    <definedName name="uurtarief37">'Regulier werk'!$J$27</definedName>
    <definedName name="uurtarief38">'Regulier werk'!$J$28</definedName>
    <definedName name="uurtarief39">'Regulier werk'!$J$29</definedName>
    <definedName name="uurtarief40">'Regulier werk'!$J$30</definedName>
    <definedName name="uurtarief41">'Regulier werk'!$J$31</definedName>
    <definedName name="uurtarief42">'Regulier werk'!$J$32</definedName>
    <definedName name="uurtarief43">'Regulier werk'!$J$33</definedName>
    <definedName name="uurtarief44">'Regulier werk'!$J$34</definedName>
    <definedName name="uurtarief45">'Regulier werk'!$J$35</definedName>
    <definedName name="uurtarief46">'Regulier werk'!$J$36</definedName>
    <definedName name="uurtarief48">'Regulier werk'!$J$44</definedName>
    <definedName name="uurtarief49">'Regulier werk'!$J$45</definedName>
    <definedName name="uurtarief50">'Regulier werk'!$J$46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2" l="1"/>
  <c r="E17" i="12"/>
  <c r="A1" i="12"/>
  <c r="J40" i="11"/>
  <c r="K40" i="11" s="1"/>
  <c r="H40" i="11"/>
  <c r="J39" i="11"/>
  <c r="K39" i="11" s="1"/>
  <c r="H39" i="11"/>
  <c r="J38" i="11"/>
  <c r="K38" i="11" s="1"/>
  <c r="K41" i="11" s="1"/>
  <c r="H38" i="11"/>
  <c r="J34" i="11"/>
  <c r="K34" i="11" s="1"/>
  <c r="H34" i="11"/>
  <c r="J33" i="11"/>
  <c r="K33" i="11" s="1"/>
  <c r="H33" i="11"/>
  <c r="J32" i="11"/>
  <c r="K32" i="11" s="1"/>
  <c r="K35" i="11" s="1"/>
  <c r="H32" i="11"/>
  <c r="J28" i="11"/>
  <c r="K28" i="11" s="1"/>
  <c r="H28" i="11"/>
  <c r="C28" i="11"/>
  <c r="L28" i="11" s="1"/>
  <c r="M28" i="11" s="1"/>
  <c r="J27" i="11"/>
  <c r="K27" i="11" s="1"/>
  <c r="H27" i="11"/>
  <c r="J26" i="11"/>
  <c r="K26" i="11" s="1"/>
  <c r="K29" i="11" s="1"/>
  <c r="H26" i="11"/>
  <c r="J22" i="11"/>
  <c r="K22" i="11" s="1"/>
  <c r="H22" i="11"/>
  <c r="J21" i="11"/>
  <c r="K21" i="11" s="1"/>
  <c r="H21" i="11"/>
  <c r="K20" i="11"/>
  <c r="K23" i="11" s="1"/>
  <c r="J20" i="11"/>
  <c r="H20" i="11"/>
  <c r="J16" i="11"/>
  <c r="K16" i="11" s="1"/>
  <c r="H16" i="11"/>
  <c r="K15" i="11"/>
  <c r="J15" i="11"/>
  <c r="H15" i="11"/>
  <c r="J14" i="11"/>
  <c r="K14" i="11" s="1"/>
  <c r="H14" i="11"/>
  <c r="J13" i="11"/>
  <c r="K13" i="11" s="1"/>
  <c r="H13" i="11"/>
  <c r="K9" i="11"/>
  <c r="J9" i="11"/>
  <c r="H9" i="11"/>
  <c r="K8" i="11"/>
  <c r="J8" i="11"/>
  <c r="H8" i="11"/>
  <c r="J7" i="11"/>
  <c r="K7" i="11" s="1"/>
  <c r="H7" i="11"/>
  <c r="J6" i="11"/>
  <c r="K6" i="11" s="1"/>
  <c r="K10" i="11" s="1"/>
  <c r="H6" i="11"/>
  <c r="A1" i="11"/>
  <c r="J16" i="10"/>
  <c r="C16" i="10"/>
  <c r="K16" i="10" s="1"/>
  <c r="L16" i="10" s="1"/>
  <c r="J15" i="10"/>
  <c r="J14" i="10"/>
  <c r="J13" i="10"/>
  <c r="J12" i="10"/>
  <c r="J11" i="10"/>
  <c r="J10" i="10"/>
  <c r="J9" i="10"/>
  <c r="C9" i="10"/>
  <c r="K9" i="10" s="1"/>
  <c r="L9" i="10" s="1"/>
  <c r="J8" i="10"/>
  <c r="C8" i="10"/>
  <c r="K8" i="10" s="1"/>
  <c r="L8" i="10" s="1"/>
  <c r="J7" i="10"/>
  <c r="J6" i="10"/>
  <c r="A1" i="10"/>
  <c r="J8" i="9"/>
  <c r="J7" i="9"/>
  <c r="J6" i="9"/>
  <c r="A1" i="9"/>
  <c r="A1" i="8"/>
  <c r="A1" i="7"/>
  <c r="H82" i="6"/>
  <c r="H80" i="6"/>
  <c r="J79" i="6"/>
  <c r="J80" i="6" s="1"/>
  <c r="J82" i="6" s="1"/>
  <c r="I79" i="6"/>
  <c r="H79" i="6"/>
  <c r="C79" i="6"/>
  <c r="J78" i="6"/>
  <c r="K78" i="6" s="1"/>
  <c r="H78" i="6"/>
  <c r="I78" i="6" s="1"/>
  <c r="C78" i="6"/>
  <c r="K77" i="6"/>
  <c r="J77" i="6"/>
  <c r="H77" i="6"/>
  <c r="C77" i="6"/>
  <c r="I77" i="6" s="1"/>
  <c r="K76" i="6"/>
  <c r="J76" i="6"/>
  <c r="H76" i="6"/>
  <c r="C76" i="6"/>
  <c r="I76" i="6" s="1"/>
  <c r="J75" i="6"/>
  <c r="K75" i="6" s="1"/>
  <c r="H75" i="6"/>
  <c r="C75" i="6"/>
  <c r="I75" i="6" s="1"/>
  <c r="J66" i="6"/>
  <c r="J67" i="6" s="1"/>
  <c r="I10" i="7" s="1"/>
  <c r="H66" i="6"/>
  <c r="H67" i="6" s="1"/>
  <c r="H10" i="7" s="1"/>
  <c r="C66" i="6"/>
  <c r="K65" i="6"/>
  <c r="J65" i="6"/>
  <c r="H65" i="6"/>
  <c r="C65" i="6"/>
  <c r="I65" i="6" s="1"/>
  <c r="J64" i="6"/>
  <c r="K64" i="6" s="1"/>
  <c r="H64" i="6"/>
  <c r="C64" i="6"/>
  <c r="I64" i="6" s="1"/>
  <c r="K63" i="6"/>
  <c r="J63" i="6"/>
  <c r="H63" i="6"/>
  <c r="C63" i="6"/>
  <c r="I63" i="6" s="1"/>
  <c r="K62" i="6"/>
  <c r="J62" i="6"/>
  <c r="H62" i="6"/>
  <c r="C62" i="6"/>
  <c r="I62" i="6" s="1"/>
  <c r="J57" i="6"/>
  <c r="K57" i="6" s="1"/>
  <c r="H57" i="6"/>
  <c r="I57" i="6" s="1"/>
  <c r="C57" i="6"/>
  <c r="J56" i="6"/>
  <c r="K56" i="6" s="1"/>
  <c r="I56" i="6"/>
  <c r="H56" i="6"/>
  <c r="C56" i="6"/>
  <c r="J55" i="6"/>
  <c r="K55" i="6" s="1"/>
  <c r="K58" i="6" s="1"/>
  <c r="H55" i="6"/>
  <c r="I55" i="6" s="1"/>
  <c r="C55" i="6"/>
  <c r="K54" i="6"/>
  <c r="J54" i="6"/>
  <c r="H54" i="6"/>
  <c r="C54" i="6"/>
  <c r="I54" i="6" s="1"/>
  <c r="K53" i="6"/>
  <c r="J53" i="6"/>
  <c r="H53" i="6"/>
  <c r="C53" i="6"/>
  <c r="I53" i="6" s="1"/>
  <c r="J48" i="6"/>
  <c r="K48" i="6" s="1"/>
  <c r="I48" i="6"/>
  <c r="H48" i="6"/>
  <c r="C48" i="6"/>
  <c r="J47" i="6"/>
  <c r="K47" i="6" s="1"/>
  <c r="H47" i="6"/>
  <c r="C47" i="6"/>
  <c r="I47" i="6" s="1"/>
  <c r="J46" i="6"/>
  <c r="K46" i="6" s="1"/>
  <c r="H46" i="6"/>
  <c r="I46" i="6" s="1"/>
  <c r="C46" i="6"/>
  <c r="K45" i="6"/>
  <c r="J45" i="6"/>
  <c r="I45" i="6"/>
  <c r="H45" i="6"/>
  <c r="C45" i="6"/>
  <c r="J44" i="6"/>
  <c r="K44" i="6" s="1"/>
  <c r="H44" i="6"/>
  <c r="H49" i="6" s="1"/>
  <c r="H8" i="7" s="1"/>
  <c r="K39" i="6"/>
  <c r="J39" i="6"/>
  <c r="H39" i="6"/>
  <c r="C39" i="6"/>
  <c r="I39" i="6" s="1"/>
  <c r="J38" i="6"/>
  <c r="K38" i="6" s="1"/>
  <c r="H38" i="6"/>
  <c r="C38" i="6"/>
  <c r="I38" i="6" s="1"/>
  <c r="J37" i="6"/>
  <c r="K37" i="6" s="1"/>
  <c r="H37" i="6"/>
  <c r="H40" i="6" s="1"/>
  <c r="H7" i="7" s="1"/>
  <c r="C37" i="6"/>
  <c r="I37" i="6" s="1"/>
  <c r="K36" i="6"/>
  <c r="J36" i="6"/>
  <c r="I36" i="6"/>
  <c r="H36" i="6"/>
  <c r="C36" i="6"/>
  <c r="J35" i="6"/>
  <c r="K35" i="6" s="1"/>
  <c r="K40" i="6" s="1"/>
  <c r="H35" i="6"/>
  <c r="K30" i="6"/>
  <c r="J30" i="6"/>
  <c r="H30" i="6"/>
  <c r="C30" i="6"/>
  <c r="I30" i="6" s="1"/>
  <c r="J29" i="6"/>
  <c r="K29" i="6" s="1"/>
  <c r="H29" i="6"/>
  <c r="C29" i="6"/>
  <c r="I29" i="6" s="1"/>
  <c r="K28" i="6"/>
  <c r="J28" i="6"/>
  <c r="H28" i="6"/>
  <c r="C28" i="6"/>
  <c r="I28" i="6" s="1"/>
  <c r="K27" i="6"/>
  <c r="J27" i="6"/>
  <c r="H27" i="6"/>
  <c r="H31" i="6" s="1"/>
  <c r="H6" i="7" s="1"/>
  <c r="C27" i="6"/>
  <c r="I27" i="6" s="1"/>
  <c r="J26" i="6"/>
  <c r="K26" i="6" s="1"/>
  <c r="K31" i="6" s="1"/>
  <c r="H26" i="6"/>
  <c r="K21" i="6"/>
  <c r="J21" i="6"/>
  <c r="H21" i="6"/>
  <c r="C21" i="6"/>
  <c r="I21" i="6" s="1"/>
  <c r="J20" i="6"/>
  <c r="K20" i="6" s="1"/>
  <c r="H20" i="6"/>
  <c r="I20" i="6" s="1"/>
  <c r="C20" i="6"/>
  <c r="J19" i="6"/>
  <c r="K19" i="6" s="1"/>
  <c r="H19" i="6"/>
  <c r="C19" i="6"/>
  <c r="I19" i="6" s="1"/>
  <c r="J18" i="6"/>
  <c r="K18" i="6" s="1"/>
  <c r="H18" i="6"/>
  <c r="C18" i="6"/>
  <c r="I18" i="6" s="1"/>
  <c r="J17" i="6"/>
  <c r="J22" i="6" s="1"/>
  <c r="I5" i="7" s="1"/>
  <c r="H17" i="6"/>
  <c r="H22" i="6" s="1"/>
  <c r="H5" i="7" s="1"/>
  <c r="J12" i="6"/>
  <c r="K12" i="6" s="1"/>
  <c r="H12" i="6"/>
  <c r="C12" i="6"/>
  <c r="I12" i="6" s="1"/>
  <c r="J11" i="6"/>
  <c r="K11" i="6" s="1"/>
  <c r="I11" i="6"/>
  <c r="H11" i="6"/>
  <c r="C11" i="6"/>
  <c r="J10" i="6"/>
  <c r="K10" i="6" s="1"/>
  <c r="I10" i="6"/>
  <c r="H10" i="6"/>
  <c r="C10" i="6"/>
  <c r="J9" i="6"/>
  <c r="K9" i="6" s="1"/>
  <c r="H9" i="6"/>
  <c r="C9" i="6"/>
  <c r="I9" i="6" s="1"/>
  <c r="J8" i="6"/>
  <c r="J13" i="6" s="1"/>
  <c r="H8" i="6"/>
  <c r="H13" i="6" s="1"/>
  <c r="C8" i="6"/>
  <c r="I8" i="6" s="1"/>
  <c r="A1" i="6"/>
  <c r="A1" i="5"/>
  <c r="I41" i="4"/>
  <c r="H41" i="4"/>
  <c r="E41" i="4"/>
  <c r="I40" i="4"/>
  <c r="H40" i="4"/>
  <c r="I39" i="4"/>
  <c r="H39" i="4"/>
  <c r="G39" i="4"/>
  <c r="E39" i="4"/>
  <c r="I36" i="4"/>
  <c r="H36" i="4"/>
  <c r="G36" i="4"/>
  <c r="E36" i="4"/>
  <c r="I35" i="4"/>
  <c r="H35" i="4"/>
  <c r="G35" i="4"/>
  <c r="E35" i="4"/>
  <c r="I34" i="4"/>
  <c r="H34" i="4"/>
  <c r="G34" i="4"/>
  <c r="I31" i="4"/>
  <c r="I30" i="4"/>
  <c r="H30" i="4"/>
  <c r="E29" i="4"/>
  <c r="E28" i="4"/>
  <c r="I27" i="4"/>
  <c r="H27" i="4"/>
  <c r="G27" i="4"/>
  <c r="E27" i="4"/>
  <c r="I26" i="4"/>
  <c r="H26" i="4"/>
  <c r="G26" i="4"/>
  <c r="I23" i="4"/>
  <c r="I22" i="4"/>
  <c r="H22" i="4"/>
  <c r="E21" i="4"/>
  <c r="E20" i="4"/>
  <c r="I19" i="4"/>
  <c r="H19" i="4"/>
  <c r="G19" i="4"/>
  <c r="E19" i="4"/>
  <c r="I18" i="4"/>
  <c r="H18" i="4"/>
  <c r="G18" i="4"/>
  <c r="I15" i="4"/>
  <c r="I14" i="4"/>
  <c r="H14" i="4"/>
  <c r="E13" i="4"/>
  <c r="E12" i="4"/>
  <c r="I11" i="4"/>
  <c r="H11" i="4"/>
  <c r="G11" i="4"/>
  <c r="E11" i="4"/>
  <c r="I10" i="4"/>
  <c r="H10" i="4"/>
  <c r="G10" i="4"/>
  <c r="I7" i="4"/>
  <c r="I6" i="4"/>
  <c r="H6" i="4"/>
  <c r="E5" i="4"/>
  <c r="M46" i="3"/>
  <c r="N46" i="3" s="1"/>
  <c r="K46" i="3"/>
  <c r="L46" i="3" s="1"/>
  <c r="J46" i="3"/>
  <c r="H46" i="3"/>
  <c r="G46" i="3"/>
  <c r="G41" i="4" s="1"/>
  <c r="F46" i="3"/>
  <c r="J45" i="3"/>
  <c r="H45" i="3"/>
  <c r="G45" i="3"/>
  <c r="K45" i="3" s="1"/>
  <c r="M45" i="3" s="1"/>
  <c r="N45" i="3" s="1"/>
  <c r="J44" i="3"/>
  <c r="H44" i="3"/>
  <c r="G44" i="3"/>
  <c r="K44" i="3" s="1"/>
  <c r="F44" i="3"/>
  <c r="F37" i="3"/>
  <c r="K37" i="3" s="1"/>
  <c r="M36" i="3"/>
  <c r="N36" i="3" s="1"/>
  <c r="K36" i="3"/>
  <c r="J36" i="3"/>
  <c r="L36" i="3" s="1"/>
  <c r="H36" i="3"/>
  <c r="G36" i="3"/>
  <c r="K35" i="3"/>
  <c r="M35" i="3" s="1"/>
  <c r="N35" i="3" s="1"/>
  <c r="J35" i="3"/>
  <c r="L35" i="3" s="1"/>
  <c r="H35" i="3"/>
  <c r="G35" i="3"/>
  <c r="F35" i="3"/>
  <c r="J34" i="3"/>
  <c r="I33" i="4" s="1"/>
  <c r="H34" i="3"/>
  <c r="H33" i="4" s="1"/>
  <c r="G34" i="3"/>
  <c r="G33" i="4" s="1"/>
  <c r="F34" i="3"/>
  <c r="J33" i="3"/>
  <c r="I32" i="4" s="1"/>
  <c r="H33" i="3"/>
  <c r="H32" i="4" s="1"/>
  <c r="G33" i="3"/>
  <c r="G32" i="4" s="1"/>
  <c r="F33" i="3"/>
  <c r="M32" i="3"/>
  <c r="N32" i="3" s="1"/>
  <c r="K32" i="3"/>
  <c r="J32" i="3"/>
  <c r="L32" i="3" s="1"/>
  <c r="H32" i="3"/>
  <c r="H31" i="4" s="1"/>
  <c r="G32" i="3"/>
  <c r="G31" i="4" s="1"/>
  <c r="K31" i="3"/>
  <c r="M31" i="3" s="1"/>
  <c r="N31" i="3" s="1"/>
  <c r="J31" i="3"/>
  <c r="L31" i="3" s="1"/>
  <c r="H31" i="3"/>
  <c r="G31" i="3"/>
  <c r="G30" i="4" s="1"/>
  <c r="F31" i="3"/>
  <c r="J30" i="3"/>
  <c r="H30" i="3"/>
  <c r="H29" i="4" s="1"/>
  <c r="G30" i="3"/>
  <c r="K30" i="3" s="1"/>
  <c r="M30" i="3" s="1"/>
  <c r="N30" i="3" s="1"/>
  <c r="F30" i="3"/>
  <c r="J29" i="3"/>
  <c r="H29" i="3"/>
  <c r="H28" i="4" s="1"/>
  <c r="G29" i="3"/>
  <c r="G28" i="4" s="1"/>
  <c r="F29" i="3"/>
  <c r="M28" i="3"/>
  <c r="N28" i="3" s="1"/>
  <c r="K28" i="3"/>
  <c r="J28" i="3"/>
  <c r="L28" i="3" s="1"/>
  <c r="H28" i="3"/>
  <c r="G28" i="3"/>
  <c r="K27" i="3"/>
  <c r="M27" i="3" s="1"/>
  <c r="N27" i="3" s="1"/>
  <c r="J27" i="3"/>
  <c r="L27" i="3" s="1"/>
  <c r="H27" i="3"/>
  <c r="G27" i="3"/>
  <c r="F27" i="3"/>
  <c r="J26" i="3"/>
  <c r="I25" i="4" s="1"/>
  <c r="H26" i="3"/>
  <c r="H25" i="4" s="1"/>
  <c r="G26" i="3"/>
  <c r="G25" i="4" s="1"/>
  <c r="F26" i="3"/>
  <c r="J25" i="3"/>
  <c r="I24" i="4" s="1"/>
  <c r="H25" i="3"/>
  <c r="H24" i="4" s="1"/>
  <c r="G25" i="3"/>
  <c r="G24" i="4" s="1"/>
  <c r="F25" i="3"/>
  <c r="M24" i="3"/>
  <c r="N24" i="3" s="1"/>
  <c r="K24" i="3"/>
  <c r="J24" i="3"/>
  <c r="L24" i="3" s="1"/>
  <c r="H24" i="3"/>
  <c r="H23" i="4" s="1"/>
  <c r="G24" i="3"/>
  <c r="G23" i="4" s="1"/>
  <c r="K23" i="3"/>
  <c r="M23" i="3" s="1"/>
  <c r="N23" i="3" s="1"/>
  <c r="J23" i="3"/>
  <c r="L23" i="3" s="1"/>
  <c r="H23" i="3"/>
  <c r="G23" i="3"/>
  <c r="G22" i="4" s="1"/>
  <c r="F23" i="3"/>
  <c r="J22" i="3"/>
  <c r="I21" i="4" s="1"/>
  <c r="H22" i="3"/>
  <c r="H21" i="4" s="1"/>
  <c r="G22" i="3"/>
  <c r="K22" i="3" s="1"/>
  <c r="M22" i="3" s="1"/>
  <c r="N22" i="3" s="1"/>
  <c r="F22" i="3"/>
  <c r="J21" i="3"/>
  <c r="L21" i="3" s="1"/>
  <c r="H21" i="3"/>
  <c r="H20" i="4" s="1"/>
  <c r="G21" i="3"/>
  <c r="K21" i="3" s="1"/>
  <c r="M21" i="3" s="1"/>
  <c r="N21" i="3" s="1"/>
  <c r="F21" i="3"/>
  <c r="M20" i="3"/>
  <c r="N20" i="3" s="1"/>
  <c r="K20" i="3"/>
  <c r="J20" i="3"/>
  <c r="L20" i="3" s="1"/>
  <c r="H20" i="3"/>
  <c r="G20" i="3"/>
  <c r="K19" i="3"/>
  <c r="M19" i="3" s="1"/>
  <c r="N19" i="3" s="1"/>
  <c r="J19" i="3"/>
  <c r="L19" i="3" s="1"/>
  <c r="H19" i="3"/>
  <c r="G19" i="3"/>
  <c r="F19" i="3"/>
  <c r="J18" i="3"/>
  <c r="I17" i="4" s="1"/>
  <c r="H18" i="3"/>
  <c r="H17" i="4" s="1"/>
  <c r="G18" i="3"/>
  <c r="G17" i="4" s="1"/>
  <c r="F18" i="3"/>
  <c r="J17" i="3"/>
  <c r="H17" i="3"/>
  <c r="H16" i="4" s="1"/>
  <c r="G17" i="3"/>
  <c r="K17" i="3" s="1"/>
  <c r="M17" i="3" s="1"/>
  <c r="N17" i="3" s="1"/>
  <c r="F17" i="3"/>
  <c r="M16" i="3"/>
  <c r="N16" i="3" s="1"/>
  <c r="K16" i="3"/>
  <c r="J16" i="3"/>
  <c r="L16" i="3" s="1"/>
  <c r="H16" i="3"/>
  <c r="H15" i="4" s="1"/>
  <c r="G16" i="3"/>
  <c r="G15" i="4" s="1"/>
  <c r="K15" i="3"/>
  <c r="M15" i="3" s="1"/>
  <c r="N15" i="3" s="1"/>
  <c r="J15" i="3"/>
  <c r="L15" i="3" s="1"/>
  <c r="H15" i="3"/>
  <c r="G15" i="3"/>
  <c r="G14" i="4" s="1"/>
  <c r="F15" i="3"/>
  <c r="J14" i="3"/>
  <c r="L14" i="3" s="1"/>
  <c r="H14" i="3"/>
  <c r="H13" i="4" s="1"/>
  <c r="G14" i="3"/>
  <c r="K14" i="3" s="1"/>
  <c r="M14" i="3" s="1"/>
  <c r="N14" i="3" s="1"/>
  <c r="F14" i="3"/>
  <c r="J13" i="3"/>
  <c r="H13" i="3"/>
  <c r="H12" i="4" s="1"/>
  <c r="G13" i="3"/>
  <c r="G12" i="4" s="1"/>
  <c r="F13" i="3"/>
  <c r="M12" i="3"/>
  <c r="N12" i="3" s="1"/>
  <c r="K12" i="3"/>
  <c r="J12" i="3"/>
  <c r="L12" i="3" s="1"/>
  <c r="H12" i="3"/>
  <c r="G12" i="3"/>
  <c r="F12" i="3"/>
  <c r="K11" i="3"/>
  <c r="M11" i="3" s="1"/>
  <c r="N11" i="3" s="1"/>
  <c r="J11" i="3"/>
  <c r="L11" i="3" s="1"/>
  <c r="H11" i="3"/>
  <c r="G11" i="3"/>
  <c r="F11" i="3"/>
  <c r="J10" i="3"/>
  <c r="I9" i="4" s="1"/>
  <c r="H10" i="3"/>
  <c r="H9" i="4" s="1"/>
  <c r="G10" i="3"/>
  <c r="G9" i="4" s="1"/>
  <c r="F10" i="3"/>
  <c r="J9" i="3"/>
  <c r="I8" i="4" s="1"/>
  <c r="H9" i="3"/>
  <c r="H8" i="4" s="1"/>
  <c r="G9" i="3"/>
  <c r="G8" i="4" s="1"/>
  <c r="F9" i="3"/>
  <c r="M8" i="3"/>
  <c r="N8" i="3" s="1"/>
  <c r="K8" i="3"/>
  <c r="J8" i="3"/>
  <c r="L8" i="3" s="1"/>
  <c r="H8" i="3"/>
  <c r="H7" i="4" s="1"/>
  <c r="G8" i="3"/>
  <c r="G7" i="4" s="1"/>
  <c r="K7" i="3"/>
  <c r="M7" i="3" s="1"/>
  <c r="N7" i="3" s="1"/>
  <c r="J7" i="3"/>
  <c r="L7" i="3" s="1"/>
  <c r="H7" i="3"/>
  <c r="G7" i="3"/>
  <c r="G6" i="4" s="1"/>
  <c r="J6" i="3"/>
  <c r="H6" i="3"/>
  <c r="H5" i="4" s="1"/>
  <c r="G6" i="3"/>
  <c r="K6" i="3" s="1"/>
  <c r="F6" i="3"/>
  <c r="A1" i="3"/>
  <c r="A1" i="2"/>
  <c r="B26" i="1"/>
  <c r="C8" i="9" s="1"/>
  <c r="K8" i="9" s="1"/>
  <c r="L8" i="9" s="1"/>
  <c r="B25" i="1"/>
  <c r="C20" i="11" s="1"/>
  <c r="L20" i="11" s="1"/>
  <c r="B24" i="1"/>
  <c r="C7" i="10" s="1"/>
  <c r="K7" i="10" s="1"/>
  <c r="L7" i="10" s="1"/>
  <c r="B23" i="1"/>
  <c r="B22" i="1"/>
  <c r="C15" i="10" s="1"/>
  <c r="K15" i="10" s="1"/>
  <c r="L15" i="10" s="1"/>
  <c r="B21" i="1"/>
  <c r="F7" i="3" s="1"/>
  <c r="B20" i="1"/>
  <c r="B19" i="1"/>
  <c r="E9" i="4" s="1"/>
  <c r="B18" i="1"/>
  <c r="F45" i="3" s="1"/>
  <c r="B17" i="1"/>
  <c r="B16" i="1"/>
  <c r="E25" i="4" s="1"/>
  <c r="B15" i="1"/>
  <c r="B14" i="1"/>
  <c r="B13" i="1"/>
  <c r="C17" i="6" s="1"/>
  <c r="I17" i="6" s="1"/>
  <c r="M37" i="3" l="1"/>
  <c r="N37" i="3" s="1"/>
  <c r="L37" i="3"/>
  <c r="L30" i="3"/>
  <c r="H4" i="7"/>
  <c r="K49" i="6"/>
  <c r="I4" i="7"/>
  <c r="L44" i="3"/>
  <c r="M44" i="3"/>
  <c r="K47" i="3"/>
  <c r="L45" i="3"/>
  <c r="L17" i="3"/>
  <c r="L6" i="3"/>
  <c r="M20" i="11"/>
  <c r="K17" i="11"/>
  <c r="M6" i="3"/>
  <c r="H9" i="5"/>
  <c r="J9" i="5" s="1"/>
  <c r="O9" i="5" s="1"/>
  <c r="E7" i="7" s="1"/>
  <c r="H6" i="5"/>
  <c r="J6" i="5" s="1"/>
  <c r="O6" i="5" s="1"/>
  <c r="I66" i="6"/>
  <c r="K17" i="6"/>
  <c r="K22" i="6" s="1"/>
  <c r="K66" i="6"/>
  <c r="K67" i="6" s="1"/>
  <c r="C39" i="11"/>
  <c r="L39" i="11" s="1"/>
  <c r="M39" i="11" s="1"/>
  <c r="K25" i="3"/>
  <c r="M25" i="3" s="1"/>
  <c r="N25" i="3" s="1"/>
  <c r="G20" i="4"/>
  <c r="K8" i="6"/>
  <c r="K13" i="6" s="1"/>
  <c r="C6" i="9"/>
  <c r="K6" i="9" s="1"/>
  <c r="K33" i="3"/>
  <c r="M33" i="3" s="1"/>
  <c r="N33" i="3" s="1"/>
  <c r="L25" i="3"/>
  <c r="I12" i="4"/>
  <c r="I20" i="4"/>
  <c r="I28" i="4"/>
  <c r="H58" i="6"/>
  <c r="H9" i="7" s="1"/>
  <c r="C10" i="10"/>
  <c r="K10" i="10" s="1"/>
  <c r="L10" i="10" s="1"/>
  <c r="K9" i="3"/>
  <c r="M9" i="3" s="1"/>
  <c r="N9" i="3" s="1"/>
  <c r="C6" i="11"/>
  <c r="L6" i="11" s="1"/>
  <c r="C32" i="11"/>
  <c r="L32" i="11" s="1"/>
  <c r="C14" i="11"/>
  <c r="L14" i="11" s="1"/>
  <c r="M14" i="11" s="1"/>
  <c r="C40" i="11"/>
  <c r="L40" i="11" s="1"/>
  <c r="M40" i="11" s="1"/>
  <c r="K13" i="3"/>
  <c r="M13" i="3" s="1"/>
  <c r="N13" i="3" s="1"/>
  <c r="J58" i="6"/>
  <c r="I9" i="7" s="1"/>
  <c r="G13" i="4"/>
  <c r="G29" i="4"/>
  <c r="L10" i="5"/>
  <c r="C7" i="9"/>
  <c r="K7" i="9" s="1"/>
  <c r="L7" i="9" s="1"/>
  <c r="C22" i="11"/>
  <c r="L22" i="11" s="1"/>
  <c r="M22" i="11" s="1"/>
  <c r="G5" i="4"/>
  <c r="G21" i="4"/>
  <c r="K34" i="3"/>
  <c r="M34" i="3" s="1"/>
  <c r="N34" i="3" s="1"/>
  <c r="I5" i="4"/>
  <c r="I13" i="4"/>
  <c r="I29" i="4"/>
  <c r="C11" i="10"/>
  <c r="K11" i="10" s="1"/>
  <c r="L11" i="10" s="1"/>
  <c r="K10" i="3"/>
  <c r="M10" i="3" s="1"/>
  <c r="N10" i="3" s="1"/>
  <c r="K18" i="3"/>
  <c r="M18" i="3" s="1"/>
  <c r="N18" i="3" s="1"/>
  <c r="K26" i="3"/>
  <c r="M26" i="3" s="1"/>
  <c r="N26" i="3" s="1"/>
  <c r="L10" i="3"/>
  <c r="L22" i="3"/>
  <c r="E6" i="4"/>
  <c r="G12" i="5" s="1"/>
  <c r="K12" i="5" s="1"/>
  <c r="P12" i="5" s="1"/>
  <c r="F10" i="7" s="1"/>
  <c r="E14" i="4"/>
  <c r="E22" i="4"/>
  <c r="E40" i="4"/>
  <c r="G17" i="5" s="1"/>
  <c r="K17" i="5" s="1"/>
  <c r="P17" i="5" s="1"/>
  <c r="P18" i="5" s="1"/>
  <c r="J49" i="6"/>
  <c r="I8" i="7" s="1"/>
  <c r="K29" i="3"/>
  <c r="M29" i="3" s="1"/>
  <c r="N29" i="3" s="1"/>
  <c r="E30" i="4"/>
  <c r="G40" i="4"/>
  <c r="C15" i="11"/>
  <c r="L15" i="11" s="1"/>
  <c r="M15" i="11" s="1"/>
  <c r="J40" i="6"/>
  <c r="I7" i="7" s="1"/>
  <c r="L33" i="3"/>
  <c r="C12" i="10"/>
  <c r="K12" i="10" s="1"/>
  <c r="L12" i="10" s="1"/>
  <c r="E7" i="4"/>
  <c r="L6" i="5" s="1"/>
  <c r="E15" i="4"/>
  <c r="G8" i="5" s="1"/>
  <c r="K8" i="5" s="1"/>
  <c r="P8" i="5" s="1"/>
  <c r="F6" i="7" s="1"/>
  <c r="E23" i="4"/>
  <c r="E31" i="4"/>
  <c r="C7" i="11"/>
  <c r="L7" i="11" s="1"/>
  <c r="M7" i="11" s="1"/>
  <c r="L8" i="5"/>
  <c r="G11" i="5"/>
  <c r="K11" i="5" s="1"/>
  <c r="P11" i="5" s="1"/>
  <c r="F9" i="7" s="1"/>
  <c r="L17" i="5"/>
  <c r="C44" i="6"/>
  <c r="I44" i="6" s="1"/>
  <c r="C13" i="11"/>
  <c r="L13" i="11" s="1"/>
  <c r="C26" i="11"/>
  <c r="L26" i="11" s="1"/>
  <c r="C13" i="10"/>
  <c r="K13" i="10" s="1"/>
  <c r="L13" i="10" s="1"/>
  <c r="E8" i="4"/>
  <c r="E24" i="4"/>
  <c r="J31" i="6"/>
  <c r="I6" i="7" s="1"/>
  <c r="C8" i="11"/>
  <c r="L8" i="11" s="1"/>
  <c r="M8" i="11" s="1"/>
  <c r="C34" i="11"/>
  <c r="L34" i="11" s="1"/>
  <c r="M34" i="11" s="1"/>
  <c r="K79" i="6"/>
  <c r="K80" i="6" s="1"/>
  <c r="K82" i="6" s="1"/>
  <c r="E16" i="4"/>
  <c r="E32" i="4"/>
  <c r="G16" i="4"/>
  <c r="C16" i="11"/>
  <c r="L16" i="11" s="1"/>
  <c r="M16" i="11" s="1"/>
  <c r="C33" i="11"/>
  <c r="L33" i="11" s="1"/>
  <c r="M33" i="11" s="1"/>
  <c r="C35" i="6"/>
  <c r="I35" i="6" s="1"/>
  <c r="F8" i="3"/>
  <c r="F20" i="3"/>
  <c r="F24" i="3"/>
  <c r="F28" i="3"/>
  <c r="F36" i="3"/>
  <c r="I16" i="4"/>
  <c r="C6" i="10"/>
  <c r="K6" i="10" s="1"/>
  <c r="C14" i="10"/>
  <c r="K14" i="10" s="1"/>
  <c r="L14" i="10" s="1"/>
  <c r="F16" i="3"/>
  <c r="F32" i="3"/>
  <c r="E17" i="4"/>
  <c r="E33" i="4"/>
  <c r="H12" i="5" s="1"/>
  <c r="J12" i="5" s="1"/>
  <c r="O12" i="5" s="1"/>
  <c r="E10" i="7" s="1"/>
  <c r="C27" i="11"/>
  <c r="L27" i="11" s="1"/>
  <c r="M27" i="11" s="1"/>
  <c r="C26" i="6"/>
  <c r="I26" i="6" s="1"/>
  <c r="C9" i="11"/>
  <c r="L9" i="11" s="1"/>
  <c r="M9" i="11" s="1"/>
  <c r="H8" i="5"/>
  <c r="J8" i="5" s="1"/>
  <c r="O8" i="5" s="1"/>
  <c r="E6" i="7" s="1"/>
  <c r="E10" i="4"/>
  <c r="E18" i="4"/>
  <c r="E26" i="4"/>
  <c r="E34" i="4"/>
  <c r="C21" i="11"/>
  <c r="L21" i="11" s="1"/>
  <c r="M21" i="11" s="1"/>
  <c r="C38" i="11"/>
  <c r="L38" i="11" s="1"/>
  <c r="H7" i="5" l="1"/>
  <c r="J7" i="5" s="1"/>
  <c r="O7" i="5" s="1"/>
  <c r="O13" i="5" s="1"/>
  <c r="O21" i="5" s="1"/>
  <c r="E4" i="7"/>
  <c r="N6" i="3"/>
  <c r="N38" i="3" s="1"/>
  <c r="M38" i="3"/>
  <c r="K38" i="3"/>
  <c r="L23" i="11"/>
  <c r="M23" i="11" s="1"/>
  <c r="L13" i="3"/>
  <c r="L6" i="10"/>
  <c r="K17" i="10"/>
  <c r="L35" i="11"/>
  <c r="M35" i="11" s="1"/>
  <c r="M32" i="11"/>
  <c r="L10" i="11"/>
  <c r="M10" i="11" s="1"/>
  <c r="M6" i="11"/>
  <c r="H17" i="5"/>
  <c r="J17" i="5" s="1"/>
  <c r="O17" i="5" s="1"/>
  <c r="O18" i="5" s="1"/>
  <c r="G6" i="5"/>
  <c r="K6" i="5" s="1"/>
  <c r="P6" i="5" s="1"/>
  <c r="N44" i="3"/>
  <c r="N47" i="3" s="1"/>
  <c r="M47" i="3"/>
  <c r="J49" i="3" s="1"/>
  <c r="F17" i="5" s="1"/>
  <c r="M17" i="5" s="1"/>
  <c r="N17" i="5" s="1"/>
  <c r="Q17" i="5" s="1"/>
  <c r="H10" i="5"/>
  <c r="J10" i="5" s="1"/>
  <c r="O10" i="5" s="1"/>
  <c r="E8" i="7" s="1"/>
  <c r="L47" i="3"/>
  <c r="L41" i="11"/>
  <c r="M41" i="11" s="1"/>
  <c r="M38" i="11"/>
  <c r="G7" i="5"/>
  <c r="K7" i="5" s="1"/>
  <c r="P7" i="5" s="1"/>
  <c r="F5" i="7" s="1"/>
  <c r="L12" i="5"/>
  <c r="J69" i="6"/>
  <c r="J85" i="6" s="1"/>
  <c r="E5" i="12" s="1"/>
  <c r="H11" i="5"/>
  <c r="J11" i="5" s="1"/>
  <c r="O11" i="5" s="1"/>
  <c r="E9" i="7" s="1"/>
  <c r="L34" i="3"/>
  <c r="I12" i="7"/>
  <c r="L26" i="3"/>
  <c r="H69" i="6"/>
  <c r="H85" i="6" s="1"/>
  <c r="D5" i="12" s="1"/>
  <c r="D9" i="12" s="1"/>
  <c r="L9" i="5"/>
  <c r="K9" i="9"/>
  <c r="L6" i="9"/>
  <c r="H12" i="7"/>
  <c r="L11" i="5"/>
  <c r="L18" i="3"/>
  <c r="K69" i="6"/>
  <c r="K85" i="6" s="1"/>
  <c r="L29" i="3"/>
  <c r="G10" i="5"/>
  <c r="K10" i="5" s="1"/>
  <c r="P10" i="5" s="1"/>
  <c r="F8" i="7" s="1"/>
  <c r="L7" i="5"/>
  <c r="L9" i="3"/>
  <c r="L38" i="3" s="1"/>
  <c r="G9" i="5"/>
  <c r="K9" i="5" s="1"/>
  <c r="P9" i="5" s="1"/>
  <c r="F7" i="7" s="1"/>
  <c r="M26" i="11"/>
  <c r="L29" i="11"/>
  <c r="M29" i="11" s="1"/>
  <c r="L17" i="11"/>
  <c r="M17" i="11" s="1"/>
  <c r="M13" i="11"/>
  <c r="Q18" i="5" l="1"/>
  <c r="R17" i="5"/>
  <c r="R18" i="5" s="1"/>
  <c r="F4" i="7"/>
  <c r="F12" i="7" s="1"/>
  <c r="B4" i="12" s="1"/>
  <c r="B9" i="12" s="1"/>
  <c r="B11" i="12" s="1"/>
  <c r="P13" i="5"/>
  <c r="P21" i="5" s="1"/>
  <c r="J40" i="3"/>
  <c r="M52" i="3"/>
  <c r="N52" i="3"/>
  <c r="L9" i="9"/>
  <c r="K11" i="9"/>
  <c r="L17" i="10"/>
  <c r="K19" i="10"/>
  <c r="E5" i="7"/>
  <c r="E12" i="7" s="1"/>
  <c r="C4" i="12" s="1"/>
  <c r="C9" i="12" s="1"/>
  <c r="E6" i="12" l="1"/>
  <c r="L11" i="9"/>
  <c r="E7" i="12"/>
  <c r="L19" i="10"/>
  <c r="F12" i="5"/>
  <c r="M12" i="5" s="1"/>
  <c r="N12" i="5" s="1"/>
  <c r="Q12" i="5" s="1"/>
  <c r="F9" i="5"/>
  <c r="M9" i="5" s="1"/>
  <c r="N9" i="5" s="1"/>
  <c r="Q9" i="5" s="1"/>
  <c r="F6" i="5"/>
  <c r="M6" i="5" s="1"/>
  <c r="N6" i="5" s="1"/>
  <c r="Q6" i="5" s="1"/>
  <c r="F11" i="5"/>
  <c r="M11" i="5" s="1"/>
  <c r="N11" i="5" s="1"/>
  <c r="Q11" i="5" s="1"/>
  <c r="F8" i="5"/>
  <c r="M8" i="5" s="1"/>
  <c r="N8" i="5" s="1"/>
  <c r="Q8" i="5" s="1"/>
  <c r="F7" i="5"/>
  <c r="M7" i="5" s="1"/>
  <c r="N7" i="5" s="1"/>
  <c r="Q7" i="5" s="1"/>
  <c r="F10" i="5"/>
  <c r="M10" i="5" s="1"/>
  <c r="N10" i="5" s="1"/>
  <c r="Q10" i="5" s="1"/>
  <c r="R10" i="5" l="1"/>
  <c r="G8" i="7"/>
  <c r="J8" i="7" s="1"/>
  <c r="K8" i="7" s="1"/>
  <c r="G5" i="7"/>
  <c r="J5" i="7" s="1"/>
  <c r="K5" i="7" s="1"/>
  <c r="R7" i="5"/>
  <c r="G6" i="7"/>
  <c r="J6" i="7" s="1"/>
  <c r="K6" i="7" s="1"/>
  <c r="R8" i="5"/>
  <c r="G4" i="7"/>
  <c r="R6" i="5"/>
  <c r="Q13" i="5"/>
  <c r="Q21" i="5" s="1"/>
  <c r="R11" i="5"/>
  <c r="G9" i="7"/>
  <c r="J9" i="7" s="1"/>
  <c r="K9" i="7" s="1"/>
  <c r="G7" i="7"/>
  <c r="J7" i="7" s="1"/>
  <c r="K7" i="7" s="1"/>
  <c r="R9" i="5"/>
  <c r="G10" i="7"/>
  <c r="J10" i="7" s="1"/>
  <c r="K10" i="7" s="1"/>
  <c r="R12" i="5"/>
  <c r="R13" i="5" l="1"/>
  <c r="R21" i="5" s="1"/>
  <c r="G12" i="7"/>
  <c r="E4" i="12" s="1"/>
  <c r="E9" i="12" s="1"/>
  <c r="J4" i="7"/>
  <c r="K4" i="7" l="1"/>
  <c r="K12" i="7" s="1"/>
  <c r="J12" i="7"/>
</calcChain>
</file>

<file path=xl/sharedStrings.xml><?xml version="1.0" encoding="utf-8"?>
<sst xmlns="http://schemas.openxmlformats.org/spreadsheetml/2006/main" count="1294" uniqueCount="442">
  <si>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</si>
  <si>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</si>
  <si>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</si>
  <si>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</si>
  <si>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</si>
  <si>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</si>
  <si>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</si>
  <si>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</si>
  <si>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</si>
  <si>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</si>
  <si>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</si>
  <si>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</si>
  <si>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</si>
  <si>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150J</t>
  </si>
  <si>
    <t>2W</t>
  </si>
  <si>
    <t>1W</t>
  </si>
  <si>
    <t>26J</t>
  </si>
  <si>
    <t>12J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</si>
  <si>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</si>
  <si>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</si>
  <si>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</si>
  <si>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</si>
  <si>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</si>
  <si>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</si>
  <si>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</si>
  <si>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</si>
  <si>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</si>
  <si>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</si>
  <si>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</si>
  <si>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</si>
  <si>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</si>
  <si>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</si>
  <si>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</si>
  <si>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</si>
  <si>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Bureauruimte harde vloeren basis</t>
  </si>
  <si>
    <t>m²/uur</t>
  </si>
  <si>
    <t>OHB</t>
  </si>
  <si>
    <t>Vergader-/spreek-/overlegruimte harde vloeren basis</t>
  </si>
  <si>
    <t>BHV</t>
  </si>
  <si>
    <t>Bureauruimte harde vloeren (volledig)</t>
  </si>
  <si>
    <t>OHV</t>
  </si>
  <si>
    <t>Vergader-/spreek-/overlegruimte harde vloeren (volledig)</t>
  </si>
  <si>
    <t>BZB</t>
  </si>
  <si>
    <t>Bureauruimte zachte vloeren basis</t>
  </si>
  <si>
    <t>OZB</t>
  </si>
  <si>
    <t>Vergader-/spreek-/overlegruimte zachte vloeren basis</t>
  </si>
  <si>
    <t>BZV</t>
  </si>
  <si>
    <t>Bureauruimte zachte vloeren (volledig)</t>
  </si>
  <si>
    <t>OZV</t>
  </si>
  <si>
    <t>Vergader-/spreek-/overlegruimte zachte vloeren basis (volledig)</t>
  </si>
  <si>
    <t>DHB</t>
  </si>
  <si>
    <t xml:space="preserve">S    </t>
  </si>
  <si>
    <t>Douche/wasruimte - harde vloeren basis</t>
  </si>
  <si>
    <t>KHB</t>
  </si>
  <si>
    <t>Kleedruimte - harde vloeren basis</t>
  </si>
  <si>
    <t>SHB</t>
  </si>
  <si>
    <t>Sanitaire ruimte basis</t>
  </si>
  <si>
    <t>DHV</t>
  </si>
  <si>
    <t>Douche/wasruimte - harde vloeren (volledig)</t>
  </si>
  <si>
    <t>KHV</t>
  </si>
  <si>
    <t>Kleedruimte - harde vloeren (volledig)</t>
  </si>
  <si>
    <t>SHV</t>
  </si>
  <si>
    <t>Sanitaire ruimte (volledig)</t>
  </si>
  <si>
    <t>Sanitaire ruimte zomerseizoen (volledig)</t>
  </si>
  <si>
    <t>AHB</t>
  </si>
  <si>
    <t xml:space="preserve">V    </t>
  </si>
  <si>
    <t>Archief/bergruimte/magazijn- harde basis</t>
  </si>
  <si>
    <t>EHB</t>
  </si>
  <si>
    <t>Entree - harde vloeren basis</t>
  </si>
  <si>
    <t>IHB</t>
  </si>
  <si>
    <t>Lift - harde vloeren (basis)</t>
  </si>
  <si>
    <t>PHB</t>
  </si>
  <si>
    <t>Pantry/keuken - harde vloeren (basis)</t>
  </si>
  <si>
    <t>RHB</t>
  </si>
  <si>
    <t>Personeelsrestaurant/kantine harde voeren basis</t>
  </si>
  <si>
    <t>THB</t>
  </si>
  <si>
    <t>Trappenhuis harde vloeren basis</t>
  </si>
  <si>
    <t>VHB</t>
  </si>
  <si>
    <t>Verkeersruimte/garderobe/repro harde vloeren basis</t>
  </si>
  <si>
    <t>AHV</t>
  </si>
  <si>
    <t>Archief/bergruimte/magazijn - harde vloeren (volledig)</t>
  </si>
  <si>
    <t>EHV</t>
  </si>
  <si>
    <t>Entree - harde vloeren (volledig)</t>
  </si>
  <si>
    <t>IHV</t>
  </si>
  <si>
    <t>Lift - harde vloeren (volledig)</t>
  </si>
  <si>
    <t>PHV</t>
  </si>
  <si>
    <t>Pantry/keuken - harde vloeren (volledig)</t>
  </si>
  <si>
    <t>RHV</t>
  </si>
  <si>
    <t>Personeelsrestaurant/kantine harde vloeren (volledig)</t>
  </si>
  <si>
    <t>THV</t>
  </si>
  <si>
    <t>Trappenhuis harde vloeren (volledig)</t>
  </si>
  <si>
    <t>VHV</t>
  </si>
  <si>
    <t>Verkeersruimte/garderobe/repro harde vloeren (volledig)</t>
  </si>
  <si>
    <t>EZB</t>
  </si>
  <si>
    <t>Entree - zachte vloeren basis</t>
  </si>
  <si>
    <t>PZB</t>
  </si>
  <si>
    <t>Pantry/keuken - zachte vloeren (basis)</t>
  </si>
  <si>
    <t>RZB</t>
  </si>
  <si>
    <t>Personeelsrestaurant/kantine zachte voeren (basis)</t>
  </si>
  <si>
    <t>TZB</t>
  </si>
  <si>
    <t>Trappenhuis zachte vloeren vloeren (basis)</t>
  </si>
  <si>
    <t>VZB</t>
  </si>
  <si>
    <t>Verkeersruimte/garderobe/repro zachte vloeren (basis)</t>
  </si>
  <si>
    <t>WZB</t>
  </si>
  <si>
    <t>Receptie/ontvangst/wachtruimte zachte vloeren basis</t>
  </si>
  <si>
    <t>AZV</t>
  </si>
  <si>
    <t>Archief/bergruimte/magazijn - zachte vloeren (volledig)</t>
  </si>
  <si>
    <t>EZV</t>
  </si>
  <si>
    <t>Entree - zachte vloeren (volledig)</t>
  </si>
  <si>
    <t>PZV</t>
  </si>
  <si>
    <t>Pantry/keuken - zachte vloeren (volledig)</t>
  </si>
  <si>
    <t>RZV</t>
  </si>
  <si>
    <t>Personeelsrestaurant/kantine zachte voeren (volledig)</t>
  </si>
  <si>
    <t>TZV</t>
  </si>
  <si>
    <t>Trappenhuis zachte vloeren vloeren (volledig)</t>
  </si>
  <si>
    <t>VZV</t>
  </si>
  <si>
    <t>Verkeersruimte/garderobe/repro zachte vloeren (volledig)</t>
  </si>
  <si>
    <t>WZV</t>
  </si>
  <si>
    <t>Receptie/ontvangst/wachtruimte zachte vloeren (volledig)</t>
  </si>
  <si>
    <t>XBB</t>
  </si>
  <si>
    <t xml:space="preserve">X    </t>
  </si>
  <si>
    <t>Periodiek vloeren beschermd (basis)</t>
  </si>
  <si>
    <t xml:space="preserve">WEEKENDDAG          </t>
  </si>
  <si>
    <t>WBZB</t>
  </si>
  <si>
    <t>WOZB</t>
  </si>
  <si>
    <t>Vergader-/spreek-/overlegruimte zachte vloeren (basis)</t>
  </si>
  <si>
    <t>WSHB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</si>
  <si>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</si>
  <si>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</si>
  <si>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</si>
  <si>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</si>
  <si>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</si>
  <si>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</si>
  <si>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</si>
  <si>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</si>
  <si>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</si>
  <si>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</si>
  <si>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Archief/magazijn/opslag harde vloeren</t>
  </si>
  <si>
    <t>AZ</t>
  </si>
  <si>
    <t>Archief/magazijn/opslag zachte vloeren</t>
  </si>
  <si>
    <t>BH</t>
  </si>
  <si>
    <t>Kantoorruimte harde vloeren</t>
  </si>
  <si>
    <t>BZ</t>
  </si>
  <si>
    <t>Kantoorruimte zachte vloeren</t>
  </si>
  <si>
    <t>BZN</t>
  </si>
  <si>
    <t>Kantoorruimte zachte vloeren - naloopronde</t>
  </si>
  <si>
    <t>DH</t>
  </si>
  <si>
    <t>Douche/wasruimte harde vloeren</t>
  </si>
  <si>
    <t>EH</t>
  </si>
  <si>
    <t>Entree harde vloeren</t>
  </si>
  <si>
    <t>EZ</t>
  </si>
  <si>
    <t>Entree zachte vloeren</t>
  </si>
  <si>
    <t>IH</t>
  </si>
  <si>
    <t>Lift harde vloeren</t>
  </si>
  <si>
    <t>KH</t>
  </si>
  <si>
    <t>Kleedruimte harde vloeren</t>
  </si>
  <si>
    <t>OH</t>
  </si>
  <si>
    <t>Vergader-/spreek-/overlegruimte harde vloeren</t>
  </si>
  <si>
    <t>OZ</t>
  </si>
  <si>
    <t>Vergader-/spreek-/overlegruimte zachte vloeren</t>
  </si>
  <si>
    <t>OZN</t>
  </si>
  <si>
    <t>Vergader-/spreek-/overlegruimte naloopronde zachte vloeren</t>
  </si>
  <si>
    <t>PH</t>
  </si>
  <si>
    <t>Pantry/keuken harde vloeren</t>
  </si>
  <si>
    <t>PZ</t>
  </si>
  <si>
    <t>Pantry/keuken  zachte vloeren</t>
  </si>
  <si>
    <t>RH</t>
  </si>
  <si>
    <t>Personeelsrestaurant/kantine/ontmoetingsruimte harde vloeren</t>
  </si>
  <si>
    <t>RZ</t>
  </si>
  <si>
    <t>Personeelsrestaurant/kantine/ontmoetingsruimte zachte vloeren</t>
  </si>
  <si>
    <t>SH</t>
  </si>
  <si>
    <t>Sanitaire ruimte/toiletten</t>
  </si>
  <si>
    <t>SHN</t>
  </si>
  <si>
    <t>Sanitaire ruimten/toiletten naloop</t>
  </si>
  <si>
    <t>SHZ</t>
  </si>
  <si>
    <t>Sanitaire ruimte/toiletten zomerseizoen</t>
  </si>
  <si>
    <t>TH</t>
  </si>
  <si>
    <t>Trappenhuis harde vloeren</t>
  </si>
  <si>
    <t>TZ</t>
  </si>
  <si>
    <t>Trappenhuis zachte vloeren</t>
  </si>
  <si>
    <t>VH</t>
  </si>
  <si>
    <t>Verkeersruimte/garderobe/repro harde vloeren</t>
  </si>
  <si>
    <t>Verkeersruimte/gaderobe/repro harde vloeren</t>
  </si>
  <si>
    <t>VZ</t>
  </si>
  <si>
    <t>Verkeersruimte/garderobe/repro zachte vloeren</t>
  </si>
  <si>
    <t>WZ</t>
  </si>
  <si>
    <t>Receptie/wachtruimte zachte vloeren</t>
  </si>
  <si>
    <t>XB</t>
  </si>
  <si>
    <t>vloer</t>
  </si>
  <si>
    <t>Periodiek beschermde vloeren</t>
  </si>
  <si>
    <t>Z001</t>
  </si>
  <si>
    <t>extra</t>
  </si>
  <si>
    <t>Serviesgoed kamers wethouders</t>
  </si>
  <si>
    <t>min./keer</t>
  </si>
  <si>
    <t xml:space="preserve">Totaal werkdag             </t>
  </si>
  <si>
    <t xml:space="preserve">Gemiddeld uurtarief werkdag             </t>
  </si>
  <si>
    <t>WBZ</t>
  </si>
  <si>
    <t>WOZ</t>
  </si>
  <si>
    <t>WSH</t>
  </si>
  <si>
    <t xml:space="preserve">Totaal weekenddag          </t>
  </si>
  <si>
    <t xml:space="preserve">Gemiddeld uurtarief weekenddag          </t>
  </si>
  <si>
    <t>Totaal regulier werk excl. BTW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</si>
  <si>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</si>
  <si>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</si>
  <si>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</si>
  <si>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</si>
  <si>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</si>
  <si>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</si>
  <si>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</si>
  <si>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000</t>
  </si>
  <si>
    <t xml:space="preserve">     001</t>
  </si>
  <si>
    <t xml:space="preserve">     002</t>
  </si>
  <si>
    <t xml:space="preserve">     003</t>
  </si>
  <si>
    <t xml:space="preserve">     006</t>
  </si>
  <si>
    <t xml:space="preserve">     008</t>
  </si>
  <si>
    <t xml:space="preserve">     030</t>
  </si>
  <si>
    <t>werkdag</t>
  </si>
  <si>
    <t>weekenddag</t>
  </si>
  <si>
    <t>OBJECT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</si>
  <si>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</si>
  <si>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</si>
  <si>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</si>
  <si>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</si>
  <si>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</si>
  <si>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</si>
  <si>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</si>
  <si>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</si>
  <si>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</si>
  <si>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</si>
  <si>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</si>
  <si>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</si>
  <si>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</si>
  <si>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JAAR (EURO)</t>
  </si>
  <si>
    <t>PRIJS/ MAAND (EURO)</t>
  </si>
  <si>
    <t>000</t>
  </si>
  <si>
    <t>Stadhuis B</t>
  </si>
  <si>
    <t>Dudokplein 1</t>
  </si>
  <si>
    <t>IJmuiden</t>
  </si>
  <si>
    <t>001</t>
  </si>
  <si>
    <t>Stadhuis A</t>
  </si>
  <si>
    <t>002</t>
  </si>
  <si>
    <t>Kinderboerderij</t>
  </si>
  <si>
    <t>Velserbeek 6</t>
  </si>
  <si>
    <t>Velsen Zuid</t>
  </si>
  <si>
    <t>003</t>
  </si>
  <si>
    <t>Duinhof aula en personeelsruimte</t>
  </si>
  <si>
    <t>Slingerduinlaan 2</t>
  </si>
  <si>
    <t>006</t>
  </si>
  <si>
    <t>Wijkpost Santpoort Noord</t>
  </si>
  <si>
    <t>Wijnoldy danielslaan 53</t>
  </si>
  <si>
    <t>Santpoort</t>
  </si>
  <si>
    <t>008</t>
  </si>
  <si>
    <t>Wijkpost Bovenwijkseploeg</t>
  </si>
  <si>
    <t>Amsterdamseweg 14</t>
  </si>
  <si>
    <t>030</t>
  </si>
  <si>
    <t>Openbaar toielt</t>
  </si>
  <si>
    <t>Lange Nieuwstraat</t>
  </si>
  <si>
    <t>Totaal regulier werk incl. suppleties (excl.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</si>
  <si>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</si>
  <si>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</si>
  <si>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</si>
  <si>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</si>
  <si>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</si>
  <si>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</si>
  <si>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</si>
  <si>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</si>
  <si>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</si>
  <si>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000 - Stadhuis B, Dudokplein 1, IJmuiden</t>
  </si>
  <si>
    <t>1000</t>
  </si>
  <si>
    <t>Objectleiding</t>
  </si>
  <si>
    <t>&lt;invullen functie afh. van uren uitvoering per jaar&gt;</t>
  </si>
  <si>
    <t>&lt;invullen functie met vaste uren per dag&gt;</t>
  </si>
  <si>
    <t>Totaal 000 - Stadhuis B, Dudokplein 1, IJmuiden</t>
  </si>
  <si>
    <t>001 - Stadhuis A, Dudokplein 1, IJmuiden</t>
  </si>
  <si>
    <t>Totaal 001 - Stadhuis A, Dudokplein 1, IJmuiden</t>
  </si>
  <si>
    <t>002 - Kinderboerderij, Velserbeek 6, Velsen Zuid</t>
  </si>
  <si>
    <t>Totaal 002 - Kinderboerderij, Velserbeek 6, Velsen Zuid</t>
  </si>
  <si>
    <t>003 - Duinhof aula en personeelsruimte, Slingerduinlaan 2, IJmuiden</t>
  </si>
  <si>
    <t>Totaal 003 - Duinhof aula en personeelsruimte, Slingerduinlaan 2, IJmuiden</t>
  </si>
  <si>
    <t>006 - Wijkpost Santpoort Noord, Wijnoldy danielslaan 53, Santpoort</t>
  </si>
  <si>
    <t>Totaal 006 - Wijkpost Santpoort Noord, Wijnoldy danielslaan 53, Santpoort</t>
  </si>
  <si>
    <t>008 - Wijkpost Bovenwijkseploeg, Amsterdamseweg 14, IJmuiden</t>
  </si>
  <si>
    <t>Totaal 008 - Wijkpost Bovenwijkseploeg, Amsterdamseweg 14, IJmuiden</t>
  </si>
  <si>
    <t>030 - Openbaar toielt, Lange Nieuwstraat, IJmuiden</t>
  </si>
  <si>
    <t>Totaal 030 - Openbaar toielt, Lange Nieuwstraat, IJmuiden</t>
  </si>
  <si>
    <t>W1000</t>
  </si>
  <si>
    <t>Totaal niet-meewerkende objectleiding</t>
  </si>
  <si>
    <t>PRIJS UITVOEREND/ JAAR</t>
  </si>
  <si>
    <t>UREN LEIDING/ JAAR</t>
  </si>
  <si>
    <t>PRIJS LEIDING/ JAAR</t>
  </si>
  <si>
    <t>PRIJS MET LEIDING/ JAAR</t>
  </si>
  <si>
    <t>PRIJS/ MAAND EXCL.BTW</t>
  </si>
  <si>
    <t>Totaal van alle objecten (excl. BTW)</t>
  </si>
  <si>
    <t>BEURT</t>
  </si>
  <si>
    <t>STAFFEL</t>
  </si>
  <si>
    <t>PRIJS/ EENHEID (EURO)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</si>
  <si>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</si>
  <si>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</si>
  <si>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</si>
  <si>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</si>
  <si>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</si>
  <si>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</si>
  <si>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</si>
  <si>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</si>
  <si>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</si>
  <si>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</si>
  <si>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</si>
  <si>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</si>
  <si>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</si>
  <si>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</si>
  <si>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</si>
  <si>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</si>
  <si>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</si>
  <si>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</si>
  <si>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</si>
  <si>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</si>
  <si>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</si>
  <si>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</si>
  <si>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</si>
  <si>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</si>
  <si>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</si>
  <si>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</si>
  <si>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</si>
  <si>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</si>
  <si>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</si>
  <si>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</si>
  <si>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</si>
  <si>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</si>
  <si>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</si>
  <si>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</si>
  <si>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</si>
  <si>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</si>
  <si>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</si>
  <si>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</si>
  <si>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</si>
  <si>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</si>
  <si>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</si>
  <si>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</si>
  <si>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</si>
  <si>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</si>
  <si>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</si>
  <si>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</si>
  <si>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</si>
  <si>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</si>
  <si>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</si>
  <si>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</si>
  <si>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</si>
  <si>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</si>
  <si>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</si>
  <si>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</si>
  <si>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</si>
  <si>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</si>
  <si>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</si>
  <si>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</si>
  <si>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</si>
  <si>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</si>
  <si>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</si>
  <si>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</si>
  <si>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</si>
  <si>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</si>
  <si>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</si>
  <si>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</si>
  <si>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</si>
  <si>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/>
  </si>
  <si>
    <t>3040</t>
  </si>
  <si>
    <t>Graffiti verwijderen spec.</t>
  </si>
  <si>
    <t>prijs per uur</t>
  </si>
  <si>
    <t>3100A</t>
  </si>
  <si>
    <t>Vloer schrobben/waterzuigen</t>
  </si>
  <si>
    <t>&lt; 500 m²</t>
  </si>
  <si>
    <t>3100B</t>
  </si>
  <si>
    <t>500 &lt; 1000 m²</t>
  </si>
  <si>
    <t>3100C</t>
  </si>
  <si>
    <t>1000 &lt; 2000 m²</t>
  </si>
  <si>
    <t>3100D</t>
  </si>
  <si>
    <t>&gt;= 2000 m²</t>
  </si>
  <si>
    <t>3130A</t>
  </si>
  <si>
    <t>Linoleum sprayen /opwrijven</t>
  </si>
  <si>
    <t>3130B</t>
  </si>
  <si>
    <t>3130C</t>
  </si>
  <si>
    <t>3130D</t>
  </si>
  <si>
    <t>3140A</t>
  </si>
  <si>
    <t>Linoleum vloeren strippen/conserveren</t>
  </si>
  <si>
    <t>3140B</t>
  </si>
  <si>
    <t>3140C</t>
  </si>
  <si>
    <t>3140D</t>
  </si>
  <si>
    <t>3150A</t>
  </si>
  <si>
    <t>Tapijt reinigen sproei/extractie methode</t>
  </si>
  <si>
    <t>3150B</t>
  </si>
  <si>
    <t>500 &lt; 2000 m²</t>
  </si>
  <si>
    <t>3150C</t>
  </si>
  <si>
    <t>3160A</t>
  </si>
  <si>
    <t>Tapijt reinigen droge methode (Host)</t>
  </si>
  <si>
    <t>3160B</t>
  </si>
  <si>
    <t>3160C</t>
  </si>
  <si>
    <t>3160D</t>
  </si>
  <si>
    <t>3170A</t>
  </si>
  <si>
    <t>Tapijt reinigen op koolzuur basis</t>
  </si>
  <si>
    <t>3170B</t>
  </si>
  <si>
    <t>3170C</t>
  </si>
  <si>
    <t>3170D</t>
  </si>
  <si>
    <t>3190A</t>
  </si>
  <si>
    <t>Sanitair vloer reinigen d.m.v. "stomen"</t>
  </si>
  <si>
    <t>3190B</t>
  </si>
  <si>
    <t>3190C</t>
  </si>
  <si>
    <t>3190D</t>
  </si>
  <si>
    <t>Totaal afroep incidenteel excl. BTW</t>
  </si>
  <si>
    <t>FREQ (DAGEN)</t>
  </si>
  <si>
    <t>HOEVEELHEID /KEER</t>
  </si>
  <si>
    <t>UURTARIEF (EURO)</t>
  </si>
  <si>
    <t>NORM</t>
  </si>
  <si>
    <t>PRIJS/ KEER</t>
  </si>
  <si>
    <t>1050</t>
  </si>
  <si>
    <t>Medewerker regiewerkzaamheden</t>
  </si>
  <si>
    <t>1051</t>
  </si>
  <si>
    <t>Medewerker specialistische werkzaamheden</t>
  </si>
  <si>
    <t>1080</t>
  </si>
  <si>
    <t>Totaal regiewerk excl. BTW</t>
  </si>
  <si>
    <t>8000</t>
  </si>
  <si>
    <t>Gevelglas buitenzijde</t>
  </si>
  <si>
    <t>8001</t>
  </si>
  <si>
    <t>Gevelglas buitenzijde extra publiekshal</t>
  </si>
  <si>
    <t>8010</t>
  </si>
  <si>
    <t>Gevelglas binnenzijde</t>
  </si>
  <si>
    <t>8020</t>
  </si>
  <si>
    <t>Separatieglas (m ² is totaal)</t>
  </si>
  <si>
    <t>8200</t>
  </si>
  <si>
    <t>Hoogwerker</t>
  </si>
  <si>
    <t>prijs per dag</t>
  </si>
  <si>
    <t>Totaal glas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</si>
  <si>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</si>
  <si>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</si>
  <si>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</si>
  <si>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</si>
  <si>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</si>
  <si>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Regulier werk</t>
  </si>
  <si>
    <t>Regie (geschat)</t>
  </si>
  <si>
    <t>Glas (geschat)</t>
  </si>
  <si>
    <t>Totaal generaal</t>
  </si>
  <si>
    <t>Percentage objectleiding</t>
  </si>
  <si>
    <t>BEGROOT BEDRAG REGULIERE WERKZAAMHEDEN EN GLASBEWASSING (NIET HOGER DAN BUDGET)</t>
  </si>
  <si>
    <t>VERGELIJKINGSBEDRAG NULBEURT/AFROEP/REGIE 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</si>
</sst>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8" xfId="0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49" fontId="0" fillId="3" borderId="3" xfId="0" applyNumberFormat="1" applyFill="1" applyBorder="1"/>
    <xf numFmtId="0" fontId="0" fillId="3" borderId="19" xfId="0" applyFill="1" applyBorder="1"/>
    <xf numFmtId="49" fontId="0" fillId="3" borderId="19" xfId="0" applyNumberFormat="1" applyFill="1" applyBorder="1"/>
    <xf numFmtId="0" fontId="0" fillId="3" borderId="6" xfId="0" applyFill="1" applyBorder="1"/>
    <xf numFmtId="49" fontId="0" fillId="4" borderId="14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4" fontId="0" fillId="0" borderId="14" xfId="0" applyNumberFormat="1" applyBorder="1"/>
    <xf numFmtId="49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4" fontId="0" fillId="0" borderId="15" xfId="0" applyNumberFormat="1" applyBorder="1"/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4" fontId="0" fillId="0" borderId="16" xfId="0" applyNumberFormat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0" fontId="0" fillId="3" borderId="12" xfId="0" applyFill="1" applyBorder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0" xfId="0" applyFill="1" applyBorder="1" applyAlignment="1"/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  <xf numFmtId="0" fontId="2" fillId="5" borderId="6" xfId="0" applyFont="1" applyFill="1" applyBorder="1"/>
    <xf numFmtId="0" fontId="3" fillId="5" borderId="6" xfId="0" applyFont="1" applyFill="1" applyBorder="1"/>
    <xf numFmtId="164" fontId="2" fillId="6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CCAF-EB26-4F9E-84E4-F0E4830B73D8}">
  <dimension ref="A1:B26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0.78431372549019607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0.6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0.58823529411764708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0.4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0.2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0.10196078431372549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4.7058823529411764E-2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2.3529411764705882E-2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1.5686274509803921E-2</v>
      </c>
    </row>
    <row r="24" spans="1:2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1.1764705882352941E-2</v>
      </c>
    </row>
    <row r="25" spans="1:2" x14ac:dyDescent="0.2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7.8431372549019607E-3</v>
      </c>
    </row>
    <row r="26" spans="1:2" x14ac:dyDescent="0.2">
      <c r="A26" s="6" t="s">
        <v>22</v>
      </c>
      <c r="B26" s="7">
        <f>IF(A26="2½W",2.5/dagenperweek1,IF(RIGHT(A26,1)="W",VALUE(LEFT(A26,LEN(A26)-1))/dagenperweek1,IF(RIGHT(A26,1)="J",VALUE(LEFT(A26,LEN(A26)-1))/dagenperjaar1,"handmatig!")))</f>
        <v>3.9215686274509803E-3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B54D-7B38-4CF3-9650-D1D46D369648}">
  <dimension ref="A1:L1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D .8: ",tabeltype," glas")</f>
        <v>Bijlage D .8: Invultabel glas</v>
      </c>
    </row>
    <row r="3" spans="1:12" ht="38.25" x14ac:dyDescent="0.2">
      <c r="A3" s="8" t="s">
        <v>293</v>
      </c>
      <c r="B3" s="8" t="s">
        <v>7</v>
      </c>
      <c r="C3" s="8" t="s">
        <v>407</v>
      </c>
      <c r="D3" s="8" t="s">
        <v>26</v>
      </c>
      <c r="E3" s="8" t="s">
        <v>29</v>
      </c>
      <c r="F3" s="8" t="s">
        <v>408</v>
      </c>
      <c r="G3" s="8" t="s">
        <v>409</v>
      </c>
      <c r="H3" s="8" t="s">
        <v>410</v>
      </c>
      <c r="I3" s="8" t="s">
        <v>295</v>
      </c>
      <c r="J3" s="8" t="s">
        <v>411</v>
      </c>
      <c r="K3" s="8" t="s">
        <v>134</v>
      </c>
      <c r="L3" s="8" t="s">
        <v>233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418</v>
      </c>
      <c r="B6" s="15" t="s">
        <v>21</v>
      </c>
      <c r="C6" s="16">
        <f>IF(ISBLANK(B6),0,IF(ISERROR(VALUE(B6)),VLOOKUP(B6,dagsoorttabel1,2,FALSE)*dagenperjaar1,VALUE(B6)))</f>
        <v>2</v>
      </c>
      <c r="D6" s="15" t="s">
        <v>419</v>
      </c>
      <c r="E6" s="15" t="s">
        <v>323</v>
      </c>
      <c r="F6" s="83">
        <v>82.1</v>
      </c>
      <c r="G6" s="19"/>
      <c r="H6" s="84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2">
      <c r="A7" s="20" t="s">
        <v>418</v>
      </c>
      <c r="B7" s="20" t="s">
        <v>20</v>
      </c>
      <c r="C7" s="21">
        <f>IF(ISBLANK(B7),0,IF(ISERROR(VALUE(B7)),VLOOKUP(B7,dagsoorttabel1,2,FALSE)*dagenperjaar1,VALUE(B7)))</f>
        <v>3</v>
      </c>
      <c r="D7" s="20" t="s">
        <v>419</v>
      </c>
      <c r="E7" s="20" t="s">
        <v>323</v>
      </c>
      <c r="F7" s="85">
        <v>3341.8</v>
      </c>
      <c r="G7" s="24"/>
      <c r="H7" s="86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2">
      <c r="A8" s="20" t="s">
        <v>418</v>
      </c>
      <c r="B8" s="20" t="s">
        <v>18</v>
      </c>
      <c r="C8" s="21">
        <f>IF(ISBLANK(B8),0,IF(ISERROR(VALUE(B8)),VLOOKUP(B8,dagsoorttabel1,2,FALSE)*dagenperjaar1,VALUE(B8)))</f>
        <v>6</v>
      </c>
      <c r="D8" s="20" t="s">
        <v>419</v>
      </c>
      <c r="E8" s="20" t="s">
        <v>323</v>
      </c>
      <c r="F8" s="85">
        <v>135</v>
      </c>
      <c r="G8" s="24"/>
      <c r="H8" s="86"/>
      <c r="I8" s="24"/>
      <c r="J8" s="37">
        <f>IF(ISBLANK(F8),0,F8)*I8</f>
        <v>0</v>
      </c>
      <c r="K8" s="37">
        <f>C8*J8</f>
        <v>0</v>
      </c>
      <c r="L8" s="37">
        <f>K8/12</f>
        <v>0</v>
      </c>
    </row>
    <row r="9" spans="1:12" x14ac:dyDescent="0.2">
      <c r="A9" s="20" t="s">
        <v>420</v>
      </c>
      <c r="B9" s="20" t="s">
        <v>20</v>
      </c>
      <c r="C9" s="21">
        <f>IF(ISBLANK(B9),0,IF(ISERROR(VALUE(B9)),VLOOKUP(B9,dagsoorttabel1,2,FALSE)*dagenperjaar1,VALUE(B9)))</f>
        <v>3</v>
      </c>
      <c r="D9" s="20" t="s">
        <v>421</v>
      </c>
      <c r="E9" s="20" t="s">
        <v>323</v>
      </c>
      <c r="F9" s="85">
        <v>133</v>
      </c>
      <c r="G9" s="24"/>
      <c r="H9" s="86"/>
      <c r="I9" s="24"/>
      <c r="J9" s="37">
        <f>IF(ISBLANK(F9),0,F9)*I9</f>
        <v>0</v>
      </c>
      <c r="K9" s="37">
        <f>C9*J9</f>
        <v>0</v>
      </c>
      <c r="L9" s="37">
        <f>K9/12</f>
        <v>0</v>
      </c>
    </row>
    <row r="10" spans="1:12" x14ac:dyDescent="0.2">
      <c r="A10" s="20" t="s">
        <v>422</v>
      </c>
      <c r="B10" s="20" t="s">
        <v>22</v>
      </c>
      <c r="C10" s="21">
        <f>IF(ISBLANK(B10),0,IF(ISERROR(VALUE(B10)),VLOOKUP(B10,dagsoorttabel1,2,FALSE)*dagenperjaar1,VALUE(B10)))</f>
        <v>1</v>
      </c>
      <c r="D10" s="20" t="s">
        <v>423</v>
      </c>
      <c r="E10" s="20" t="s">
        <v>323</v>
      </c>
      <c r="F10" s="85">
        <v>3341.8</v>
      </c>
      <c r="G10" s="24"/>
      <c r="H10" s="86"/>
      <c r="I10" s="24"/>
      <c r="J10" s="37">
        <f>IF(ISBLANK(F10),0,F10)*I10</f>
        <v>0</v>
      </c>
      <c r="K10" s="37">
        <f>C10*J10</f>
        <v>0</v>
      </c>
      <c r="L10" s="37">
        <f>K10/12</f>
        <v>0</v>
      </c>
    </row>
    <row r="11" spans="1:12" x14ac:dyDescent="0.2">
      <c r="A11" s="20" t="s">
        <v>422</v>
      </c>
      <c r="B11" s="20" t="s">
        <v>21</v>
      </c>
      <c r="C11" s="21">
        <f>IF(ISBLANK(B11),0,IF(ISERROR(VALUE(B11)),VLOOKUP(B11,dagsoorttabel1,2,FALSE)*dagenperjaar1,VALUE(B11)))</f>
        <v>2</v>
      </c>
      <c r="D11" s="20" t="s">
        <v>423</v>
      </c>
      <c r="E11" s="20" t="s">
        <v>323</v>
      </c>
      <c r="F11" s="85">
        <v>80.98</v>
      </c>
      <c r="G11" s="24"/>
      <c r="H11" s="86"/>
      <c r="I11" s="24"/>
      <c r="J11" s="37">
        <f>IF(ISBLANK(F11),0,F11)*I11</f>
        <v>0</v>
      </c>
      <c r="K11" s="37">
        <f>C11*J11</f>
        <v>0</v>
      </c>
      <c r="L11" s="37">
        <f>K11/12</f>
        <v>0</v>
      </c>
    </row>
    <row r="12" spans="1:12" x14ac:dyDescent="0.2">
      <c r="A12" s="20" t="s">
        <v>422</v>
      </c>
      <c r="B12" s="20" t="s">
        <v>18</v>
      </c>
      <c r="C12" s="21">
        <f>IF(ISBLANK(B12),0,IF(ISERROR(VALUE(B12)),VLOOKUP(B12,dagsoorttabel1,2,FALSE)*dagenperjaar1,VALUE(B12)))</f>
        <v>6</v>
      </c>
      <c r="D12" s="20" t="s">
        <v>423</v>
      </c>
      <c r="E12" s="20" t="s">
        <v>323</v>
      </c>
      <c r="F12" s="85">
        <v>135</v>
      </c>
      <c r="G12" s="24"/>
      <c r="H12" s="86"/>
      <c r="I12" s="24"/>
      <c r="J12" s="37">
        <f>IF(ISBLANK(F12),0,F12)*I12</f>
        <v>0</v>
      </c>
      <c r="K12" s="37">
        <f>C12*J12</f>
        <v>0</v>
      </c>
      <c r="L12" s="37">
        <f>K12/12</f>
        <v>0</v>
      </c>
    </row>
    <row r="13" spans="1:12" x14ac:dyDescent="0.2">
      <c r="A13" s="20" t="s">
        <v>424</v>
      </c>
      <c r="B13" s="20" t="s">
        <v>22</v>
      </c>
      <c r="C13" s="21">
        <f>IF(ISBLANK(B13),0,IF(ISERROR(VALUE(B13)),VLOOKUP(B13,dagsoorttabel1,2,FALSE)*dagenperjaar1,VALUE(B13)))</f>
        <v>1</v>
      </c>
      <c r="D13" s="20" t="s">
        <v>425</v>
      </c>
      <c r="E13" s="20" t="s">
        <v>323</v>
      </c>
      <c r="F13" s="85">
        <v>2833.25</v>
      </c>
      <c r="G13" s="24"/>
      <c r="H13" s="86"/>
      <c r="I13" s="24"/>
      <c r="J13" s="37">
        <f>IF(ISBLANK(F13),0,F13)*I13</f>
        <v>0</v>
      </c>
      <c r="K13" s="37">
        <f>C13*J13</f>
        <v>0</v>
      </c>
      <c r="L13" s="37">
        <f>K13/12</f>
        <v>0</v>
      </c>
    </row>
    <row r="14" spans="1:12" x14ac:dyDescent="0.2">
      <c r="A14" s="20" t="s">
        <v>424</v>
      </c>
      <c r="B14" s="20" t="s">
        <v>21</v>
      </c>
      <c r="C14" s="21">
        <f>IF(ISBLANK(B14),0,IF(ISERROR(VALUE(B14)),VLOOKUP(B14,dagsoorttabel1,2,FALSE)*dagenperjaar1,VALUE(B14)))</f>
        <v>2</v>
      </c>
      <c r="D14" s="20" t="s">
        <v>425</v>
      </c>
      <c r="E14" s="20" t="s">
        <v>323</v>
      </c>
      <c r="F14" s="85">
        <v>9.32</v>
      </c>
      <c r="G14" s="24"/>
      <c r="H14" s="86"/>
      <c r="I14" s="24"/>
      <c r="J14" s="37">
        <f>IF(ISBLANK(F14),0,F14)*I14</f>
        <v>0</v>
      </c>
      <c r="K14" s="37">
        <f>C14*J14</f>
        <v>0</v>
      </c>
      <c r="L14" s="37">
        <f>K14/12</f>
        <v>0</v>
      </c>
    </row>
    <row r="15" spans="1:12" x14ac:dyDescent="0.2">
      <c r="A15" s="20" t="s">
        <v>424</v>
      </c>
      <c r="B15" s="20" t="s">
        <v>18</v>
      </c>
      <c r="C15" s="21">
        <f>IF(ISBLANK(B15),0,IF(ISERROR(VALUE(B15)),VLOOKUP(B15,dagsoorttabel1,2,FALSE)*dagenperjaar1,VALUE(B15)))</f>
        <v>6</v>
      </c>
      <c r="D15" s="20" t="s">
        <v>425</v>
      </c>
      <c r="E15" s="20" t="s">
        <v>323</v>
      </c>
      <c r="F15" s="85">
        <v>44</v>
      </c>
      <c r="G15" s="24"/>
      <c r="H15" s="86"/>
      <c r="I15" s="24"/>
      <c r="J15" s="37">
        <f>IF(ISBLANK(F15),0,F15)*I15</f>
        <v>0</v>
      </c>
      <c r="K15" s="37">
        <f>C15*J15</f>
        <v>0</v>
      </c>
      <c r="L15" s="37">
        <f>K15/12</f>
        <v>0</v>
      </c>
    </row>
    <row r="16" spans="1:12" x14ac:dyDescent="0.2">
      <c r="A16" s="25" t="s">
        <v>426</v>
      </c>
      <c r="B16" s="25" t="s">
        <v>20</v>
      </c>
      <c r="C16" s="26">
        <f>IF(ISBLANK(B16),0,IF(ISERROR(VALUE(B16)),VLOOKUP(B16,dagsoorttabel1,2,FALSE)*dagenperjaar1,VALUE(B16)))</f>
        <v>3</v>
      </c>
      <c r="D16" s="25" t="s">
        <v>427</v>
      </c>
      <c r="E16" s="25" t="s">
        <v>428</v>
      </c>
      <c r="F16" s="87">
        <v>1</v>
      </c>
      <c r="G16" s="29"/>
      <c r="H16" s="88"/>
      <c r="I16" s="29"/>
      <c r="J16" s="40">
        <f>IF(ISBLANK(F16),0,F16)*I16</f>
        <v>0</v>
      </c>
      <c r="K16" s="40">
        <f>C16*J16</f>
        <v>0</v>
      </c>
      <c r="L16" s="40">
        <f>K16/12</f>
        <v>0</v>
      </c>
    </row>
    <row r="17" spans="1:12" x14ac:dyDescent="0.2">
      <c r="A17" s="41" t="s">
        <v>194</v>
      </c>
      <c r="B17" s="42"/>
      <c r="C17" s="42"/>
      <c r="D17" s="42"/>
      <c r="E17" s="42"/>
      <c r="F17" s="42"/>
      <c r="G17" s="42"/>
      <c r="H17" s="42"/>
      <c r="I17" s="42"/>
      <c r="J17" s="42"/>
      <c r="K17" s="44">
        <f>SUM(K6:K16)</f>
        <v>0</v>
      </c>
      <c r="L17" s="89">
        <f>K17/12</f>
        <v>0</v>
      </c>
    </row>
    <row r="19" spans="1:12" x14ac:dyDescent="0.2">
      <c r="A19" s="41" t="s">
        <v>429</v>
      </c>
      <c r="B19" s="42"/>
      <c r="C19" s="42"/>
      <c r="D19" s="42"/>
      <c r="E19" s="42"/>
      <c r="F19" s="42"/>
      <c r="G19" s="42"/>
      <c r="H19" s="42"/>
      <c r="I19" s="42"/>
      <c r="J19" s="42"/>
      <c r="K19" s="44">
        <f>prijsjaarglas1</f>
        <v>0</v>
      </c>
      <c r="L19" s="89">
        <f>K19/12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980E-76CD-4AFC-B655-89EB3C9A838F}">
  <dimension ref="A1:M4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  <col min="13" max="13" width="13.625" customWidth="1"/>
  </cols>
  <sheetData>
    <row r="1" spans="1:13" x14ac:dyDescent="0.2">
      <c r="A1" s="1" t="str">
        <f>CONCATENATE("Bijlage D .9: ",tabeltype," glas per locatie")</f>
        <v>Bijlage D .9: Invultabel glas per locatie</v>
      </c>
    </row>
    <row r="3" spans="1:13" ht="38.25" x14ac:dyDescent="0.2">
      <c r="A3" s="8" t="s">
        <v>293</v>
      </c>
      <c r="B3" s="8" t="s">
        <v>7</v>
      </c>
      <c r="C3" s="8" t="s">
        <v>407</v>
      </c>
      <c r="D3" s="8" t="s">
        <v>203</v>
      </c>
      <c r="E3" s="8" t="s">
        <v>26</v>
      </c>
      <c r="F3" s="8" t="s">
        <v>29</v>
      </c>
      <c r="G3" s="8" t="s">
        <v>408</v>
      </c>
      <c r="H3" s="8" t="s">
        <v>409</v>
      </c>
      <c r="I3" s="8" t="s">
        <v>410</v>
      </c>
      <c r="J3" s="8" t="s">
        <v>295</v>
      </c>
      <c r="K3" s="8" t="s">
        <v>411</v>
      </c>
      <c r="L3" s="8" t="s">
        <v>134</v>
      </c>
      <c r="M3" s="8" t="s">
        <v>233</v>
      </c>
    </row>
    <row r="5" spans="1:13" x14ac:dyDescent="0.2">
      <c r="A5" s="90" t="s">
        <v>267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82"/>
    </row>
    <row r="6" spans="1:13" x14ac:dyDescent="0.2">
      <c r="A6" s="15" t="s">
        <v>418</v>
      </c>
      <c r="B6" s="15" t="s">
        <v>20</v>
      </c>
      <c r="C6" s="16">
        <f>IF(ISBLANK(B6),0,IF(ISERROR(VALUE(B6)),VLOOKUP(B6,dagsoorttabel1,2,FALSE)*dagenperjaar1,VALUE(B6)))</f>
        <v>3</v>
      </c>
      <c r="D6" s="15" t="s">
        <v>216</v>
      </c>
      <c r="E6" s="15" t="s">
        <v>419</v>
      </c>
      <c r="F6" s="15" t="s">
        <v>323</v>
      </c>
      <c r="G6" s="83">
        <v>1771.8</v>
      </c>
      <c r="H6" s="91">
        <f>Glas!G7</f>
        <v>0</v>
      </c>
      <c r="I6" s="84"/>
      <c r="J6" s="91">
        <f>Glas!I7</f>
        <v>0</v>
      </c>
      <c r="K6" s="33">
        <f>IF(ISBLANK(G6),0,G6)*J6</f>
        <v>0</v>
      </c>
      <c r="L6" s="33">
        <f>C6*K6</f>
        <v>0</v>
      </c>
      <c r="M6" s="33">
        <f>L6/12</f>
        <v>0</v>
      </c>
    </row>
    <row r="7" spans="1:13" x14ac:dyDescent="0.2">
      <c r="A7" s="20" t="s">
        <v>422</v>
      </c>
      <c r="B7" s="20" t="s">
        <v>22</v>
      </c>
      <c r="C7" s="21">
        <f>IF(ISBLANK(B7),0,IF(ISERROR(VALUE(B7)),VLOOKUP(B7,dagsoorttabel1,2,FALSE)*dagenperjaar1,VALUE(B7)))</f>
        <v>1</v>
      </c>
      <c r="D7" s="20" t="s">
        <v>216</v>
      </c>
      <c r="E7" s="20" t="s">
        <v>423</v>
      </c>
      <c r="F7" s="20" t="s">
        <v>323</v>
      </c>
      <c r="G7" s="85">
        <v>1771.8</v>
      </c>
      <c r="H7" s="92">
        <f>Glas!G10</f>
        <v>0</v>
      </c>
      <c r="I7" s="86"/>
      <c r="J7" s="92">
        <f>Glas!I10</f>
        <v>0</v>
      </c>
      <c r="K7" s="37">
        <f>IF(ISBLANK(G7),0,G7)*J7</f>
        <v>0</v>
      </c>
      <c r="L7" s="37">
        <f>C7*K7</f>
        <v>0</v>
      </c>
      <c r="M7" s="37">
        <f>L7/12</f>
        <v>0</v>
      </c>
    </row>
    <row r="8" spans="1:13" x14ac:dyDescent="0.2">
      <c r="A8" s="20" t="s">
        <v>424</v>
      </c>
      <c r="B8" s="20" t="s">
        <v>22</v>
      </c>
      <c r="C8" s="21">
        <f>IF(ISBLANK(B8),0,IF(ISERROR(VALUE(B8)),VLOOKUP(B8,dagsoorttabel1,2,FALSE)*dagenperjaar1,VALUE(B8)))</f>
        <v>1</v>
      </c>
      <c r="D8" s="20" t="s">
        <v>216</v>
      </c>
      <c r="E8" s="20" t="s">
        <v>425</v>
      </c>
      <c r="F8" s="20" t="s">
        <v>323</v>
      </c>
      <c r="G8" s="85">
        <v>623.61</v>
      </c>
      <c r="H8" s="92">
        <f>Glas!G13</f>
        <v>0</v>
      </c>
      <c r="I8" s="86"/>
      <c r="J8" s="92">
        <f>Glas!I13</f>
        <v>0</v>
      </c>
      <c r="K8" s="37">
        <f>IF(ISBLANK(G8),0,G8)*J8</f>
        <v>0</v>
      </c>
      <c r="L8" s="37">
        <f>C8*K8</f>
        <v>0</v>
      </c>
      <c r="M8" s="37">
        <f>L8/12</f>
        <v>0</v>
      </c>
    </row>
    <row r="9" spans="1:13" x14ac:dyDescent="0.2">
      <c r="A9" s="25" t="s">
        <v>426</v>
      </c>
      <c r="B9" s="25" t="s">
        <v>20</v>
      </c>
      <c r="C9" s="26">
        <f>IF(ISBLANK(B9),0,IF(ISERROR(VALUE(B9)),VLOOKUP(B9,dagsoorttabel1,2,FALSE)*dagenperjaar1,VALUE(B9)))</f>
        <v>3</v>
      </c>
      <c r="D9" s="25" t="s">
        <v>216</v>
      </c>
      <c r="E9" s="25" t="s">
        <v>427</v>
      </c>
      <c r="F9" s="25" t="s">
        <v>428</v>
      </c>
      <c r="G9" s="87">
        <v>1</v>
      </c>
      <c r="H9" s="93">
        <f>Glas!G16</f>
        <v>0</v>
      </c>
      <c r="I9" s="88"/>
      <c r="J9" s="93">
        <f>Glas!I16</f>
        <v>0</v>
      </c>
      <c r="K9" s="40">
        <f>IF(ISBLANK(G9),0,G9)*J9</f>
        <v>0</v>
      </c>
      <c r="L9" s="40">
        <f>C9*K9</f>
        <v>0</v>
      </c>
      <c r="M9" s="40">
        <f>L9/12</f>
        <v>0</v>
      </c>
    </row>
    <row r="10" spans="1:13" x14ac:dyDescent="0.2">
      <c r="A10" s="81" t="s">
        <v>272</v>
      </c>
      <c r="B10" s="42"/>
      <c r="C10" s="42"/>
      <c r="D10" s="42"/>
      <c r="E10" s="42"/>
      <c r="F10" s="42"/>
      <c r="G10" s="42"/>
      <c r="H10" s="42"/>
      <c r="I10" s="42"/>
      <c r="J10" s="42"/>
      <c r="K10" s="44">
        <f>SUM(K6:K9)</f>
        <v>0</v>
      </c>
      <c r="L10" s="44">
        <f>SUM(L6:L9)</f>
        <v>0</v>
      </c>
      <c r="M10" s="89">
        <f>L10/12</f>
        <v>0</v>
      </c>
    </row>
    <row r="12" spans="1:13" x14ac:dyDescent="0.2">
      <c r="A12" s="90" t="s">
        <v>273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82"/>
    </row>
    <row r="13" spans="1:13" x14ac:dyDescent="0.2">
      <c r="A13" s="15" t="s">
        <v>418</v>
      </c>
      <c r="B13" s="15" t="s">
        <v>20</v>
      </c>
      <c r="C13" s="16">
        <f>IF(ISBLANK(B13),0,IF(ISERROR(VALUE(B13)),VLOOKUP(B13,dagsoorttabel1,2,FALSE)*dagenperjaar1,VALUE(B13)))</f>
        <v>3</v>
      </c>
      <c r="D13" s="15" t="s">
        <v>216</v>
      </c>
      <c r="E13" s="15" t="s">
        <v>419</v>
      </c>
      <c r="F13" s="15" t="s">
        <v>323</v>
      </c>
      <c r="G13" s="83">
        <v>1570</v>
      </c>
      <c r="H13" s="91">
        <f>Glas!G7</f>
        <v>0</v>
      </c>
      <c r="I13" s="84"/>
      <c r="J13" s="91">
        <f>Glas!I7</f>
        <v>0</v>
      </c>
      <c r="K13" s="33">
        <f>IF(ISBLANK(G13),0,G13)*J13</f>
        <v>0</v>
      </c>
      <c r="L13" s="33">
        <f>C13*K13</f>
        <v>0</v>
      </c>
      <c r="M13" s="33">
        <f>L13/12</f>
        <v>0</v>
      </c>
    </row>
    <row r="14" spans="1:13" x14ac:dyDescent="0.2">
      <c r="A14" s="20" t="s">
        <v>420</v>
      </c>
      <c r="B14" s="20" t="s">
        <v>20</v>
      </c>
      <c r="C14" s="21">
        <f>IF(ISBLANK(B14),0,IF(ISERROR(VALUE(B14)),VLOOKUP(B14,dagsoorttabel1,2,FALSE)*dagenperjaar1,VALUE(B14)))</f>
        <v>3</v>
      </c>
      <c r="D14" s="20" t="s">
        <v>216</v>
      </c>
      <c r="E14" s="20" t="s">
        <v>421</v>
      </c>
      <c r="F14" s="20" t="s">
        <v>323</v>
      </c>
      <c r="G14" s="85">
        <v>133</v>
      </c>
      <c r="H14" s="92">
        <f>Glas!G9</f>
        <v>0</v>
      </c>
      <c r="I14" s="86"/>
      <c r="J14" s="92">
        <f>Glas!I9</f>
        <v>0</v>
      </c>
      <c r="K14" s="37">
        <f>IF(ISBLANK(G14),0,G14)*J14</f>
        <v>0</v>
      </c>
      <c r="L14" s="37">
        <f>C14*K14</f>
        <v>0</v>
      </c>
      <c r="M14" s="37">
        <f>L14/12</f>
        <v>0</v>
      </c>
    </row>
    <row r="15" spans="1:13" x14ac:dyDescent="0.2">
      <c r="A15" s="20" t="s">
        <v>422</v>
      </c>
      <c r="B15" s="20" t="s">
        <v>22</v>
      </c>
      <c r="C15" s="21">
        <f>IF(ISBLANK(B15),0,IF(ISERROR(VALUE(B15)),VLOOKUP(B15,dagsoorttabel1,2,FALSE)*dagenperjaar1,VALUE(B15)))</f>
        <v>1</v>
      </c>
      <c r="D15" s="20" t="s">
        <v>216</v>
      </c>
      <c r="E15" s="20" t="s">
        <v>423</v>
      </c>
      <c r="F15" s="20" t="s">
        <v>323</v>
      </c>
      <c r="G15" s="85">
        <v>1570</v>
      </c>
      <c r="H15" s="92">
        <f>Glas!G10</f>
        <v>0</v>
      </c>
      <c r="I15" s="86"/>
      <c r="J15" s="92">
        <f>Glas!I10</f>
        <v>0</v>
      </c>
      <c r="K15" s="37">
        <f>IF(ISBLANK(G15),0,G15)*J15</f>
        <v>0</v>
      </c>
      <c r="L15" s="37">
        <f>C15*K15</f>
        <v>0</v>
      </c>
      <c r="M15" s="37">
        <f>L15/12</f>
        <v>0</v>
      </c>
    </row>
    <row r="16" spans="1:13" x14ac:dyDescent="0.2">
      <c r="A16" s="25" t="s">
        <v>424</v>
      </c>
      <c r="B16" s="25" t="s">
        <v>22</v>
      </c>
      <c r="C16" s="26">
        <f>IF(ISBLANK(B16),0,IF(ISERROR(VALUE(B16)),VLOOKUP(B16,dagsoorttabel1,2,FALSE)*dagenperjaar1,VALUE(B16)))</f>
        <v>1</v>
      </c>
      <c r="D16" s="25" t="s">
        <v>216</v>
      </c>
      <c r="E16" s="25" t="s">
        <v>425</v>
      </c>
      <c r="F16" s="25" t="s">
        <v>323</v>
      </c>
      <c r="G16" s="87">
        <v>2209.64</v>
      </c>
      <c r="H16" s="93">
        <f>Glas!G13</f>
        <v>0</v>
      </c>
      <c r="I16" s="88"/>
      <c r="J16" s="93">
        <f>Glas!I13</f>
        <v>0</v>
      </c>
      <c r="K16" s="40">
        <f>IF(ISBLANK(G16),0,G16)*J16</f>
        <v>0</v>
      </c>
      <c r="L16" s="40">
        <f>C16*K16</f>
        <v>0</v>
      </c>
      <c r="M16" s="40">
        <f>L16/12</f>
        <v>0</v>
      </c>
    </row>
    <row r="17" spans="1:13" x14ac:dyDescent="0.2">
      <c r="A17" s="81" t="s">
        <v>274</v>
      </c>
      <c r="B17" s="42"/>
      <c r="C17" s="42"/>
      <c r="D17" s="42"/>
      <c r="E17" s="42"/>
      <c r="F17" s="42"/>
      <c r="G17" s="42"/>
      <c r="H17" s="42"/>
      <c r="I17" s="42"/>
      <c r="J17" s="42"/>
      <c r="K17" s="44">
        <f>SUM(K13:K16)</f>
        <v>0</v>
      </c>
      <c r="L17" s="44">
        <f>SUM(L13:L16)</f>
        <v>0</v>
      </c>
      <c r="M17" s="89">
        <f>L17/12</f>
        <v>0</v>
      </c>
    </row>
    <row r="19" spans="1:13" x14ac:dyDescent="0.2">
      <c r="A19" s="90" t="s">
        <v>275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82"/>
    </row>
    <row r="20" spans="1:13" x14ac:dyDescent="0.2">
      <c r="A20" s="15" t="s">
        <v>418</v>
      </c>
      <c r="B20" s="15" t="s">
        <v>21</v>
      </c>
      <c r="C20" s="16">
        <f>IF(ISBLANK(B20),0,IF(ISERROR(VALUE(B20)),VLOOKUP(B20,dagsoorttabel1,2,FALSE)*dagenperjaar1,VALUE(B20)))</f>
        <v>2</v>
      </c>
      <c r="D20" s="15" t="s">
        <v>216</v>
      </c>
      <c r="E20" s="15" t="s">
        <v>419</v>
      </c>
      <c r="F20" s="15" t="s">
        <v>323</v>
      </c>
      <c r="G20" s="83">
        <v>22.47</v>
      </c>
      <c r="H20" s="91">
        <f>Glas!G6</f>
        <v>0</v>
      </c>
      <c r="I20" s="84"/>
      <c r="J20" s="91">
        <f>Glas!I6</f>
        <v>0</v>
      </c>
      <c r="K20" s="33">
        <f>IF(ISBLANK(G20),0,G20)*J20</f>
        <v>0</v>
      </c>
      <c r="L20" s="33">
        <f>C20*K20</f>
        <v>0</v>
      </c>
      <c r="M20" s="33">
        <f>L20/12</f>
        <v>0</v>
      </c>
    </row>
    <row r="21" spans="1:13" x14ac:dyDescent="0.2">
      <c r="A21" s="20" t="s">
        <v>422</v>
      </c>
      <c r="B21" s="20" t="s">
        <v>21</v>
      </c>
      <c r="C21" s="21">
        <f>IF(ISBLANK(B21),0,IF(ISERROR(VALUE(B21)),VLOOKUP(B21,dagsoorttabel1,2,FALSE)*dagenperjaar1,VALUE(B21)))</f>
        <v>2</v>
      </c>
      <c r="D21" s="20" t="s">
        <v>216</v>
      </c>
      <c r="E21" s="20" t="s">
        <v>423</v>
      </c>
      <c r="F21" s="20" t="s">
        <v>323</v>
      </c>
      <c r="G21" s="85">
        <v>21.35</v>
      </c>
      <c r="H21" s="92">
        <f>Glas!G11</f>
        <v>0</v>
      </c>
      <c r="I21" s="86"/>
      <c r="J21" s="92">
        <f>Glas!I11</f>
        <v>0</v>
      </c>
      <c r="K21" s="37">
        <f>IF(ISBLANK(G21),0,G21)*J21</f>
        <v>0</v>
      </c>
      <c r="L21" s="37">
        <f>C21*K21</f>
        <v>0</v>
      </c>
      <c r="M21" s="37">
        <f>L21/12</f>
        <v>0</v>
      </c>
    </row>
    <row r="22" spans="1:13" x14ac:dyDescent="0.2">
      <c r="A22" s="25" t="s">
        <v>424</v>
      </c>
      <c r="B22" s="25" t="s">
        <v>21</v>
      </c>
      <c r="C22" s="26">
        <f>IF(ISBLANK(B22),0,IF(ISERROR(VALUE(B22)),VLOOKUP(B22,dagsoorttabel1,2,FALSE)*dagenperjaar1,VALUE(B22)))</f>
        <v>2</v>
      </c>
      <c r="D22" s="25" t="s">
        <v>216</v>
      </c>
      <c r="E22" s="25" t="s">
        <v>425</v>
      </c>
      <c r="F22" s="25" t="s">
        <v>323</v>
      </c>
      <c r="G22" s="87">
        <v>0.38000000000000006</v>
      </c>
      <c r="H22" s="93">
        <f>Glas!G14</f>
        <v>0</v>
      </c>
      <c r="I22" s="88"/>
      <c r="J22" s="93">
        <f>Glas!I14</f>
        <v>0</v>
      </c>
      <c r="K22" s="40">
        <f>IF(ISBLANK(G22),0,G22)*J22</f>
        <v>0</v>
      </c>
      <c r="L22" s="40">
        <f>C22*K22</f>
        <v>0</v>
      </c>
      <c r="M22" s="40">
        <f>L22/12</f>
        <v>0</v>
      </c>
    </row>
    <row r="23" spans="1:13" x14ac:dyDescent="0.2">
      <c r="A23" s="81" t="s">
        <v>276</v>
      </c>
      <c r="B23" s="42"/>
      <c r="C23" s="42"/>
      <c r="D23" s="42"/>
      <c r="E23" s="42"/>
      <c r="F23" s="42"/>
      <c r="G23" s="42"/>
      <c r="H23" s="42"/>
      <c r="I23" s="42"/>
      <c r="J23" s="42"/>
      <c r="K23" s="44">
        <f>SUM(K20:K22)</f>
        <v>0</v>
      </c>
      <c r="L23" s="44">
        <f>SUM(L20:L22)</f>
        <v>0</v>
      </c>
      <c r="M23" s="89">
        <f>L23/12</f>
        <v>0</v>
      </c>
    </row>
    <row r="25" spans="1:13" x14ac:dyDescent="0.2">
      <c r="A25" s="90" t="s">
        <v>277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82"/>
    </row>
    <row r="26" spans="1:13" x14ac:dyDescent="0.2">
      <c r="A26" s="15" t="s">
        <v>418</v>
      </c>
      <c r="B26" s="15" t="s">
        <v>18</v>
      </c>
      <c r="C26" s="16">
        <f>IF(ISBLANK(B26),0,IF(ISERROR(VALUE(B26)),VLOOKUP(B26,dagsoorttabel1,2,FALSE)*dagenperjaar1,VALUE(B26)))</f>
        <v>6</v>
      </c>
      <c r="D26" s="15" t="s">
        <v>216</v>
      </c>
      <c r="E26" s="15" t="s">
        <v>419</v>
      </c>
      <c r="F26" s="15" t="s">
        <v>323</v>
      </c>
      <c r="G26" s="83">
        <v>135</v>
      </c>
      <c r="H26" s="91">
        <f>Glas!G8</f>
        <v>0</v>
      </c>
      <c r="I26" s="84"/>
      <c r="J26" s="91">
        <f>Glas!I8</f>
        <v>0</v>
      </c>
      <c r="K26" s="33">
        <f>IF(ISBLANK(G26),0,G26)*J26</f>
        <v>0</v>
      </c>
      <c r="L26" s="33">
        <f>C26*K26</f>
        <v>0</v>
      </c>
      <c r="M26" s="33">
        <f>L26/12</f>
        <v>0</v>
      </c>
    </row>
    <row r="27" spans="1:13" x14ac:dyDescent="0.2">
      <c r="A27" s="20" t="s">
        <v>422</v>
      </c>
      <c r="B27" s="20" t="s">
        <v>18</v>
      </c>
      <c r="C27" s="21">
        <f>IF(ISBLANK(B27),0,IF(ISERROR(VALUE(B27)),VLOOKUP(B27,dagsoorttabel1,2,FALSE)*dagenperjaar1,VALUE(B27)))</f>
        <v>6</v>
      </c>
      <c r="D27" s="20" t="s">
        <v>216</v>
      </c>
      <c r="E27" s="20" t="s">
        <v>423</v>
      </c>
      <c r="F27" s="20" t="s">
        <v>323</v>
      </c>
      <c r="G27" s="85">
        <v>135</v>
      </c>
      <c r="H27" s="92">
        <f>Glas!G12</f>
        <v>0</v>
      </c>
      <c r="I27" s="86"/>
      <c r="J27" s="92">
        <f>Glas!I12</f>
        <v>0</v>
      </c>
      <c r="K27" s="37">
        <f>IF(ISBLANK(G27),0,G27)*J27</f>
        <v>0</v>
      </c>
      <c r="L27" s="37">
        <f>C27*K27</f>
        <v>0</v>
      </c>
      <c r="M27" s="37">
        <f>L27/12</f>
        <v>0</v>
      </c>
    </row>
    <row r="28" spans="1:13" x14ac:dyDescent="0.2">
      <c r="A28" s="25" t="s">
        <v>424</v>
      </c>
      <c r="B28" s="25" t="s">
        <v>18</v>
      </c>
      <c r="C28" s="26">
        <f>IF(ISBLANK(B28),0,IF(ISERROR(VALUE(B28)),VLOOKUP(B28,dagsoorttabel1,2,FALSE)*dagenperjaar1,VALUE(B28)))</f>
        <v>6</v>
      </c>
      <c r="D28" s="25" t="s">
        <v>216</v>
      </c>
      <c r="E28" s="25" t="s">
        <v>425</v>
      </c>
      <c r="F28" s="25" t="s">
        <v>323</v>
      </c>
      <c r="G28" s="87">
        <v>44</v>
      </c>
      <c r="H28" s="93">
        <f>Glas!G15</f>
        <v>0</v>
      </c>
      <c r="I28" s="88"/>
      <c r="J28" s="93">
        <f>Glas!I15</f>
        <v>0</v>
      </c>
      <c r="K28" s="40">
        <f>IF(ISBLANK(G28),0,G28)*J28</f>
        <v>0</v>
      </c>
      <c r="L28" s="40">
        <f>C28*K28</f>
        <v>0</v>
      </c>
      <c r="M28" s="40">
        <f>L28/12</f>
        <v>0</v>
      </c>
    </row>
    <row r="29" spans="1:13" x14ac:dyDescent="0.2">
      <c r="A29" s="81" t="s">
        <v>278</v>
      </c>
      <c r="B29" s="42"/>
      <c r="C29" s="42"/>
      <c r="D29" s="42"/>
      <c r="E29" s="42"/>
      <c r="F29" s="42"/>
      <c r="G29" s="42"/>
      <c r="H29" s="42"/>
      <c r="I29" s="42"/>
      <c r="J29" s="42"/>
      <c r="K29" s="44">
        <f>SUM(K26:K28)</f>
        <v>0</v>
      </c>
      <c r="L29" s="44">
        <f>SUM(L26:L28)</f>
        <v>0</v>
      </c>
      <c r="M29" s="89">
        <f>L29/12</f>
        <v>0</v>
      </c>
    </row>
    <row r="31" spans="1:13" x14ac:dyDescent="0.2">
      <c r="A31" s="90" t="s">
        <v>279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82"/>
    </row>
    <row r="32" spans="1:13" x14ac:dyDescent="0.2">
      <c r="A32" s="15" t="s">
        <v>418</v>
      </c>
      <c r="B32" s="15" t="s">
        <v>21</v>
      </c>
      <c r="C32" s="16">
        <f>IF(ISBLANK(B32),0,IF(ISERROR(VALUE(B32)),VLOOKUP(B32,dagsoorttabel1,2,FALSE)*dagenperjaar1,VALUE(B32)))</f>
        <v>2</v>
      </c>
      <c r="D32" s="15" t="s">
        <v>216</v>
      </c>
      <c r="E32" s="15" t="s">
        <v>419</v>
      </c>
      <c r="F32" s="15" t="s">
        <v>323</v>
      </c>
      <c r="G32" s="83">
        <v>30.38</v>
      </c>
      <c r="H32" s="91">
        <f>Glas!G6</f>
        <v>0</v>
      </c>
      <c r="I32" s="84"/>
      <c r="J32" s="91">
        <f>Glas!I6</f>
        <v>0</v>
      </c>
      <c r="K32" s="33">
        <f>IF(ISBLANK(G32),0,G32)*J32</f>
        <v>0</v>
      </c>
      <c r="L32" s="33">
        <f>C32*K32</f>
        <v>0</v>
      </c>
      <c r="M32" s="33">
        <f>L32/12</f>
        <v>0</v>
      </c>
    </row>
    <row r="33" spans="1:13" x14ac:dyDescent="0.2">
      <c r="A33" s="20" t="s">
        <v>422</v>
      </c>
      <c r="B33" s="20" t="s">
        <v>21</v>
      </c>
      <c r="C33" s="21">
        <f>IF(ISBLANK(B33),0,IF(ISERROR(VALUE(B33)),VLOOKUP(B33,dagsoorttabel1,2,FALSE)*dagenperjaar1,VALUE(B33)))</f>
        <v>2</v>
      </c>
      <c r="D33" s="20" t="s">
        <v>216</v>
      </c>
      <c r="E33" s="20" t="s">
        <v>423</v>
      </c>
      <c r="F33" s="20" t="s">
        <v>323</v>
      </c>
      <c r="G33" s="85">
        <v>30.38</v>
      </c>
      <c r="H33" s="92">
        <f>Glas!G11</f>
        <v>0</v>
      </c>
      <c r="I33" s="86"/>
      <c r="J33" s="92">
        <f>Glas!I11</f>
        <v>0</v>
      </c>
      <c r="K33" s="37">
        <f>IF(ISBLANK(G33),0,G33)*J33</f>
        <v>0</v>
      </c>
      <c r="L33" s="37">
        <f>C33*K33</f>
        <v>0</v>
      </c>
      <c r="M33" s="37">
        <f>L33/12</f>
        <v>0</v>
      </c>
    </row>
    <row r="34" spans="1:13" x14ac:dyDescent="0.2">
      <c r="A34" s="25" t="s">
        <v>424</v>
      </c>
      <c r="B34" s="25" t="s">
        <v>21</v>
      </c>
      <c r="C34" s="26">
        <f>IF(ISBLANK(B34),0,IF(ISERROR(VALUE(B34)),VLOOKUP(B34,dagsoorttabel1,2,FALSE)*dagenperjaar1,VALUE(B34)))</f>
        <v>2</v>
      </c>
      <c r="D34" s="25" t="s">
        <v>216</v>
      </c>
      <c r="E34" s="25" t="s">
        <v>425</v>
      </c>
      <c r="F34" s="25" t="s">
        <v>323</v>
      </c>
      <c r="G34" s="87">
        <v>6.54</v>
      </c>
      <c r="H34" s="93">
        <f>Glas!G14</f>
        <v>0</v>
      </c>
      <c r="I34" s="88"/>
      <c r="J34" s="93">
        <f>Glas!I14</f>
        <v>0</v>
      </c>
      <c r="K34" s="40">
        <f>IF(ISBLANK(G34),0,G34)*J34</f>
        <v>0</v>
      </c>
      <c r="L34" s="40">
        <f>C34*K34</f>
        <v>0</v>
      </c>
      <c r="M34" s="40">
        <f>L34/12</f>
        <v>0</v>
      </c>
    </row>
    <row r="35" spans="1:13" x14ac:dyDescent="0.2">
      <c r="A35" s="81" t="s">
        <v>280</v>
      </c>
      <c r="B35" s="42"/>
      <c r="C35" s="42"/>
      <c r="D35" s="42"/>
      <c r="E35" s="42"/>
      <c r="F35" s="42"/>
      <c r="G35" s="42"/>
      <c r="H35" s="42"/>
      <c r="I35" s="42"/>
      <c r="J35" s="42"/>
      <c r="K35" s="44">
        <f>SUM(K32:K34)</f>
        <v>0</v>
      </c>
      <c r="L35" s="44">
        <f>SUM(L32:L34)</f>
        <v>0</v>
      </c>
      <c r="M35" s="89">
        <f>L35/12</f>
        <v>0</v>
      </c>
    </row>
    <row r="37" spans="1:13" x14ac:dyDescent="0.2">
      <c r="A37" s="90" t="s">
        <v>281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82"/>
    </row>
    <row r="38" spans="1:13" x14ac:dyDescent="0.2">
      <c r="A38" s="15" t="s">
        <v>418</v>
      </c>
      <c r="B38" s="15" t="s">
        <v>21</v>
      </c>
      <c r="C38" s="16">
        <f>IF(ISBLANK(B38),0,IF(ISERROR(VALUE(B38)),VLOOKUP(B38,dagsoorttabel1,2,FALSE)*dagenperjaar1,VALUE(B38)))</f>
        <v>2</v>
      </c>
      <c r="D38" s="15" t="s">
        <v>216</v>
      </c>
      <c r="E38" s="15" t="s">
        <v>419</v>
      </c>
      <c r="F38" s="15" t="s">
        <v>323</v>
      </c>
      <c r="G38" s="83">
        <v>29.25</v>
      </c>
      <c r="H38" s="91">
        <f>Glas!G6</f>
        <v>0</v>
      </c>
      <c r="I38" s="84"/>
      <c r="J38" s="91">
        <f>Glas!I6</f>
        <v>0</v>
      </c>
      <c r="K38" s="33">
        <f>IF(ISBLANK(G38),0,G38)*J38</f>
        <v>0</v>
      </c>
      <c r="L38" s="33">
        <f>C38*K38</f>
        <v>0</v>
      </c>
      <c r="M38" s="33">
        <f>L38/12</f>
        <v>0</v>
      </c>
    </row>
    <row r="39" spans="1:13" x14ac:dyDescent="0.2">
      <c r="A39" s="20" t="s">
        <v>422</v>
      </c>
      <c r="B39" s="20" t="s">
        <v>21</v>
      </c>
      <c r="C39" s="21">
        <f>IF(ISBLANK(B39),0,IF(ISERROR(VALUE(B39)),VLOOKUP(B39,dagsoorttabel1,2,FALSE)*dagenperjaar1,VALUE(B39)))</f>
        <v>2</v>
      </c>
      <c r="D39" s="20" t="s">
        <v>216</v>
      </c>
      <c r="E39" s="20" t="s">
        <v>423</v>
      </c>
      <c r="F39" s="20" t="s">
        <v>323</v>
      </c>
      <c r="G39" s="85">
        <v>29.25</v>
      </c>
      <c r="H39" s="92">
        <f>Glas!G11</f>
        <v>0</v>
      </c>
      <c r="I39" s="86"/>
      <c r="J39" s="92">
        <f>Glas!I11</f>
        <v>0</v>
      </c>
      <c r="K39" s="37">
        <f>IF(ISBLANK(G39),0,G39)*J39</f>
        <v>0</v>
      </c>
      <c r="L39" s="37">
        <f>C39*K39</f>
        <v>0</v>
      </c>
      <c r="M39" s="37">
        <f>L39/12</f>
        <v>0</v>
      </c>
    </row>
    <row r="40" spans="1:13" x14ac:dyDescent="0.2">
      <c r="A40" s="25" t="s">
        <v>424</v>
      </c>
      <c r="B40" s="25" t="s">
        <v>21</v>
      </c>
      <c r="C40" s="26">
        <f>IF(ISBLANK(B40),0,IF(ISERROR(VALUE(B40)),VLOOKUP(B40,dagsoorttabel1,2,FALSE)*dagenperjaar1,VALUE(B40)))</f>
        <v>2</v>
      </c>
      <c r="D40" s="25" t="s">
        <v>216</v>
      </c>
      <c r="E40" s="25" t="s">
        <v>425</v>
      </c>
      <c r="F40" s="25" t="s">
        <v>323</v>
      </c>
      <c r="G40" s="87">
        <v>2.4</v>
      </c>
      <c r="H40" s="93">
        <f>Glas!G14</f>
        <v>0</v>
      </c>
      <c r="I40" s="88"/>
      <c r="J40" s="93">
        <f>Glas!I14</f>
        <v>0</v>
      </c>
      <c r="K40" s="40">
        <f>IF(ISBLANK(G40),0,G40)*J40</f>
        <v>0</v>
      </c>
      <c r="L40" s="40">
        <f>C40*K40</f>
        <v>0</v>
      </c>
      <c r="M40" s="40">
        <f>L40/12</f>
        <v>0</v>
      </c>
    </row>
    <row r="41" spans="1:13" x14ac:dyDescent="0.2">
      <c r="A41" s="81" t="s">
        <v>282</v>
      </c>
      <c r="B41" s="42"/>
      <c r="C41" s="42"/>
      <c r="D41" s="42"/>
      <c r="E41" s="42"/>
      <c r="F41" s="42"/>
      <c r="G41" s="42"/>
      <c r="H41" s="42"/>
      <c r="I41" s="42"/>
      <c r="J41" s="42"/>
      <c r="K41" s="44">
        <f>SUM(K38:K40)</f>
        <v>0</v>
      </c>
      <c r="L41" s="44">
        <f>SUM(L38:L40)</f>
        <v>0</v>
      </c>
      <c r="M41" s="89">
        <f>L41/12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7329-0CE9-4A06-9612-38F7CA3043B9}">
  <dimension ref="A1:E19"/>
  <sheetViews>
    <sheetView tabSelected="1" topLeftCell="A4" workbookViewId="0">
      <selection activeCell="E20" sqref="E20"/>
    </sheetView>
  </sheetViews>
  <sheetFormatPr defaultRowHeight="12.75" x14ac:dyDescent="0.2"/>
  <cols>
    <col min="1" max="1" width="30.625" customWidth="1"/>
    <col min="2" max="5" width="20.625" customWidth="1"/>
  </cols>
  <sheetData>
    <row r="1" spans="1:5" x14ac:dyDescent="0.2">
      <c r="A1" s="1" t="str">
        <f>CONCATENATE("Bijlage D .10: ",tabeltype," totaalblad schoonmaakwerk")</f>
        <v>Bijlage D .10: Invultabel totaalblad schoonmaakwerk</v>
      </c>
    </row>
    <row r="3" spans="1:5" ht="25.5" x14ac:dyDescent="0.2">
      <c r="A3" s="8" t="s">
        <v>430</v>
      </c>
      <c r="B3" s="8" t="s">
        <v>431</v>
      </c>
      <c r="C3" s="8" t="s">
        <v>432</v>
      </c>
      <c r="D3" s="8" t="s">
        <v>433</v>
      </c>
      <c r="E3" s="8" t="s">
        <v>434</v>
      </c>
    </row>
    <row r="4" spans="1:5" x14ac:dyDescent="0.2">
      <c r="A4" s="94" t="s">
        <v>435</v>
      </c>
      <c r="B4" s="30">
        <f>urenjaartotaaloverzicht</f>
        <v>0</v>
      </c>
      <c r="C4" s="30">
        <f>urenjaartotaaloverzichthf</f>
        <v>0</v>
      </c>
      <c r="D4" s="73"/>
      <c r="E4" s="33">
        <f>prijsjaartotaaloverzicht</f>
        <v>0</v>
      </c>
    </row>
    <row r="5" spans="1:5" x14ac:dyDescent="0.2">
      <c r="A5" s="95" t="s">
        <v>269</v>
      </c>
      <c r="B5" s="76"/>
      <c r="C5" s="76"/>
      <c r="D5" s="34">
        <f>urenjaarnietmeewerkend</f>
        <v>0</v>
      </c>
      <c r="E5" s="37">
        <f>prijsjaarnietmeewerkend</f>
        <v>0</v>
      </c>
    </row>
    <row r="6" spans="1:5" x14ac:dyDescent="0.2">
      <c r="A6" s="95" t="s">
        <v>436</v>
      </c>
      <c r="B6" s="76"/>
      <c r="C6" s="76"/>
      <c r="D6" s="76"/>
      <c r="E6" s="37">
        <f>prijsjaarregie</f>
        <v>0</v>
      </c>
    </row>
    <row r="7" spans="1:5" x14ac:dyDescent="0.2">
      <c r="A7" s="96" t="s">
        <v>437</v>
      </c>
      <c r="B7" s="97"/>
      <c r="C7" s="97"/>
      <c r="D7" s="97"/>
      <c r="E7" s="40">
        <f>prijsjaarglas</f>
        <v>0</v>
      </c>
    </row>
    <row r="9" spans="1:5" x14ac:dyDescent="0.2">
      <c r="A9" s="8" t="s">
        <v>438</v>
      </c>
      <c r="B9" s="43">
        <f>SUM(B4:B7)</f>
        <v>0</v>
      </c>
      <c r="C9" s="43">
        <f>SUM(C4:C7)</f>
        <v>0</v>
      </c>
      <c r="D9" s="43">
        <f>SUM(D4:D7)</f>
        <v>0</v>
      </c>
      <c r="E9" s="44">
        <f>SUM(E4:E7)</f>
        <v>0</v>
      </c>
    </row>
    <row r="11" spans="1:5" x14ac:dyDescent="0.2">
      <c r="A11" s="8" t="s">
        <v>439</v>
      </c>
      <c r="B11" s="98">
        <f>IF(B9&gt;0,D9/B9,0)</f>
        <v>0</v>
      </c>
    </row>
    <row r="17" spans="1:5" ht="15" x14ac:dyDescent="0.25">
      <c r="A17" s="99" t="s">
        <v>440</v>
      </c>
      <c r="B17" s="100"/>
      <c r="C17" s="100"/>
      <c r="D17" s="100"/>
      <c r="E17" s="101">
        <f>E4+E5+E7</f>
        <v>0</v>
      </c>
    </row>
    <row r="18" spans="1:5" ht="15" x14ac:dyDescent="0.25">
      <c r="A18" s="100"/>
      <c r="B18" s="100"/>
      <c r="C18" s="100"/>
      <c r="D18" s="100"/>
      <c r="E18" s="100"/>
    </row>
    <row r="19" spans="1:5" ht="15" x14ac:dyDescent="0.25">
      <c r="A19" s="99" t="s">
        <v>441</v>
      </c>
      <c r="B19" s="100"/>
      <c r="C19" s="100"/>
      <c r="D19" s="100"/>
      <c r="E19" s="101">
        <f>E6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4A1B-C2C0-4CC1-927C-932795C876EE}">
  <dimension ref="A1:H53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D .1: ",tabeltype," categorienormen")</f>
        <v>Bijlage D .1: Invultabel categorienormen</v>
      </c>
    </row>
    <row r="3" spans="1:8" ht="38.25" x14ac:dyDescent="0.2">
      <c r="A3" s="8" t="s">
        <v>23</v>
      </c>
      <c r="B3" s="8" t="s">
        <v>24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29</v>
      </c>
      <c r="H3" s="8" t="s">
        <v>30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31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32</v>
      </c>
      <c r="B6" s="16" t="s">
        <v>33</v>
      </c>
      <c r="C6" s="15">
        <v>1</v>
      </c>
      <c r="D6" s="15" t="s">
        <v>34</v>
      </c>
      <c r="E6" s="17"/>
      <c r="F6" s="18"/>
      <c r="G6" s="15" t="s">
        <v>35</v>
      </c>
      <c r="H6" s="19"/>
    </row>
    <row r="7" spans="1:8" x14ac:dyDescent="0.2">
      <c r="A7" s="20" t="s">
        <v>36</v>
      </c>
      <c r="B7" s="21" t="s">
        <v>33</v>
      </c>
      <c r="C7" s="20">
        <v>1</v>
      </c>
      <c r="D7" s="20" t="s">
        <v>37</v>
      </c>
      <c r="E7" s="22"/>
      <c r="F7" s="23"/>
      <c r="G7" s="20" t="s">
        <v>35</v>
      </c>
      <c r="H7" s="24"/>
    </row>
    <row r="8" spans="1:8" x14ac:dyDescent="0.2">
      <c r="A8" s="20" t="s">
        <v>38</v>
      </c>
      <c r="B8" s="21" t="s">
        <v>33</v>
      </c>
      <c r="C8" s="20">
        <v>51</v>
      </c>
      <c r="D8" s="20" t="s">
        <v>39</v>
      </c>
      <c r="E8" s="22"/>
      <c r="F8" s="23"/>
      <c r="G8" s="20" t="s">
        <v>35</v>
      </c>
      <c r="H8" s="24"/>
    </row>
    <row r="9" spans="1:8" x14ac:dyDescent="0.2">
      <c r="A9" s="20" t="s">
        <v>40</v>
      </c>
      <c r="B9" s="21" t="s">
        <v>33</v>
      </c>
      <c r="C9" s="20">
        <v>51</v>
      </c>
      <c r="D9" s="20" t="s">
        <v>41</v>
      </c>
      <c r="E9" s="22"/>
      <c r="F9" s="23"/>
      <c r="G9" s="20" t="s">
        <v>35</v>
      </c>
      <c r="H9" s="24"/>
    </row>
    <row r="10" spans="1:8" x14ac:dyDescent="0.2">
      <c r="A10" s="20" t="s">
        <v>42</v>
      </c>
      <c r="B10" s="21" t="s">
        <v>33</v>
      </c>
      <c r="C10" s="20">
        <v>1</v>
      </c>
      <c r="D10" s="20" t="s">
        <v>43</v>
      </c>
      <c r="E10" s="22"/>
      <c r="F10" s="23"/>
      <c r="G10" s="20" t="s">
        <v>35</v>
      </c>
      <c r="H10" s="24"/>
    </row>
    <row r="11" spans="1:8" x14ac:dyDescent="0.2">
      <c r="A11" s="20" t="s">
        <v>44</v>
      </c>
      <c r="B11" s="21" t="s">
        <v>33</v>
      </c>
      <c r="C11" s="20">
        <v>1</v>
      </c>
      <c r="D11" s="20" t="s">
        <v>45</v>
      </c>
      <c r="E11" s="22"/>
      <c r="F11" s="23"/>
      <c r="G11" s="20" t="s">
        <v>35</v>
      </c>
      <c r="H11" s="24"/>
    </row>
    <row r="12" spans="1:8" x14ac:dyDescent="0.2">
      <c r="A12" s="20" t="s">
        <v>46</v>
      </c>
      <c r="B12" s="21" t="s">
        <v>33</v>
      </c>
      <c r="C12" s="20">
        <v>51</v>
      </c>
      <c r="D12" s="20" t="s">
        <v>47</v>
      </c>
      <c r="E12" s="22"/>
      <c r="F12" s="23"/>
      <c r="G12" s="20" t="s">
        <v>35</v>
      </c>
      <c r="H12" s="24"/>
    </row>
    <row r="13" spans="1:8" x14ac:dyDescent="0.2">
      <c r="A13" s="20" t="s">
        <v>48</v>
      </c>
      <c r="B13" s="21" t="s">
        <v>33</v>
      </c>
      <c r="C13" s="20">
        <v>51</v>
      </c>
      <c r="D13" s="20" t="s">
        <v>49</v>
      </c>
      <c r="E13" s="22"/>
      <c r="F13" s="23"/>
      <c r="G13" s="20" t="s">
        <v>35</v>
      </c>
      <c r="H13" s="24"/>
    </row>
    <row r="14" spans="1:8" x14ac:dyDescent="0.2">
      <c r="A14" s="20" t="s">
        <v>50</v>
      </c>
      <c r="B14" s="21" t="s">
        <v>51</v>
      </c>
      <c r="C14" s="20">
        <v>1</v>
      </c>
      <c r="D14" s="20" t="s">
        <v>52</v>
      </c>
      <c r="E14" s="22"/>
      <c r="F14" s="23"/>
      <c r="G14" s="20" t="s">
        <v>35</v>
      </c>
      <c r="H14" s="24"/>
    </row>
    <row r="15" spans="1:8" x14ac:dyDescent="0.2">
      <c r="A15" s="20" t="s">
        <v>53</v>
      </c>
      <c r="B15" s="21" t="s">
        <v>51</v>
      </c>
      <c r="C15" s="20">
        <v>1</v>
      </c>
      <c r="D15" s="20" t="s">
        <v>54</v>
      </c>
      <c r="E15" s="22"/>
      <c r="F15" s="23"/>
      <c r="G15" s="20" t="s">
        <v>35</v>
      </c>
      <c r="H15" s="24"/>
    </row>
    <row r="16" spans="1:8" x14ac:dyDescent="0.2">
      <c r="A16" s="20" t="s">
        <v>55</v>
      </c>
      <c r="B16" s="21" t="s">
        <v>51</v>
      </c>
      <c r="C16" s="20">
        <v>1</v>
      </c>
      <c r="D16" s="20" t="s">
        <v>56</v>
      </c>
      <c r="E16" s="22"/>
      <c r="F16" s="23"/>
      <c r="G16" s="20" t="s">
        <v>35</v>
      </c>
      <c r="H16" s="24"/>
    </row>
    <row r="17" spans="1:8" x14ac:dyDescent="0.2">
      <c r="A17" s="20" t="s">
        <v>57</v>
      </c>
      <c r="B17" s="21" t="s">
        <v>51</v>
      </c>
      <c r="C17" s="20">
        <v>51</v>
      </c>
      <c r="D17" s="20" t="s">
        <v>58</v>
      </c>
      <c r="E17" s="22"/>
      <c r="F17" s="23"/>
      <c r="G17" s="20" t="s">
        <v>35</v>
      </c>
      <c r="H17" s="24"/>
    </row>
    <row r="18" spans="1:8" x14ac:dyDescent="0.2">
      <c r="A18" s="20" t="s">
        <v>59</v>
      </c>
      <c r="B18" s="21" t="s">
        <v>51</v>
      </c>
      <c r="C18" s="20">
        <v>51</v>
      </c>
      <c r="D18" s="20" t="s">
        <v>60</v>
      </c>
      <c r="E18" s="22"/>
      <c r="F18" s="23"/>
      <c r="G18" s="20" t="s">
        <v>35</v>
      </c>
      <c r="H18" s="24"/>
    </row>
    <row r="19" spans="1:8" x14ac:dyDescent="0.2">
      <c r="A19" s="20" t="s">
        <v>61</v>
      </c>
      <c r="B19" s="21" t="s">
        <v>51</v>
      </c>
      <c r="C19" s="20">
        <v>51</v>
      </c>
      <c r="D19" s="20" t="s">
        <v>62</v>
      </c>
      <c r="E19" s="22"/>
      <c r="F19" s="23"/>
      <c r="G19" s="20" t="s">
        <v>35</v>
      </c>
      <c r="H19" s="24"/>
    </row>
    <row r="20" spans="1:8" x14ac:dyDescent="0.2">
      <c r="A20" s="20" t="s">
        <v>61</v>
      </c>
      <c r="B20" s="21" t="s">
        <v>51</v>
      </c>
      <c r="C20" s="20">
        <v>30</v>
      </c>
      <c r="D20" s="20" t="s">
        <v>63</v>
      </c>
      <c r="E20" s="22"/>
      <c r="F20" s="23"/>
      <c r="G20" s="20" t="s">
        <v>35</v>
      </c>
      <c r="H20" s="24"/>
    </row>
    <row r="21" spans="1:8" x14ac:dyDescent="0.2">
      <c r="A21" s="20" t="s">
        <v>64</v>
      </c>
      <c r="B21" s="21" t="s">
        <v>65</v>
      </c>
      <c r="C21" s="20">
        <v>1</v>
      </c>
      <c r="D21" s="20" t="s">
        <v>66</v>
      </c>
      <c r="E21" s="22"/>
      <c r="F21" s="23"/>
      <c r="G21" s="20" t="s">
        <v>35</v>
      </c>
      <c r="H21" s="24"/>
    </row>
    <row r="22" spans="1:8" x14ac:dyDescent="0.2">
      <c r="A22" s="20" t="s">
        <v>67</v>
      </c>
      <c r="B22" s="21" t="s">
        <v>65</v>
      </c>
      <c r="C22" s="20">
        <v>1</v>
      </c>
      <c r="D22" s="20" t="s">
        <v>68</v>
      </c>
      <c r="E22" s="22"/>
      <c r="F22" s="23"/>
      <c r="G22" s="20" t="s">
        <v>35</v>
      </c>
      <c r="H22" s="24"/>
    </row>
    <row r="23" spans="1:8" x14ac:dyDescent="0.2">
      <c r="A23" s="20" t="s">
        <v>69</v>
      </c>
      <c r="B23" s="21" t="s">
        <v>65</v>
      </c>
      <c r="C23" s="20">
        <v>1</v>
      </c>
      <c r="D23" s="20" t="s">
        <v>70</v>
      </c>
      <c r="E23" s="22"/>
      <c r="F23" s="23"/>
      <c r="G23" s="20" t="s">
        <v>35</v>
      </c>
      <c r="H23" s="24"/>
    </row>
    <row r="24" spans="1:8" x14ac:dyDescent="0.2">
      <c r="A24" s="20" t="s">
        <v>71</v>
      </c>
      <c r="B24" s="21" t="s">
        <v>65</v>
      </c>
      <c r="C24" s="20">
        <v>1</v>
      </c>
      <c r="D24" s="20" t="s">
        <v>72</v>
      </c>
      <c r="E24" s="22"/>
      <c r="F24" s="23"/>
      <c r="G24" s="20" t="s">
        <v>35</v>
      </c>
      <c r="H24" s="24"/>
    </row>
    <row r="25" spans="1:8" x14ac:dyDescent="0.2">
      <c r="A25" s="20" t="s">
        <v>73</v>
      </c>
      <c r="B25" s="21" t="s">
        <v>65</v>
      </c>
      <c r="C25" s="20">
        <v>1</v>
      </c>
      <c r="D25" s="20" t="s">
        <v>74</v>
      </c>
      <c r="E25" s="22"/>
      <c r="F25" s="23"/>
      <c r="G25" s="20" t="s">
        <v>35</v>
      </c>
      <c r="H25" s="24"/>
    </row>
    <row r="26" spans="1:8" x14ac:dyDescent="0.2">
      <c r="A26" s="20" t="s">
        <v>75</v>
      </c>
      <c r="B26" s="21" t="s">
        <v>65</v>
      </c>
      <c r="C26" s="20">
        <v>1</v>
      </c>
      <c r="D26" s="20" t="s">
        <v>76</v>
      </c>
      <c r="E26" s="22"/>
      <c r="F26" s="23"/>
      <c r="G26" s="20" t="s">
        <v>35</v>
      </c>
      <c r="H26" s="24"/>
    </row>
    <row r="27" spans="1:8" x14ac:dyDescent="0.2">
      <c r="A27" s="20" t="s">
        <v>77</v>
      </c>
      <c r="B27" s="21" t="s">
        <v>65</v>
      </c>
      <c r="C27" s="20">
        <v>1</v>
      </c>
      <c r="D27" s="20" t="s">
        <v>78</v>
      </c>
      <c r="E27" s="22"/>
      <c r="F27" s="23"/>
      <c r="G27" s="20" t="s">
        <v>35</v>
      </c>
      <c r="H27" s="24"/>
    </row>
    <row r="28" spans="1:8" x14ac:dyDescent="0.2">
      <c r="A28" s="20" t="s">
        <v>79</v>
      </c>
      <c r="B28" s="21" t="s">
        <v>65</v>
      </c>
      <c r="C28" s="20">
        <v>51</v>
      </c>
      <c r="D28" s="20" t="s">
        <v>80</v>
      </c>
      <c r="E28" s="22"/>
      <c r="F28" s="23"/>
      <c r="G28" s="20" t="s">
        <v>35</v>
      </c>
      <c r="H28" s="24"/>
    </row>
    <row r="29" spans="1:8" x14ac:dyDescent="0.2">
      <c r="A29" s="20" t="s">
        <v>81</v>
      </c>
      <c r="B29" s="21" t="s">
        <v>65</v>
      </c>
      <c r="C29" s="20">
        <v>51</v>
      </c>
      <c r="D29" s="20" t="s">
        <v>82</v>
      </c>
      <c r="E29" s="22"/>
      <c r="F29" s="23"/>
      <c r="G29" s="20" t="s">
        <v>35</v>
      </c>
      <c r="H29" s="24"/>
    </row>
    <row r="30" spans="1:8" x14ac:dyDescent="0.2">
      <c r="A30" s="20" t="s">
        <v>83</v>
      </c>
      <c r="B30" s="21" t="s">
        <v>65</v>
      </c>
      <c r="C30" s="20">
        <v>51</v>
      </c>
      <c r="D30" s="20" t="s">
        <v>84</v>
      </c>
      <c r="E30" s="22"/>
      <c r="F30" s="23"/>
      <c r="G30" s="20" t="s">
        <v>35</v>
      </c>
      <c r="H30" s="24"/>
    </row>
    <row r="31" spans="1:8" x14ac:dyDescent="0.2">
      <c r="A31" s="20" t="s">
        <v>85</v>
      </c>
      <c r="B31" s="21" t="s">
        <v>65</v>
      </c>
      <c r="C31" s="20">
        <v>51</v>
      </c>
      <c r="D31" s="20" t="s">
        <v>86</v>
      </c>
      <c r="E31" s="22"/>
      <c r="F31" s="23"/>
      <c r="G31" s="20" t="s">
        <v>35</v>
      </c>
      <c r="H31" s="24"/>
    </row>
    <row r="32" spans="1:8" x14ac:dyDescent="0.2">
      <c r="A32" s="20" t="s">
        <v>87</v>
      </c>
      <c r="B32" s="21" t="s">
        <v>65</v>
      </c>
      <c r="C32" s="20">
        <v>51</v>
      </c>
      <c r="D32" s="20" t="s">
        <v>88</v>
      </c>
      <c r="E32" s="22"/>
      <c r="F32" s="23"/>
      <c r="G32" s="20" t="s">
        <v>35</v>
      </c>
      <c r="H32" s="24"/>
    </row>
    <row r="33" spans="1:8" x14ac:dyDescent="0.2">
      <c r="A33" s="20" t="s">
        <v>89</v>
      </c>
      <c r="B33" s="21" t="s">
        <v>65</v>
      </c>
      <c r="C33" s="20">
        <v>51</v>
      </c>
      <c r="D33" s="20" t="s">
        <v>90</v>
      </c>
      <c r="E33" s="22"/>
      <c r="F33" s="23"/>
      <c r="G33" s="20" t="s">
        <v>35</v>
      </c>
      <c r="H33" s="24"/>
    </row>
    <row r="34" spans="1:8" x14ac:dyDescent="0.2">
      <c r="A34" s="20" t="s">
        <v>91</v>
      </c>
      <c r="B34" s="21" t="s">
        <v>65</v>
      </c>
      <c r="C34" s="20">
        <v>51</v>
      </c>
      <c r="D34" s="20" t="s">
        <v>92</v>
      </c>
      <c r="E34" s="22"/>
      <c r="F34" s="23"/>
      <c r="G34" s="20" t="s">
        <v>35</v>
      </c>
      <c r="H34" s="24"/>
    </row>
    <row r="35" spans="1:8" x14ac:dyDescent="0.2">
      <c r="A35" s="20" t="s">
        <v>93</v>
      </c>
      <c r="B35" s="21" t="s">
        <v>65</v>
      </c>
      <c r="C35" s="20">
        <v>1</v>
      </c>
      <c r="D35" s="20" t="s">
        <v>94</v>
      </c>
      <c r="E35" s="22"/>
      <c r="F35" s="23"/>
      <c r="G35" s="20" t="s">
        <v>35</v>
      </c>
      <c r="H35" s="24"/>
    </row>
    <row r="36" spans="1:8" x14ac:dyDescent="0.2">
      <c r="A36" s="20" t="s">
        <v>95</v>
      </c>
      <c r="B36" s="21" t="s">
        <v>65</v>
      </c>
      <c r="C36" s="20">
        <v>1</v>
      </c>
      <c r="D36" s="20" t="s">
        <v>96</v>
      </c>
      <c r="E36" s="22"/>
      <c r="F36" s="23"/>
      <c r="G36" s="20" t="s">
        <v>35</v>
      </c>
      <c r="H36" s="24"/>
    </row>
    <row r="37" spans="1:8" x14ac:dyDescent="0.2">
      <c r="A37" s="20" t="s">
        <v>97</v>
      </c>
      <c r="B37" s="21" t="s">
        <v>65</v>
      </c>
      <c r="C37" s="20">
        <v>1</v>
      </c>
      <c r="D37" s="20" t="s">
        <v>98</v>
      </c>
      <c r="E37" s="22"/>
      <c r="F37" s="23"/>
      <c r="G37" s="20" t="s">
        <v>35</v>
      </c>
      <c r="H37" s="24"/>
    </row>
    <row r="38" spans="1:8" x14ac:dyDescent="0.2">
      <c r="A38" s="20" t="s">
        <v>99</v>
      </c>
      <c r="B38" s="21" t="s">
        <v>65</v>
      </c>
      <c r="C38" s="20">
        <v>1</v>
      </c>
      <c r="D38" s="20" t="s">
        <v>100</v>
      </c>
      <c r="E38" s="22"/>
      <c r="F38" s="23"/>
      <c r="G38" s="20" t="s">
        <v>35</v>
      </c>
      <c r="H38" s="24"/>
    </row>
    <row r="39" spans="1:8" x14ac:dyDescent="0.2">
      <c r="A39" s="20" t="s">
        <v>101</v>
      </c>
      <c r="B39" s="21" t="s">
        <v>65</v>
      </c>
      <c r="C39" s="20">
        <v>1</v>
      </c>
      <c r="D39" s="20" t="s">
        <v>102</v>
      </c>
      <c r="E39" s="22"/>
      <c r="F39" s="23"/>
      <c r="G39" s="20" t="s">
        <v>35</v>
      </c>
      <c r="H39" s="24"/>
    </row>
    <row r="40" spans="1:8" x14ac:dyDescent="0.2">
      <c r="A40" s="20" t="s">
        <v>103</v>
      </c>
      <c r="B40" s="21" t="s">
        <v>65</v>
      </c>
      <c r="C40" s="20">
        <v>1</v>
      </c>
      <c r="D40" s="20" t="s">
        <v>104</v>
      </c>
      <c r="E40" s="22"/>
      <c r="F40" s="23"/>
      <c r="G40" s="20" t="s">
        <v>35</v>
      </c>
      <c r="H40" s="24"/>
    </row>
    <row r="41" spans="1:8" x14ac:dyDescent="0.2">
      <c r="A41" s="20" t="s">
        <v>105</v>
      </c>
      <c r="B41" s="21" t="s">
        <v>65</v>
      </c>
      <c r="C41" s="20">
        <v>12</v>
      </c>
      <c r="D41" s="20" t="s">
        <v>106</v>
      </c>
      <c r="E41" s="22"/>
      <c r="F41" s="23"/>
      <c r="G41" s="20" t="s">
        <v>35</v>
      </c>
      <c r="H41" s="24"/>
    </row>
    <row r="42" spans="1:8" x14ac:dyDescent="0.2">
      <c r="A42" s="20" t="s">
        <v>107</v>
      </c>
      <c r="B42" s="21" t="s">
        <v>65</v>
      </c>
      <c r="C42" s="20">
        <v>51</v>
      </c>
      <c r="D42" s="20" t="s">
        <v>108</v>
      </c>
      <c r="E42" s="22"/>
      <c r="F42" s="23"/>
      <c r="G42" s="20" t="s">
        <v>35</v>
      </c>
      <c r="H42" s="24"/>
    </row>
    <row r="43" spans="1:8" x14ac:dyDescent="0.2">
      <c r="A43" s="20" t="s">
        <v>109</v>
      </c>
      <c r="B43" s="21" t="s">
        <v>65</v>
      </c>
      <c r="C43" s="20">
        <v>51</v>
      </c>
      <c r="D43" s="20" t="s">
        <v>110</v>
      </c>
      <c r="E43" s="22"/>
      <c r="F43" s="23"/>
      <c r="G43" s="20" t="s">
        <v>35</v>
      </c>
      <c r="H43" s="24"/>
    </row>
    <row r="44" spans="1:8" x14ac:dyDescent="0.2">
      <c r="A44" s="20" t="s">
        <v>111</v>
      </c>
      <c r="B44" s="21" t="s">
        <v>65</v>
      </c>
      <c r="C44" s="20">
        <v>51</v>
      </c>
      <c r="D44" s="20" t="s">
        <v>112</v>
      </c>
      <c r="E44" s="22"/>
      <c r="F44" s="23"/>
      <c r="G44" s="20" t="s">
        <v>35</v>
      </c>
      <c r="H44" s="24"/>
    </row>
    <row r="45" spans="1:8" x14ac:dyDescent="0.2">
      <c r="A45" s="20" t="s">
        <v>113</v>
      </c>
      <c r="B45" s="21" t="s">
        <v>65</v>
      </c>
      <c r="C45" s="20">
        <v>51</v>
      </c>
      <c r="D45" s="20" t="s">
        <v>114</v>
      </c>
      <c r="E45" s="22"/>
      <c r="F45" s="23"/>
      <c r="G45" s="20" t="s">
        <v>35</v>
      </c>
      <c r="H45" s="24"/>
    </row>
    <row r="46" spans="1:8" x14ac:dyDescent="0.2">
      <c r="A46" s="20" t="s">
        <v>115</v>
      </c>
      <c r="B46" s="21" t="s">
        <v>65</v>
      </c>
      <c r="C46" s="20">
        <v>51</v>
      </c>
      <c r="D46" s="20" t="s">
        <v>116</v>
      </c>
      <c r="E46" s="22"/>
      <c r="F46" s="23"/>
      <c r="G46" s="20" t="s">
        <v>35</v>
      </c>
      <c r="H46" s="24"/>
    </row>
    <row r="47" spans="1:8" x14ac:dyDescent="0.2">
      <c r="A47" s="20" t="s">
        <v>117</v>
      </c>
      <c r="B47" s="21" t="s">
        <v>65</v>
      </c>
      <c r="C47" s="20">
        <v>51</v>
      </c>
      <c r="D47" s="20" t="s">
        <v>118</v>
      </c>
      <c r="E47" s="22"/>
      <c r="F47" s="23"/>
      <c r="G47" s="20" t="s">
        <v>35</v>
      </c>
      <c r="H47" s="24"/>
    </row>
    <row r="48" spans="1:8" x14ac:dyDescent="0.2">
      <c r="A48" s="25" t="s">
        <v>119</v>
      </c>
      <c r="B48" s="26" t="s">
        <v>120</v>
      </c>
      <c r="C48" s="25">
        <v>1</v>
      </c>
      <c r="D48" s="25" t="s">
        <v>121</v>
      </c>
      <c r="E48" s="27"/>
      <c r="F48" s="28"/>
      <c r="G48" s="25" t="s">
        <v>35</v>
      </c>
      <c r="H48" s="29"/>
    </row>
    <row r="49" spans="1:8" x14ac:dyDescent="0.2">
      <c r="A49" s="9"/>
      <c r="B49" s="10"/>
      <c r="C49" s="10"/>
      <c r="D49" s="10"/>
      <c r="E49" s="10"/>
      <c r="F49" s="10"/>
      <c r="G49" s="10"/>
      <c r="H49" s="11"/>
    </row>
    <row r="50" spans="1:8" x14ac:dyDescent="0.2">
      <c r="A50" s="12" t="s">
        <v>122</v>
      </c>
      <c r="B50" s="13"/>
      <c r="C50" s="13"/>
      <c r="D50" s="13"/>
      <c r="E50" s="13"/>
      <c r="F50" s="13"/>
      <c r="G50" s="13"/>
      <c r="H50" s="14"/>
    </row>
    <row r="51" spans="1:8" x14ac:dyDescent="0.2">
      <c r="A51" s="15" t="s">
        <v>123</v>
      </c>
      <c r="B51" s="16" t="s">
        <v>33</v>
      </c>
      <c r="C51" s="15">
        <v>1</v>
      </c>
      <c r="D51" s="15" t="s">
        <v>43</v>
      </c>
      <c r="E51" s="17"/>
      <c r="F51" s="18"/>
      <c r="G51" s="15" t="s">
        <v>35</v>
      </c>
      <c r="H51" s="19"/>
    </row>
    <row r="52" spans="1:8" x14ac:dyDescent="0.2">
      <c r="A52" s="20" t="s">
        <v>124</v>
      </c>
      <c r="B52" s="21" t="s">
        <v>33</v>
      </c>
      <c r="C52" s="20">
        <v>1</v>
      </c>
      <c r="D52" s="20" t="s">
        <v>125</v>
      </c>
      <c r="E52" s="22"/>
      <c r="F52" s="23"/>
      <c r="G52" s="20" t="s">
        <v>35</v>
      </c>
      <c r="H52" s="24"/>
    </row>
    <row r="53" spans="1:8" x14ac:dyDescent="0.2">
      <c r="A53" s="25" t="s">
        <v>126</v>
      </c>
      <c r="B53" s="26" t="s">
        <v>51</v>
      </c>
      <c r="C53" s="25">
        <v>1</v>
      </c>
      <c r="D53" s="25" t="s">
        <v>56</v>
      </c>
      <c r="E53" s="27"/>
      <c r="F53" s="28"/>
      <c r="G53" s="25" t="s">
        <v>35</v>
      </c>
      <c r="H53" s="29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B680-1EED-4CFC-A8B5-3C4F60A3C2EB}">
  <dimension ref="A1:N5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D .2: ",tabeltype," regulier werk")</f>
        <v>Bijlage D .2: Invultabel regulier werk</v>
      </c>
    </row>
    <row r="3" spans="1:14" ht="38.25" x14ac:dyDescent="0.2">
      <c r="A3" s="8" t="s">
        <v>127</v>
      </c>
      <c r="B3" s="8" t="s">
        <v>7</v>
      </c>
      <c r="C3" s="8" t="s">
        <v>128</v>
      </c>
      <c r="D3" s="8" t="s">
        <v>26</v>
      </c>
      <c r="E3" s="8" t="s">
        <v>129</v>
      </c>
      <c r="F3" s="8" t="s">
        <v>130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131</v>
      </c>
      <c r="L3" s="8" t="s">
        <v>132</v>
      </c>
      <c r="M3" s="8" t="s">
        <v>133</v>
      </c>
      <c r="N3" s="8" t="s">
        <v>134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135</v>
      </c>
      <c r="B6" s="15" t="s">
        <v>9</v>
      </c>
      <c r="C6" s="15" t="s">
        <v>136</v>
      </c>
      <c r="D6" s="15" t="s">
        <v>137</v>
      </c>
      <c r="E6" s="30">
        <v>164</v>
      </c>
      <c r="F6" s="30">
        <f>E6*VLOOKUP(B6,dagsoorttabel1,2,FALSE)</f>
        <v>164</v>
      </c>
      <c r="G6" s="31">
        <f>IF(AND(catpn_1_AHB_1&gt;0,catpn_1_AHV_51&gt;0),(dagenperjaar1*VLOOKUP(B6,dagsoorttabel1,2,FALSE))/(((dagenperjaar1*VLOOKUP(B6,dagsoorttabel1,2,FALSE))-catfd_1_AHV_51)/catpn_1_AHB_1+catfd_1_AHV_51/catpn_1_AHV_51),0)</f>
        <v>0</v>
      </c>
      <c r="H6" s="32">
        <f>IF(AND(catpn_1_AHB_1&gt;0,catpn_1_AHV_51&gt;0),(catdw_1_AHB_1*((dagenperjaar1*VLOOKUP(B6,dagsoorttabel1,2,FALSE))-catfd_1_AHV_51)/catpn_1_AHB_1+catdw_1_AHV_51*catfd_1_AHV_51/catpn_1_AHV_51)/(((dagenperjaar1*VLOOKUP(B6,dagsoorttabel1,2,FALSE))-catfd_1_AHV_51)/catpn_1_AHB_1+catfd_1_AHV_51/catpn_1_AHV_51),0)</f>
        <v>0</v>
      </c>
      <c r="I6" s="15" t="s">
        <v>35</v>
      </c>
      <c r="J6" s="33">
        <f>IF(AND(catpn_1_AHB_1&gt;0,catpn_1_AHV_51&gt;0),(cattf_1_AHB_1*((dagenperjaar1*VLOOKUP(B6,dagsoorttabel1,2,FALSE))-catfd_1_AHV_51)/catpn_1_AHB_1+cattf_1_AHV_51*catfd_1_AHV_51/catpn_1_AHV_51)/(((dagenperjaar1*VLOOKUP(B6,dagsoorttabel1,2,FALSE))-catfd_1_AHV_51)/catpn_1_AHB_1+catfd_1_AHV_51/catpn_1_AHV_51),0)</f>
        <v>0</v>
      </c>
      <c r="K6" s="30">
        <f>IF(OR(ISBLANK(G6),G6=0),0,F6/ROUND(G6,4))</f>
        <v>0</v>
      </c>
      <c r="L6" s="33">
        <f>ROUND(J6,2)*K6</f>
        <v>0</v>
      </c>
      <c r="M6" s="30">
        <f>K6*dagenperjaar1</f>
        <v>0</v>
      </c>
      <c r="N6" s="33">
        <f>M6*ROUND(J6,2)</f>
        <v>0</v>
      </c>
    </row>
    <row r="7" spans="1:14" x14ac:dyDescent="0.2">
      <c r="A7" s="20" t="s">
        <v>138</v>
      </c>
      <c r="B7" s="20" t="s">
        <v>17</v>
      </c>
      <c r="C7" s="20" t="s">
        <v>136</v>
      </c>
      <c r="D7" s="20" t="s">
        <v>139</v>
      </c>
      <c r="E7" s="34">
        <v>10.950000000000001</v>
      </c>
      <c r="F7" s="34">
        <f>E7*VLOOKUP(B7,dagsoorttabel1,2,FALSE)</f>
        <v>0.5152941176470589</v>
      </c>
      <c r="G7" s="35">
        <f>IF(AND(catpn_1_AHB_1&gt;0,catpn_1_AZV_12&gt;0),(dagenperjaar1*VLOOKUP(B7,dagsoorttabel1,2,FALSE))/(((dagenperjaar1*VLOOKUP(B7,dagsoorttabel1,2,FALSE))-catfd_1_AZV_12)/catpn_1_AHB_1+catfd_1_AZV_12/catpn_1_AZV_12),0)</f>
        <v>0</v>
      </c>
      <c r="H7" s="36">
        <f>IF(AND(catpn_1_AHB_1&gt;0,catpn_1_AZV_12&gt;0),(catdw_1_AHB_1*((dagenperjaar1*VLOOKUP(B7,dagsoorttabel1,2,FALSE))-catfd_1_AZV_12)/catpn_1_AHB_1+catdw_1_AZV_12*catfd_1_AZV_12/catpn_1_AZV_12)/(((dagenperjaar1*VLOOKUP(B7,dagsoorttabel1,2,FALSE))-catfd_1_AZV_12)/catpn_1_AHB_1+catfd_1_AZV_12/catpn_1_AZV_12),0)</f>
        <v>0</v>
      </c>
      <c r="I7" s="20" t="s">
        <v>35</v>
      </c>
      <c r="J7" s="37">
        <f>IF(AND(catpn_1_AHB_1&gt;0,catpn_1_AZV_12&gt;0),(cattf_1_AHB_1*((dagenperjaar1*VLOOKUP(B7,dagsoorttabel1,2,FALSE))-catfd_1_AZV_12)/catpn_1_AHB_1+cattf_1_AZV_12*catfd_1_AZV_12/catpn_1_AZV_12)/(((dagenperjaar1*VLOOKUP(B7,dagsoorttabel1,2,FALSE))-catfd_1_AZV_12)/catpn_1_AHB_1+catfd_1_AZV_12/catpn_1_AZV_12),0)</f>
        <v>0</v>
      </c>
      <c r="K7" s="34">
        <f>IF(OR(ISBLANK(G7),G7=0),0,F7/ROUND(G7,4))</f>
        <v>0</v>
      </c>
      <c r="L7" s="37">
        <f>ROUND(J7,2)*K7</f>
        <v>0</v>
      </c>
      <c r="M7" s="34">
        <f>K7*dagenperjaar1</f>
        <v>0</v>
      </c>
      <c r="N7" s="37">
        <f>M7*ROUND(J7,2)</f>
        <v>0</v>
      </c>
    </row>
    <row r="8" spans="1:14" x14ac:dyDescent="0.2">
      <c r="A8" s="20" t="s">
        <v>140</v>
      </c>
      <c r="B8" s="20" t="s">
        <v>9</v>
      </c>
      <c r="C8" s="20" t="s">
        <v>136</v>
      </c>
      <c r="D8" s="20" t="s">
        <v>141</v>
      </c>
      <c r="E8" s="34">
        <v>93.27</v>
      </c>
      <c r="F8" s="34">
        <f>E8*VLOOKUP(B8,dagsoorttabel1,2,FALSE)</f>
        <v>93.27</v>
      </c>
      <c r="G8" s="35">
        <f>IF(AND(catpn_1_BHB_1&gt;0,catpn_1_BHV_51&gt;0),(dagenperjaar1*VLOOKUP(B8,dagsoorttabel1,2,FALSE))/(((dagenperjaar1*VLOOKUP(B8,dagsoorttabel1,2,FALSE))-catfd_1_BHV_51)/catpn_1_BHB_1+catfd_1_BHV_51/catpn_1_BHV_51),0)</f>
        <v>0</v>
      </c>
      <c r="H8" s="36">
        <f>IF(AND(catpn_1_BHB_1&gt;0,catpn_1_BHV_51&gt;0),(catdw_1_BHB_1*((dagenperjaar1*VLOOKUP(B8,dagsoorttabel1,2,FALSE))-catfd_1_BHV_51)/catpn_1_BHB_1+catdw_1_BHV_51*catfd_1_BHV_51/catpn_1_BHV_51)/(((dagenperjaar1*VLOOKUP(B8,dagsoorttabel1,2,FALSE))-catfd_1_BHV_51)/catpn_1_BHB_1+catfd_1_BHV_51/catpn_1_BHV_51),0)</f>
        <v>0</v>
      </c>
      <c r="I8" s="20" t="s">
        <v>35</v>
      </c>
      <c r="J8" s="37">
        <f>IF(AND(catpn_1_BHB_1&gt;0,catpn_1_BHV_51&gt;0),(cattf_1_BHB_1*((dagenperjaar1*VLOOKUP(B8,dagsoorttabel1,2,FALSE))-catfd_1_BHV_51)/catpn_1_BHB_1+cattf_1_BHV_51*catfd_1_BHV_51/catpn_1_BHV_51)/(((dagenperjaar1*VLOOKUP(B8,dagsoorttabel1,2,FALSE))-catfd_1_BHV_51)/catpn_1_BHB_1+catfd_1_BHV_51/catpn_1_BHV_51),0)</f>
        <v>0</v>
      </c>
      <c r="K8" s="34">
        <f>IF(OR(ISBLANK(G8),G8=0),0,F8/ROUND(G8,4))</f>
        <v>0</v>
      </c>
      <c r="L8" s="37">
        <f>ROUND(J8,2)*K8</f>
        <v>0</v>
      </c>
      <c r="M8" s="34">
        <f>K8*dagenperjaar1</f>
        <v>0</v>
      </c>
      <c r="N8" s="37">
        <f>M8*ROUND(J8,2)</f>
        <v>0</v>
      </c>
    </row>
    <row r="9" spans="1:14" x14ac:dyDescent="0.2">
      <c r="A9" s="20" t="s">
        <v>142</v>
      </c>
      <c r="B9" s="20" t="s">
        <v>9</v>
      </c>
      <c r="C9" s="20" t="s">
        <v>136</v>
      </c>
      <c r="D9" s="20" t="s">
        <v>143</v>
      </c>
      <c r="E9" s="34">
        <v>4948.1600000000008</v>
      </c>
      <c r="F9" s="34">
        <f>E9*VLOOKUP(B9,dagsoorttabel1,2,FALSE)</f>
        <v>4948.1600000000008</v>
      </c>
      <c r="G9" s="35">
        <f>IF(AND(catpn_1_BZB_1&gt;0,catpn_1_BZV_51&gt;0),(dagenperjaar1*VLOOKUP(B9,dagsoorttabel1,2,FALSE))/(((dagenperjaar1*VLOOKUP(B9,dagsoorttabel1,2,FALSE))-catfd_1_BZV_51)/catpn_1_BZB_1+catfd_1_BZV_51/catpn_1_BZV_51),0)</f>
        <v>0</v>
      </c>
      <c r="H9" s="36">
        <f>IF(AND(catpn_1_BZB_1&gt;0,catpn_1_BZV_51&gt;0),(catdw_1_BZB_1*((dagenperjaar1*VLOOKUP(B9,dagsoorttabel1,2,FALSE))-catfd_1_BZV_51)/catpn_1_BZB_1+catdw_1_BZV_51*catfd_1_BZV_51/catpn_1_BZV_51)/(((dagenperjaar1*VLOOKUP(B9,dagsoorttabel1,2,FALSE))-catfd_1_BZV_51)/catpn_1_BZB_1+catfd_1_BZV_51/catpn_1_BZV_51),0)</f>
        <v>0</v>
      </c>
      <c r="I9" s="20" t="s">
        <v>35</v>
      </c>
      <c r="J9" s="37">
        <f>IF(AND(catpn_1_BZB_1&gt;0,catpn_1_BZV_51&gt;0),(cattf_1_BZB_1*((dagenperjaar1*VLOOKUP(B9,dagsoorttabel1,2,FALSE))-catfd_1_BZV_51)/catpn_1_BZB_1+cattf_1_BZV_51*catfd_1_BZV_51/catpn_1_BZV_51)/(((dagenperjaar1*VLOOKUP(B9,dagsoorttabel1,2,FALSE))-catfd_1_BZV_51)/catpn_1_BZB_1+catfd_1_BZV_51/catpn_1_BZV_51),0)</f>
        <v>0</v>
      </c>
      <c r="K9" s="34">
        <f>IF(OR(ISBLANK(G9),G9=0),0,F9/ROUND(G9,4))</f>
        <v>0</v>
      </c>
      <c r="L9" s="37">
        <f>ROUND(J9,2)*K9</f>
        <v>0</v>
      </c>
      <c r="M9" s="34">
        <f>K9*dagenperjaar1</f>
        <v>0</v>
      </c>
      <c r="N9" s="37">
        <f>M9*ROUND(J9,2)</f>
        <v>0</v>
      </c>
    </row>
    <row r="10" spans="1:14" x14ac:dyDescent="0.2">
      <c r="A10" s="20" t="s">
        <v>144</v>
      </c>
      <c r="B10" s="20" t="s">
        <v>15</v>
      </c>
      <c r="C10" s="20" t="s">
        <v>136</v>
      </c>
      <c r="D10" s="20" t="s">
        <v>145</v>
      </c>
      <c r="E10" s="34">
        <v>157.19999999999999</v>
      </c>
      <c r="F10" s="34">
        <f>E10*VLOOKUP(B10,dagsoorttabel1,2,FALSE)</f>
        <v>31.439999999999998</v>
      </c>
      <c r="G10" s="35">
        <f>catpn_1_BZB_1</f>
        <v>0</v>
      </c>
      <c r="H10" s="36">
        <f>catdw_1_BZB_1</f>
        <v>0</v>
      </c>
      <c r="I10" s="20" t="s">
        <v>35</v>
      </c>
      <c r="J10" s="37">
        <f>cattf_1_BZB_1</f>
        <v>0</v>
      </c>
      <c r="K10" s="34">
        <f>IF(OR(ISBLANK(G10),G10=0),0,F10/ROUND(G10,4))</f>
        <v>0</v>
      </c>
      <c r="L10" s="37">
        <f>ROUND(J10,2)*K10</f>
        <v>0</v>
      </c>
      <c r="M10" s="34">
        <f>K10*dagenperjaar1</f>
        <v>0</v>
      </c>
      <c r="N10" s="37">
        <f>M10*ROUND(J10,2)</f>
        <v>0</v>
      </c>
    </row>
    <row r="11" spans="1:14" x14ac:dyDescent="0.2">
      <c r="A11" s="20" t="s">
        <v>146</v>
      </c>
      <c r="B11" s="20" t="s">
        <v>9</v>
      </c>
      <c r="C11" s="20" t="s">
        <v>136</v>
      </c>
      <c r="D11" s="20" t="s">
        <v>147</v>
      </c>
      <c r="E11" s="34">
        <v>17.350000000000001</v>
      </c>
      <c r="F11" s="34">
        <f>E11*VLOOKUP(B11,dagsoorttabel1,2,FALSE)</f>
        <v>17.350000000000001</v>
      </c>
      <c r="G11" s="35">
        <f>IF(AND(catpn_1_DHB_1&gt;0,catpn_1_DHV_51&gt;0),(dagenperjaar1*VLOOKUP(B11,dagsoorttabel1,2,FALSE))/(((dagenperjaar1*VLOOKUP(B11,dagsoorttabel1,2,FALSE))-catfd_1_DHV_51)/catpn_1_DHB_1+catfd_1_DHV_51/catpn_1_DHV_51),0)</f>
        <v>0</v>
      </c>
      <c r="H11" s="36">
        <f>IF(AND(catpn_1_DHB_1&gt;0,catpn_1_DHV_51&gt;0),(catdw_1_DHB_1*((dagenperjaar1*VLOOKUP(B11,dagsoorttabel1,2,FALSE))-catfd_1_DHV_51)/catpn_1_DHB_1+catdw_1_DHV_51*catfd_1_DHV_51/catpn_1_DHV_51)/(((dagenperjaar1*VLOOKUP(B11,dagsoorttabel1,2,FALSE))-catfd_1_DHV_51)/catpn_1_DHB_1+catfd_1_DHV_51/catpn_1_DHV_51),0)</f>
        <v>0</v>
      </c>
      <c r="I11" s="20" t="s">
        <v>35</v>
      </c>
      <c r="J11" s="37">
        <f>IF(AND(catpn_1_DHB_1&gt;0,catpn_1_DHV_51&gt;0),(cattf_1_DHB_1*((dagenperjaar1*VLOOKUP(B11,dagsoorttabel1,2,FALSE))-catfd_1_DHV_51)/catpn_1_DHB_1+cattf_1_DHV_51*catfd_1_DHV_51/catpn_1_DHV_51)/(((dagenperjaar1*VLOOKUP(B11,dagsoorttabel1,2,FALSE))-catfd_1_DHV_51)/catpn_1_DHB_1+catfd_1_DHV_51/catpn_1_DHV_51),0)</f>
        <v>0</v>
      </c>
      <c r="K11" s="34">
        <f>IF(OR(ISBLANK(G11),G11=0),0,F11/ROUND(G11,4))</f>
        <v>0</v>
      </c>
      <c r="L11" s="37">
        <f>ROUND(J11,2)*K11</f>
        <v>0</v>
      </c>
      <c r="M11" s="34">
        <f>K11*dagenperjaar1</f>
        <v>0</v>
      </c>
      <c r="N11" s="37">
        <f>M11*ROUND(J11,2)</f>
        <v>0</v>
      </c>
    </row>
    <row r="12" spans="1:14" x14ac:dyDescent="0.2">
      <c r="A12" s="20" t="s">
        <v>148</v>
      </c>
      <c r="B12" s="20" t="s">
        <v>12</v>
      </c>
      <c r="C12" s="20" t="s">
        <v>136</v>
      </c>
      <c r="D12" s="20" t="s">
        <v>149</v>
      </c>
      <c r="E12" s="34">
        <v>1.87</v>
      </c>
      <c r="F12" s="34">
        <f>E12*VLOOKUP(B12,dagsoorttabel1,2,FALSE)</f>
        <v>1.1220000000000001</v>
      </c>
      <c r="G12" s="35">
        <f>IF(AND(catpn_1_EHB_1&gt;0,catpn_1_EHV_51&gt;0),(dagenperjaar1*VLOOKUP(B12,dagsoorttabel1,2,FALSE))/(((dagenperjaar1*VLOOKUP(B12,dagsoorttabel1,2,FALSE))-catfd_1_EHV_51)/catpn_1_EHB_1+catfd_1_EHV_51/catpn_1_EHV_51),0)</f>
        <v>0</v>
      </c>
      <c r="H12" s="36">
        <f>IF(AND(catpn_1_EHB_1&gt;0,catpn_1_EHV_51&gt;0),(catdw_1_EHB_1*((dagenperjaar1*VLOOKUP(B12,dagsoorttabel1,2,FALSE))-catfd_1_EHV_51)/catpn_1_EHB_1+catdw_1_EHV_51*catfd_1_EHV_51/catpn_1_EHV_51)/(((dagenperjaar1*VLOOKUP(B12,dagsoorttabel1,2,FALSE))-catfd_1_EHV_51)/catpn_1_EHB_1+catfd_1_EHV_51/catpn_1_EHV_51),0)</f>
        <v>0</v>
      </c>
      <c r="I12" s="20" t="s">
        <v>35</v>
      </c>
      <c r="J12" s="37">
        <f>IF(AND(catpn_1_EHB_1&gt;0,catpn_1_EHV_51&gt;0),(cattf_1_EHB_1*((dagenperjaar1*VLOOKUP(B12,dagsoorttabel1,2,FALSE))-catfd_1_EHV_51)/catpn_1_EHB_1+cattf_1_EHV_51*catfd_1_EHV_51/catpn_1_EHV_51)/(((dagenperjaar1*VLOOKUP(B12,dagsoorttabel1,2,FALSE))-catfd_1_EHV_51)/catpn_1_EHB_1+catfd_1_EHV_51/catpn_1_EHV_51),0)</f>
        <v>0</v>
      </c>
      <c r="K12" s="34">
        <f>IF(OR(ISBLANK(G12),G12=0),0,F12/ROUND(G12,4))</f>
        <v>0</v>
      </c>
      <c r="L12" s="37">
        <f>ROUND(J12,2)*K12</f>
        <v>0</v>
      </c>
      <c r="M12" s="34">
        <f>K12*dagenperjaar1</f>
        <v>0</v>
      </c>
      <c r="N12" s="37">
        <f>M12*ROUND(J12,2)</f>
        <v>0</v>
      </c>
    </row>
    <row r="13" spans="1:14" x14ac:dyDescent="0.2">
      <c r="A13" s="20" t="s">
        <v>148</v>
      </c>
      <c r="B13" s="20" t="s">
        <v>9</v>
      </c>
      <c r="C13" s="20" t="s">
        <v>136</v>
      </c>
      <c r="D13" s="20" t="s">
        <v>149</v>
      </c>
      <c r="E13" s="34">
        <v>337.58000000000004</v>
      </c>
      <c r="F13" s="34">
        <f>E13*VLOOKUP(B13,dagsoorttabel1,2,FALSE)</f>
        <v>337.58000000000004</v>
      </c>
      <c r="G13" s="35">
        <f>IF(AND(catpn_1_EHB_1&gt;0,catpn_1_EHV_51&gt;0),(dagenperjaar1*VLOOKUP(B13,dagsoorttabel1,2,FALSE))/(((dagenperjaar1*VLOOKUP(B13,dagsoorttabel1,2,FALSE))-catfd_1_EHV_51)/catpn_1_EHB_1+catfd_1_EHV_51/catpn_1_EHV_51),0)</f>
        <v>0</v>
      </c>
      <c r="H13" s="36">
        <f>IF(AND(catpn_1_EHB_1&gt;0,catpn_1_EHV_51&gt;0),(catdw_1_EHB_1*((dagenperjaar1*VLOOKUP(B13,dagsoorttabel1,2,FALSE))-catfd_1_EHV_51)/catpn_1_EHB_1+catdw_1_EHV_51*catfd_1_EHV_51/catpn_1_EHV_51)/(((dagenperjaar1*VLOOKUP(B13,dagsoorttabel1,2,FALSE))-catfd_1_EHV_51)/catpn_1_EHB_1+catfd_1_EHV_51/catpn_1_EHV_51),0)</f>
        <v>0</v>
      </c>
      <c r="I13" s="20" t="s">
        <v>35</v>
      </c>
      <c r="J13" s="37">
        <f>IF(AND(catpn_1_EHB_1&gt;0,catpn_1_EHV_51&gt;0),(cattf_1_EHB_1*((dagenperjaar1*VLOOKUP(B13,dagsoorttabel1,2,FALSE))-catfd_1_EHV_51)/catpn_1_EHB_1+cattf_1_EHV_51*catfd_1_EHV_51/catpn_1_EHV_51)/(((dagenperjaar1*VLOOKUP(B13,dagsoorttabel1,2,FALSE))-catfd_1_EHV_51)/catpn_1_EHB_1+catfd_1_EHV_51/catpn_1_EHV_51),0)</f>
        <v>0</v>
      </c>
      <c r="K13" s="34">
        <f>IF(OR(ISBLANK(G13),G13=0),0,F13/ROUND(G13,4))</f>
        <v>0</v>
      </c>
      <c r="L13" s="37">
        <f>ROUND(J13,2)*K13</f>
        <v>0</v>
      </c>
      <c r="M13" s="34">
        <f>K13*dagenperjaar1</f>
        <v>0</v>
      </c>
      <c r="N13" s="37">
        <f>M13*ROUND(J13,2)</f>
        <v>0</v>
      </c>
    </row>
    <row r="14" spans="1:14" x14ac:dyDescent="0.2">
      <c r="A14" s="20" t="s">
        <v>150</v>
      </c>
      <c r="B14" s="20" t="s">
        <v>9</v>
      </c>
      <c r="C14" s="20" t="s">
        <v>136</v>
      </c>
      <c r="D14" s="20" t="s">
        <v>151</v>
      </c>
      <c r="E14" s="34">
        <v>55.379999999999995</v>
      </c>
      <c r="F14" s="34">
        <f>E14*VLOOKUP(B14,dagsoorttabel1,2,FALSE)</f>
        <v>55.379999999999995</v>
      </c>
      <c r="G14" s="35">
        <f>IF(AND(catpn_1_EZB_1&gt;0,catpn_1_EZV_51&gt;0),(dagenperjaar1*VLOOKUP(B14,dagsoorttabel1,2,FALSE))/(((dagenperjaar1*VLOOKUP(B14,dagsoorttabel1,2,FALSE))-catfd_1_EZV_51)/catpn_1_EZB_1+catfd_1_EZV_51/catpn_1_EZV_51),0)</f>
        <v>0</v>
      </c>
      <c r="H14" s="36">
        <f>IF(AND(catpn_1_EZB_1&gt;0,catpn_1_EZV_51&gt;0),(catdw_1_EZB_1*((dagenperjaar1*VLOOKUP(B14,dagsoorttabel1,2,FALSE))-catfd_1_EZV_51)/catpn_1_EZB_1+catdw_1_EZV_51*catfd_1_EZV_51/catpn_1_EZV_51)/(((dagenperjaar1*VLOOKUP(B14,dagsoorttabel1,2,FALSE))-catfd_1_EZV_51)/catpn_1_EZB_1+catfd_1_EZV_51/catpn_1_EZV_51),0)</f>
        <v>0</v>
      </c>
      <c r="I14" s="20" t="s">
        <v>35</v>
      </c>
      <c r="J14" s="37">
        <f>IF(AND(catpn_1_EZB_1&gt;0,catpn_1_EZV_51&gt;0),(cattf_1_EZB_1*((dagenperjaar1*VLOOKUP(B14,dagsoorttabel1,2,FALSE))-catfd_1_EZV_51)/catpn_1_EZB_1+cattf_1_EZV_51*catfd_1_EZV_51/catpn_1_EZV_51)/(((dagenperjaar1*VLOOKUP(B14,dagsoorttabel1,2,FALSE))-catfd_1_EZV_51)/catpn_1_EZB_1+catfd_1_EZV_51/catpn_1_EZV_51),0)</f>
        <v>0</v>
      </c>
      <c r="K14" s="34">
        <f>IF(OR(ISBLANK(G14),G14=0),0,F14/ROUND(G14,4))</f>
        <v>0</v>
      </c>
      <c r="L14" s="37">
        <f>ROUND(J14,2)*K14</f>
        <v>0</v>
      </c>
      <c r="M14" s="34">
        <f>K14*dagenperjaar1</f>
        <v>0</v>
      </c>
      <c r="N14" s="37">
        <f>M14*ROUND(J14,2)</f>
        <v>0</v>
      </c>
    </row>
    <row r="15" spans="1:14" x14ac:dyDescent="0.2">
      <c r="A15" s="20" t="s">
        <v>152</v>
      </c>
      <c r="B15" s="20" t="s">
        <v>9</v>
      </c>
      <c r="C15" s="20" t="s">
        <v>136</v>
      </c>
      <c r="D15" s="20" t="s">
        <v>153</v>
      </c>
      <c r="E15" s="34">
        <v>2.3099999999999996</v>
      </c>
      <c r="F15" s="34">
        <f>E15*VLOOKUP(B15,dagsoorttabel1,2,FALSE)</f>
        <v>2.3099999999999996</v>
      </c>
      <c r="G15" s="35">
        <f>IF(AND(catpn_1_IHB_1&gt;0,catpn_1_IHV_51&gt;0),(dagenperjaar1*VLOOKUP(B15,dagsoorttabel1,2,FALSE))/(((dagenperjaar1*VLOOKUP(B15,dagsoorttabel1,2,FALSE))-catfd_1_IHV_51)/catpn_1_IHB_1+catfd_1_IHV_51/catpn_1_IHV_51),0)</f>
        <v>0</v>
      </c>
      <c r="H15" s="36">
        <f>IF(AND(catpn_1_IHB_1&gt;0,catpn_1_IHV_51&gt;0),(catdw_1_IHB_1*((dagenperjaar1*VLOOKUP(B15,dagsoorttabel1,2,FALSE))-catfd_1_IHV_51)/catpn_1_IHB_1+catdw_1_IHV_51*catfd_1_IHV_51/catpn_1_IHV_51)/(((dagenperjaar1*VLOOKUP(B15,dagsoorttabel1,2,FALSE))-catfd_1_IHV_51)/catpn_1_IHB_1+catfd_1_IHV_51/catpn_1_IHV_51),0)</f>
        <v>0</v>
      </c>
      <c r="I15" s="20" t="s">
        <v>35</v>
      </c>
      <c r="J15" s="37">
        <f>IF(AND(catpn_1_IHB_1&gt;0,catpn_1_IHV_51&gt;0),(cattf_1_IHB_1*((dagenperjaar1*VLOOKUP(B15,dagsoorttabel1,2,FALSE))-catfd_1_IHV_51)/catpn_1_IHB_1+cattf_1_IHV_51*catfd_1_IHV_51/catpn_1_IHV_51)/(((dagenperjaar1*VLOOKUP(B15,dagsoorttabel1,2,FALSE))-catfd_1_IHV_51)/catpn_1_IHB_1+catfd_1_IHV_51/catpn_1_IHV_51),0)</f>
        <v>0</v>
      </c>
      <c r="K15" s="34">
        <f>IF(OR(ISBLANK(G15),G15=0),0,F15/ROUND(G15,4))</f>
        <v>0</v>
      </c>
      <c r="L15" s="37">
        <f>ROUND(J15,2)*K15</f>
        <v>0</v>
      </c>
      <c r="M15" s="34">
        <f>K15*dagenperjaar1</f>
        <v>0</v>
      </c>
      <c r="N15" s="37">
        <f>M15*ROUND(J15,2)</f>
        <v>0</v>
      </c>
    </row>
    <row r="16" spans="1:14" x14ac:dyDescent="0.2">
      <c r="A16" s="20" t="s">
        <v>154</v>
      </c>
      <c r="B16" s="20" t="s">
        <v>9</v>
      </c>
      <c r="C16" s="20" t="s">
        <v>136</v>
      </c>
      <c r="D16" s="20" t="s">
        <v>155</v>
      </c>
      <c r="E16" s="34">
        <v>89.52</v>
      </c>
      <c r="F16" s="34">
        <f>E16*VLOOKUP(B16,dagsoorttabel1,2,FALSE)</f>
        <v>89.52</v>
      </c>
      <c r="G16" s="35">
        <f>IF(AND(catpn_1_KHB_1&gt;0,catpn_1_KHV_51&gt;0),(dagenperjaar1*VLOOKUP(B16,dagsoorttabel1,2,FALSE))/(((dagenperjaar1*VLOOKUP(B16,dagsoorttabel1,2,FALSE))-catfd_1_KHV_51)/catpn_1_KHB_1+catfd_1_KHV_51/catpn_1_KHV_51),0)</f>
        <v>0</v>
      </c>
      <c r="H16" s="36">
        <f>IF(AND(catpn_1_KHB_1&gt;0,catpn_1_KHV_51&gt;0),(catdw_1_KHB_1*((dagenperjaar1*VLOOKUP(B16,dagsoorttabel1,2,FALSE))-catfd_1_KHV_51)/catpn_1_KHB_1+catdw_1_KHV_51*catfd_1_KHV_51/catpn_1_KHV_51)/(((dagenperjaar1*VLOOKUP(B16,dagsoorttabel1,2,FALSE))-catfd_1_KHV_51)/catpn_1_KHB_1+catfd_1_KHV_51/catpn_1_KHV_51),0)</f>
        <v>0</v>
      </c>
      <c r="I16" s="20" t="s">
        <v>35</v>
      </c>
      <c r="J16" s="37">
        <f>IF(AND(catpn_1_KHB_1&gt;0,catpn_1_KHV_51&gt;0),(cattf_1_KHB_1*((dagenperjaar1*VLOOKUP(B16,dagsoorttabel1,2,FALSE))-catfd_1_KHV_51)/catpn_1_KHB_1+cattf_1_KHV_51*catfd_1_KHV_51/catpn_1_KHV_51)/(((dagenperjaar1*VLOOKUP(B16,dagsoorttabel1,2,FALSE))-catfd_1_KHV_51)/catpn_1_KHB_1+catfd_1_KHV_51/catpn_1_KHV_51),0)</f>
        <v>0</v>
      </c>
      <c r="K16" s="34">
        <f>IF(OR(ISBLANK(G16),G16=0),0,F16/ROUND(G16,4))</f>
        <v>0</v>
      </c>
      <c r="L16" s="37">
        <f>ROUND(J16,2)*K16</f>
        <v>0</v>
      </c>
      <c r="M16" s="34">
        <f>K16*dagenperjaar1</f>
        <v>0</v>
      </c>
      <c r="N16" s="37">
        <f>M16*ROUND(J16,2)</f>
        <v>0</v>
      </c>
    </row>
    <row r="17" spans="1:14" x14ac:dyDescent="0.2">
      <c r="A17" s="20" t="s">
        <v>156</v>
      </c>
      <c r="B17" s="20" t="s">
        <v>12</v>
      </c>
      <c r="C17" s="20" t="s">
        <v>136</v>
      </c>
      <c r="D17" s="20" t="s">
        <v>157</v>
      </c>
      <c r="E17" s="34">
        <v>13.51</v>
      </c>
      <c r="F17" s="34">
        <f>E17*VLOOKUP(B17,dagsoorttabel1,2,FALSE)</f>
        <v>8.1059999999999999</v>
      </c>
      <c r="G17" s="35">
        <f>IF(AND(catpn_1_OHB_1&gt;0,catpn_1_OHV_51&gt;0),(dagenperjaar1*VLOOKUP(B17,dagsoorttabel1,2,FALSE))/(((dagenperjaar1*VLOOKUP(B17,dagsoorttabel1,2,FALSE))-catfd_1_OHV_51)/catpn_1_OHB_1+catfd_1_OHV_51/catpn_1_OHV_51),0)</f>
        <v>0</v>
      </c>
      <c r="H17" s="36">
        <f>IF(AND(catpn_1_OHB_1&gt;0,catpn_1_OHV_51&gt;0),(catdw_1_OHB_1*((dagenperjaar1*VLOOKUP(B17,dagsoorttabel1,2,FALSE))-catfd_1_OHV_51)/catpn_1_OHB_1+catdw_1_OHV_51*catfd_1_OHV_51/catpn_1_OHV_51)/(((dagenperjaar1*VLOOKUP(B17,dagsoorttabel1,2,FALSE))-catfd_1_OHV_51)/catpn_1_OHB_1+catfd_1_OHV_51/catpn_1_OHV_51),0)</f>
        <v>0</v>
      </c>
      <c r="I17" s="20" t="s">
        <v>35</v>
      </c>
      <c r="J17" s="37">
        <f>IF(AND(catpn_1_OHB_1&gt;0,catpn_1_OHV_51&gt;0),(cattf_1_OHB_1*((dagenperjaar1*VLOOKUP(B17,dagsoorttabel1,2,FALSE))-catfd_1_OHV_51)/catpn_1_OHB_1+cattf_1_OHV_51*catfd_1_OHV_51/catpn_1_OHV_51)/(((dagenperjaar1*VLOOKUP(B17,dagsoorttabel1,2,FALSE))-catfd_1_OHV_51)/catpn_1_OHB_1+catfd_1_OHV_51/catpn_1_OHV_51),0)</f>
        <v>0</v>
      </c>
      <c r="K17" s="34">
        <f>IF(OR(ISBLANK(G17),G17=0),0,F17/ROUND(G17,4))</f>
        <v>0</v>
      </c>
      <c r="L17" s="37">
        <f>ROUND(J17,2)*K17</f>
        <v>0</v>
      </c>
      <c r="M17" s="34">
        <f>K17*dagenperjaar1</f>
        <v>0</v>
      </c>
      <c r="N17" s="37">
        <f>M17*ROUND(J17,2)</f>
        <v>0</v>
      </c>
    </row>
    <row r="18" spans="1:14" x14ac:dyDescent="0.2">
      <c r="A18" s="20" t="s">
        <v>156</v>
      </c>
      <c r="B18" s="20" t="s">
        <v>9</v>
      </c>
      <c r="C18" s="20" t="s">
        <v>136</v>
      </c>
      <c r="D18" s="20" t="s">
        <v>157</v>
      </c>
      <c r="E18" s="34">
        <v>208.62</v>
      </c>
      <c r="F18" s="34">
        <f>E18*VLOOKUP(B18,dagsoorttabel1,2,FALSE)</f>
        <v>208.62</v>
      </c>
      <c r="G18" s="35">
        <f>IF(AND(catpn_1_OHB_1&gt;0,catpn_1_OHV_51&gt;0),(dagenperjaar1*VLOOKUP(B18,dagsoorttabel1,2,FALSE))/(((dagenperjaar1*VLOOKUP(B18,dagsoorttabel1,2,FALSE))-catfd_1_OHV_51)/catpn_1_OHB_1+catfd_1_OHV_51/catpn_1_OHV_51),0)</f>
        <v>0</v>
      </c>
      <c r="H18" s="36">
        <f>IF(AND(catpn_1_OHB_1&gt;0,catpn_1_OHV_51&gt;0),(catdw_1_OHB_1*((dagenperjaar1*VLOOKUP(B18,dagsoorttabel1,2,FALSE))-catfd_1_OHV_51)/catpn_1_OHB_1+catdw_1_OHV_51*catfd_1_OHV_51/catpn_1_OHV_51)/(((dagenperjaar1*VLOOKUP(B18,dagsoorttabel1,2,FALSE))-catfd_1_OHV_51)/catpn_1_OHB_1+catfd_1_OHV_51/catpn_1_OHV_51),0)</f>
        <v>0</v>
      </c>
      <c r="I18" s="20" t="s">
        <v>35</v>
      </c>
      <c r="J18" s="37">
        <f>IF(AND(catpn_1_OHB_1&gt;0,catpn_1_OHV_51&gt;0),(cattf_1_OHB_1*((dagenperjaar1*VLOOKUP(B18,dagsoorttabel1,2,FALSE))-catfd_1_OHV_51)/catpn_1_OHB_1+cattf_1_OHV_51*catfd_1_OHV_51/catpn_1_OHV_51)/(((dagenperjaar1*VLOOKUP(B18,dagsoorttabel1,2,FALSE))-catfd_1_OHV_51)/catpn_1_OHB_1+catfd_1_OHV_51/catpn_1_OHV_51),0)</f>
        <v>0</v>
      </c>
      <c r="K18" s="34">
        <f>IF(OR(ISBLANK(G18),G18=0),0,F18/ROUND(G18,4))</f>
        <v>0</v>
      </c>
      <c r="L18" s="37">
        <f>ROUND(J18,2)*K18</f>
        <v>0</v>
      </c>
      <c r="M18" s="34">
        <f>K18*dagenperjaar1</f>
        <v>0</v>
      </c>
      <c r="N18" s="37">
        <f>M18*ROUND(J18,2)</f>
        <v>0</v>
      </c>
    </row>
    <row r="19" spans="1:14" x14ac:dyDescent="0.2">
      <c r="A19" s="20" t="s">
        <v>158</v>
      </c>
      <c r="B19" s="20" t="s">
        <v>9</v>
      </c>
      <c r="C19" s="20" t="s">
        <v>136</v>
      </c>
      <c r="D19" s="20" t="s">
        <v>159</v>
      </c>
      <c r="E19" s="34">
        <v>472.24</v>
      </c>
      <c r="F19" s="34">
        <f>E19*VLOOKUP(B19,dagsoorttabel1,2,FALSE)</f>
        <v>472.24</v>
      </c>
      <c r="G19" s="35">
        <f>IF(AND(catpn_1_OZB_1&gt;0,catpn_1_OZV_51&gt;0),(dagenperjaar1*VLOOKUP(B19,dagsoorttabel1,2,FALSE))/(((dagenperjaar1*VLOOKUP(B19,dagsoorttabel1,2,FALSE))-catfd_1_OZV_51)/catpn_1_OZB_1+catfd_1_OZV_51/catpn_1_OZV_51),0)</f>
        <v>0</v>
      </c>
      <c r="H19" s="36">
        <f>IF(AND(catpn_1_OZB_1&gt;0,catpn_1_OZV_51&gt;0),(catdw_1_OZB_1*((dagenperjaar1*VLOOKUP(B19,dagsoorttabel1,2,FALSE))-catfd_1_OZV_51)/catpn_1_OZB_1+catdw_1_OZV_51*catfd_1_OZV_51/catpn_1_OZV_51)/(((dagenperjaar1*VLOOKUP(B19,dagsoorttabel1,2,FALSE))-catfd_1_OZV_51)/catpn_1_OZB_1+catfd_1_OZV_51/catpn_1_OZV_51),0)</f>
        <v>0</v>
      </c>
      <c r="I19" s="20" t="s">
        <v>35</v>
      </c>
      <c r="J19" s="37">
        <f>IF(AND(catpn_1_OZB_1&gt;0,catpn_1_OZV_51&gt;0),(cattf_1_OZB_1*((dagenperjaar1*VLOOKUP(B19,dagsoorttabel1,2,FALSE))-catfd_1_OZV_51)/catpn_1_OZB_1+cattf_1_OZV_51*catfd_1_OZV_51/catpn_1_OZV_51)/(((dagenperjaar1*VLOOKUP(B19,dagsoorttabel1,2,FALSE))-catfd_1_OZV_51)/catpn_1_OZB_1+catfd_1_OZV_51/catpn_1_OZV_51),0)</f>
        <v>0</v>
      </c>
      <c r="K19" s="34">
        <f>IF(OR(ISBLANK(G19),G19=0),0,F19/ROUND(G19,4))</f>
        <v>0</v>
      </c>
      <c r="L19" s="37">
        <f>ROUND(J19,2)*K19</f>
        <v>0</v>
      </c>
      <c r="M19" s="34">
        <f>K19*dagenperjaar1</f>
        <v>0</v>
      </c>
      <c r="N19" s="37">
        <f>M19*ROUND(J19,2)</f>
        <v>0</v>
      </c>
    </row>
    <row r="20" spans="1:14" x14ac:dyDescent="0.2">
      <c r="A20" s="20" t="s">
        <v>160</v>
      </c>
      <c r="B20" s="20" t="s">
        <v>15</v>
      </c>
      <c r="C20" s="20" t="s">
        <v>136</v>
      </c>
      <c r="D20" s="20" t="s">
        <v>161</v>
      </c>
      <c r="E20" s="34">
        <v>31</v>
      </c>
      <c r="F20" s="34">
        <f>E20*VLOOKUP(B20,dagsoorttabel1,2,FALSE)</f>
        <v>6.2</v>
      </c>
      <c r="G20" s="35">
        <f>catpn_1_OZB_1</f>
        <v>0</v>
      </c>
      <c r="H20" s="36">
        <f>catdw_1_OZB_1</f>
        <v>0</v>
      </c>
      <c r="I20" s="20" t="s">
        <v>35</v>
      </c>
      <c r="J20" s="37">
        <f>cattf_1_OZB_1</f>
        <v>0</v>
      </c>
      <c r="K20" s="34">
        <f>IF(OR(ISBLANK(G20),G20=0),0,F20/ROUND(G20,4))</f>
        <v>0</v>
      </c>
      <c r="L20" s="37">
        <f>ROUND(J20,2)*K20</f>
        <v>0</v>
      </c>
      <c r="M20" s="34">
        <f>K20*dagenperjaar1</f>
        <v>0</v>
      </c>
      <c r="N20" s="37">
        <f>M20*ROUND(J20,2)</f>
        <v>0</v>
      </c>
    </row>
    <row r="21" spans="1:14" x14ac:dyDescent="0.2">
      <c r="A21" s="20" t="s">
        <v>162</v>
      </c>
      <c r="B21" s="20" t="s">
        <v>9</v>
      </c>
      <c r="C21" s="20" t="s">
        <v>136</v>
      </c>
      <c r="D21" s="20" t="s">
        <v>163</v>
      </c>
      <c r="E21" s="34">
        <v>82.47</v>
      </c>
      <c r="F21" s="34">
        <f>E21*VLOOKUP(B21,dagsoorttabel1,2,FALSE)</f>
        <v>82.47</v>
      </c>
      <c r="G21" s="35">
        <f>IF(AND(catpn_1_PHB_1&gt;0,catpn_1_PHV_51&gt;0),(dagenperjaar1*VLOOKUP(B21,dagsoorttabel1,2,FALSE))/(((dagenperjaar1*VLOOKUP(B21,dagsoorttabel1,2,FALSE))-catfd_1_PHV_51)/catpn_1_PHB_1+catfd_1_PHV_51/catpn_1_PHV_51),0)</f>
        <v>0</v>
      </c>
      <c r="H21" s="36">
        <f>IF(AND(catpn_1_PHB_1&gt;0,catpn_1_PHV_51&gt;0),(catdw_1_PHB_1*((dagenperjaar1*VLOOKUP(B21,dagsoorttabel1,2,FALSE))-catfd_1_PHV_51)/catpn_1_PHB_1+catdw_1_PHV_51*catfd_1_PHV_51/catpn_1_PHV_51)/(((dagenperjaar1*VLOOKUP(B21,dagsoorttabel1,2,FALSE))-catfd_1_PHV_51)/catpn_1_PHB_1+catfd_1_PHV_51/catpn_1_PHV_51),0)</f>
        <v>0</v>
      </c>
      <c r="I21" s="20" t="s">
        <v>35</v>
      </c>
      <c r="J21" s="37">
        <f>IF(AND(catpn_1_PHB_1&gt;0,catpn_1_PHV_51&gt;0),(cattf_1_PHB_1*((dagenperjaar1*VLOOKUP(B21,dagsoorttabel1,2,FALSE))-catfd_1_PHV_51)/catpn_1_PHB_1+cattf_1_PHV_51*catfd_1_PHV_51/catpn_1_PHV_51)/(((dagenperjaar1*VLOOKUP(B21,dagsoorttabel1,2,FALSE))-catfd_1_PHV_51)/catpn_1_PHB_1+catfd_1_PHV_51/catpn_1_PHV_51),0)</f>
        <v>0</v>
      </c>
      <c r="K21" s="34">
        <f>IF(OR(ISBLANK(G21),G21=0),0,F21/ROUND(G21,4))</f>
        <v>0</v>
      </c>
      <c r="L21" s="37">
        <f>ROUND(J21,2)*K21</f>
        <v>0</v>
      </c>
      <c r="M21" s="34">
        <f>K21*dagenperjaar1</f>
        <v>0</v>
      </c>
      <c r="N21" s="37">
        <f>M21*ROUND(J21,2)</f>
        <v>0</v>
      </c>
    </row>
    <row r="22" spans="1:14" x14ac:dyDescent="0.2">
      <c r="A22" s="20" t="s">
        <v>164</v>
      </c>
      <c r="B22" s="20" t="s">
        <v>9</v>
      </c>
      <c r="C22" s="20" t="s">
        <v>136</v>
      </c>
      <c r="D22" s="20" t="s">
        <v>165</v>
      </c>
      <c r="E22" s="34">
        <v>7.8</v>
      </c>
      <c r="F22" s="34">
        <f>E22*VLOOKUP(B22,dagsoorttabel1,2,FALSE)</f>
        <v>7.8</v>
      </c>
      <c r="G22" s="35">
        <f>IF(AND(catpn_1_PZB_1&gt;0,catpn_1_PZV_51&gt;0),(dagenperjaar1*VLOOKUP(B22,dagsoorttabel1,2,FALSE))/(((dagenperjaar1*VLOOKUP(B22,dagsoorttabel1,2,FALSE))-catfd_1_PZV_51)/catpn_1_PZB_1+catfd_1_PZV_51/catpn_1_PZV_51),0)</f>
        <v>0</v>
      </c>
      <c r="H22" s="36">
        <f>IF(AND(catpn_1_PZB_1&gt;0,catpn_1_PZV_51&gt;0),(catdw_1_PZB_1*((dagenperjaar1*VLOOKUP(B22,dagsoorttabel1,2,FALSE))-catfd_1_PZV_51)/catpn_1_PZB_1+catdw_1_PZV_51*catfd_1_PZV_51/catpn_1_PZV_51)/(((dagenperjaar1*VLOOKUP(B22,dagsoorttabel1,2,FALSE))-catfd_1_PZV_51)/catpn_1_PZB_1+catfd_1_PZV_51/catpn_1_PZV_51),0)</f>
        <v>0</v>
      </c>
      <c r="I22" s="20" t="s">
        <v>35</v>
      </c>
      <c r="J22" s="37">
        <f>IF(AND(catpn_1_PZB_1&gt;0,catpn_1_PZV_51&gt;0),(cattf_1_PZB_1*((dagenperjaar1*VLOOKUP(B22,dagsoorttabel1,2,FALSE))-catfd_1_PZV_51)/catpn_1_PZB_1+cattf_1_PZV_51*catfd_1_PZV_51/catpn_1_PZV_51)/(((dagenperjaar1*VLOOKUP(B22,dagsoorttabel1,2,FALSE))-catfd_1_PZV_51)/catpn_1_PZB_1+catfd_1_PZV_51/catpn_1_PZV_51),0)</f>
        <v>0</v>
      </c>
      <c r="K22" s="34">
        <f>IF(OR(ISBLANK(G22),G22=0),0,F22/ROUND(G22,4))</f>
        <v>0</v>
      </c>
      <c r="L22" s="37">
        <f>ROUND(J22,2)*K22</f>
        <v>0</v>
      </c>
      <c r="M22" s="34">
        <f>K22*dagenperjaar1</f>
        <v>0</v>
      </c>
      <c r="N22" s="37">
        <f>M22*ROUND(J22,2)</f>
        <v>0</v>
      </c>
    </row>
    <row r="23" spans="1:14" x14ac:dyDescent="0.2">
      <c r="A23" s="20" t="s">
        <v>166</v>
      </c>
      <c r="B23" s="20" t="s">
        <v>9</v>
      </c>
      <c r="C23" s="20" t="s">
        <v>136</v>
      </c>
      <c r="D23" s="20" t="s">
        <v>167</v>
      </c>
      <c r="E23" s="34">
        <v>316.33</v>
      </c>
      <c r="F23" s="34">
        <f>E23*VLOOKUP(B23,dagsoorttabel1,2,FALSE)</f>
        <v>316.33</v>
      </c>
      <c r="G23" s="35">
        <f>IF(AND(catpn_1_RHB_1&gt;0,catpn_1_RHV_51&gt;0),(dagenperjaar1*VLOOKUP(B23,dagsoorttabel1,2,FALSE))/(((dagenperjaar1*VLOOKUP(B23,dagsoorttabel1,2,FALSE))-catfd_1_RHV_51)/catpn_1_RHB_1+catfd_1_RHV_51/catpn_1_RHV_51),0)</f>
        <v>0</v>
      </c>
      <c r="H23" s="36">
        <f>IF(AND(catpn_1_RHB_1&gt;0,catpn_1_RHV_51&gt;0),(catdw_1_RHB_1*((dagenperjaar1*VLOOKUP(B23,dagsoorttabel1,2,FALSE))-catfd_1_RHV_51)/catpn_1_RHB_1+catdw_1_RHV_51*catfd_1_RHV_51/catpn_1_RHV_51)/(((dagenperjaar1*VLOOKUP(B23,dagsoorttabel1,2,FALSE))-catfd_1_RHV_51)/catpn_1_RHB_1+catfd_1_RHV_51/catpn_1_RHV_51),0)</f>
        <v>0</v>
      </c>
      <c r="I23" s="20" t="s">
        <v>35</v>
      </c>
      <c r="J23" s="37">
        <f>IF(AND(catpn_1_RHB_1&gt;0,catpn_1_RHV_51&gt;0),(cattf_1_RHB_1*((dagenperjaar1*VLOOKUP(B23,dagsoorttabel1,2,FALSE))-catfd_1_RHV_51)/catpn_1_RHB_1+cattf_1_RHV_51*catfd_1_RHV_51/catpn_1_RHV_51)/(((dagenperjaar1*VLOOKUP(B23,dagsoorttabel1,2,FALSE))-catfd_1_RHV_51)/catpn_1_RHB_1+catfd_1_RHV_51/catpn_1_RHV_51),0)</f>
        <v>0</v>
      </c>
      <c r="K23" s="34">
        <f>IF(OR(ISBLANK(G23),G23=0),0,F23/ROUND(G23,4))</f>
        <v>0</v>
      </c>
      <c r="L23" s="37">
        <f>ROUND(J23,2)*K23</f>
        <v>0</v>
      </c>
      <c r="M23" s="34">
        <f>K23*dagenperjaar1</f>
        <v>0</v>
      </c>
      <c r="N23" s="37">
        <f>M23*ROUND(J23,2)</f>
        <v>0</v>
      </c>
    </row>
    <row r="24" spans="1:14" x14ac:dyDescent="0.2">
      <c r="A24" s="20" t="s">
        <v>168</v>
      </c>
      <c r="B24" s="20" t="s">
        <v>9</v>
      </c>
      <c r="C24" s="20" t="s">
        <v>136</v>
      </c>
      <c r="D24" s="20" t="s">
        <v>169</v>
      </c>
      <c r="E24" s="34">
        <v>163.76999999999998</v>
      </c>
      <c r="F24" s="34">
        <f>E24*VLOOKUP(B24,dagsoorttabel1,2,FALSE)</f>
        <v>163.76999999999998</v>
      </c>
      <c r="G24" s="35">
        <f>IF(AND(catpn_1_RZB_1&gt;0,catpn_1_RZV_51&gt;0),(dagenperjaar1*VLOOKUP(B24,dagsoorttabel1,2,FALSE))/(((dagenperjaar1*VLOOKUP(B24,dagsoorttabel1,2,FALSE))-catfd_1_RZV_51)/catpn_1_RZB_1+catfd_1_RZV_51/catpn_1_RZV_51),0)</f>
        <v>0</v>
      </c>
      <c r="H24" s="36">
        <f>IF(AND(catpn_1_RZB_1&gt;0,catpn_1_RZV_51&gt;0),(catdw_1_RZB_1*((dagenperjaar1*VLOOKUP(B24,dagsoorttabel1,2,FALSE))-catfd_1_RZV_51)/catpn_1_RZB_1+catdw_1_RZV_51*catfd_1_RZV_51/catpn_1_RZV_51)/(((dagenperjaar1*VLOOKUP(B24,dagsoorttabel1,2,FALSE))-catfd_1_RZV_51)/catpn_1_RZB_1+catfd_1_RZV_51/catpn_1_RZV_51),0)</f>
        <v>0</v>
      </c>
      <c r="I24" s="20" t="s">
        <v>35</v>
      </c>
      <c r="J24" s="37">
        <f>IF(AND(catpn_1_RZB_1&gt;0,catpn_1_RZV_51&gt;0),(cattf_1_RZB_1*((dagenperjaar1*VLOOKUP(B24,dagsoorttabel1,2,FALSE))-catfd_1_RZV_51)/catpn_1_RZB_1+cattf_1_RZV_51*catfd_1_RZV_51/catpn_1_RZV_51)/(((dagenperjaar1*VLOOKUP(B24,dagsoorttabel1,2,FALSE))-catfd_1_RZV_51)/catpn_1_RZB_1+catfd_1_RZV_51/catpn_1_RZV_51),0)</f>
        <v>0</v>
      </c>
      <c r="K24" s="34">
        <f>IF(OR(ISBLANK(G24),G24=0),0,F24/ROUND(G24,4))</f>
        <v>0</v>
      </c>
      <c r="L24" s="37">
        <f>ROUND(J24,2)*K24</f>
        <v>0</v>
      </c>
      <c r="M24" s="34">
        <f>K24*dagenperjaar1</f>
        <v>0</v>
      </c>
      <c r="N24" s="37">
        <f>M24*ROUND(J24,2)</f>
        <v>0</v>
      </c>
    </row>
    <row r="25" spans="1:14" x14ac:dyDescent="0.2">
      <c r="A25" s="20" t="s">
        <v>170</v>
      </c>
      <c r="B25" s="20" t="s">
        <v>15</v>
      </c>
      <c r="C25" s="20" t="s">
        <v>136</v>
      </c>
      <c r="D25" s="20" t="s">
        <v>171</v>
      </c>
      <c r="E25" s="34">
        <v>4</v>
      </c>
      <c r="F25" s="34">
        <f>E25*VLOOKUP(B25,dagsoorttabel1,2,FALSE)</f>
        <v>0.8</v>
      </c>
      <c r="G25" s="35">
        <f>IF(AND(catpn_1_SHB_1&gt;0,catpn_1_SHV_51&gt;0),(dagenperjaar1*VLOOKUP(B25,dagsoorttabel1,2,FALSE))/(((dagenperjaar1*VLOOKUP(B25,dagsoorttabel1,2,FALSE))-catfd_1_SHV_51)/catpn_1_SHB_1+catfd_1_SHV_51/catpn_1_SHV_51),0)</f>
        <v>0</v>
      </c>
      <c r="H25" s="36">
        <f>IF(AND(catpn_1_SHB_1&gt;0,catpn_1_SHV_51&gt;0),(catdw_1_SHB_1*((dagenperjaar1*VLOOKUP(B25,dagsoorttabel1,2,FALSE))-catfd_1_SHV_51)/catpn_1_SHB_1+catdw_1_SHV_51*catfd_1_SHV_51/catpn_1_SHV_51)/(((dagenperjaar1*VLOOKUP(B25,dagsoorttabel1,2,FALSE))-catfd_1_SHV_51)/catpn_1_SHB_1+catfd_1_SHV_51/catpn_1_SHV_51),0)</f>
        <v>0</v>
      </c>
      <c r="I25" s="20" t="s">
        <v>35</v>
      </c>
      <c r="J25" s="37">
        <f>IF(AND(catpn_1_SHB_1&gt;0,catpn_1_SHV_51&gt;0),(cattf_1_SHB_1*((dagenperjaar1*VLOOKUP(B25,dagsoorttabel1,2,FALSE))-catfd_1_SHV_51)/catpn_1_SHB_1+cattf_1_SHV_51*catfd_1_SHV_51/catpn_1_SHV_51)/(((dagenperjaar1*VLOOKUP(B25,dagsoorttabel1,2,FALSE))-catfd_1_SHV_51)/catpn_1_SHB_1+catfd_1_SHV_51/catpn_1_SHV_51),0)</f>
        <v>0</v>
      </c>
      <c r="K25" s="34">
        <f>IF(OR(ISBLANK(G25),G25=0),0,F25/ROUND(G25,4))</f>
        <v>0</v>
      </c>
      <c r="L25" s="37">
        <f>ROUND(J25,2)*K25</f>
        <v>0</v>
      </c>
      <c r="M25" s="34">
        <f>K25*dagenperjaar1</f>
        <v>0</v>
      </c>
      <c r="N25" s="37">
        <f>M25*ROUND(J25,2)</f>
        <v>0</v>
      </c>
    </row>
    <row r="26" spans="1:14" x14ac:dyDescent="0.2">
      <c r="A26" s="20" t="s">
        <v>170</v>
      </c>
      <c r="B26" s="20" t="s">
        <v>12</v>
      </c>
      <c r="C26" s="20" t="s">
        <v>136</v>
      </c>
      <c r="D26" s="20" t="s">
        <v>171</v>
      </c>
      <c r="E26" s="34">
        <v>0.95000000000000007</v>
      </c>
      <c r="F26" s="34">
        <f>E26*VLOOKUP(B26,dagsoorttabel1,2,FALSE)</f>
        <v>0.57000000000000006</v>
      </c>
      <c r="G26" s="35">
        <f>IF(AND(catpn_1_SHB_1&gt;0,catpn_1_SHV_51&gt;0),(dagenperjaar1*VLOOKUP(B26,dagsoorttabel1,2,FALSE))/(((dagenperjaar1*VLOOKUP(B26,dagsoorttabel1,2,FALSE))-catfd_1_SHV_51)/catpn_1_SHB_1+catfd_1_SHV_51/catpn_1_SHV_51),0)</f>
        <v>0</v>
      </c>
      <c r="H26" s="36">
        <f>IF(AND(catpn_1_SHB_1&gt;0,catpn_1_SHV_51&gt;0),(catdw_1_SHB_1*((dagenperjaar1*VLOOKUP(B26,dagsoorttabel1,2,FALSE))-catfd_1_SHV_51)/catpn_1_SHB_1+catdw_1_SHV_51*catfd_1_SHV_51/catpn_1_SHV_51)/(((dagenperjaar1*VLOOKUP(B26,dagsoorttabel1,2,FALSE))-catfd_1_SHV_51)/catpn_1_SHB_1+catfd_1_SHV_51/catpn_1_SHV_51),0)</f>
        <v>0</v>
      </c>
      <c r="I26" s="20" t="s">
        <v>35</v>
      </c>
      <c r="J26" s="37">
        <f>IF(AND(catpn_1_SHB_1&gt;0,catpn_1_SHV_51&gt;0),(cattf_1_SHB_1*((dagenperjaar1*VLOOKUP(B26,dagsoorttabel1,2,FALSE))-catfd_1_SHV_51)/catpn_1_SHB_1+cattf_1_SHV_51*catfd_1_SHV_51/catpn_1_SHV_51)/(((dagenperjaar1*VLOOKUP(B26,dagsoorttabel1,2,FALSE))-catfd_1_SHV_51)/catpn_1_SHB_1+catfd_1_SHV_51/catpn_1_SHV_51),0)</f>
        <v>0</v>
      </c>
      <c r="K26" s="34">
        <f>IF(OR(ISBLANK(G26),G26=0),0,F26/ROUND(G26,4))</f>
        <v>0</v>
      </c>
      <c r="L26" s="37">
        <f>ROUND(J26,2)*K26</f>
        <v>0</v>
      </c>
      <c r="M26" s="34">
        <f>K26*dagenperjaar1</f>
        <v>0</v>
      </c>
      <c r="N26" s="37">
        <f>M26*ROUND(J26,2)</f>
        <v>0</v>
      </c>
    </row>
    <row r="27" spans="1:14" x14ac:dyDescent="0.2">
      <c r="A27" s="20" t="s">
        <v>170</v>
      </c>
      <c r="B27" s="20" t="s">
        <v>9</v>
      </c>
      <c r="C27" s="20" t="s">
        <v>136</v>
      </c>
      <c r="D27" s="20" t="s">
        <v>171</v>
      </c>
      <c r="E27" s="34">
        <v>289.02999999999997</v>
      </c>
      <c r="F27" s="34">
        <f>E27*VLOOKUP(B27,dagsoorttabel1,2,FALSE)</f>
        <v>289.02999999999997</v>
      </c>
      <c r="G27" s="35">
        <f>IF(AND(catpn_1_SHB_1&gt;0,catpn_1_SHV_51&gt;0),(dagenperjaar1*VLOOKUP(B27,dagsoorttabel1,2,FALSE))/(((dagenperjaar1*VLOOKUP(B27,dagsoorttabel1,2,FALSE))-catfd_1_SHV_51)/catpn_1_SHB_1+catfd_1_SHV_51/catpn_1_SHV_51),0)</f>
        <v>0</v>
      </c>
      <c r="H27" s="36">
        <f>IF(AND(catpn_1_SHB_1&gt;0,catpn_1_SHV_51&gt;0),(catdw_1_SHB_1*((dagenperjaar1*VLOOKUP(B27,dagsoorttabel1,2,FALSE))-catfd_1_SHV_51)/catpn_1_SHB_1+catdw_1_SHV_51*catfd_1_SHV_51/catpn_1_SHV_51)/(((dagenperjaar1*VLOOKUP(B27,dagsoorttabel1,2,FALSE))-catfd_1_SHV_51)/catpn_1_SHB_1+catfd_1_SHV_51/catpn_1_SHV_51),0)</f>
        <v>0</v>
      </c>
      <c r="I27" s="20" t="s">
        <v>35</v>
      </c>
      <c r="J27" s="37">
        <f>IF(AND(catpn_1_SHB_1&gt;0,catpn_1_SHV_51&gt;0),(cattf_1_SHB_1*((dagenperjaar1*VLOOKUP(B27,dagsoorttabel1,2,FALSE))-catfd_1_SHV_51)/catpn_1_SHB_1+cattf_1_SHV_51*catfd_1_SHV_51/catpn_1_SHV_51)/(((dagenperjaar1*VLOOKUP(B27,dagsoorttabel1,2,FALSE))-catfd_1_SHV_51)/catpn_1_SHB_1+catfd_1_SHV_51/catpn_1_SHV_51),0)</f>
        <v>0</v>
      </c>
      <c r="K27" s="34">
        <f>IF(OR(ISBLANK(G27),G27=0),0,F27/ROUND(G27,4))</f>
        <v>0</v>
      </c>
      <c r="L27" s="37">
        <f>ROUND(J27,2)*K27</f>
        <v>0</v>
      </c>
      <c r="M27" s="34">
        <f>K27*dagenperjaar1</f>
        <v>0</v>
      </c>
      <c r="N27" s="37">
        <f>M27*ROUND(J27,2)</f>
        <v>0</v>
      </c>
    </row>
    <row r="28" spans="1:14" x14ac:dyDescent="0.2">
      <c r="A28" s="20" t="s">
        <v>172</v>
      </c>
      <c r="B28" s="20" t="s">
        <v>9</v>
      </c>
      <c r="C28" s="20" t="s">
        <v>136</v>
      </c>
      <c r="D28" s="20" t="s">
        <v>173</v>
      </c>
      <c r="E28" s="34">
        <v>221.47999999999996</v>
      </c>
      <c r="F28" s="34">
        <f>E28*VLOOKUP(B28,dagsoorttabel1,2,FALSE)</f>
        <v>221.47999999999996</v>
      </c>
      <c r="G28" s="35">
        <f>catpn_1_SHB_1</f>
        <v>0</v>
      </c>
      <c r="H28" s="36">
        <f>catdw_1_SHB_1</f>
        <v>0</v>
      </c>
      <c r="I28" s="20" t="s">
        <v>35</v>
      </c>
      <c r="J28" s="37">
        <f>cattf_1_SHB_1</f>
        <v>0</v>
      </c>
      <c r="K28" s="34">
        <f>IF(OR(ISBLANK(G28),G28=0),0,F28/ROUND(G28,4))</f>
        <v>0</v>
      </c>
      <c r="L28" s="37">
        <f>ROUND(J28,2)*K28</f>
        <v>0</v>
      </c>
      <c r="M28" s="34">
        <f>K28*dagenperjaar1</f>
        <v>0</v>
      </c>
      <c r="N28" s="37">
        <f>M28*ROUND(J28,2)</f>
        <v>0</v>
      </c>
    </row>
    <row r="29" spans="1:14" x14ac:dyDescent="0.2">
      <c r="A29" s="20" t="s">
        <v>174</v>
      </c>
      <c r="B29" s="20" t="s">
        <v>13</v>
      </c>
      <c r="C29" s="20" t="s">
        <v>136</v>
      </c>
      <c r="D29" s="20" t="s">
        <v>175</v>
      </c>
      <c r="E29" s="34">
        <v>12.5</v>
      </c>
      <c r="F29" s="34">
        <f>E29*VLOOKUP(B29,dagsoorttabel1,2,FALSE)</f>
        <v>7.3529411764705888</v>
      </c>
      <c r="G29" s="35">
        <f>IF(AND(catpn_1_SHB_1&gt;0,catpn_1_SHV_30&gt;0),(dagenperjaar1*VLOOKUP(B29,dagsoorttabel1,2,FALSE))/(((dagenperjaar1*VLOOKUP(B29,dagsoorttabel1,2,FALSE))-catfd_1_SHV_30)/catpn_1_SHB_1+catfd_1_SHV_30/catpn_1_SHV_30),0)</f>
        <v>0</v>
      </c>
      <c r="H29" s="36">
        <f>IF(AND(catpn_1_SHB_1&gt;0,catpn_1_SHV_30&gt;0),(catdw_1_SHB_1*((dagenperjaar1*VLOOKUP(B29,dagsoorttabel1,2,FALSE))-catfd_1_SHV_30)/catpn_1_SHB_1+catdw_1_SHV_30*catfd_1_SHV_30/catpn_1_SHV_30)/(((dagenperjaar1*VLOOKUP(B29,dagsoorttabel1,2,FALSE))-catfd_1_SHV_30)/catpn_1_SHB_1+catfd_1_SHV_30/catpn_1_SHV_30),0)</f>
        <v>0</v>
      </c>
      <c r="I29" s="20" t="s">
        <v>35</v>
      </c>
      <c r="J29" s="37">
        <f>IF(AND(catpn_1_SHB_1&gt;0,catpn_1_SHV_30&gt;0),(cattf_1_SHB_1*((dagenperjaar1*VLOOKUP(B29,dagsoorttabel1,2,FALSE))-catfd_1_SHV_30)/catpn_1_SHB_1+cattf_1_SHV_30*catfd_1_SHV_30/catpn_1_SHV_30)/(((dagenperjaar1*VLOOKUP(B29,dagsoorttabel1,2,FALSE))-catfd_1_SHV_30)/catpn_1_SHB_1+catfd_1_SHV_30/catpn_1_SHV_30),0)</f>
        <v>0</v>
      </c>
      <c r="K29" s="34">
        <f>IF(OR(ISBLANK(G29),G29=0),0,F29/ROUND(G29,4))</f>
        <v>0</v>
      </c>
      <c r="L29" s="37">
        <f>ROUND(J29,2)*K29</f>
        <v>0</v>
      </c>
      <c r="M29" s="34">
        <f>K29*dagenperjaar1</f>
        <v>0</v>
      </c>
      <c r="N29" s="37">
        <f>M29*ROUND(J29,2)</f>
        <v>0</v>
      </c>
    </row>
    <row r="30" spans="1:14" x14ac:dyDescent="0.2">
      <c r="A30" s="20" t="s">
        <v>176</v>
      </c>
      <c r="B30" s="20" t="s">
        <v>9</v>
      </c>
      <c r="C30" s="20" t="s">
        <v>136</v>
      </c>
      <c r="D30" s="20" t="s">
        <v>177</v>
      </c>
      <c r="E30" s="34">
        <v>167.15</v>
      </c>
      <c r="F30" s="34">
        <f>E30*VLOOKUP(B30,dagsoorttabel1,2,FALSE)</f>
        <v>167.15</v>
      </c>
      <c r="G30" s="35">
        <f>IF(AND(catpn_1_THB_1&gt;0,catpn_1_THV_51&gt;0),(dagenperjaar1*VLOOKUP(B30,dagsoorttabel1,2,FALSE))/(((dagenperjaar1*VLOOKUP(B30,dagsoorttabel1,2,FALSE))-catfd_1_THV_51)/catpn_1_THB_1+catfd_1_THV_51/catpn_1_THV_51),0)</f>
        <v>0</v>
      </c>
      <c r="H30" s="36">
        <f>IF(AND(catpn_1_THB_1&gt;0,catpn_1_THV_51&gt;0),(catdw_1_THB_1*((dagenperjaar1*VLOOKUP(B30,dagsoorttabel1,2,FALSE))-catfd_1_THV_51)/catpn_1_THB_1+catdw_1_THV_51*catfd_1_THV_51/catpn_1_THV_51)/(((dagenperjaar1*VLOOKUP(B30,dagsoorttabel1,2,FALSE))-catfd_1_THV_51)/catpn_1_THB_1+catfd_1_THV_51/catpn_1_THV_51),0)</f>
        <v>0</v>
      </c>
      <c r="I30" s="20" t="s">
        <v>35</v>
      </c>
      <c r="J30" s="37">
        <f>IF(AND(catpn_1_THB_1&gt;0,catpn_1_THV_51&gt;0),(cattf_1_THB_1*((dagenperjaar1*VLOOKUP(B30,dagsoorttabel1,2,FALSE))-catfd_1_THV_51)/catpn_1_THB_1+cattf_1_THV_51*catfd_1_THV_51/catpn_1_THV_51)/(((dagenperjaar1*VLOOKUP(B30,dagsoorttabel1,2,FALSE))-catfd_1_THV_51)/catpn_1_THB_1+catfd_1_THV_51/catpn_1_THV_51),0)</f>
        <v>0</v>
      </c>
      <c r="K30" s="34">
        <f>IF(OR(ISBLANK(G30),G30=0),0,F30/ROUND(G30,4))</f>
        <v>0</v>
      </c>
      <c r="L30" s="37">
        <f>ROUND(J30,2)*K30</f>
        <v>0</v>
      </c>
      <c r="M30" s="34">
        <f>K30*dagenperjaar1</f>
        <v>0</v>
      </c>
      <c r="N30" s="37">
        <f>M30*ROUND(J30,2)</f>
        <v>0</v>
      </c>
    </row>
    <row r="31" spans="1:14" x14ac:dyDescent="0.2">
      <c r="A31" s="20" t="s">
        <v>178</v>
      </c>
      <c r="B31" s="20" t="s">
        <v>9</v>
      </c>
      <c r="C31" s="20" t="s">
        <v>136</v>
      </c>
      <c r="D31" s="20" t="s">
        <v>179</v>
      </c>
      <c r="E31" s="34">
        <v>94.53</v>
      </c>
      <c r="F31" s="34">
        <f>E31*VLOOKUP(B31,dagsoorttabel1,2,FALSE)</f>
        <v>94.53</v>
      </c>
      <c r="G31" s="35">
        <f>IF(AND(catpn_1_TZB_1&gt;0,catpn_1_TZV_51&gt;0),(dagenperjaar1*VLOOKUP(B31,dagsoorttabel1,2,FALSE))/(((dagenperjaar1*VLOOKUP(B31,dagsoorttabel1,2,FALSE))-catfd_1_TZV_51)/catpn_1_TZB_1+catfd_1_TZV_51/catpn_1_TZV_51),0)</f>
        <v>0</v>
      </c>
      <c r="H31" s="36">
        <f>IF(AND(catpn_1_TZB_1&gt;0,catpn_1_TZV_51&gt;0),(catdw_1_TZB_1*((dagenperjaar1*VLOOKUP(B31,dagsoorttabel1,2,FALSE))-catfd_1_TZV_51)/catpn_1_TZB_1+catdw_1_TZV_51*catfd_1_TZV_51/catpn_1_TZV_51)/(((dagenperjaar1*VLOOKUP(B31,dagsoorttabel1,2,FALSE))-catfd_1_TZV_51)/catpn_1_TZB_1+catfd_1_TZV_51/catpn_1_TZV_51),0)</f>
        <v>0</v>
      </c>
      <c r="I31" s="20" t="s">
        <v>35</v>
      </c>
      <c r="J31" s="37">
        <f>IF(AND(catpn_1_TZB_1&gt;0,catpn_1_TZV_51&gt;0),(cattf_1_TZB_1*((dagenperjaar1*VLOOKUP(B31,dagsoorttabel1,2,FALSE))-catfd_1_TZV_51)/catpn_1_TZB_1+cattf_1_TZV_51*catfd_1_TZV_51/catpn_1_TZV_51)/(((dagenperjaar1*VLOOKUP(B31,dagsoorttabel1,2,FALSE))-catfd_1_TZV_51)/catpn_1_TZB_1+catfd_1_TZV_51/catpn_1_TZV_51),0)</f>
        <v>0</v>
      </c>
      <c r="K31" s="34">
        <f>IF(OR(ISBLANK(G31),G31=0),0,F31/ROUND(G31,4))</f>
        <v>0</v>
      </c>
      <c r="L31" s="37">
        <f>ROUND(J31,2)*K31</f>
        <v>0</v>
      </c>
      <c r="M31" s="34">
        <f>K31*dagenperjaar1</f>
        <v>0</v>
      </c>
      <c r="N31" s="37">
        <f>M31*ROUND(J31,2)</f>
        <v>0</v>
      </c>
    </row>
    <row r="32" spans="1:14" x14ac:dyDescent="0.2">
      <c r="A32" s="20" t="s">
        <v>180</v>
      </c>
      <c r="B32" s="20" t="s">
        <v>15</v>
      </c>
      <c r="C32" s="20" t="s">
        <v>136</v>
      </c>
      <c r="D32" s="20" t="s">
        <v>181</v>
      </c>
      <c r="E32" s="34">
        <v>5.52</v>
      </c>
      <c r="F32" s="34">
        <f>E32*VLOOKUP(B32,dagsoorttabel1,2,FALSE)</f>
        <v>1.1039999999999999</v>
      </c>
      <c r="G32" s="35">
        <f>IF(AND(catpn_1_VHB_1&gt;0,catpn_1_VHV_51&gt;0),(dagenperjaar1*VLOOKUP(B32,dagsoorttabel1,2,FALSE))/(((dagenperjaar1*VLOOKUP(B32,dagsoorttabel1,2,FALSE))-catfd_1_VHV_51)/catpn_1_VHB_1+catfd_1_VHV_51/catpn_1_VHV_51),0)</f>
        <v>0</v>
      </c>
      <c r="H32" s="36">
        <f>IF(AND(catpn_1_VHB_1&gt;0,catpn_1_VHV_51&gt;0),(catdw_1_VHB_1*((dagenperjaar1*VLOOKUP(B32,dagsoorttabel1,2,FALSE))-catfd_1_VHV_51)/catpn_1_VHB_1+catdw_1_VHV_51*catfd_1_VHV_51/catpn_1_VHV_51)/(((dagenperjaar1*VLOOKUP(B32,dagsoorttabel1,2,FALSE))-catfd_1_VHV_51)/catpn_1_VHB_1+catfd_1_VHV_51/catpn_1_VHV_51),0)</f>
        <v>0</v>
      </c>
      <c r="I32" s="20" t="s">
        <v>35</v>
      </c>
      <c r="J32" s="37">
        <f>IF(AND(catpn_1_VHB_1&gt;0,catpn_1_VHV_51&gt;0),(cattf_1_VHB_1*((dagenperjaar1*VLOOKUP(B32,dagsoorttabel1,2,FALSE))-catfd_1_VHV_51)/catpn_1_VHB_1+cattf_1_VHV_51*catfd_1_VHV_51/catpn_1_VHV_51)/(((dagenperjaar1*VLOOKUP(B32,dagsoorttabel1,2,FALSE))-catfd_1_VHV_51)/catpn_1_VHB_1+catfd_1_VHV_51/catpn_1_VHV_51),0)</f>
        <v>0</v>
      </c>
      <c r="K32" s="34">
        <f>IF(OR(ISBLANK(G32),G32=0),0,F32/ROUND(G32,4))</f>
        <v>0</v>
      </c>
      <c r="L32" s="37">
        <f>ROUND(J32,2)*K32</f>
        <v>0</v>
      </c>
      <c r="M32" s="34">
        <f>K32*dagenperjaar1</f>
        <v>0</v>
      </c>
      <c r="N32" s="37">
        <f>M32*ROUND(J32,2)</f>
        <v>0</v>
      </c>
    </row>
    <row r="33" spans="1:14" x14ac:dyDescent="0.2">
      <c r="A33" s="20" t="s">
        <v>180</v>
      </c>
      <c r="B33" s="20" t="s">
        <v>9</v>
      </c>
      <c r="C33" s="20" t="s">
        <v>136</v>
      </c>
      <c r="D33" s="20" t="s">
        <v>182</v>
      </c>
      <c r="E33" s="34">
        <v>543.9</v>
      </c>
      <c r="F33" s="34">
        <f>E33*VLOOKUP(B33,dagsoorttabel1,2,FALSE)</f>
        <v>543.9</v>
      </c>
      <c r="G33" s="35">
        <f>IF(AND(catpn_1_VHB_1&gt;0,catpn_1_VHV_51&gt;0),(dagenperjaar1*VLOOKUP(B33,dagsoorttabel1,2,FALSE))/(((dagenperjaar1*VLOOKUP(B33,dagsoorttabel1,2,FALSE))-catfd_1_VHV_51)/catpn_1_VHB_1+catfd_1_VHV_51/catpn_1_VHV_51),0)</f>
        <v>0</v>
      </c>
      <c r="H33" s="36">
        <f>IF(AND(catpn_1_VHB_1&gt;0,catpn_1_VHV_51&gt;0),(catdw_1_VHB_1*((dagenperjaar1*VLOOKUP(B33,dagsoorttabel1,2,FALSE))-catfd_1_VHV_51)/catpn_1_VHB_1+catdw_1_VHV_51*catfd_1_VHV_51/catpn_1_VHV_51)/(((dagenperjaar1*VLOOKUP(B33,dagsoorttabel1,2,FALSE))-catfd_1_VHV_51)/catpn_1_VHB_1+catfd_1_VHV_51/catpn_1_VHV_51),0)</f>
        <v>0</v>
      </c>
      <c r="I33" s="20" t="s">
        <v>35</v>
      </c>
      <c r="J33" s="37">
        <f>IF(AND(catpn_1_VHB_1&gt;0,catpn_1_VHV_51&gt;0),(cattf_1_VHB_1*((dagenperjaar1*VLOOKUP(B33,dagsoorttabel1,2,FALSE))-catfd_1_VHV_51)/catpn_1_VHB_1+cattf_1_VHV_51*catfd_1_VHV_51/catpn_1_VHV_51)/(((dagenperjaar1*VLOOKUP(B33,dagsoorttabel1,2,FALSE))-catfd_1_VHV_51)/catpn_1_VHB_1+catfd_1_VHV_51/catpn_1_VHV_51),0)</f>
        <v>0</v>
      </c>
      <c r="K33" s="34">
        <f>IF(OR(ISBLANK(G33),G33=0),0,F33/ROUND(G33,4))</f>
        <v>0</v>
      </c>
      <c r="L33" s="37">
        <f>ROUND(J33,2)*K33</f>
        <v>0</v>
      </c>
      <c r="M33" s="34">
        <f>K33*dagenperjaar1</f>
        <v>0</v>
      </c>
      <c r="N33" s="37">
        <f>M33*ROUND(J33,2)</f>
        <v>0</v>
      </c>
    </row>
    <row r="34" spans="1:14" x14ac:dyDescent="0.2">
      <c r="A34" s="20" t="s">
        <v>183</v>
      </c>
      <c r="B34" s="20" t="s">
        <v>9</v>
      </c>
      <c r="C34" s="20" t="s">
        <v>136</v>
      </c>
      <c r="D34" s="20" t="s">
        <v>184</v>
      </c>
      <c r="E34" s="34">
        <v>1983.69</v>
      </c>
      <c r="F34" s="34">
        <f>E34*VLOOKUP(B34,dagsoorttabel1,2,FALSE)</f>
        <v>1983.69</v>
      </c>
      <c r="G34" s="35">
        <f>IF(AND(catpn_1_VZB_1&gt;0,catpn_1_VZV_51&gt;0),(dagenperjaar1*VLOOKUP(B34,dagsoorttabel1,2,FALSE))/(((dagenperjaar1*VLOOKUP(B34,dagsoorttabel1,2,FALSE))-catfd_1_VZV_51)/catpn_1_VZB_1+catfd_1_VZV_51/catpn_1_VZV_51),0)</f>
        <v>0</v>
      </c>
      <c r="H34" s="36">
        <f>IF(AND(catpn_1_VZB_1&gt;0,catpn_1_VZV_51&gt;0),(catdw_1_VZB_1*((dagenperjaar1*VLOOKUP(B34,dagsoorttabel1,2,FALSE))-catfd_1_VZV_51)/catpn_1_VZB_1+catdw_1_VZV_51*catfd_1_VZV_51/catpn_1_VZV_51)/(((dagenperjaar1*VLOOKUP(B34,dagsoorttabel1,2,FALSE))-catfd_1_VZV_51)/catpn_1_VZB_1+catfd_1_VZV_51/catpn_1_VZV_51),0)</f>
        <v>0</v>
      </c>
      <c r="I34" s="20" t="s">
        <v>35</v>
      </c>
      <c r="J34" s="37">
        <f>IF(AND(catpn_1_VZB_1&gt;0,catpn_1_VZV_51&gt;0),(cattf_1_VZB_1*((dagenperjaar1*VLOOKUP(B34,dagsoorttabel1,2,FALSE))-catfd_1_VZV_51)/catpn_1_VZB_1+cattf_1_VZV_51*catfd_1_VZV_51/catpn_1_VZV_51)/(((dagenperjaar1*VLOOKUP(B34,dagsoorttabel1,2,FALSE))-catfd_1_VZV_51)/catpn_1_VZB_1+catfd_1_VZV_51/catpn_1_VZV_51),0)</f>
        <v>0</v>
      </c>
      <c r="K34" s="34">
        <f>IF(OR(ISBLANK(G34),G34=0),0,F34/ROUND(G34,4))</f>
        <v>0</v>
      </c>
      <c r="L34" s="37">
        <f>ROUND(J34,2)*K34</f>
        <v>0</v>
      </c>
      <c r="M34" s="34">
        <f>K34*dagenperjaar1</f>
        <v>0</v>
      </c>
      <c r="N34" s="37">
        <f>M34*ROUND(J34,2)</f>
        <v>0</v>
      </c>
    </row>
    <row r="35" spans="1:14" x14ac:dyDescent="0.2">
      <c r="A35" s="20" t="s">
        <v>185</v>
      </c>
      <c r="B35" s="20" t="s">
        <v>9</v>
      </c>
      <c r="C35" s="20" t="s">
        <v>136</v>
      </c>
      <c r="D35" s="20" t="s">
        <v>186</v>
      </c>
      <c r="E35" s="34">
        <v>173.6</v>
      </c>
      <c r="F35" s="34">
        <f>E35*VLOOKUP(B35,dagsoorttabel1,2,FALSE)</f>
        <v>173.6</v>
      </c>
      <c r="G35" s="35">
        <f>IF(AND(catpn_1_WZB_1&gt;0,catpn_1_WZV_51&gt;0),(dagenperjaar1*VLOOKUP(B35,dagsoorttabel1,2,FALSE))/(((dagenperjaar1*VLOOKUP(B35,dagsoorttabel1,2,FALSE))-catfd_1_WZV_51)/catpn_1_WZB_1+catfd_1_WZV_51/catpn_1_WZV_51),0)</f>
        <v>0</v>
      </c>
      <c r="H35" s="36">
        <f>IF(AND(catpn_1_WZB_1&gt;0,catpn_1_WZV_51&gt;0),(catdw_1_WZB_1*((dagenperjaar1*VLOOKUP(B35,dagsoorttabel1,2,FALSE))-catfd_1_WZV_51)/catpn_1_WZB_1+catdw_1_WZV_51*catfd_1_WZV_51/catpn_1_WZV_51)/(((dagenperjaar1*VLOOKUP(B35,dagsoorttabel1,2,FALSE))-catfd_1_WZV_51)/catpn_1_WZB_1+catfd_1_WZV_51/catpn_1_WZV_51),0)</f>
        <v>0</v>
      </c>
      <c r="I35" s="20" t="s">
        <v>35</v>
      </c>
      <c r="J35" s="37">
        <f>IF(AND(catpn_1_WZB_1&gt;0,catpn_1_WZV_51&gt;0),(cattf_1_WZB_1*((dagenperjaar1*VLOOKUP(B35,dagsoorttabel1,2,FALSE))-catfd_1_WZV_51)/catpn_1_WZB_1+cattf_1_WZV_51*catfd_1_WZV_51/catpn_1_WZV_51)/(((dagenperjaar1*VLOOKUP(B35,dagsoorttabel1,2,FALSE))-catfd_1_WZV_51)/catpn_1_WZB_1+catfd_1_WZV_51/catpn_1_WZV_51),0)</f>
        <v>0</v>
      </c>
      <c r="K35" s="34">
        <f>IF(OR(ISBLANK(G35),G35=0),0,F35/ROUND(G35,4))</f>
        <v>0</v>
      </c>
      <c r="L35" s="37">
        <f>ROUND(J35,2)*K35</f>
        <v>0</v>
      </c>
      <c r="M35" s="34">
        <f>K35*dagenperjaar1</f>
        <v>0</v>
      </c>
      <c r="N35" s="37">
        <f>M35*ROUND(J35,2)</f>
        <v>0</v>
      </c>
    </row>
    <row r="36" spans="1:14" x14ac:dyDescent="0.2">
      <c r="A36" s="20" t="s">
        <v>187</v>
      </c>
      <c r="B36" s="20" t="s">
        <v>22</v>
      </c>
      <c r="C36" s="20" t="s">
        <v>188</v>
      </c>
      <c r="D36" s="20" t="s">
        <v>189</v>
      </c>
      <c r="E36" s="34">
        <v>219.82999999999998</v>
      </c>
      <c r="F36" s="34">
        <f>E36*VLOOKUP(B36,dagsoorttabel1,2,FALSE)</f>
        <v>0.86207843137254891</v>
      </c>
      <c r="G36" s="35">
        <f>catpn_1_XBB_1</f>
        <v>0</v>
      </c>
      <c r="H36" s="36">
        <f>catdw_1_XBB_1</f>
        <v>0</v>
      </c>
      <c r="I36" s="20" t="s">
        <v>35</v>
      </c>
      <c r="J36" s="37">
        <f>cattf_1_XBB_1</f>
        <v>0</v>
      </c>
      <c r="K36" s="34">
        <f>IF(OR(ISBLANK(G36),G36=0),0,F36/ROUND(G36,4))</f>
        <v>0</v>
      </c>
      <c r="L36" s="37">
        <f>ROUND(J36,2)*K36</f>
        <v>0</v>
      </c>
      <c r="M36" s="34">
        <f>K36*dagenperjaar1</f>
        <v>0</v>
      </c>
      <c r="N36" s="37">
        <f>M36*ROUND(J36,2)</f>
        <v>0</v>
      </c>
    </row>
    <row r="37" spans="1:14" x14ac:dyDescent="0.2">
      <c r="A37" s="25" t="s">
        <v>190</v>
      </c>
      <c r="B37" s="25" t="s">
        <v>9</v>
      </c>
      <c r="C37" s="25" t="s">
        <v>191</v>
      </c>
      <c r="D37" s="25" t="s">
        <v>192</v>
      </c>
      <c r="E37" s="38">
        <v>1</v>
      </c>
      <c r="F37" s="38">
        <f>E37*VLOOKUP(B37,dagsoorttabel1,2,FALSE)</f>
        <v>1</v>
      </c>
      <c r="G37" s="39"/>
      <c r="H37" s="28"/>
      <c r="I37" s="25" t="s">
        <v>193</v>
      </c>
      <c r="J37" s="29"/>
      <c r="K37" s="38">
        <f>F37*ROUND(G37,4)/60</f>
        <v>0</v>
      </c>
      <c r="L37" s="40">
        <f>ROUND(J37,2)*K37</f>
        <v>0</v>
      </c>
      <c r="M37" s="38">
        <f>K37*dagenperjaar1</f>
        <v>0</v>
      </c>
      <c r="N37" s="40">
        <f>M37*ROUND(J37,2)</f>
        <v>0</v>
      </c>
    </row>
    <row r="38" spans="1:14" x14ac:dyDescent="0.2">
      <c r="A38" s="41" t="s">
        <v>194</v>
      </c>
      <c r="B38" s="42"/>
      <c r="C38" s="42"/>
      <c r="D38" s="42"/>
      <c r="E38" s="42"/>
      <c r="F38" s="42"/>
      <c r="G38" s="42"/>
      <c r="H38" s="42"/>
      <c r="I38" s="42"/>
      <c r="J38" s="42"/>
      <c r="K38" s="43">
        <f>SUM(K6:K37)</f>
        <v>0</v>
      </c>
      <c r="L38" s="44">
        <f>SUM(L6:L37)</f>
        <v>0</v>
      </c>
      <c r="M38" s="43">
        <f>SUM(M6:M37)</f>
        <v>0</v>
      </c>
      <c r="N38" s="45">
        <f>SUM(N6:N37)</f>
        <v>0</v>
      </c>
    </row>
    <row r="39" spans="1:14" x14ac:dyDescent="0.2">
      <c r="A39" s="46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7"/>
    </row>
    <row r="40" spans="1:14" x14ac:dyDescent="0.2">
      <c r="A40" s="41" t="s">
        <v>195</v>
      </c>
      <c r="B40" s="42"/>
      <c r="C40" s="42"/>
      <c r="D40" s="42"/>
      <c r="E40" s="42"/>
      <c r="F40" s="42"/>
      <c r="G40" s="42"/>
      <c r="H40" s="42"/>
      <c r="I40" s="42"/>
      <c r="J40" s="44">
        <f>IF(urenjaar1&gt;0,SUMIF(M6:M37,"&gt;0",N6:N37)/urenjaar1,0)</f>
        <v>0</v>
      </c>
      <c r="K40" s="42"/>
      <c r="L40" s="42"/>
      <c r="M40" s="42"/>
      <c r="N40" s="47"/>
    </row>
    <row r="41" spans="1:14" x14ac:dyDescent="0.2">
      <c r="A41" s="46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7"/>
    </row>
    <row r="42" spans="1:14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spans="1:14" x14ac:dyDescent="0.2">
      <c r="A43" s="12" t="s">
        <v>122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</row>
    <row r="44" spans="1:14" x14ac:dyDescent="0.2">
      <c r="A44" s="15" t="s">
        <v>196</v>
      </c>
      <c r="B44" s="15" t="s">
        <v>14</v>
      </c>
      <c r="C44" s="15" t="s">
        <v>136</v>
      </c>
      <c r="D44" s="15" t="s">
        <v>143</v>
      </c>
      <c r="E44" s="30">
        <v>157.19999999999999</v>
      </c>
      <c r="F44" s="30">
        <f>E44*VLOOKUP(B44,dagsoorttabel1,2,FALSE)</f>
        <v>62.879999999999995</v>
      </c>
      <c r="G44" s="31">
        <f>catpn_3_WBZB_1</f>
        <v>0</v>
      </c>
      <c r="H44" s="32">
        <f>catdw_3_WBZB_1</f>
        <v>0</v>
      </c>
      <c r="I44" s="15" t="s">
        <v>35</v>
      </c>
      <c r="J44" s="33">
        <f>cattf_3_WBZB_1</f>
        <v>0</v>
      </c>
      <c r="K44" s="30">
        <f>IF(OR(ISBLANK(G44),G44=0),0,F44/ROUND(G44,4))</f>
        <v>0</v>
      </c>
      <c r="L44" s="33">
        <f>ROUND(J44,2)*K44</f>
        <v>0</v>
      </c>
      <c r="M44" s="30">
        <f>K44*dagenperjaar1</f>
        <v>0</v>
      </c>
      <c r="N44" s="33">
        <f>M44*ROUND(J44,2)</f>
        <v>0</v>
      </c>
    </row>
    <row r="45" spans="1:14" x14ac:dyDescent="0.2">
      <c r="A45" s="20" t="s">
        <v>197</v>
      </c>
      <c r="B45" s="20" t="s">
        <v>14</v>
      </c>
      <c r="C45" s="20" t="s">
        <v>136</v>
      </c>
      <c r="D45" s="20" t="s">
        <v>159</v>
      </c>
      <c r="E45" s="34">
        <v>31</v>
      </c>
      <c r="F45" s="34">
        <f>E45*VLOOKUP(B45,dagsoorttabel1,2,FALSE)</f>
        <v>12.4</v>
      </c>
      <c r="G45" s="35">
        <f>catpn_3_WOZB_1</f>
        <v>0</v>
      </c>
      <c r="H45" s="36">
        <f>catdw_3_WOZB_1</f>
        <v>0</v>
      </c>
      <c r="I45" s="20" t="s">
        <v>35</v>
      </c>
      <c r="J45" s="37">
        <f>cattf_3_WOZB_1</f>
        <v>0</v>
      </c>
      <c r="K45" s="34">
        <f>IF(OR(ISBLANK(G45),G45=0),0,F45/ROUND(G45,4))</f>
        <v>0</v>
      </c>
      <c r="L45" s="37">
        <f>ROUND(J45,2)*K45</f>
        <v>0</v>
      </c>
      <c r="M45" s="34">
        <f>K45*dagenperjaar1</f>
        <v>0</v>
      </c>
      <c r="N45" s="37">
        <f>M45*ROUND(J45,2)</f>
        <v>0</v>
      </c>
    </row>
    <row r="46" spans="1:14" x14ac:dyDescent="0.2">
      <c r="A46" s="25" t="s">
        <v>198</v>
      </c>
      <c r="B46" s="25" t="s">
        <v>14</v>
      </c>
      <c r="C46" s="25" t="s">
        <v>136</v>
      </c>
      <c r="D46" s="25" t="s">
        <v>171</v>
      </c>
      <c r="E46" s="38">
        <v>12.62</v>
      </c>
      <c r="F46" s="38">
        <f>E46*VLOOKUP(B46,dagsoorttabel1,2,FALSE)</f>
        <v>5.048</v>
      </c>
      <c r="G46" s="48">
        <f>catpn_3_WSHB_1</f>
        <v>0</v>
      </c>
      <c r="H46" s="49">
        <f>catdw_3_WSHB_1</f>
        <v>0</v>
      </c>
      <c r="I46" s="25" t="s">
        <v>35</v>
      </c>
      <c r="J46" s="40">
        <f>cattf_3_WSHB_1</f>
        <v>0</v>
      </c>
      <c r="K46" s="38">
        <f>IF(OR(ISBLANK(G46),G46=0),0,F46/ROUND(G46,4))</f>
        <v>0</v>
      </c>
      <c r="L46" s="40">
        <f>ROUND(J46,2)*K46</f>
        <v>0</v>
      </c>
      <c r="M46" s="38">
        <f>K46*dagenperjaar1</f>
        <v>0</v>
      </c>
      <c r="N46" s="40">
        <f>M46*ROUND(J46,2)</f>
        <v>0</v>
      </c>
    </row>
    <row r="47" spans="1:14" x14ac:dyDescent="0.2">
      <c r="A47" s="41" t="s">
        <v>199</v>
      </c>
      <c r="B47" s="42"/>
      <c r="C47" s="42"/>
      <c r="D47" s="42"/>
      <c r="E47" s="42"/>
      <c r="F47" s="42"/>
      <c r="G47" s="42"/>
      <c r="H47" s="42"/>
      <c r="I47" s="42"/>
      <c r="J47" s="42"/>
      <c r="K47" s="43">
        <f>SUM(K44:K46)</f>
        <v>0</v>
      </c>
      <c r="L47" s="44">
        <f>SUM(L44:L46)</f>
        <v>0</v>
      </c>
      <c r="M47" s="43">
        <f>SUM(M44:M46)</f>
        <v>0</v>
      </c>
      <c r="N47" s="45">
        <f>SUM(N44:N46)</f>
        <v>0</v>
      </c>
    </row>
    <row r="48" spans="1:14" x14ac:dyDescent="0.2">
      <c r="A48" s="46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7"/>
    </row>
    <row r="49" spans="1:14" x14ac:dyDescent="0.2">
      <c r="A49" s="41" t="s">
        <v>200</v>
      </c>
      <c r="B49" s="42"/>
      <c r="C49" s="42"/>
      <c r="D49" s="42"/>
      <c r="E49" s="42"/>
      <c r="F49" s="42"/>
      <c r="G49" s="42"/>
      <c r="H49" s="42"/>
      <c r="I49" s="42"/>
      <c r="J49" s="44">
        <f>IF(urenjaar3&gt;0,SUMIF(M44:M46,"&gt;0",N44:N46)/urenjaar3,0)</f>
        <v>0</v>
      </c>
      <c r="K49" s="42"/>
      <c r="L49" s="42"/>
      <c r="M49" s="42"/>
      <c r="N49" s="47"/>
    </row>
    <row r="50" spans="1:14" x14ac:dyDescent="0.2">
      <c r="A50" s="46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7"/>
    </row>
    <row r="52" spans="1:14" x14ac:dyDescent="0.2">
      <c r="A52" s="41" t="s">
        <v>201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>
        <f>urenjaar1+urenjaar3</f>
        <v>0</v>
      </c>
      <c r="N52" s="44">
        <f>prijsjaar1+prijsjaar3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F6C0-AE0C-4969-9873-B6E88320B185}">
  <dimension ref="A1:P42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6" width="12.625" customWidth="1"/>
  </cols>
  <sheetData>
    <row r="1" spans="1:16" x14ac:dyDescent="0.2">
      <c r="A1" s="1" t="s">
        <v>202</v>
      </c>
    </row>
    <row r="3" spans="1:16" x14ac:dyDescent="0.2">
      <c r="A3" s="50" t="s">
        <v>127</v>
      </c>
      <c r="B3" s="50" t="s">
        <v>7</v>
      </c>
      <c r="C3" s="50" t="s">
        <v>203</v>
      </c>
      <c r="D3" s="50" t="s">
        <v>204</v>
      </c>
      <c r="E3" s="50" t="s">
        <v>205</v>
      </c>
      <c r="F3" s="50" t="s">
        <v>206</v>
      </c>
      <c r="G3" s="50" t="s">
        <v>207</v>
      </c>
      <c r="H3" s="50" t="s">
        <v>28</v>
      </c>
      <c r="I3" s="50" t="s">
        <v>208</v>
      </c>
      <c r="J3" s="50" t="s">
        <v>209</v>
      </c>
      <c r="K3" s="50" t="s">
        <v>210</v>
      </c>
      <c r="L3" s="50" t="s">
        <v>211</v>
      </c>
      <c r="M3" s="50" t="s">
        <v>212</v>
      </c>
      <c r="N3" s="50" t="s">
        <v>213</v>
      </c>
      <c r="O3" s="50" t="s">
        <v>214</v>
      </c>
      <c r="P3" s="50" t="s">
        <v>215</v>
      </c>
    </row>
    <row r="4" spans="1:16" x14ac:dyDescent="0.2">
      <c r="A4" s="51"/>
      <c r="B4" s="51"/>
      <c r="C4" s="51"/>
      <c r="D4" s="51"/>
      <c r="E4" s="51"/>
      <c r="F4" s="51"/>
      <c r="G4" s="51"/>
      <c r="H4" s="51"/>
      <c r="I4" s="51"/>
      <c r="J4" s="52" t="s">
        <v>129</v>
      </c>
      <c r="K4" s="52" t="s">
        <v>129</v>
      </c>
      <c r="L4" s="52" t="s">
        <v>129</v>
      </c>
      <c r="M4" s="52" t="s">
        <v>129</v>
      </c>
      <c r="N4" s="52" t="s">
        <v>129</v>
      </c>
      <c r="O4" s="52" t="s">
        <v>129</v>
      </c>
      <c r="P4" s="52" t="s">
        <v>129</v>
      </c>
    </row>
    <row r="5" spans="1:16" x14ac:dyDescent="0.2">
      <c r="A5" s="15" t="s">
        <v>135</v>
      </c>
      <c r="B5" s="15" t="s">
        <v>9</v>
      </c>
      <c r="C5" s="15" t="s">
        <v>216</v>
      </c>
      <c r="D5" s="15" t="s">
        <v>136</v>
      </c>
      <c r="E5" s="30">
        <f>IF(B5="","",VLOOKUP(B5,dagsoorttabel1,2,FALSE))</f>
        <v>1</v>
      </c>
      <c r="F5" s="30">
        <v>1</v>
      </c>
      <c r="G5" s="30">
        <f>IF(prodnorm16&gt;0,1/ROUND(prodnorm16,4),0)</f>
        <v>0</v>
      </c>
      <c r="H5" s="32">
        <f>ROUND(dagwerk16,4+2)</f>
        <v>0</v>
      </c>
      <c r="I5" s="33">
        <f>ROUND(uurtarief16,2)</f>
        <v>0</v>
      </c>
      <c r="J5" s="30">
        <v>144</v>
      </c>
      <c r="K5" s="30">
        <v>20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</row>
    <row r="6" spans="1:16" x14ac:dyDescent="0.2">
      <c r="A6" s="20" t="s">
        <v>138</v>
      </c>
      <c r="B6" s="20" t="s">
        <v>17</v>
      </c>
      <c r="C6" s="20" t="s">
        <v>216</v>
      </c>
      <c r="D6" s="20" t="s">
        <v>136</v>
      </c>
      <c r="E6" s="34">
        <f>IF(B6="","",VLOOKUP(B6,dagsoorttabel1,2,FALSE))</f>
        <v>4.7058823529411764E-2</v>
      </c>
      <c r="F6" s="34">
        <v>1</v>
      </c>
      <c r="G6" s="34">
        <f>IF(prodnorm17&gt;0,1/ROUND(prodnorm17,4),0)</f>
        <v>0</v>
      </c>
      <c r="H6" s="36">
        <f>ROUND(dagwerk17,4+2)</f>
        <v>0</v>
      </c>
      <c r="I6" s="37">
        <f>ROUND(uurtarief17,2)</f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10.950000000000001</v>
      </c>
      <c r="P6" s="34">
        <v>0</v>
      </c>
    </row>
    <row r="7" spans="1:16" x14ac:dyDescent="0.2">
      <c r="A7" s="20" t="s">
        <v>140</v>
      </c>
      <c r="B7" s="20" t="s">
        <v>9</v>
      </c>
      <c r="C7" s="20" t="s">
        <v>216</v>
      </c>
      <c r="D7" s="20" t="s">
        <v>136</v>
      </c>
      <c r="E7" s="34">
        <f>IF(B7="","",VLOOKUP(B7,dagsoorttabel1,2,FALSE))</f>
        <v>1</v>
      </c>
      <c r="F7" s="34">
        <v>1</v>
      </c>
      <c r="G7" s="34">
        <f>IF(prodnorm18&gt;0,1/ROUND(prodnorm18,4),0)</f>
        <v>0</v>
      </c>
      <c r="H7" s="36">
        <f>ROUND(dagwerk18,4+2)</f>
        <v>0</v>
      </c>
      <c r="I7" s="37">
        <f>ROUND(uurtarief18,2)</f>
        <v>0</v>
      </c>
      <c r="J7" s="34">
        <v>10.57</v>
      </c>
      <c r="K7" s="34">
        <v>8.2299999999999986</v>
      </c>
      <c r="L7" s="34">
        <v>12.25</v>
      </c>
      <c r="M7" s="34">
        <v>0</v>
      </c>
      <c r="N7" s="34">
        <v>12.219999999999999</v>
      </c>
      <c r="O7" s="34">
        <v>50</v>
      </c>
      <c r="P7" s="34">
        <v>0</v>
      </c>
    </row>
    <row r="8" spans="1:16" x14ac:dyDescent="0.2">
      <c r="A8" s="20" t="s">
        <v>142</v>
      </c>
      <c r="B8" s="20" t="s">
        <v>9</v>
      </c>
      <c r="C8" s="20" t="s">
        <v>216</v>
      </c>
      <c r="D8" s="20" t="s">
        <v>136</v>
      </c>
      <c r="E8" s="34">
        <f>IF(B8="","",VLOOKUP(B8,dagsoorttabel1,2,FALSE))</f>
        <v>1</v>
      </c>
      <c r="F8" s="34">
        <v>1</v>
      </c>
      <c r="G8" s="34">
        <f>IF(prodnorm19&gt;0,1/ROUND(prodnorm19,4),0)</f>
        <v>0</v>
      </c>
      <c r="H8" s="36">
        <f>ROUND(dagwerk19,4+2)</f>
        <v>0</v>
      </c>
      <c r="I8" s="37">
        <f>ROUND(uurtarief19,2)</f>
        <v>0</v>
      </c>
      <c r="J8" s="34">
        <v>2303.34</v>
      </c>
      <c r="K8" s="34">
        <v>2627.68</v>
      </c>
      <c r="L8" s="34">
        <v>0</v>
      </c>
      <c r="M8" s="34">
        <v>17.14</v>
      </c>
      <c r="N8" s="34">
        <v>0</v>
      </c>
      <c r="O8" s="34">
        <v>0</v>
      </c>
      <c r="P8" s="34">
        <v>0</v>
      </c>
    </row>
    <row r="9" spans="1:16" x14ac:dyDescent="0.2">
      <c r="A9" s="20" t="s">
        <v>144</v>
      </c>
      <c r="B9" s="20" t="s">
        <v>15</v>
      </c>
      <c r="C9" s="20" t="s">
        <v>216</v>
      </c>
      <c r="D9" s="20" t="s">
        <v>136</v>
      </c>
      <c r="E9" s="34">
        <f>IF(B9="","",VLOOKUP(B9,dagsoorttabel1,2,FALSE))</f>
        <v>0.2</v>
      </c>
      <c r="F9" s="34">
        <v>1</v>
      </c>
      <c r="G9" s="34">
        <f>IF(prodnorm20&gt;0,1/ROUND(prodnorm20,4),0)</f>
        <v>0</v>
      </c>
      <c r="H9" s="36">
        <f>ROUND(dagwerk20,4+2)</f>
        <v>0</v>
      </c>
      <c r="I9" s="37">
        <f>ROUND(uurtarief20,2)</f>
        <v>0</v>
      </c>
      <c r="J9" s="34">
        <v>0</v>
      </c>
      <c r="K9" s="34">
        <v>157.19999999999999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</row>
    <row r="10" spans="1:16" x14ac:dyDescent="0.2">
      <c r="A10" s="20" t="s">
        <v>146</v>
      </c>
      <c r="B10" s="20" t="s">
        <v>9</v>
      </c>
      <c r="C10" s="20" t="s">
        <v>216</v>
      </c>
      <c r="D10" s="20" t="s">
        <v>136</v>
      </c>
      <c r="E10" s="34">
        <f>IF(B10="","",VLOOKUP(B10,dagsoorttabel1,2,FALSE))</f>
        <v>1</v>
      </c>
      <c r="F10" s="34">
        <v>1</v>
      </c>
      <c r="G10" s="34">
        <f>IF(prodnorm21&gt;0,1/ROUND(prodnorm21,4),0)</f>
        <v>0</v>
      </c>
      <c r="H10" s="36">
        <f>ROUND(dagwerk21,4+2)</f>
        <v>0</v>
      </c>
      <c r="I10" s="37">
        <f>ROUND(uurtarief21,2)</f>
        <v>0</v>
      </c>
      <c r="J10" s="34">
        <v>5</v>
      </c>
      <c r="K10" s="34">
        <v>0</v>
      </c>
      <c r="L10" s="34">
        <v>1.95</v>
      </c>
      <c r="M10" s="34">
        <v>0</v>
      </c>
      <c r="N10" s="34">
        <v>4.2700000000000005</v>
      </c>
      <c r="O10" s="34">
        <v>6.13</v>
      </c>
      <c r="P10" s="34">
        <v>0</v>
      </c>
    </row>
    <row r="11" spans="1:16" x14ac:dyDescent="0.2">
      <c r="A11" s="20" t="s">
        <v>148</v>
      </c>
      <c r="B11" s="20" t="s">
        <v>12</v>
      </c>
      <c r="C11" s="20" t="s">
        <v>216</v>
      </c>
      <c r="D11" s="20" t="s">
        <v>136</v>
      </c>
      <c r="E11" s="34">
        <f>IF(B11="","",VLOOKUP(B11,dagsoorttabel1,2,FALSE))</f>
        <v>0.6</v>
      </c>
      <c r="F11" s="34">
        <v>1</v>
      </c>
      <c r="G11" s="34">
        <f>IF(prodnorm22&gt;0,1/ROUND(prodnorm22,4),0)</f>
        <v>0</v>
      </c>
      <c r="H11" s="36">
        <f>ROUND(dagwerk22,4+2)</f>
        <v>0</v>
      </c>
      <c r="I11" s="37">
        <f>ROUND(uurtarief22,2)</f>
        <v>0</v>
      </c>
      <c r="J11" s="34">
        <v>0</v>
      </c>
      <c r="K11" s="34">
        <v>0</v>
      </c>
      <c r="L11" s="34">
        <v>0</v>
      </c>
      <c r="M11" s="34">
        <v>1.87</v>
      </c>
      <c r="N11" s="34">
        <v>0</v>
      </c>
      <c r="O11" s="34">
        <v>0</v>
      </c>
      <c r="P11" s="34">
        <v>0</v>
      </c>
    </row>
    <row r="12" spans="1:16" x14ac:dyDescent="0.2">
      <c r="A12" s="20" t="s">
        <v>148</v>
      </c>
      <c r="B12" s="20" t="s">
        <v>9</v>
      </c>
      <c r="C12" s="20" t="s">
        <v>216</v>
      </c>
      <c r="D12" s="20" t="s">
        <v>136</v>
      </c>
      <c r="E12" s="34">
        <f>IF(B12="","",VLOOKUP(B12,dagsoorttabel1,2,FALSE))</f>
        <v>1</v>
      </c>
      <c r="F12" s="34">
        <v>1</v>
      </c>
      <c r="G12" s="34">
        <f>IF(prodnorm23&gt;0,1/ROUND(prodnorm23,4),0)</f>
        <v>0</v>
      </c>
      <c r="H12" s="36">
        <f>ROUND(dagwerk23,4+2)</f>
        <v>0</v>
      </c>
      <c r="I12" s="37">
        <f>ROUND(uurtarief23,2)</f>
        <v>0</v>
      </c>
      <c r="J12" s="34">
        <v>65.59</v>
      </c>
      <c r="K12" s="34">
        <v>260</v>
      </c>
      <c r="L12" s="34">
        <v>0</v>
      </c>
      <c r="M12" s="34">
        <v>1.7</v>
      </c>
      <c r="N12" s="34">
        <v>10.29</v>
      </c>
      <c r="O12" s="34">
        <v>0</v>
      </c>
      <c r="P12" s="34">
        <v>0</v>
      </c>
    </row>
    <row r="13" spans="1:16" x14ac:dyDescent="0.2">
      <c r="A13" s="20" t="s">
        <v>150</v>
      </c>
      <c r="B13" s="20" t="s">
        <v>9</v>
      </c>
      <c r="C13" s="20" t="s">
        <v>216</v>
      </c>
      <c r="D13" s="20" t="s">
        <v>136</v>
      </c>
      <c r="E13" s="34">
        <f>IF(B13="","",VLOOKUP(B13,dagsoorttabel1,2,FALSE))</f>
        <v>1</v>
      </c>
      <c r="F13" s="34">
        <v>1</v>
      </c>
      <c r="G13" s="34">
        <f>IF(prodnorm24&gt;0,1/ROUND(prodnorm24,4),0)</f>
        <v>0</v>
      </c>
      <c r="H13" s="36">
        <f>ROUND(dagwerk24,4+2)</f>
        <v>0</v>
      </c>
      <c r="I13" s="37">
        <f>ROUND(uurtarief24,2)</f>
        <v>0</v>
      </c>
      <c r="J13" s="34">
        <v>31.58</v>
      </c>
      <c r="K13" s="34">
        <v>23.8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</row>
    <row r="14" spans="1:16" x14ac:dyDescent="0.2">
      <c r="A14" s="20" t="s">
        <v>152</v>
      </c>
      <c r="B14" s="20" t="s">
        <v>9</v>
      </c>
      <c r="C14" s="20" t="s">
        <v>216</v>
      </c>
      <c r="D14" s="20" t="s">
        <v>136</v>
      </c>
      <c r="E14" s="34">
        <f>IF(B14="","",VLOOKUP(B14,dagsoorttabel1,2,FALSE))</f>
        <v>1</v>
      </c>
      <c r="F14" s="34">
        <v>1</v>
      </c>
      <c r="G14" s="34">
        <f>IF(prodnorm25&gt;0,1/ROUND(prodnorm25,4),0)</f>
        <v>0</v>
      </c>
      <c r="H14" s="36">
        <f>ROUND(dagwerk25,4+2)</f>
        <v>0</v>
      </c>
      <c r="I14" s="37">
        <f>ROUND(uurtarief25,2)</f>
        <v>0</v>
      </c>
      <c r="J14" s="34">
        <v>0</v>
      </c>
      <c r="K14" s="34">
        <v>2.3099999999999996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</row>
    <row r="15" spans="1:16" x14ac:dyDescent="0.2">
      <c r="A15" s="20" t="s">
        <v>154</v>
      </c>
      <c r="B15" s="20" t="s">
        <v>9</v>
      </c>
      <c r="C15" s="20" t="s">
        <v>216</v>
      </c>
      <c r="D15" s="20" t="s">
        <v>136</v>
      </c>
      <c r="E15" s="34">
        <f>IF(B15="","",VLOOKUP(B15,dagsoorttabel1,2,FALSE))</f>
        <v>1</v>
      </c>
      <c r="F15" s="34">
        <v>1</v>
      </c>
      <c r="G15" s="34">
        <f>IF(prodnorm26&gt;0,1/ROUND(prodnorm26,4),0)</f>
        <v>0</v>
      </c>
      <c r="H15" s="36">
        <f>ROUND(dagwerk26,4+2)</f>
        <v>0</v>
      </c>
      <c r="I15" s="37">
        <f>ROUND(uurtarief26,2)</f>
        <v>0</v>
      </c>
      <c r="J15" s="34">
        <v>0</v>
      </c>
      <c r="K15" s="34">
        <v>0</v>
      </c>
      <c r="L15" s="34">
        <v>16.579999999999998</v>
      </c>
      <c r="M15" s="34">
        <v>11.3</v>
      </c>
      <c r="N15" s="34">
        <v>13.27</v>
      </c>
      <c r="O15" s="34">
        <v>48.37</v>
      </c>
      <c r="P15" s="34">
        <v>0</v>
      </c>
    </row>
    <row r="16" spans="1:16" x14ac:dyDescent="0.2">
      <c r="A16" s="20" t="s">
        <v>156</v>
      </c>
      <c r="B16" s="20" t="s">
        <v>12</v>
      </c>
      <c r="C16" s="20" t="s">
        <v>216</v>
      </c>
      <c r="D16" s="20" t="s">
        <v>136</v>
      </c>
      <c r="E16" s="34">
        <f>IF(B16="","",VLOOKUP(B16,dagsoorttabel1,2,FALSE))</f>
        <v>0.6</v>
      </c>
      <c r="F16" s="34">
        <v>1</v>
      </c>
      <c r="G16" s="34">
        <f>IF(prodnorm27&gt;0,1/ROUND(prodnorm27,4),0)</f>
        <v>0</v>
      </c>
      <c r="H16" s="36">
        <f>ROUND(dagwerk27,4+2)</f>
        <v>0</v>
      </c>
      <c r="I16" s="37">
        <f>ROUND(uurtarief27,2)</f>
        <v>0</v>
      </c>
      <c r="J16" s="34">
        <v>0</v>
      </c>
      <c r="K16" s="34">
        <v>0</v>
      </c>
      <c r="L16" s="34">
        <v>0</v>
      </c>
      <c r="M16" s="34">
        <v>13.51</v>
      </c>
      <c r="N16" s="34">
        <v>0</v>
      </c>
      <c r="O16" s="34">
        <v>0</v>
      </c>
      <c r="P16" s="34">
        <v>0</v>
      </c>
    </row>
    <row r="17" spans="1:16" x14ac:dyDescent="0.2">
      <c r="A17" s="20" t="s">
        <v>156</v>
      </c>
      <c r="B17" s="20" t="s">
        <v>9</v>
      </c>
      <c r="C17" s="20" t="s">
        <v>216</v>
      </c>
      <c r="D17" s="20" t="s">
        <v>136</v>
      </c>
      <c r="E17" s="34">
        <f>IF(B17="","",VLOOKUP(B17,dagsoorttabel1,2,FALSE))</f>
        <v>1</v>
      </c>
      <c r="F17" s="34">
        <v>1</v>
      </c>
      <c r="G17" s="34">
        <f>IF(prodnorm28&gt;0,1/ROUND(prodnorm28,4),0)</f>
        <v>0</v>
      </c>
      <c r="H17" s="36">
        <f>ROUND(dagwerk28,4+2)</f>
        <v>0</v>
      </c>
      <c r="I17" s="37">
        <f>ROUND(uurtarief28,2)</f>
        <v>0</v>
      </c>
      <c r="J17" s="34">
        <v>172.57</v>
      </c>
      <c r="K17" s="34">
        <v>36.049999999999997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</row>
    <row r="18" spans="1:16" x14ac:dyDescent="0.2">
      <c r="A18" s="20" t="s">
        <v>158</v>
      </c>
      <c r="B18" s="20" t="s">
        <v>9</v>
      </c>
      <c r="C18" s="20" t="s">
        <v>216</v>
      </c>
      <c r="D18" s="20" t="s">
        <v>136</v>
      </c>
      <c r="E18" s="34">
        <f>IF(B18="","",VLOOKUP(B18,dagsoorttabel1,2,FALSE))</f>
        <v>1</v>
      </c>
      <c r="F18" s="34">
        <v>1</v>
      </c>
      <c r="G18" s="34">
        <f>IF(prodnorm29&gt;0,1/ROUND(prodnorm29,4),0)</f>
        <v>0</v>
      </c>
      <c r="H18" s="36">
        <f>ROUND(dagwerk29,4+2)</f>
        <v>0</v>
      </c>
      <c r="I18" s="37">
        <f>ROUND(uurtarief29,2)</f>
        <v>0</v>
      </c>
      <c r="J18" s="34">
        <v>356.7</v>
      </c>
      <c r="K18" s="34">
        <v>115.53999999999999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</row>
    <row r="19" spans="1:16" x14ac:dyDescent="0.2">
      <c r="A19" s="20" t="s">
        <v>160</v>
      </c>
      <c r="B19" s="20" t="s">
        <v>15</v>
      </c>
      <c r="C19" s="20" t="s">
        <v>216</v>
      </c>
      <c r="D19" s="20" t="s">
        <v>136</v>
      </c>
      <c r="E19" s="34">
        <f>IF(B19="","",VLOOKUP(B19,dagsoorttabel1,2,FALSE))</f>
        <v>0.2</v>
      </c>
      <c r="F19" s="34">
        <v>1</v>
      </c>
      <c r="G19" s="34">
        <f>IF(prodnorm30&gt;0,1/ROUND(prodnorm30,4),0)</f>
        <v>0</v>
      </c>
      <c r="H19" s="36">
        <f>ROUND(dagwerk30,4+2)</f>
        <v>0</v>
      </c>
      <c r="I19" s="37">
        <f>ROUND(uurtarief30,2)</f>
        <v>0</v>
      </c>
      <c r="J19" s="34">
        <v>0</v>
      </c>
      <c r="K19" s="34">
        <v>31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x14ac:dyDescent="0.2">
      <c r="A20" s="20" t="s">
        <v>162</v>
      </c>
      <c r="B20" s="20" t="s">
        <v>9</v>
      </c>
      <c r="C20" s="20" t="s">
        <v>216</v>
      </c>
      <c r="D20" s="20" t="s">
        <v>136</v>
      </c>
      <c r="E20" s="34">
        <f>IF(B20="","",VLOOKUP(B20,dagsoorttabel1,2,FALSE))</f>
        <v>1</v>
      </c>
      <c r="F20" s="34">
        <v>1</v>
      </c>
      <c r="G20" s="34">
        <f>IF(prodnorm31&gt;0,1/ROUND(prodnorm31,4),0)</f>
        <v>0</v>
      </c>
      <c r="H20" s="36">
        <f>ROUND(dagwerk31,4+2)</f>
        <v>0</v>
      </c>
      <c r="I20" s="37">
        <f>ROUND(uurtarief31,2)</f>
        <v>0</v>
      </c>
      <c r="J20" s="34">
        <v>12.999999999999998</v>
      </c>
      <c r="K20" s="34">
        <v>54.74</v>
      </c>
      <c r="L20" s="34">
        <v>4.4399999999999995</v>
      </c>
      <c r="M20" s="34">
        <v>0</v>
      </c>
      <c r="N20" s="34">
        <v>10.29</v>
      </c>
      <c r="O20" s="34">
        <v>0</v>
      </c>
      <c r="P20" s="34">
        <v>0</v>
      </c>
    </row>
    <row r="21" spans="1:16" x14ac:dyDescent="0.2">
      <c r="A21" s="20" t="s">
        <v>164</v>
      </c>
      <c r="B21" s="20" t="s">
        <v>9</v>
      </c>
      <c r="C21" s="20" t="s">
        <v>216</v>
      </c>
      <c r="D21" s="20" t="s">
        <v>136</v>
      </c>
      <c r="E21" s="34">
        <f>IF(B21="","",VLOOKUP(B21,dagsoorttabel1,2,FALSE))</f>
        <v>1</v>
      </c>
      <c r="F21" s="34">
        <v>1</v>
      </c>
      <c r="G21" s="34">
        <f>IF(prodnorm32&gt;0,1/ROUND(prodnorm32,4),0)</f>
        <v>0</v>
      </c>
      <c r="H21" s="36">
        <f>ROUND(dagwerk32,4+2)</f>
        <v>0</v>
      </c>
      <c r="I21" s="37">
        <f>ROUND(uurtarief32,2)</f>
        <v>0</v>
      </c>
      <c r="J21" s="34">
        <v>6.59</v>
      </c>
      <c r="K21" s="34">
        <v>0</v>
      </c>
      <c r="L21" s="34">
        <v>0</v>
      </c>
      <c r="M21" s="34">
        <v>1.21</v>
      </c>
      <c r="N21" s="34">
        <v>0</v>
      </c>
      <c r="O21" s="34">
        <v>0</v>
      </c>
      <c r="P21" s="34">
        <v>0</v>
      </c>
    </row>
    <row r="22" spans="1:16" x14ac:dyDescent="0.2">
      <c r="A22" s="20" t="s">
        <v>166</v>
      </c>
      <c r="B22" s="20" t="s">
        <v>9</v>
      </c>
      <c r="C22" s="20" t="s">
        <v>216</v>
      </c>
      <c r="D22" s="20" t="s">
        <v>136</v>
      </c>
      <c r="E22" s="34">
        <f>IF(B22="","",VLOOKUP(B22,dagsoorttabel1,2,FALSE))</f>
        <v>1</v>
      </c>
      <c r="F22" s="34">
        <v>1</v>
      </c>
      <c r="G22" s="34">
        <f>IF(prodnorm33&gt;0,1/ROUND(prodnorm33,4),0)</f>
        <v>0</v>
      </c>
      <c r="H22" s="36">
        <f>ROUND(dagwerk33,4+2)</f>
        <v>0</v>
      </c>
      <c r="I22" s="37">
        <f>ROUND(uurtarief33,2)</f>
        <v>0</v>
      </c>
      <c r="J22" s="34">
        <v>146.5</v>
      </c>
      <c r="K22" s="34">
        <v>0</v>
      </c>
      <c r="L22" s="34">
        <v>40.879999999999995</v>
      </c>
      <c r="M22" s="34">
        <v>0</v>
      </c>
      <c r="N22" s="34">
        <v>56.949999999999996</v>
      </c>
      <c r="O22" s="34">
        <v>72</v>
      </c>
      <c r="P22" s="34">
        <v>0</v>
      </c>
    </row>
    <row r="23" spans="1:16" x14ac:dyDescent="0.2">
      <c r="A23" s="20" t="s">
        <v>168</v>
      </c>
      <c r="B23" s="20" t="s">
        <v>9</v>
      </c>
      <c r="C23" s="20" t="s">
        <v>216</v>
      </c>
      <c r="D23" s="20" t="s">
        <v>136</v>
      </c>
      <c r="E23" s="34">
        <f>IF(B23="","",VLOOKUP(B23,dagsoorttabel1,2,FALSE))</f>
        <v>1</v>
      </c>
      <c r="F23" s="34">
        <v>1</v>
      </c>
      <c r="G23" s="34">
        <f>IF(prodnorm34&gt;0,1/ROUND(prodnorm34,4),0)</f>
        <v>0</v>
      </c>
      <c r="H23" s="36">
        <f>ROUND(dagwerk34,4+2)</f>
        <v>0</v>
      </c>
      <c r="I23" s="37">
        <f>ROUND(uurtarief34,2)</f>
        <v>0</v>
      </c>
      <c r="J23" s="34">
        <v>81</v>
      </c>
      <c r="K23" s="34">
        <v>82.77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x14ac:dyDescent="0.2">
      <c r="A24" s="20" t="s">
        <v>170</v>
      </c>
      <c r="B24" s="20" t="s">
        <v>15</v>
      </c>
      <c r="C24" s="20" t="s">
        <v>216</v>
      </c>
      <c r="D24" s="20" t="s">
        <v>136</v>
      </c>
      <c r="E24" s="34">
        <f>IF(B24="","",VLOOKUP(B24,dagsoorttabel1,2,FALSE))</f>
        <v>0.2</v>
      </c>
      <c r="F24" s="34">
        <v>1</v>
      </c>
      <c r="G24" s="34">
        <f>IF(prodnorm35&gt;0,1/ROUND(prodnorm35,4),0)</f>
        <v>0</v>
      </c>
      <c r="H24" s="36">
        <f>ROUND(dagwerk35,4+2)</f>
        <v>0</v>
      </c>
      <c r="I24" s="37">
        <f>ROUND(uurtarief35,2)</f>
        <v>0</v>
      </c>
      <c r="J24" s="34">
        <v>0</v>
      </c>
      <c r="K24" s="34">
        <v>0</v>
      </c>
      <c r="L24" s="34">
        <v>0</v>
      </c>
      <c r="M24" s="34">
        <v>4</v>
      </c>
      <c r="N24" s="34">
        <v>0</v>
      </c>
      <c r="O24" s="34">
        <v>0</v>
      </c>
      <c r="P24" s="34">
        <v>0</v>
      </c>
    </row>
    <row r="25" spans="1:16" x14ac:dyDescent="0.2">
      <c r="A25" s="20" t="s">
        <v>170</v>
      </c>
      <c r="B25" s="20" t="s">
        <v>12</v>
      </c>
      <c r="C25" s="20" t="s">
        <v>216</v>
      </c>
      <c r="D25" s="20" t="s">
        <v>136</v>
      </c>
      <c r="E25" s="34">
        <f>IF(B25="","",VLOOKUP(B25,dagsoorttabel1,2,FALSE))</f>
        <v>0.6</v>
      </c>
      <c r="F25" s="34">
        <v>1</v>
      </c>
      <c r="G25" s="34">
        <f>IF(prodnorm36&gt;0,1/ROUND(prodnorm36,4),0)</f>
        <v>0</v>
      </c>
      <c r="H25" s="36">
        <f>ROUND(dagwerk36,4+2)</f>
        <v>0</v>
      </c>
      <c r="I25" s="37">
        <f>ROUND(uurtarief36,2)</f>
        <v>0</v>
      </c>
      <c r="J25" s="34">
        <v>0</v>
      </c>
      <c r="K25" s="34">
        <v>0</v>
      </c>
      <c r="L25" s="34">
        <v>0</v>
      </c>
      <c r="M25" s="34">
        <v>0.95000000000000007</v>
      </c>
      <c r="N25" s="34">
        <v>0</v>
      </c>
      <c r="O25" s="34">
        <v>0</v>
      </c>
      <c r="P25" s="34">
        <v>0</v>
      </c>
    </row>
    <row r="26" spans="1:16" x14ac:dyDescent="0.2">
      <c r="A26" s="20" t="s">
        <v>170</v>
      </c>
      <c r="B26" s="20" t="s">
        <v>9</v>
      </c>
      <c r="C26" s="20" t="s">
        <v>216</v>
      </c>
      <c r="D26" s="20" t="s">
        <v>136</v>
      </c>
      <c r="E26" s="34">
        <f>IF(B26="","",VLOOKUP(B26,dagsoorttabel1,2,FALSE))</f>
        <v>1</v>
      </c>
      <c r="F26" s="34">
        <v>1</v>
      </c>
      <c r="G26" s="34">
        <f>IF(prodnorm37&gt;0,1/ROUND(prodnorm37,4),0)</f>
        <v>0</v>
      </c>
      <c r="H26" s="36">
        <f>ROUND(dagwerk37,4+2)</f>
        <v>0</v>
      </c>
      <c r="I26" s="37">
        <f>ROUND(uurtarief37,2)</f>
        <v>0</v>
      </c>
      <c r="J26" s="34">
        <v>129.13999999999999</v>
      </c>
      <c r="K26" s="34">
        <v>87.339999999999989</v>
      </c>
      <c r="L26" s="34">
        <v>19.520000000000003</v>
      </c>
      <c r="M26" s="34">
        <v>1.06</v>
      </c>
      <c r="N26" s="34">
        <v>23.69</v>
      </c>
      <c r="O26" s="34">
        <v>23.28</v>
      </c>
      <c r="P26" s="34">
        <v>5</v>
      </c>
    </row>
    <row r="27" spans="1:16" x14ac:dyDescent="0.2">
      <c r="A27" s="20" t="s">
        <v>172</v>
      </c>
      <c r="B27" s="20" t="s">
        <v>9</v>
      </c>
      <c r="C27" s="20" t="s">
        <v>216</v>
      </c>
      <c r="D27" s="20" t="s">
        <v>136</v>
      </c>
      <c r="E27" s="34">
        <f>IF(B27="","",VLOOKUP(B27,dagsoorttabel1,2,FALSE))</f>
        <v>1</v>
      </c>
      <c r="F27" s="34">
        <v>1</v>
      </c>
      <c r="G27" s="34">
        <f>IF(prodnorm38&gt;0,1/ROUND(prodnorm38,4),0)</f>
        <v>0</v>
      </c>
      <c r="H27" s="36">
        <f>ROUND(dagwerk38,4+2)</f>
        <v>0</v>
      </c>
      <c r="I27" s="37">
        <f>ROUND(uurtarief38,2)</f>
        <v>0</v>
      </c>
      <c r="J27" s="34">
        <v>129.13999999999999</v>
      </c>
      <c r="K27" s="34">
        <v>87.339999999999989</v>
      </c>
      <c r="L27" s="34">
        <v>0</v>
      </c>
      <c r="M27" s="34">
        <v>0</v>
      </c>
      <c r="N27" s="34">
        <v>0</v>
      </c>
      <c r="O27" s="34">
        <v>0</v>
      </c>
      <c r="P27" s="34">
        <v>5</v>
      </c>
    </row>
    <row r="28" spans="1:16" x14ac:dyDescent="0.2">
      <c r="A28" s="20" t="s">
        <v>174</v>
      </c>
      <c r="B28" s="20" t="s">
        <v>13</v>
      </c>
      <c r="C28" s="20" t="s">
        <v>216</v>
      </c>
      <c r="D28" s="20" t="s">
        <v>136</v>
      </c>
      <c r="E28" s="34">
        <f>IF(B28="","",VLOOKUP(B28,dagsoorttabel1,2,FALSE))</f>
        <v>0.58823529411764708</v>
      </c>
      <c r="F28" s="34">
        <v>1</v>
      </c>
      <c r="G28" s="34">
        <f>IF(prodnorm39&gt;0,1/ROUND(prodnorm39,4),0)</f>
        <v>0</v>
      </c>
      <c r="H28" s="36">
        <f>ROUND(dagwerk39,4+2)</f>
        <v>0</v>
      </c>
      <c r="I28" s="37">
        <f>ROUND(uurtarief39,2)</f>
        <v>0</v>
      </c>
      <c r="J28" s="34">
        <v>0</v>
      </c>
      <c r="K28" s="34">
        <v>0</v>
      </c>
      <c r="L28" s="34">
        <v>12.5</v>
      </c>
      <c r="M28" s="34">
        <v>0</v>
      </c>
      <c r="N28" s="34">
        <v>0</v>
      </c>
      <c r="O28" s="34">
        <v>0</v>
      </c>
      <c r="P28" s="34">
        <v>0</v>
      </c>
    </row>
    <row r="29" spans="1:16" x14ac:dyDescent="0.2">
      <c r="A29" s="20" t="s">
        <v>176</v>
      </c>
      <c r="B29" s="20" t="s">
        <v>9</v>
      </c>
      <c r="C29" s="20" t="s">
        <v>216</v>
      </c>
      <c r="D29" s="20" t="s">
        <v>136</v>
      </c>
      <c r="E29" s="34">
        <f>IF(B29="","",VLOOKUP(B29,dagsoorttabel1,2,FALSE))</f>
        <v>1</v>
      </c>
      <c r="F29" s="34">
        <v>1</v>
      </c>
      <c r="G29" s="34">
        <f>IF(prodnorm40&gt;0,1/ROUND(prodnorm40,4),0)</f>
        <v>0</v>
      </c>
      <c r="H29" s="36">
        <f>ROUND(dagwerk40,4+2)</f>
        <v>0</v>
      </c>
      <c r="I29" s="37">
        <f>ROUND(uurtarief40,2)</f>
        <v>0</v>
      </c>
      <c r="J29" s="34">
        <v>153.15</v>
      </c>
      <c r="K29" s="34">
        <v>14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x14ac:dyDescent="0.2">
      <c r="A30" s="20" t="s">
        <v>178</v>
      </c>
      <c r="B30" s="20" t="s">
        <v>9</v>
      </c>
      <c r="C30" s="20" t="s">
        <v>216</v>
      </c>
      <c r="D30" s="20" t="s">
        <v>136</v>
      </c>
      <c r="E30" s="34">
        <f>IF(B30="","",VLOOKUP(B30,dagsoorttabel1,2,FALSE))</f>
        <v>1</v>
      </c>
      <c r="F30" s="34">
        <v>1</v>
      </c>
      <c r="G30" s="34">
        <f>IF(prodnorm41&gt;0,1/ROUND(prodnorm41,4),0)</f>
        <v>0</v>
      </c>
      <c r="H30" s="36">
        <f>ROUND(dagwerk41,4+2)</f>
        <v>0</v>
      </c>
      <c r="I30" s="37">
        <f>ROUND(uurtarief41,2)</f>
        <v>0</v>
      </c>
      <c r="J30" s="34">
        <v>0</v>
      </c>
      <c r="K30" s="34">
        <v>94.53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x14ac:dyDescent="0.2">
      <c r="A31" s="20" t="s">
        <v>180</v>
      </c>
      <c r="B31" s="20" t="s">
        <v>15</v>
      </c>
      <c r="C31" s="20" t="s">
        <v>216</v>
      </c>
      <c r="D31" s="20" t="s">
        <v>136</v>
      </c>
      <c r="E31" s="34">
        <f>IF(B31="","",VLOOKUP(B31,dagsoorttabel1,2,FALSE))</f>
        <v>0.2</v>
      </c>
      <c r="F31" s="34">
        <v>1</v>
      </c>
      <c r="G31" s="34">
        <f>IF(prodnorm42&gt;0,1/ROUND(prodnorm42,4),0)</f>
        <v>0</v>
      </c>
      <c r="H31" s="36">
        <f>ROUND(dagwerk42,4+2)</f>
        <v>0</v>
      </c>
      <c r="I31" s="37">
        <f>ROUND(uurtarief42,2)</f>
        <v>0</v>
      </c>
      <c r="J31" s="34">
        <v>0</v>
      </c>
      <c r="K31" s="34">
        <v>0</v>
      </c>
      <c r="L31" s="34">
        <v>0</v>
      </c>
      <c r="M31" s="34">
        <v>5.52</v>
      </c>
      <c r="N31" s="34">
        <v>0</v>
      </c>
      <c r="O31" s="34">
        <v>0</v>
      </c>
      <c r="P31" s="34">
        <v>0</v>
      </c>
    </row>
    <row r="32" spans="1:16" x14ac:dyDescent="0.2">
      <c r="A32" s="20" t="s">
        <v>180</v>
      </c>
      <c r="B32" s="20" t="s">
        <v>9</v>
      </c>
      <c r="C32" s="20" t="s">
        <v>216</v>
      </c>
      <c r="D32" s="20" t="s">
        <v>136</v>
      </c>
      <c r="E32" s="34">
        <f>IF(B32="","",VLOOKUP(B32,dagsoorttabel1,2,FALSE))</f>
        <v>1</v>
      </c>
      <c r="F32" s="34">
        <v>1</v>
      </c>
      <c r="G32" s="34">
        <f>IF(prodnorm43&gt;0,1/ROUND(prodnorm43,4),0)</f>
        <v>0</v>
      </c>
      <c r="H32" s="36">
        <f>ROUND(dagwerk43,4+2)</f>
        <v>0</v>
      </c>
      <c r="I32" s="37">
        <f>ROUND(uurtarief43,2)</f>
        <v>0</v>
      </c>
      <c r="J32" s="34">
        <v>436.03</v>
      </c>
      <c r="K32" s="34">
        <v>58.059999999999995</v>
      </c>
      <c r="L32" s="34">
        <v>1.9800000000000002</v>
      </c>
      <c r="M32" s="34">
        <v>0</v>
      </c>
      <c r="N32" s="34">
        <v>0.53</v>
      </c>
      <c r="O32" s="34">
        <v>47.3</v>
      </c>
      <c r="P32" s="34">
        <v>0</v>
      </c>
    </row>
    <row r="33" spans="1:16" x14ac:dyDescent="0.2">
      <c r="A33" s="20" t="s">
        <v>183</v>
      </c>
      <c r="B33" s="20" t="s">
        <v>9</v>
      </c>
      <c r="C33" s="20" t="s">
        <v>216</v>
      </c>
      <c r="D33" s="20" t="s">
        <v>136</v>
      </c>
      <c r="E33" s="34">
        <f>IF(B33="","",VLOOKUP(B33,dagsoorttabel1,2,FALSE))</f>
        <v>1</v>
      </c>
      <c r="F33" s="34">
        <v>1</v>
      </c>
      <c r="G33" s="34">
        <f>IF(prodnorm44&gt;0,1/ROUND(prodnorm44,4),0)</f>
        <v>0</v>
      </c>
      <c r="H33" s="36">
        <f>ROUND(dagwerk44,4+2)</f>
        <v>0</v>
      </c>
      <c r="I33" s="37">
        <f>ROUND(uurtarief44,2)</f>
        <v>0</v>
      </c>
      <c r="J33" s="34">
        <v>1306.8300000000002</v>
      </c>
      <c r="K33" s="34">
        <v>671.86</v>
      </c>
      <c r="L33" s="34">
        <v>0</v>
      </c>
      <c r="M33" s="34">
        <v>5</v>
      </c>
      <c r="N33" s="34">
        <v>0</v>
      </c>
      <c r="O33" s="34">
        <v>0</v>
      </c>
      <c r="P33" s="34">
        <v>0</v>
      </c>
    </row>
    <row r="34" spans="1:16" x14ac:dyDescent="0.2">
      <c r="A34" s="20" t="s">
        <v>185</v>
      </c>
      <c r="B34" s="20" t="s">
        <v>9</v>
      </c>
      <c r="C34" s="20" t="s">
        <v>216</v>
      </c>
      <c r="D34" s="20" t="s">
        <v>136</v>
      </c>
      <c r="E34" s="34">
        <f>IF(B34="","",VLOOKUP(B34,dagsoorttabel1,2,FALSE))</f>
        <v>1</v>
      </c>
      <c r="F34" s="34">
        <v>1</v>
      </c>
      <c r="G34" s="34">
        <f>IF(prodnorm45&gt;0,1/ROUND(prodnorm45,4),0)</f>
        <v>0</v>
      </c>
      <c r="H34" s="36">
        <f>ROUND(dagwerk45,4+2)</f>
        <v>0</v>
      </c>
      <c r="I34" s="37">
        <f>ROUND(uurtarief45,2)</f>
        <v>0</v>
      </c>
      <c r="J34" s="34">
        <v>0</v>
      </c>
      <c r="K34" s="34">
        <v>173.6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x14ac:dyDescent="0.2">
      <c r="A35" s="20" t="s">
        <v>187</v>
      </c>
      <c r="B35" s="20" t="s">
        <v>22</v>
      </c>
      <c r="C35" s="20" t="s">
        <v>216</v>
      </c>
      <c r="D35" s="20" t="s">
        <v>188</v>
      </c>
      <c r="E35" s="34">
        <f>IF(B35="","",VLOOKUP(B35,dagsoorttabel1,2,FALSE))</f>
        <v>3.9215686274509803E-3</v>
      </c>
      <c r="F35" s="34">
        <v>1</v>
      </c>
      <c r="G35" s="34">
        <f>IF(prodnorm46&gt;0,1/ROUND(prodnorm46,4),0)</f>
        <v>0</v>
      </c>
      <c r="H35" s="36">
        <f>ROUND(dagwerk46,4+2)</f>
        <v>0</v>
      </c>
      <c r="I35" s="37">
        <f>ROUND(uurtarief46,2)</f>
        <v>0</v>
      </c>
      <c r="J35" s="34">
        <v>150</v>
      </c>
      <c r="K35" s="34">
        <v>57.58</v>
      </c>
      <c r="L35" s="34">
        <v>12.25</v>
      </c>
      <c r="M35" s="34">
        <v>0</v>
      </c>
      <c r="N35" s="34">
        <v>0</v>
      </c>
      <c r="O35" s="34">
        <v>0</v>
      </c>
      <c r="P35" s="34">
        <v>0</v>
      </c>
    </row>
    <row r="36" spans="1:16" x14ac:dyDescent="0.2">
      <c r="A36" s="25" t="s">
        <v>190</v>
      </c>
      <c r="B36" s="25" t="s">
        <v>9</v>
      </c>
      <c r="C36" s="25" t="s">
        <v>216</v>
      </c>
      <c r="D36" s="25" t="s">
        <v>191</v>
      </c>
      <c r="E36" s="38">
        <f>IF(B36="","",VLOOKUP(B36,dagsoorttabel1,2,FALSE))</f>
        <v>1</v>
      </c>
      <c r="F36" s="38">
        <v>1</v>
      </c>
      <c r="G36" s="38">
        <f>ROUND(prodnorm14,4)/60</f>
        <v>0</v>
      </c>
      <c r="H36" s="49">
        <f>ROUND(dagwerk14,4+2)</f>
        <v>0</v>
      </c>
      <c r="I36" s="40">
        <f>ROUND(uurtarief14,2)</f>
        <v>0</v>
      </c>
      <c r="J36" s="38">
        <v>0</v>
      </c>
      <c r="K36" s="38">
        <v>1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</row>
    <row r="37" spans="1:16" x14ac:dyDescent="0.2">
      <c r="A37" s="41" t="s">
        <v>194</v>
      </c>
      <c r="B37" s="42"/>
      <c r="C37" s="42"/>
      <c r="D37" s="42"/>
      <c r="E37" s="42"/>
      <c r="F37" s="42"/>
      <c r="G37" s="42"/>
      <c r="H37" s="42"/>
      <c r="I37" s="42"/>
      <c r="J37" s="53"/>
      <c r="K37" s="53"/>
      <c r="L37" s="53"/>
      <c r="M37" s="53"/>
      <c r="N37" s="53"/>
      <c r="O37" s="53"/>
      <c r="P37" s="53"/>
    </row>
    <row r="39" spans="1:16" x14ac:dyDescent="0.2">
      <c r="A39" s="15" t="s">
        <v>196</v>
      </c>
      <c r="B39" s="15" t="s">
        <v>14</v>
      </c>
      <c r="C39" s="15" t="s">
        <v>217</v>
      </c>
      <c r="D39" s="15" t="s">
        <v>136</v>
      </c>
      <c r="E39" s="30">
        <f>IF(B39="","",VLOOKUP(B39,dagsoorttabel1,2,FALSE))</f>
        <v>0.4</v>
      </c>
      <c r="F39" s="30">
        <v>1</v>
      </c>
      <c r="G39" s="30">
        <f>IF(prodnorm48&gt;0,1/ROUND(prodnorm48,4),0)</f>
        <v>0</v>
      </c>
      <c r="H39" s="32">
        <f>ROUND(dagwerk48,4+2)</f>
        <v>0</v>
      </c>
      <c r="I39" s="33">
        <f>ROUND(uurtarief48,2)</f>
        <v>0</v>
      </c>
      <c r="J39" s="30">
        <v>0</v>
      </c>
      <c r="K39" s="30">
        <v>157.19999999999999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</row>
    <row r="40" spans="1:16" x14ac:dyDescent="0.2">
      <c r="A40" s="20" t="s">
        <v>197</v>
      </c>
      <c r="B40" s="20" t="s">
        <v>14</v>
      </c>
      <c r="C40" s="20" t="s">
        <v>217</v>
      </c>
      <c r="D40" s="20" t="s">
        <v>136</v>
      </c>
      <c r="E40" s="34">
        <f>IF(B40="","",VLOOKUP(B40,dagsoorttabel1,2,FALSE))</f>
        <v>0.4</v>
      </c>
      <c r="F40" s="34">
        <v>1</v>
      </c>
      <c r="G40" s="34">
        <f>IF(prodnorm49&gt;0,1/ROUND(prodnorm49,4),0)</f>
        <v>0</v>
      </c>
      <c r="H40" s="36">
        <f>ROUND(dagwerk49,4+2)</f>
        <v>0</v>
      </c>
      <c r="I40" s="37">
        <f>ROUND(uurtarief49,2)</f>
        <v>0</v>
      </c>
      <c r="J40" s="34">
        <v>0</v>
      </c>
      <c r="K40" s="34">
        <v>31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x14ac:dyDescent="0.2">
      <c r="A41" s="25" t="s">
        <v>198</v>
      </c>
      <c r="B41" s="25" t="s">
        <v>14</v>
      </c>
      <c r="C41" s="25" t="s">
        <v>217</v>
      </c>
      <c r="D41" s="25" t="s">
        <v>136</v>
      </c>
      <c r="E41" s="38">
        <f>IF(B41="","",VLOOKUP(B41,dagsoorttabel1,2,FALSE))</f>
        <v>0.4</v>
      </c>
      <c r="F41" s="38">
        <v>1</v>
      </c>
      <c r="G41" s="38">
        <f>IF(prodnorm50&gt;0,1/ROUND(prodnorm50,4),0)</f>
        <v>0</v>
      </c>
      <c r="H41" s="49">
        <f>ROUND(dagwerk50,4+2)</f>
        <v>0</v>
      </c>
      <c r="I41" s="40">
        <f>ROUND(uurtarief50,2)</f>
        <v>0</v>
      </c>
      <c r="J41" s="38">
        <v>0</v>
      </c>
      <c r="K41" s="38">
        <v>12.62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</row>
    <row r="42" spans="1:16" x14ac:dyDescent="0.2">
      <c r="A42" s="41" t="s">
        <v>199</v>
      </c>
      <c r="B42" s="42"/>
      <c r="C42" s="42"/>
      <c r="D42" s="42"/>
      <c r="E42" s="42"/>
      <c r="F42" s="42"/>
      <c r="G42" s="42"/>
      <c r="H42" s="42"/>
      <c r="I42" s="42"/>
      <c r="J42" s="53"/>
      <c r="K42" s="53"/>
      <c r="L42" s="53"/>
      <c r="M42" s="53"/>
      <c r="N42" s="53"/>
      <c r="O42" s="53"/>
      <c r="P42" s="53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CC6C-65D3-42A5-A8D5-379E9C16817D}">
  <dimension ref="A1:R21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4" width="12.125" customWidth="1"/>
    <col min="15" max="16" width="12.625" customWidth="1"/>
    <col min="17" max="18" width="13.625" customWidth="1"/>
  </cols>
  <sheetData>
    <row r="1" spans="1:18" x14ac:dyDescent="0.2">
      <c r="A1" s="1" t="str">
        <f>CONCATENATE("Bijlage D .3: ",tabeltype," objecten")</f>
        <v>Bijlage D .3: Invultabel objecten</v>
      </c>
    </row>
    <row r="3" spans="1:18" ht="51" x14ac:dyDescent="0.2">
      <c r="A3" s="8" t="s">
        <v>218</v>
      </c>
      <c r="B3" s="8" t="s">
        <v>219</v>
      </c>
      <c r="C3" s="8" t="s">
        <v>220</v>
      </c>
      <c r="D3" s="8" t="s">
        <v>221</v>
      </c>
      <c r="E3" s="8" t="s">
        <v>7</v>
      </c>
      <c r="F3" s="8" t="s">
        <v>222</v>
      </c>
      <c r="G3" s="8" t="s">
        <v>223</v>
      </c>
      <c r="H3" s="8" t="s">
        <v>224</v>
      </c>
      <c r="I3" s="8" t="s">
        <v>225</v>
      </c>
      <c r="J3" s="8" t="s">
        <v>226</v>
      </c>
      <c r="K3" s="8" t="s">
        <v>227</v>
      </c>
      <c r="L3" s="8" t="s">
        <v>228</v>
      </c>
      <c r="M3" s="8" t="s">
        <v>229</v>
      </c>
      <c r="N3" s="8" t="s">
        <v>230</v>
      </c>
      <c r="O3" s="8" t="s">
        <v>231</v>
      </c>
      <c r="P3" s="8" t="s">
        <v>133</v>
      </c>
      <c r="Q3" s="8" t="s">
        <v>232</v>
      </c>
      <c r="R3" s="8" t="s">
        <v>233</v>
      </c>
    </row>
    <row r="4" spans="1:18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">
      <c r="A6" s="15" t="s">
        <v>234</v>
      </c>
      <c r="B6" s="15" t="s">
        <v>235</v>
      </c>
      <c r="C6" s="15" t="s">
        <v>236</v>
      </c>
      <c r="D6" s="15" t="s">
        <v>237</v>
      </c>
      <c r="E6" s="54" t="s">
        <v>9</v>
      </c>
      <c r="F6" s="55">
        <f>gemuurtarief1</f>
        <v>0</v>
      </c>
      <c r="G6" s="30">
        <f>SUMPRODUCT(taakfreqtabel1,uurfactortabel1,kengetaltabel1,object1_opptabel1)*(1/VLOOKUP(E6,dagsoorttabel1,2,FALSE))</f>
        <v>0</v>
      </c>
      <c r="H6" s="30">
        <f>SUMPRODUCT(dagwerktabel1,taakfreqtabel1,uurfactortabel1,kengetaltabel1,object1_opptabel1)*(1/VLOOKUP(E6,dagsoorttabel1,2,FALSE))</f>
        <v>0</v>
      </c>
      <c r="I6" s="56"/>
      <c r="J6" s="30">
        <f>H6+I6</f>
        <v>0</v>
      </c>
      <c r="K6" s="30">
        <f>G6+I6</f>
        <v>0</v>
      </c>
      <c r="L6" s="33">
        <f>SUMPRODUCT(taakfreqtabel1,kengetaltabel1,tarieftabel1,object1_opptabel1)*(1/VLOOKUP(E6,dagsoorttabel1,2,FALSE))</f>
        <v>0</v>
      </c>
      <c r="M6" s="33">
        <f>F6*I6</f>
        <v>0</v>
      </c>
      <c r="N6" s="33">
        <f>SUM(L6:M6)</f>
        <v>0</v>
      </c>
      <c r="O6" s="30">
        <f>J6*dagenperjaar1*VLOOKUP(E6,dagsoorttabel1,2,FALSE)</f>
        <v>0</v>
      </c>
      <c r="P6" s="30">
        <f>K6*dagenperjaar1*VLOOKUP(E6,dagsoorttabel1,2,FALSE)</f>
        <v>0</v>
      </c>
      <c r="Q6" s="33">
        <f>N6*dagenperjaar1*VLOOKUP(E6,dagsoorttabel1,2,FALSE)</f>
        <v>0</v>
      </c>
      <c r="R6" s="33">
        <f>Q6/12</f>
        <v>0</v>
      </c>
    </row>
    <row r="7" spans="1:18" x14ac:dyDescent="0.2">
      <c r="A7" s="20" t="s">
        <v>238</v>
      </c>
      <c r="B7" s="20" t="s">
        <v>239</v>
      </c>
      <c r="C7" s="20" t="s">
        <v>236</v>
      </c>
      <c r="D7" s="20" t="s">
        <v>237</v>
      </c>
      <c r="E7" s="57" t="s">
        <v>9</v>
      </c>
      <c r="F7" s="58">
        <f>gemuurtarief1</f>
        <v>0</v>
      </c>
      <c r="G7" s="34">
        <f>SUMPRODUCT(taakfreqtabel1,uurfactortabel1,kengetaltabel1,object2_opptabel1)*(1/VLOOKUP(E7,dagsoorttabel1,2,FALSE))</f>
        <v>0</v>
      </c>
      <c r="H7" s="34">
        <f>SUMPRODUCT(dagwerktabel1,taakfreqtabel1,uurfactortabel1,kengetaltabel1,object2_opptabel1)*(1/VLOOKUP(E7,dagsoorttabel1,2,FALSE))</f>
        <v>0</v>
      </c>
      <c r="I7" s="59"/>
      <c r="J7" s="34">
        <f>H7+I7</f>
        <v>0</v>
      </c>
      <c r="K7" s="34">
        <f>G7+I7</f>
        <v>0</v>
      </c>
      <c r="L7" s="37">
        <f>SUMPRODUCT(taakfreqtabel1,kengetaltabel1,tarieftabel1,object2_opptabel1)*(1/VLOOKUP(E7,dagsoorttabel1,2,FALSE))</f>
        <v>0</v>
      </c>
      <c r="M7" s="37">
        <f>F7*I7</f>
        <v>0</v>
      </c>
      <c r="N7" s="37">
        <f>SUM(L7:M7)</f>
        <v>0</v>
      </c>
      <c r="O7" s="34">
        <f>J7*dagenperjaar1*VLOOKUP(E7,dagsoorttabel1,2,FALSE)</f>
        <v>0</v>
      </c>
      <c r="P7" s="34">
        <f>K7*dagenperjaar1*VLOOKUP(E7,dagsoorttabel1,2,FALSE)</f>
        <v>0</v>
      </c>
      <c r="Q7" s="37">
        <f>N7*dagenperjaar1*VLOOKUP(E7,dagsoorttabel1,2,FALSE)</f>
        <v>0</v>
      </c>
      <c r="R7" s="37">
        <f>Q7/12</f>
        <v>0</v>
      </c>
    </row>
    <row r="8" spans="1:18" x14ac:dyDescent="0.2">
      <c r="A8" s="20" t="s">
        <v>240</v>
      </c>
      <c r="B8" s="20" t="s">
        <v>241</v>
      </c>
      <c r="C8" s="20" t="s">
        <v>242</v>
      </c>
      <c r="D8" s="20" t="s">
        <v>243</v>
      </c>
      <c r="E8" s="57" t="s">
        <v>9</v>
      </c>
      <c r="F8" s="58">
        <f>gemuurtarief1</f>
        <v>0</v>
      </c>
      <c r="G8" s="34">
        <f>SUMPRODUCT(taakfreqtabel1,uurfactortabel1,kengetaltabel1,object3_opptabel1)*(1/VLOOKUP(E8,dagsoorttabel1,2,FALSE))</f>
        <v>0</v>
      </c>
      <c r="H8" s="34">
        <f>SUMPRODUCT(dagwerktabel1,taakfreqtabel1,uurfactortabel1,kengetaltabel1,object3_opptabel1)*(1/VLOOKUP(E8,dagsoorttabel1,2,FALSE))</f>
        <v>0</v>
      </c>
      <c r="I8" s="59"/>
      <c r="J8" s="34">
        <f>H8+I8</f>
        <v>0</v>
      </c>
      <c r="K8" s="34">
        <f>G8+I8</f>
        <v>0</v>
      </c>
      <c r="L8" s="37">
        <f>SUMPRODUCT(taakfreqtabel1,kengetaltabel1,tarieftabel1,object3_opptabel1)*(1/VLOOKUP(E8,dagsoorttabel1,2,FALSE))</f>
        <v>0</v>
      </c>
      <c r="M8" s="37">
        <f>F8*I8</f>
        <v>0</v>
      </c>
      <c r="N8" s="37">
        <f>SUM(L8:M8)</f>
        <v>0</v>
      </c>
      <c r="O8" s="34">
        <f>J8*dagenperjaar1*VLOOKUP(E8,dagsoorttabel1,2,FALSE)</f>
        <v>0</v>
      </c>
      <c r="P8" s="34">
        <f>K8*dagenperjaar1*VLOOKUP(E8,dagsoorttabel1,2,FALSE)</f>
        <v>0</v>
      </c>
      <c r="Q8" s="37">
        <f>N8*dagenperjaar1*VLOOKUP(E8,dagsoorttabel1,2,FALSE)</f>
        <v>0</v>
      </c>
      <c r="R8" s="37">
        <f>Q8/12</f>
        <v>0</v>
      </c>
    </row>
    <row r="9" spans="1:18" x14ac:dyDescent="0.2">
      <c r="A9" s="20" t="s">
        <v>244</v>
      </c>
      <c r="B9" s="20" t="s">
        <v>245</v>
      </c>
      <c r="C9" s="20" t="s">
        <v>246</v>
      </c>
      <c r="D9" s="20" t="s">
        <v>237</v>
      </c>
      <c r="E9" s="57" t="s">
        <v>9</v>
      </c>
      <c r="F9" s="58">
        <f>gemuurtarief1</f>
        <v>0</v>
      </c>
      <c r="G9" s="34">
        <f>SUMPRODUCT(taakfreqtabel1,uurfactortabel1,kengetaltabel1,object4_opptabel1)*(1/VLOOKUP(E9,dagsoorttabel1,2,FALSE))</f>
        <v>0</v>
      </c>
      <c r="H9" s="34">
        <f>SUMPRODUCT(dagwerktabel1,taakfreqtabel1,uurfactortabel1,kengetaltabel1,object4_opptabel1)*(1/VLOOKUP(E9,dagsoorttabel1,2,FALSE))</f>
        <v>0</v>
      </c>
      <c r="I9" s="59"/>
      <c r="J9" s="34">
        <f>H9+I9</f>
        <v>0</v>
      </c>
      <c r="K9" s="34">
        <f>G9+I9</f>
        <v>0</v>
      </c>
      <c r="L9" s="37">
        <f>SUMPRODUCT(taakfreqtabel1,kengetaltabel1,tarieftabel1,object4_opptabel1)*(1/VLOOKUP(E9,dagsoorttabel1,2,FALSE))</f>
        <v>0</v>
      </c>
      <c r="M9" s="37">
        <f>F9*I9</f>
        <v>0</v>
      </c>
      <c r="N9" s="37">
        <f>SUM(L9:M9)</f>
        <v>0</v>
      </c>
      <c r="O9" s="34">
        <f>J9*dagenperjaar1*VLOOKUP(E9,dagsoorttabel1,2,FALSE)</f>
        <v>0</v>
      </c>
      <c r="P9" s="34">
        <f>K9*dagenperjaar1*VLOOKUP(E9,dagsoorttabel1,2,FALSE)</f>
        <v>0</v>
      </c>
      <c r="Q9" s="37">
        <f>N9*dagenperjaar1*VLOOKUP(E9,dagsoorttabel1,2,FALSE)</f>
        <v>0</v>
      </c>
      <c r="R9" s="37">
        <f>Q9/12</f>
        <v>0</v>
      </c>
    </row>
    <row r="10" spans="1:18" x14ac:dyDescent="0.2">
      <c r="A10" s="20" t="s">
        <v>247</v>
      </c>
      <c r="B10" s="20" t="s">
        <v>248</v>
      </c>
      <c r="C10" s="20" t="s">
        <v>249</v>
      </c>
      <c r="D10" s="20" t="s">
        <v>250</v>
      </c>
      <c r="E10" s="57" t="s">
        <v>9</v>
      </c>
      <c r="F10" s="58">
        <f>gemuurtarief1</f>
        <v>0</v>
      </c>
      <c r="G10" s="34">
        <f>SUMPRODUCT(taakfreqtabel1,uurfactortabel1,kengetaltabel1,object5_opptabel1)*(1/VLOOKUP(E10,dagsoorttabel1,2,FALSE))</f>
        <v>0</v>
      </c>
      <c r="H10" s="34">
        <f>SUMPRODUCT(dagwerktabel1,taakfreqtabel1,uurfactortabel1,kengetaltabel1,object5_opptabel1)*(1/VLOOKUP(E10,dagsoorttabel1,2,FALSE))</f>
        <v>0</v>
      </c>
      <c r="I10" s="59"/>
      <c r="J10" s="34">
        <f>H10+I10</f>
        <v>0</v>
      </c>
      <c r="K10" s="34">
        <f>G10+I10</f>
        <v>0</v>
      </c>
      <c r="L10" s="37">
        <f>SUMPRODUCT(taakfreqtabel1,kengetaltabel1,tarieftabel1,object5_opptabel1)*(1/VLOOKUP(E10,dagsoorttabel1,2,FALSE))</f>
        <v>0</v>
      </c>
      <c r="M10" s="37">
        <f>F10*I10</f>
        <v>0</v>
      </c>
      <c r="N10" s="37">
        <f>SUM(L10:M10)</f>
        <v>0</v>
      </c>
      <c r="O10" s="34">
        <f>J10*dagenperjaar1*VLOOKUP(E10,dagsoorttabel1,2,FALSE)</f>
        <v>0</v>
      </c>
      <c r="P10" s="34">
        <f>K10*dagenperjaar1*VLOOKUP(E10,dagsoorttabel1,2,FALSE)</f>
        <v>0</v>
      </c>
      <c r="Q10" s="37">
        <f>N10*dagenperjaar1*VLOOKUP(E10,dagsoorttabel1,2,FALSE)</f>
        <v>0</v>
      </c>
      <c r="R10" s="37">
        <f>Q10/12</f>
        <v>0</v>
      </c>
    </row>
    <row r="11" spans="1:18" x14ac:dyDescent="0.2">
      <c r="A11" s="20" t="s">
        <v>251</v>
      </c>
      <c r="B11" s="20" t="s">
        <v>252</v>
      </c>
      <c r="C11" s="20" t="s">
        <v>253</v>
      </c>
      <c r="D11" s="20" t="s">
        <v>237</v>
      </c>
      <c r="E11" s="57" t="s">
        <v>9</v>
      </c>
      <c r="F11" s="58">
        <f>gemuurtarief1</f>
        <v>0</v>
      </c>
      <c r="G11" s="34">
        <f>SUMPRODUCT(taakfreqtabel1,uurfactortabel1,kengetaltabel1,object6_opptabel1)*(1/VLOOKUP(E11,dagsoorttabel1,2,FALSE))</f>
        <v>0</v>
      </c>
      <c r="H11" s="34">
        <f>SUMPRODUCT(dagwerktabel1,taakfreqtabel1,uurfactortabel1,kengetaltabel1,object6_opptabel1)*(1/VLOOKUP(E11,dagsoorttabel1,2,FALSE))</f>
        <v>0</v>
      </c>
      <c r="I11" s="59"/>
      <c r="J11" s="34">
        <f>H11+I11</f>
        <v>0</v>
      </c>
      <c r="K11" s="34">
        <f>G11+I11</f>
        <v>0</v>
      </c>
      <c r="L11" s="37">
        <f>SUMPRODUCT(taakfreqtabel1,kengetaltabel1,tarieftabel1,object6_opptabel1)*(1/VLOOKUP(E11,dagsoorttabel1,2,FALSE))</f>
        <v>0</v>
      </c>
      <c r="M11" s="37">
        <f>F11*I11</f>
        <v>0</v>
      </c>
      <c r="N11" s="37">
        <f>SUM(L11:M11)</f>
        <v>0</v>
      </c>
      <c r="O11" s="34">
        <f>J11*dagenperjaar1*VLOOKUP(E11,dagsoorttabel1,2,FALSE)</f>
        <v>0</v>
      </c>
      <c r="P11" s="34">
        <f>K11*dagenperjaar1*VLOOKUP(E11,dagsoorttabel1,2,FALSE)</f>
        <v>0</v>
      </c>
      <c r="Q11" s="37">
        <f>N11*dagenperjaar1*VLOOKUP(E11,dagsoorttabel1,2,FALSE)</f>
        <v>0</v>
      </c>
      <c r="R11" s="37">
        <f>Q11/12</f>
        <v>0</v>
      </c>
    </row>
    <row r="12" spans="1:18" x14ac:dyDescent="0.2">
      <c r="A12" s="25" t="s">
        <v>254</v>
      </c>
      <c r="B12" s="25" t="s">
        <v>255</v>
      </c>
      <c r="C12" s="25" t="s">
        <v>256</v>
      </c>
      <c r="D12" s="25" t="s">
        <v>237</v>
      </c>
      <c r="E12" s="60" t="s">
        <v>9</v>
      </c>
      <c r="F12" s="61">
        <f>gemuurtarief1</f>
        <v>0</v>
      </c>
      <c r="G12" s="38">
        <f>SUMPRODUCT(taakfreqtabel1,uurfactortabel1,kengetaltabel1,object7_opptabel1)*(1/VLOOKUP(E12,dagsoorttabel1,2,FALSE))</f>
        <v>0</v>
      </c>
      <c r="H12" s="38">
        <f>SUMPRODUCT(dagwerktabel1,taakfreqtabel1,uurfactortabel1,kengetaltabel1,object7_opptabel1)*(1/VLOOKUP(E12,dagsoorttabel1,2,FALSE))</f>
        <v>0</v>
      </c>
      <c r="I12" s="62"/>
      <c r="J12" s="38">
        <f>H12+I12</f>
        <v>0</v>
      </c>
      <c r="K12" s="38">
        <f>G12+I12</f>
        <v>0</v>
      </c>
      <c r="L12" s="40">
        <f>SUMPRODUCT(taakfreqtabel1,kengetaltabel1,tarieftabel1,object7_opptabel1)*(1/VLOOKUP(E12,dagsoorttabel1,2,FALSE))</f>
        <v>0</v>
      </c>
      <c r="M12" s="40">
        <f>F12*I12</f>
        <v>0</v>
      </c>
      <c r="N12" s="40">
        <f>SUM(L12:M12)</f>
        <v>0</v>
      </c>
      <c r="O12" s="38">
        <f>J12*dagenperjaar1*VLOOKUP(E12,dagsoorttabel1,2,FALSE)</f>
        <v>0</v>
      </c>
      <c r="P12" s="38">
        <f>K12*dagenperjaar1*VLOOKUP(E12,dagsoorttabel1,2,FALSE)</f>
        <v>0</v>
      </c>
      <c r="Q12" s="40">
        <f>N12*dagenperjaar1*VLOOKUP(E12,dagsoorttabel1,2,FALSE)</f>
        <v>0</v>
      </c>
      <c r="R12" s="40">
        <f>Q12/12</f>
        <v>0</v>
      </c>
    </row>
    <row r="13" spans="1:18" x14ac:dyDescent="0.2">
      <c r="A13" s="41" t="s">
        <v>194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>
        <f>SUM(O6:O12)</f>
        <v>0</v>
      </c>
      <c r="P13" s="43">
        <f>SUM(P6:P12)</f>
        <v>0</v>
      </c>
      <c r="Q13" s="44">
        <f>SUM(Q6:Q12)</f>
        <v>0</v>
      </c>
      <c r="R13" s="45">
        <f>SUM(R6:R12)</f>
        <v>0</v>
      </c>
    </row>
    <row r="14" spans="1:18" x14ac:dyDescent="0.2">
      <c r="A14" s="46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</row>
    <row r="15" spans="1:18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</row>
    <row r="16" spans="1:18" x14ac:dyDescent="0.2">
      <c r="A16" s="12" t="s">
        <v>122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1:18" x14ac:dyDescent="0.2">
      <c r="A17" s="63" t="s">
        <v>238</v>
      </c>
      <c r="B17" s="63" t="s">
        <v>239</v>
      </c>
      <c r="C17" s="63" t="s">
        <v>236</v>
      </c>
      <c r="D17" s="63" t="s">
        <v>237</v>
      </c>
      <c r="E17" s="64" t="s">
        <v>14</v>
      </c>
      <c r="F17" s="65">
        <f>gemuurtarief3</f>
        <v>0</v>
      </c>
      <c r="G17" s="66">
        <f>SUMPRODUCT(taakfreqtabel3,uurfactortabel3,kengetaltabel3,object2_opptabel3)*(1/VLOOKUP(E17,dagsoorttabel1,2,FALSE))</f>
        <v>0</v>
      </c>
      <c r="H17" s="66">
        <f>SUMPRODUCT(dagwerktabel3,taakfreqtabel3,uurfactortabel3,kengetaltabel3,object2_opptabel3)*(1/VLOOKUP(E17,dagsoorttabel1,2,FALSE))</f>
        <v>0</v>
      </c>
      <c r="I17" s="67"/>
      <c r="J17" s="66">
        <f>H17+I17</f>
        <v>0</v>
      </c>
      <c r="K17" s="66">
        <f>G17+I17</f>
        <v>0</v>
      </c>
      <c r="L17" s="68">
        <f>SUMPRODUCT(taakfreqtabel3,kengetaltabel3,tarieftabel3,object2_opptabel3)*(1/VLOOKUP(E17,dagsoorttabel1,2,FALSE))</f>
        <v>0</v>
      </c>
      <c r="M17" s="68">
        <f>F17*I17</f>
        <v>0</v>
      </c>
      <c r="N17" s="68">
        <f>SUM(L17:M17)</f>
        <v>0</v>
      </c>
      <c r="O17" s="66">
        <f>J17*dagenperjaar1*VLOOKUP(E17,dagsoorttabel1,2,FALSE)</f>
        <v>0</v>
      </c>
      <c r="P17" s="66">
        <f>K17*dagenperjaar1*VLOOKUP(E17,dagsoorttabel1,2,FALSE)</f>
        <v>0</v>
      </c>
      <c r="Q17" s="68">
        <f>N17*dagenperjaar1*VLOOKUP(E17,dagsoorttabel1,2,FALSE)</f>
        <v>0</v>
      </c>
      <c r="R17" s="68">
        <f>Q17/12</f>
        <v>0</v>
      </c>
    </row>
    <row r="18" spans="1:18" x14ac:dyDescent="0.2">
      <c r="A18" s="41" t="s">
        <v>199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>
        <f>SUM(O17:O17)</f>
        <v>0</v>
      </c>
      <c r="P18" s="43">
        <f>SUM(P17:P17)</f>
        <v>0</v>
      </c>
      <c r="Q18" s="44">
        <f>SUM(Q17:Q17)</f>
        <v>0</v>
      </c>
      <c r="R18" s="45">
        <f>SUM(R17:R17)</f>
        <v>0</v>
      </c>
    </row>
    <row r="19" spans="1:18" x14ac:dyDescent="0.2">
      <c r="A19" s="46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7"/>
    </row>
    <row r="21" spans="1:18" x14ac:dyDescent="0.2">
      <c r="A21" s="41" t="s">
        <v>257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>
        <f>urenjaartotaalhf1+urenjaartotaalhf3</f>
        <v>0</v>
      </c>
      <c r="P21" s="43">
        <f>urenjaartotaal1+urenjaartotaal3</f>
        <v>0</v>
      </c>
      <c r="Q21" s="44">
        <f>prijsjaartotaal1+prijsjaartotaal3</f>
        <v>0</v>
      </c>
      <c r="R21" s="44">
        <f>prijsmaandtotaal1+prijsmaandtotaal3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5690-B170-4F95-909F-DDEA6DEA71B7}">
  <dimension ref="A1:K8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D .4: ",tabeltype," niet-meewerkende objectleiding")</f>
        <v>Bijlage D .4: Invultabel niet-meewerkende objectleiding</v>
      </c>
    </row>
    <row r="3" spans="1:11" ht="38.25" x14ac:dyDescent="0.2">
      <c r="A3" s="8" t="s">
        <v>258</v>
      </c>
      <c r="B3" s="8" t="s">
        <v>7</v>
      </c>
      <c r="C3" s="8" t="s">
        <v>259</v>
      </c>
      <c r="D3" s="8" t="s">
        <v>260</v>
      </c>
      <c r="E3" s="8" t="s">
        <v>261</v>
      </c>
      <c r="F3" s="8" t="s">
        <v>262</v>
      </c>
      <c r="G3" s="8" t="s">
        <v>263</v>
      </c>
      <c r="H3" s="8" t="s">
        <v>133</v>
      </c>
      <c r="I3" s="8" t="s">
        <v>264</v>
      </c>
      <c r="J3" s="8" t="s">
        <v>265</v>
      </c>
      <c r="K3" s="8" t="s">
        <v>266</v>
      </c>
    </row>
    <row r="4" spans="1:1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72" t="s">
        <v>267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268</v>
      </c>
      <c r="B8" s="15" t="s">
        <v>9</v>
      </c>
      <c r="C8" s="16">
        <f>IF(ISBLANK(B8),0,IF(ISERROR(VALUE(B8)),VLOOKUP(B8,dagsoorttabel1,2,FALSE)*dagenperjaar1,VALUE(B8)))</f>
        <v>255</v>
      </c>
      <c r="D8" s="15" t="s">
        <v>269</v>
      </c>
      <c r="E8" s="19"/>
      <c r="F8" s="18"/>
      <c r="G8" s="73"/>
      <c r="H8" s="30">
        <f>IF(ISBLANK(G8),0,G8*C8)+IF(ISBLANK(F8),0,F8*objecturen1_1)</f>
        <v>0</v>
      </c>
      <c r="I8" s="30">
        <f>IF(C8=0,0,H8/C8)</f>
        <v>0</v>
      </c>
      <c r="J8" s="33">
        <f>IF(ISBLANK(E8),0,ROUND(E8,2)*H8)</f>
        <v>0</v>
      </c>
      <c r="K8" s="33">
        <f>J8/12</f>
        <v>0</v>
      </c>
    </row>
    <row r="9" spans="1:11" x14ac:dyDescent="0.2">
      <c r="A9" s="20"/>
      <c r="B9" s="20"/>
      <c r="C9" s="74">
        <f>dagenperjaar1</f>
        <v>255</v>
      </c>
      <c r="D9" s="75" t="s">
        <v>270</v>
      </c>
      <c r="E9" s="24"/>
      <c r="F9" s="23"/>
      <c r="G9" s="76"/>
      <c r="H9" s="34">
        <f>IF(ISBLANK(G9),0,G9*C9)+IF(ISBLANK(F9),0,F9*objecturen1_1)</f>
        <v>0</v>
      </c>
      <c r="I9" s="34">
        <f>IF(C9=0,0,H9/C9)</f>
        <v>0</v>
      </c>
      <c r="J9" s="37">
        <f>IF(ISBLANK(E9),0,ROUND(E9,2)*H9)</f>
        <v>0</v>
      </c>
      <c r="K9" s="37">
        <f>J9/12</f>
        <v>0</v>
      </c>
    </row>
    <row r="10" spans="1:11" x14ac:dyDescent="0.2">
      <c r="A10" s="20"/>
      <c r="B10" s="20"/>
      <c r="C10" s="74">
        <f>dagenperjaar1</f>
        <v>255</v>
      </c>
      <c r="D10" s="75" t="s">
        <v>270</v>
      </c>
      <c r="E10" s="24"/>
      <c r="F10" s="23"/>
      <c r="G10" s="76"/>
      <c r="H10" s="34">
        <f>IF(ISBLANK(G10),0,G10*C10)+IF(ISBLANK(F10),0,F10*objecturen1_1)</f>
        <v>0</v>
      </c>
      <c r="I10" s="34">
        <f>IF(C10=0,0,H10/C10)</f>
        <v>0</v>
      </c>
      <c r="J10" s="37">
        <f>IF(ISBLANK(E10),0,ROUND(E10,2)*H10)</f>
        <v>0</v>
      </c>
      <c r="K10" s="37">
        <f>J10/12</f>
        <v>0</v>
      </c>
    </row>
    <row r="11" spans="1:11" x14ac:dyDescent="0.2">
      <c r="A11" s="20"/>
      <c r="B11" s="20"/>
      <c r="C11" s="74">
        <f>dagenperjaar1</f>
        <v>255</v>
      </c>
      <c r="D11" s="75" t="s">
        <v>271</v>
      </c>
      <c r="E11" s="24"/>
      <c r="F11" s="77"/>
      <c r="G11" s="22"/>
      <c r="H11" s="34">
        <f>IF(ISBLANK(G11),0,G11*C11)+IF(ISBLANK(F11),0,F11*objecturen1_1)</f>
        <v>0</v>
      </c>
      <c r="I11" s="34">
        <f>IF(C11=0,0,H11/C11)</f>
        <v>0</v>
      </c>
      <c r="J11" s="37">
        <f>IF(ISBLANK(E11),0,ROUND(E11,2)*H11)</f>
        <v>0</v>
      </c>
      <c r="K11" s="37">
        <f>J11/12</f>
        <v>0</v>
      </c>
    </row>
    <row r="12" spans="1:11" x14ac:dyDescent="0.2">
      <c r="A12" s="25"/>
      <c r="B12" s="25"/>
      <c r="C12" s="78">
        <f>dagenperjaar1</f>
        <v>255</v>
      </c>
      <c r="D12" s="79" t="s">
        <v>271</v>
      </c>
      <c r="E12" s="29"/>
      <c r="F12" s="80"/>
      <c r="G12" s="27"/>
      <c r="H12" s="38">
        <f>IF(ISBLANK(G12),0,G12*C12)+IF(ISBLANK(F12),0,F12*objecturen1_1)</f>
        <v>0</v>
      </c>
      <c r="I12" s="38">
        <f>IF(C12=0,0,H12/C12)</f>
        <v>0</v>
      </c>
      <c r="J12" s="40">
        <f>IF(ISBLANK(E12),0,ROUND(E12,2)*H12)</f>
        <v>0</v>
      </c>
      <c r="K12" s="40">
        <f>J12/12</f>
        <v>0</v>
      </c>
    </row>
    <row r="13" spans="1:11" x14ac:dyDescent="0.2">
      <c r="A13" s="81" t="s">
        <v>272</v>
      </c>
      <c r="B13" s="42"/>
      <c r="C13" s="42"/>
      <c r="D13" s="42"/>
      <c r="E13" s="42"/>
      <c r="F13" s="42"/>
      <c r="G13" s="42"/>
      <c r="H13" s="43">
        <f>SUM(H8:H12)</f>
        <v>0</v>
      </c>
      <c r="I13" s="42"/>
      <c r="J13" s="44">
        <f>SUM(J8:J12)</f>
        <v>0</v>
      </c>
      <c r="K13" s="45">
        <f>SUM(K8:K12)</f>
        <v>0</v>
      </c>
    </row>
    <row r="14" spans="1:11" x14ac:dyDescent="0.2">
      <c r="A14" s="46"/>
      <c r="B14" s="42"/>
      <c r="C14" s="42"/>
      <c r="D14" s="42"/>
      <c r="E14" s="42"/>
      <c r="F14" s="42"/>
      <c r="G14" s="42"/>
      <c r="H14" s="42"/>
      <c r="I14" s="42"/>
      <c r="J14" s="42"/>
      <c r="K14" s="47"/>
    </row>
    <row r="15" spans="1:1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11" x14ac:dyDescent="0.2">
      <c r="A16" s="72" t="s">
        <v>273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x14ac:dyDescent="0.2">
      <c r="A17" s="15" t="s">
        <v>268</v>
      </c>
      <c r="B17" s="15" t="s">
        <v>9</v>
      </c>
      <c r="C17" s="16">
        <f>IF(ISBLANK(B17),0,IF(ISERROR(VALUE(B17)),VLOOKUP(B17,dagsoorttabel1,2,FALSE)*dagenperjaar1,VALUE(B17)))</f>
        <v>255</v>
      </c>
      <c r="D17" s="15" t="s">
        <v>269</v>
      </c>
      <c r="E17" s="19"/>
      <c r="F17" s="18"/>
      <c r="G17" s="73"/>
      <c r="H17" s="30">
        <f>IF(ISBLANK(G17),0,G17*C17)+IF(ISBLANK(F17),0,F17*objecturen2_1)</f>
        <v>0</v>
      </c>
      <c r="I17" s="30">
        <f>IF(C17=0,0,H17/C17)</f>
        <v>0</v>
      </c>
      <c r="J17" s="33">
        <f>IF(ISBLANK(E17),0,ROUND(E17,2)*H17)</f>
        <v>0</v>
      </c>
      <c r="K17" s="33">
        <f>J17/12</f>
        <v>0</v>
      </c>
    </row>
    <row r="18" spans="1:11" x14ac:dyDescent="0.2">
      <c r="A18" s="20"/>
      <c r="B18" s="20"/>
      <c r="C18" s="74">
        <f>dagenperjaar1</f>
        <v>255</v>
      </c>
      <c r="D18" s="75" t="s">
        <v>270</v>
      </c>
      <c r="E18" s="24"/>
      <c r="F18" s="23"/>
      <c r="G18" s="76"/>
      <c r="H18" s="34">
        <f>IF(ISBLANK(G18),0,G18*C18)+IF(ISBLANK(F18),0,F18*objecturen2_1)</f>
        <v>0</v>
      </c>
      <c r="I18" s="34">
        <f>IF(C18=0,0,H18/C18)</f>
        <v>0</v>
      </c>
      <c r="J18" s="37">
        <f>IF(ISBLANK(E18),0,ROUND(E18,2)*H18)</f>
        <v>0</v>
      </c>
      <c r="K18" s="37">
        <f>J18/12</f>
        <v>0</v>
      </c>
    </row>
    <row r="19" spans="1:11" x14ac:dyDescent="0.2">
      <c r="A19" s="20"/>
      <c r="B19" s="20"/>
      <c r="C19" s="74">
        <f>dagenperjaar1</f>
        <v>255</v>
      </c>
      <c r="D19" s="75" t="s">
        <v>270</v>
      </c>
      <c r="E19" s="24"/>
      <c r="F19" s="23"/>
      <c r="G19" s="76"/>
      <c r="H19" s="34">
        <f>IF(ISBLANK(G19),0,G19*C19)+IF(ISBLANK(F19),0,F19*objecturen2_1)</f>
        <v>0</v>
      </c>
      <c r="I19" s="34">
        <f>IF(C19=0,0,H19/C19)</f>
        <v>0</v>
      </c>
      <c r="J19" s="37">
        <f>IF(ISBLANK(E19),0,ROUND(E19,2)*H19)</f>
        <v>0</v>
      </c>
      <c r="K19" s="37">
        <f>J19/12</f>
        <v>0</v>
      </c>
    </row>
    <row r="20" spans="1:11" x14ac:dyDescent="0.2">
      <c r="A20" s="20"/>
      <c r="B20" s="20"/>
      <c r="C20" s="74">
        <f>dagenperjaar1</f>
        <v>255</v>
      </c>
      <c r="D20" s="75" t="s">
        <v>271</v>
      </c>
      <c r="E20" s="24"/>
      <c r="F20" s="77"/>
      <c r="G20" s="22"/>
      <c r="H20" s="34">
        <f>IF(ISBLANK(G20),0,G20*C20)+IF(ISBLANK(F20),0,F20*objecturen2_1)</f>
        <v>0</v>
      </c>
      <c r="I20" s="34">
        <f>IF(C20=0,0,H20/C20)</f>
        <v>0</v>
      </c>
      <c r="J20" s="37">
        <f>IF(ISBLANK(E20),0,ROUND(E20,2)*H20)</f>
        <v>0</v>
      </c>
      <c r="K20" s="37">
        <f>J20/12</f>
        <v>0</v>
      </c>
    </row>
    <row r="21" spans="1:11" x14ac:dyDescent="0.2">
      <c r="A21" s="25"/>
      <c r="B21" s="25"/>
      <c r="C21" s="78">
        <f>dagenperjaar1</f>
        <v>255</v>
      </c>
      <c r="D21" s="79" t="s">
        <v>271</v>
      </c>
      <c r="E21" s="29"/>
      <c r="F21" s="80"/>
      <c r="G21" s="27"/>
      <c r="H21" s="38">
        <f>IF(ISBLANK(G21),0,G21*C21)+IF(ISBLANK(F21),0,F21*objecturen2_1)</f>
        <v>0</v>
      </c>
      <c r="I21" s="38">
        <f>IF(C21=0,0,H21/C21)</f>
        <v>0</v>
      </c>
      <c r="J21" s="40">
        <f>IF(ISBLANK(E21),0,ROUND(E21,2)*H21)</f>
        <v>0</v>
      </c>
      <c r="K21" s="40">
        <f>J21/12</f>
        <v>0</v>
      </c>
    </row>
    <row r="22" spans="1:11" x14ac:dyDescent="0.2">
      <c r="A22" s="81" t="s">
        <v>274</v>
      </c>
      <c r="B22" s="42"/>
      <c r="C22" s="42"/>
      <c r="D22" s="42"/>
      <c r="E22" s="42"/>
      <c r="F22" s="42"/>
      <c r="G22" s="42"/>
      <c r="H22" s="43">
        <f>SUM(H17:H21)</f>
        <v>0</v>
      </c>
      <c r="I22" s="42"/>
      <c r="J22" s="44">
        <f>SUM(J17:J21)</f>
        <v>0</v>
      </c>
      <c r="K22" s="45">
        <f>SUM(K17:K21)</f>
        <v>0</v>
      </c>
    </row>
    <row r="23" spans="1:11" x14ac:dyDescent="0.2">
      <c r="A23" s="46"/>
      <c r="B23" s="42"/>
      <c r="C23" s="42"/>
      <c r="D23" s="42"/>
      <c r="E23" s="42"/>
      <c r="F23" s="42"/>
      <c r="G23" s="42"/>
      <c r="H23" s="42"/>
      <c r="I23" s="42"/>
      <c r="J23" s="42"/>
      <c r="K23" s="47"/>
    </row>
    <row r="24" spans="1:1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1" x14ac:dyDescent="0.2">
      <c r="A25" s="72" t="s">
        <v>275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 x14ac:dyDescent="0.2">
      <c r="A26" s="15" t="s">
        <v>268</v>
      </c>
      <c r="B26" s="15" t="s">
        <v>9</v>
      </c>
      <c r="C26" s="16">
        <f>IF(ISBLANK(B26),0,IF(ISERROR(VALUE(B26)),VLOOKUP(B26,dagsoorttabel1,2,FALSE)*dagenperjaar1,VALUE(B26)))</f>
        <v>255</v>
      </c>
      <c r="D26" s="15" t="s">
        <v>269</v>
      </c>
      <c r="E26" s="19"/>
      <c r="F26" s="18"/>
      <c r="G26" s="73"/>
      <c r="H26" s="30">
        <f>IF(ISBLANK(G26),0,G26*C26)+IF(ISBLANK(F26),0,F26*objecturen3_1)</f>
        <v>0</v>
      </c>
      <c r="I26" s="30">
        <f>IF(C26=0,0,H26/C26)</f>
        <v>0</v>
      </c>
      <c r="J26" s="33">
        <f>IF(ISBLANK(E26),0,ROUND(E26,2)*H26)</f>
        <v>0</v>
      </c>
      <c r="K26" s="33">
        <f>J26/12</f>
        <v>0</v>
      </c>
    </row>
    <row r="27" spans="1:11" x14ac:dyDescent="0.2">
      <c r="A27" s="20"/>
      <c r="B27" s="20"/>
      <c r="C27" s="74">
        <f>dagenperjaar1</f>
        <v>255</v>
      </c>
      <c r="D27" s="75" t="s">
        <v>270</v>
      </c>
      <c r="E27" s="24"/>
      <c r="F27" s="23"/>
      <c r="G27" s="76"/>
      <c r="H27" s="34">
        <f>IF(ISBLANK(G27),0,G27*C27)+IF(ISBLANK(F27),0,F27*objecturen3_1)</f>
        <v>0</v>
      </c>
      <c r="I27" s="34">
        <f>IF(C27=0,0,H27/C27)</f>
        <v>0</v>
      </c>
      <c r="J27" s="37">
        <f>IF(ISBLANK(E27),0,ROUND(E27,2)*H27)</f>
        <v>0</v>
      </c>
      <c r="K27" s="37">
        <f>J27/12</f>
        <v>0</v>
      </c>
    </row>
    <row r="28" spans="1:11" x14ac:dyDescent="0.2">
      <c r="A28" s="20"/>
      <c r="B28" s="20"/>
      <c r="C28" s="74">
        <f>dagenperjaar1</f>
        <v>255</v>
      </c>
      <c r="D28" s="75" t="s">
        <v>270</v>
      </c>
      <c r="E28" s="24"/>
      <c r="F28" s="23"/>
      <c r="G28" s="76"/>
      <c r="H28" s="34">
        <f>IF(ISBLANK(G28),0,G28*C28)+IF(ISBLANK(F28),0,F28*objecturen3_1)</f>
        <v>0</v>
      </c>
      <c r="I28" s="34">
        <f>IF(C28=0,0,H28/C28)</f>
        <v>0</v>
      </c>
      <c r="J28" s="37">
        <f>IF(ISBLANK(E28),0,ROUND(E28,2)*H28)</f>
        <v>0</v>
      </c>
      <c r="K28" s="37">
        <f>J28/12</f>
        <v>0</v>
      </c>
    </row>
    <row r="29" spans="1:11" x14ac:dyDescent="0.2">
      <c r="A29" s="20"/>
      <c r="B29" s="20"/>
      <c r="C29" s="74">
        <f>dagenperjaar1</f>
        <v>255</v>
      </c>
      <c r="D29" s="75" t="s">
        <v>271</v>
      </c>
      <c r="E29" s="24"/>
      <c r="F29" s="77"/>
      <c r="G29" s="22"/>
      <c r="H29" s="34">
        <f>IF(ISBLANK(G29),0,G29*C29)+IF(ISBLANK(F29),0,F29*objecturen3_1)</f>
        <v>0</v>
      </c>
      <c r="I29" s="34">
        <f>IF(C29=0,0,H29/C29)</f>
        <v>0</v>
      </c>
      <c r="J29" s="37">
        <f>IF(ISBLANK(E29),0,ROUND(E29,2)*H29)</f>
        <v>0</v>
      </c>
      <c r="K29" s="37">
        <f>J29/12</f>
        <v>0</v>
      </c>
    </row>
    <row r="30" spans="1:11" x14ac:dyDescent="0.2">
      <c r="A30" s="25"/>
      <c r="B30" s="25"/>
      <c r="C30" s="78">
        <f>dagenperjaar1</f>
        <v>255</v>
      </c>
      <c r="D30" s="79" t="s">
        <v>271</v>
      </c>
      <c r="E30" s="29"/>
      <c r="F30" s="80"/>
      <c r="G30" s="27"/>
      <c r="H30" s="38">
        <f>IF(ISBLANK(G30),0,G30*C30)+IF(ISBLANK(F30),0,F30*objecturen3_1)</f>
        <v>0</v>
      </c>
      <c r="I30" s="38">
        <f>IF(C30=0,0,H30/C30)</f>
        <v>0</v>
      </c>
      <c r="J30" s="40">
        <f>IF(ISBLANK(E30),0,ROUND(E30,2)*H30)</f>
        <v>0</v>
      </c>
      <c r="K30" s="40">
        <f>J30/12</f>
        <v>0</v>
      </c>
    </row>
    <row r="31" spans="1:11" x14ac:dyDescent="0.2">
      <c r="A31" s="81" t="s">
        <v>276</v>
      </c>
      <c r="B31" s="42"/>
      <c r="C31" s="42"/>
      <c r="D31" s="42"/>
      <c r="E31" s="42"/>
      <c r="F31" s="42"/>
      <c r="G31" s="42"/>
      <c r="H31" s="43">
        <f>SUM(H26:H30)</f>
        <v>0</v>
      </c>
      <c r="I31" s="42"/>
      <c r="J31" s="44">
        <f>SUM(J26:J30)</f>
        <v>0</v>
      </c>
      <c r="K31" s="45">
        <f>SUM(K26:K30)</f>
        <v>0</v>
      </c>
    </row>
    <row r="32" spans="1:11" x14ac:dyDescent="0.2">
      <c r="A32" s="46"/>
      <c r="B32" s="42"/>
      <c r="C32" s="42"/>
      <c r="D32" s="42"/>
      <c r="E32" s="42"/>
      <c r="F32" s="42"/>
      <c r="G32" s="42"/>
      <c r="H32" s="42"/>
      <c r="I32" s="42"/>
      <c r="J32" s="42"/>
      <c r="K32" s="47"/>
    </row>
    <row r="33" spans="1:1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1"/>
    </row>
    <row r="34" spans="1:11" x14ac:dyDescent="0.2">
      <c r="A34" s="72" t="s">
        <v>277</v>
      </c>
      <c r="B34" s="13"/>
      <c r="C34" s="13"/>
      <c r="D34" s="13"/>
      <c r="E34" s="13"/>
      <c r="F34" s="13"/>
      <c r="G34" s="13"/>
      <c r="H34" s="13"/>
      <c r="I34" s="13"/>
      <c r="J34" s="13"/>
      <c r="K34" s="14"/>
    </row>
    <row r="35" spans="1:11" x14ac:dyDescent="0.2">
      <c r="A35" s="15" t="s">
        <v>268</v>
      </c>
      <c r="B35" s="15" t="s">
        <v>9</v>
      </c>
      <c r="C35" s="16">
        <f>IF(ISBLANK(B35),0,IF(ISERROR(VALUE(B35)),VLOOKUP(B35,dagsoorttabel1,2,FALSE)*dagenperjaar1,VALUE(B35)))</f>
        <v>255</v>
      </c>
      <c r="D35" s="15" t="s">
        <v>269</v>
      </c>
      <c r="E35" s="19"/>
      <c r="F35" s="18"/>
      <c r="G35" s="73"/>
      <c r="H35" s="30">
        <f>IF(ISBLANK(G35),0,G35*C35)+IF(ISBLANK(F35),0,F35*objecturen4_1)</f>
        <v>0</v>
      </c>
      <c r="I35" s="30">
        <f>IF(C35=0,0,H35/C35)</f>
        <v>0</v>
      </c>
      <c r="J35" s="33">
        <f>IF(ISBLANK(E35),0,ROUND(E35,2)*H35)</f>
        <v>0</v>
      </c>
      <c r="K35" s="33">
        <f>J35/12</f>
        <v>0</v>
      </c>
    </row>
    <row r="36" spans="1:11" x14ac:dyDescent="0.2">
      <c r="A36" s="20"/>
      <c r="B36" s="20"/>
      <c r="C36" s="74">
        <f>dagenperjaar1</f>
        <v>255</v>
      </c>
      <c r="D36" s="75" t="s">
        <v>270</v>
      </c>
      <c r="E36" s="24"/>
      <c r="F36" s="23"/>
      <c r="G36" s="76"/>
      <c r="H36" s="34">
        <f>IF(ISBLANK(G36),0,G36*C36)+IF(ISBLANK(F36),0,F36*objecturen4_1)</f>
        <v>0</v>
      </c>
      <c r="I36" s="34">
        <f>IF(C36=0,0,H36/C36)</f>
        <v>0</v>
      </c>
      <c r="J36" s="37">
        <f>IF(ISBLANK(E36),0,ROUND(E36,2)*H36)</f>
        <v>0</v>
      </c>
      <c r="K36" s="37">
        <f>J36/12</f>
        <v>0</v>
      </c>
    </row>
    <row r="37" spans="1:11" x14ac:dyDescent="0.2">
      <c r="A37" s="20"/>
      <c r="B37" s="20"/>
      <c r="C37" s="74">
        <f>dagenperjaar1</f>
        <v>255</v>
      </c>
      <c r="D37" s="75" t="s">
        <v>270</v>
      </c>
      <c r="E37" s="24"/>
      <c r="F37" s="23"/>
      <c r="G37" s="76"/>
      <c r="H37" s="34">
        <f>IF(ISBLANK(G37),0,G37*C37)+IF(ISBLANK(F37),0,F37*objecturen4_1)</f>
        <v>0</v>
      </c>
      <c r="I37" s="34">
        <f>IF(C37=0,0,H37/C37)</f>
        <v>0</v>
      </c>
      <c r="J37" s="37">
        <f>IF(ISBLANK(E37),0,ROUND(E37,2)*H37)</f>
        <v>0</v>
      </c>
      <c r="K37" s="37">
        <f>J37/12</f>
        <v>0</v>
      </c>
    </row>
    <row r="38" spans="1:11" x14ac:dyDescent="0.2">
      <c r="A38" s="20"/>
      <c r="B38" s="20"/>
      <c r="C38" s="74">
        <f>dagenperjaar1</f>
        <v>255</v>
      </c>
      <c r="D38" s="75" t="s">
        <v>271</v>
      </c>
      <c r="E38" s="24"/>
      <c r="F38" s="77"/>
      <c r="G38" s="22"/>
      <c r="H38" s="34">
        <f>IF(ISBLANK(G38),0,G38*C38)+IF(ISBLANK(F38),0,F38*objecturen4_1)</f>
        <v>0</v>
      </c>
      <c r="I38" s="34">
        <f>IF(C38=0,0,H38/C38)</f>
        <v>0</v>
      </c>
      <c r="J38" s="37">
        <f>IF(ISBLANK(E38),0,ROUND(E38,2)*H38)</f>
        <v>0</v>
      </c>
      <c r="K38" s="37">
        <f>J38/12</f>
        <v>0</v>
      </c>
    </row>
    <row r="39" spans="1:11" x14ac:dyDescent="0.2">
      <c r="A39" s="25"/>
      <c r="B39" s="25"/>
      <c r="C39" s="78">
        <f>dagenperjaar1</f>
        <v>255</v>
      </c>
      <c r="D39" s="79" t="s">
        <v>271</v>
      </c>
      <c r="E39" s="29"/>
      <c r="F39" s="80"/>
      <c r="G39" s="27"/>
      <c r="H39" s="38">
        <f>IF(ISBLANK(G39),0,G39*C39)+IF(ISBLANK(F39),0,F39*objecturen4_1)</f>
        <v>0</v>
      </c>
      <c r="I39" s="38">
        <f>IF(C39=0,0,H39/C39)</f>
        <v>0</v>
      </c>
      <c r="J39" s="40">
        <f>IF(ISBLANK(E39),0,ROUND(E39,2)*H39)</f>
        <v>0</v>
      </c>
      <c r="K39" s="40">
        <f>J39/12</f>
        <v>0</v>
      </c>
    </row>
    <row r="40" spans="1:11" x14ac:dyDescent="0.2">
      <c r="A40" s="81" t="s">
        <v>278</v>
      </c>
      <c r="B40" s="42"/>
      <c r="C40" s="42"/>
      <c r="D40" s="42"/>
      <c r="E40" s="42"/>
      <c r="F40" s="42"/>
      <c r="G40" s="42"/>
      <c r="H40" s="43">
        <f>SUM(H35:H39)</f>
        <v>0</v>
      </c>
      <c r="I40" s="42"/>
      <c r="J40" s="44">
        <f>SUM(J35:J39)</f>
        <v>0</v>
      </c>
      <c r="K40" s="45">
        <f>SUM(K35:K39)</f>
        <v>0</v>
      </c>
    </row>
    <row r="41" spans="1:11" x14ac:dyDescent="0.2">
      <c r="A41" s="46"/>
      <c r="B41" s="42"/>
      <c r="C41" s="42"/>
      <c r="D41" s="42"/>
      <c r="E41" s="42"/>
      <c r="F41" s="42"/>
      <c r="G41" s="42"/>
      <c r="H41" s="42"/>
      <c r="I41" s="42"/>
      <c r="J41" s="42"/>
      <c r="K41" s="47"/>
    </row>
    <row r="42" spans="1:11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1"/>
    </row>
    <row r="43" spans="1:11" x14ac:dyDescent="0.2">
      <c r="A43" s="72" t="s">
        <v>279</v>
      </c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1:11" x14ac:dyDescent="0.2">
      <c r="A44" s="15" t="s">
        <v>268</v>
      </c>
      <c r="B44" s="15" t="s">
        <v>9</v>
      </c>
      <c r="C44" s="16">
        <f>IF(ISBLANK(B44),0,IF(ISERROR(VALUE(B44)),VLOOKUP(B44,dagsoorttabel1,2,FALSE)*dagenperjaar1,VALUE(B44)))</f>
        <v>255</v>
      </c>
      <c r="D44" s="15" t="s">
        <v>269</v>
      </c>
      <c r="E44" s="19"/>
      <c r="F44" s="18"/>
      <c r="G44" s="73"/>
      <c r="H44" s="30">
        <f>IF(ISBLANK(G44),0,G44*C44)+IF(ISBLANK(F44),0,F44*objecturen5_1)</f>
        <v>0</v>
      </c>
      <c r="I44" s="30">
        <f>IF(C44=0,0,H44/C44)</f>
        <v>0</v>
      </c>
      <c r="J44" s="33">
        <f>IF(ISBLANK(E44),0,ROUND(E44,2)*H44)</f>
        <v>0</v>
      </c>
      <c r="K44" s="33">
        <f>J44/12</f>
        <v>0</v>
      </c>
    </row>
    <row r="45" spans="1:11" x14ac:dyDescent="0.2">
      <c r="A45" s="20"/>
      <c r="B45" s="20"/>
      <c r="C45" s="74">
        <f>dagenperjaar1</f>
        <v>255</v>
      </c>
      <c r="D45" s="75" t="s">
        <v>270</v>
      </c>
      <c r="E45" s="24"/>
      <c r="F45" s="23"/>
      <c r="G45" s="76"/>
      <c r="H45" s="34">
        <f>IF(ISBLANK(G45),0,G45*C45)+IF(ISBLANK(F45),0,F45*objecturen5_1)</f>
        <v>0</v>
      </c>
      <c r="I45" s="34">
        <f>IF(C45=0,0,H45/C45)</f>
        <v>0</v>
      </c>
      <c r="J45" s="37">
        <f>IF(ISBLANK(E45),0,ROUND(E45,2)*H45)</f>
        <v>0</v>
      </c>
      <c r="K45" s="37">
        <f>J45/12</f>
        <v>0</v>
      </c>
    </row>
    <row r="46" spans="1:11" x14ac:dyDescent="0.2">
      <c r="A46" s="20"/>
      <c r="B46" s="20"/>
      <c r="C46" s="74">
        <f>dagenperjaar1</f>
        <v>255</v>
      </c>
      <c r="D46" s="75" t="s">
        <v>270</v>
      </c>
      <c r="E46" s="24"/>
      <c r="F46" s="23"/>
      <c r="G46" s="76"/>
      <c r="H46" s="34">
        <f>IF(ISBLANK(G46),0,G46*C46)+IF(ISBLANK(F46),0,F46*objecturen5_1)</f>
        <v>0</v>
      </c>
      <c r="I46" s="34">
        <f>IF(C46=0,0,H46/C46)</f>
        <v>0</v>
      </c>
      <c r="J46" s="37">
        <f>IF(ISBLANK(E46),0,ROUND(E46,2)*H46)</f>
        <v>0</v>
      </c>
      <c r="K46" s="37">
        <f>J46/12</f>
        <v>0</v>
      </c>
    </row>
    <row r="47" spans="1:11" x14ac:dyDescent="0.2">
      <c r="A47" s="20"/>
      <c r="B47" s="20"/>
      <c r="C47" s="74">
        <f>dagenperjaar1</f>
        <v>255</v>
      </c>
      <c r="D47" s="75" t="s">
        <v>271</v>
      </c>
      <c r="E47" s="24"/>
      <c r="F47" s="77"/>
      <c r="G47" s="22"/>
      <c r="H47" s="34">
        <f>IF(ISBLANK(G47),0,G47*C47)+IF(ISBLANK(F47),0,F47*objecturen5_1)</f>
        <v>0</v>
      </c>
      <c r="I47" s="34">
        <f>IF(C47=0,0,H47/C47)</f>
        <v>0</v>
      </c>
      <c r="J47" s="37">
        <f>IF(ISBLANK(E47),0,ROUND(E47,2)*H47)</f>
        <v>0</v>
      </c>
      <c r="K47" s="37">
        <f>J47/12</f>
        <v>0</v>
      </c>
    </row>
    <row r="48" spans="1:11" x14ac:dyDescent="0.2">
      <c r="A48" s="25"/>
      <c r="B48" s="25"/>
      <c r="C48" s="78">
        <f>dagenperjaar1</f>
        <v>255</v>
      </c>
      <c r="D48" s="79" t="s">
        <v>271</v>
      </c>
      <c r="E48" s="29"/>
      <c r="F48" s="80"/>
      <c r="G48" s="27"/>
      <c r="H48" s="38">
        <f>IF(ISBLANK(G48),0,G48*C48)+IF(ISBLANK(F48),0,F48*objecturen5_1)</f>
        <v>0</v>
      </c>
      <c r="I48" s="38">
        <f>IF(C48=0,0,H48/C48)</f>
        <v>0</v>
      </c>
      <c r="J48" s="40">
        <f>IF(ISBLANK(E48),0,ROUND(E48,2)*H48)</f>
        <v>0</v>
      </c>
      <c r="K48" s="40">
        <f>J48/12</f>
        <v>0</v>
      </c>
    </row>
    <row r="49" spans="1:11" x14ac:dyDescent="0.2">
      <c r="A49" s="81" t="s">
        <v>280</v>
      </c>
      <c r="B49" s="42"/>
      <c r="C49" s="42"/>
      <c r="D49" s="42"/>
      <c r="E49" s="42"/>
      <c r="F49" s="42"/>
      <c r="G49" s="42"/>
      <c r="H49" s="43">
        <f>SUM(H44:H48)</f>
        <v>0</v>
      </c>
      <c r="I49" s="42"/>
      <c r="J49" s="44">
        <f>SUM(J44:J48)</f>
        <v>0</v>
      </c>
      <c r="K49" s="45">
        <f>SUM(K44:K48)</f>
        <v>0</v>
      </c>
    </row>
    <row r="50" spans="1:11" x14ac:dyDescent="0.2">
      <c r="A50" s="46"/>
      <c r="B50" s="42"/>
      <c r="C50" s="42"/>
      <c r="D50" s="42"/>
      <c r="E50" s="42"/>
      <c r="F50" s="42"/>
      <c r="G50" s="42"/>
      <c r="H50" s="42"/>
      <c r="I50" s="42"/>
      <c r="J50" s="42"/>
      <c r="K50" s="47"/>
    </row>
    <row r="51" spans="1:11" x14ac:dyDescent="0.2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1"/>
    </row>
    <row r="52" spans="1:11" x14ac:dyDescent="0.2">
      <c r="A52" s="72" t="s">
        <v>281</v>
      </c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1:11" x14ac:dyDescent="0.2">
      <c r="A53" s="15" t="s">
        <v>268</v>
      </c>
      <c r="B53" s="15" t="s">
        <v>9</v>
      </c>
      <c r="C53" s="16">
        <f>IF(ISBLANK(B53),0,IF(ISERROR(VALUE(B53)),VLOOKUP(B53,dagsoorttabel1,2,FALSE)*dagenperjaar1,VALUE(B53)))</f>
        <v>255</v>
      </c>
      <c r="D53" s="15" t="s">
        <v>269</v>
      </c>
      <c r="E53" s="19"/>
      <c r="F53" s="18"/>
      <c r="G53" s="73"/>
      <c r="H53" s="30">
        <f>IF(ISBLANK(G53),0,G53*C53)+IF(ISBLANK(F53),0,F53*objecturen6_1)</f>
        <v>0</v>
      </c>
      <c r="I53" s="30">
        <f>IF(C53=0,0,H53/C53)</f>
        <v>0</v>
      </c>
      <c r="J53" s="33">
        <f>IF(ISBLANK(E53),0,ROUND(E53,2)*H53)</f>
        <v>0</v>
      </c>
      <c r="K53" s="33">
        <f>J53/12</f>
        <v>0</v>
      </c>
    </row>
    <row r="54" spans="1:11" x14ac:dyDescent="0.2">
      <c r="A54" s="20"/>
      <c r="B54" s="20"/>
      <c r="C54" s="74">
        <f>dagenperjaar1</f>
        <v>255</v>
      </c>
      <c r="D54" s="75" t="s">
        <v>270</v>
      </c>
      <c r="E54" s="24"/>
      <c r="F54" s="23"/>
      <c r="G54" s="76"/>
      <c r="H54" s="34">
        <f>IF(ISBLANK(G54),0,G54*C54)+IF(ISBLANK(F54),0,F54*objecturen6_1)</f>
        <v>0</v>
      </c>
      <c r="I54" s="34">
        <f>IF(C54=0,0,H54/C54)</f>
        <v>0</v>
      </c>
      <c r="J54" s="37">
        <f>IF(ISBLANK(E54),0,ROUND(E54,2)*H54)</f>
        <v>0</v>
      </c>
      <c r="K54" s="37">
        <f>J54/12</f>
        <v>0</v>
      </c>
    </row>
    <row r="55" spans="1:11" x14ac:dyDescent="0.2">
      <c r="A55" s="20"/>
      <c r="B55" s="20"/>
      <c r="C55" s="74">
        <f>dagenperjaar1</f>
        <v>255</v>
      </c>
      <c r="D55" s="75" t="s">
        <v>270</v>
      </c>
      <c r="E55" s="24"/>
      <c r="F55" s="23"/>
      <c r="G55" s="76"/>
      <c r="H55" s="34">
        <f>IF(ISBLANK(G55),0,G55*C55)+IF(ISBLANK(F55),0,F55*objecturen6_1)</f>
        <v>0</v>
      </c>
      <c r="I55" s="34">
        <f>IF(C55=0,0,H55/C55)</f>
        <v>0</v>
      </c>
      <c r="J55" s="37">
        <f>IF(ISBLANK(E55),0,ROUND(E55,2)*H55)</f>
        <v>0</v>
      </c>
      <c r="K55" s="37">
        <f>J55/12</f>
        <v>0</v>
      </c>
    </row>
    <row r="56" spans="1:11" x14ac:dyDescent="0.2">
      <c r="A56" s="20"/>
      <c r="B56" s="20"/>
      <c r="C56" s="74">
        <f>dagenperjaar1</f>
        <v>255</v>
      </c>
      <c r="D56" s="75" t="s">
        <v>271</v>
      </c>
      <c r="E56" s="24"/>
      <c r="F56" s="77"/>
      <c r="G56" s="22"/>
      <c r="H56" s="34">
        <f>IF(ISBLANK(G56),0,G56*C56)+IF(ISBLANK(F56),0,F56*objecturen6_1)</f>
        <v>0</v>
      </c>
      <c r="I56" s="34">
        <f>IF(C56=0,0,H56/C56)</f>
        <v>0</v>
      </c>
      <c r="J56" s="37">
        <f>IF(ISBLANK(E56),0,ROUND(E56,2)*H56)</f>
        <v>0</v>
      </c>
      <c r="K56" s="37">
        <f>J56/12</f>
        <v>0</v>
      </c>
    </row>
    <row r="57" spans="1:11" x14ac:dyDescent="0.2">
      <c r="A57" s="25"/>
      <c r="B57" s="25"/>
      <c r="C57" s="78">
        <f>dagenperjaar1</f>
        <v>255</v>
      </c>
      <c r="D57" s="79" t="s">
        <v>271</v>
      </c>
      <c r="E57" s="29"/>
      <c r="F57" s="80"/>
      <c r="G57" s="27"/>
      <c r="H57" s="38">
        <f>IF(ISBLANK(G57),0,G57*C57)+IF(ISBLANK(F57),0,F57*objecturen6_1)</f>
        <v>0</v>
      </c>
      <c r="I57" s="38">
        <f>IF(C57=0,0,H57/C57)</f>
        <v>0</v>
      </c>
      <c r="J57" s="40">
        <f>IF(ISBLANK(E57),0,ROUND(E57,2)*H57)</f>
        <v>0</v>
      </c>
      <c r="K57" s="40">
        <f>J57/12</f>
        <v>0</v>
      </c>
    </row>
    <row r="58" spans="1:11" x14ac:dyDescent="0.2">
      <c r="A58" s="81" t="s">
        <v>282</v>
      </c>
      <c r="B58" s="42"/>
      <c r="C58" s="42"/>
      <c r="D58" s="42"/>
      <c r="E58" s="42"/>
      <c r="F58" s="42"/>
      <c r="G58" s="42"/>
      <c r="H58" s="43">
        <f>SUM(H53:H57)</f>
        <v>0</v>
      </c>
      <c r="I58" s="42"/>
      <c r="J58" s="44">
        <f>SUM(J53:J57)</f>
        <v>0</v>
      </c>
      <c r="K58" s="45">
        <f>SUM(K53:K57)</f>
        <v>0</v>
      </c>
    </row>
    <row r="59" spans="1:11" x14ac:dyDescent="0.2">
      <c r="A59" s="46"/>
      <c r="B59" s="42"/>
      <c r="C59" s="42"/>
      <c r="D59" s="42"/>
      <c r="E59" s="42"/>
      <c r="F59" s="42"/>
      <c r="G59" s="42"/>
      <c r="H59" s="42"/>
      <c r="I59" s="42"/>
      <c r="J59" s="42"/>
      <c r="K59" s="47"/>
    </row>
    <row r="60" spans="1:11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1"/>
    </row>
    <row r="61" spans="1:11" x14ac:dyDescent="0.2">
      <c r="A61" s="72" t="s">
        <v>283</v>
      </c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1:11" x14ac:dyDescent="0.2">
      <c r="A62" s="15" t="s">
        <v>268</v>
      </c>
      <c r="B62" s="15" t="s">
        <v>9</v>
      </c>
      <c r="C62" s="16">
        <f>IF(ISBLANK(B62),0,IF(ISERROR(VALUE(B62)),VLOOKUP(B62,dagsoorttabel1,2,FALSE)*dagenperjaar1,VALUE(B62)))</f>
        <v>255</v>
      </c>
      <c r="D62" s="15" t="s">
        <v>269</v>
      </c>
      <c r="E62" s="19"/>
      <c r="F62" s="18"/>
      <c r="G62" s="73"/>
      <c r="H62" s="30">
        <f>IF(ISBLANK(G62),0,G62*C62)+IF(ISBLANK(F62),0,F62*objecturen7_1)</f>
        <v>0</v>
      </c>
      <c r="I62" s="30">
        <f>IF(C62=0,0,H62/C62)</f>
        <v>0</v>
      </c>
      <c r="J62" s="33">
        <f>IF(ISBLANK(E62),0,ROUND(E62,2)*H62)</f>
        <v>0</v>
      </c>
      <c r="K62" s="33">
        <f>J62/12</f>
        <v>0</v>
      </c>
    </row>
    <row r="63" spans="1:11" x14ac:dyDescent="0.2">
      <c r="A63" s="20"/>
      <c r="B63" s="20"/>
      <c r="C63" s="74">
        <f>dagenperjaar1</f>
        <v>255</v>
      </c>
      <c r="D63" s="75" t="s">
        <v>270</v>
      </c>
      <c r="E63" s="24"/>
      <c r="F63" s="23"/>
      <c r="G63" s="76"/>
      <c r="H63" s="34">
        <f>IF(ISBLANK(G63),0,G63*C63)+IF(ISBLANK(F63),0,F63*objecturen7_1)</f>
        <v>0</v>
      </c>
      <c r="I63" s="34">
        <f>IF(C63=0,0,H63/C63)</f>
        <v>0</v>
      </c>
      <c r="J63" s="37">
        <f>IF(ISBLANK(E63),0,ROUND(E63,2)*H63)</f>
        <v>0</v>
      </c>
      <c r="K63" s="37">
        <f>J63/12</f>
        <v>0</v>
      </c>
    </row>
    <row r="64" spans="1:11" x14ac:dyDescent="0.2">
      <c r="A64" s="20"/>
      <c r="B64" s="20"/>
      <c r="C64" s="74">
        <f>dagenperjaar1</f>
        <v>255</v>
      </c>
      <c r="D64" s="75" t="s">
        <v>270</v>
      </c>
      <c r="E64" s="24"/>
      <c r="F64" s="23"/>
      <c r="G64" s="76"/>
      <c r="H64" s="34">
        <f>IF(ISBLANK(G64),0,G64*C64)+IF(ISBLANK(F64),0,F64*objecturen7_1)</f>
        <v>0</v>
      </c>
      <c r="I64" s="34">
        <f>IF(C64=0,0,H64/C64)</f>
        <v>0</v>
      </c>
      <c r="J64" s="37">
        <f>IF(ISBLANK(E64),0,ROUND(E64,2)*H64)</f>
        <v>0</v>
      </c>
      <c r="K64" s="37">
        <f>J64/12</f>
        <v>0</v>
      </c>
    </row>
    <row r="65" spans="1:11" x14ac:dyDescent="0.2">
      <c r="A65" s="20"/>
      <c r="B65" s="20"/>
      <c r="C65" s="74">
        <f>dagenperjaar1</f>
        <v>255</v>
      </c>
      <c r="D65" s="75" t="s">
        <v>271</v>
      </c>
      <c r="E65" s="24"/>
      <c r="F65" s="77"/>
      <c r="G65" s="22"/>
      <c r="H65" s="34">
        <f>IF(ISBLANK(G65),0,G65*C65)+IF(ISBLANK(F65),0,F65*objecturen7_1)</f>
        <v>0</v>
      </c>
      <c r="I65" s="34">
        <f>IF(C65=0,0,H65/C65)</f>
        <v>0</v>
      </c>
      <c r="J65" s="37">
        <f>IF(ISBLANK(E65),0,ROUND(E65,2)*H65)</f>
        <v>0</v>
      </c>
      <c r="K65" s="37">
        <f>J65/12</f>
        <v>0</v>
      </c>
    </row>
    <row r="66" spans="1:11" x14ac:dyDescent="0.2">
      <c r="A66" s="25"/>
      <c r="B66" s="25"/>
      <c r="C66" s="78">
        <f>dagenperjaar1</f>
        <v>255</v>
      </c>
      <c r="D66" s="79" t="s">
        <v>271</v>
      </c>
      <c r="E66" s="29"/>
      <c r="F66" s="80"/>
      <c r="G66" s="27"/>
      <c r="H66" s="38">
        <f>IF(ISBLANK(G66),0,G66*C66)+IF(ISBLANK(F66),0,F66*objecturen7_1)</f>
        <v>0</v>
      </c>
      <c r="I66" s="38">
        <f>IF(C66=0,0,H66/C66)</f>
        <v>0</v>
      </c>
      <c r="J66" s="40">
        <f>IF(ISBLANK(E66),0,ROUND(E66,2)*H66)</f>
        <v>0</v>
      </c>
      <c r="K66" s="40">
        <f>J66/12</f>
        <v>0</v>
      </c>
    </row>
    <row r="67" spans="1:11" x14ac:dyDescent="0.2">
      <c r="A67" s="81" t="s">
        <v>284</v>
      </c>
      <c r="B67" s="42"/>
      <c r="C67" s="42"/>
      <c r="D67" s="42"/>
      <c r="E67" s="42"/>
      <c r="F67" s="42"/>
      <c r="G67" s="42"/>
      <c r="H67" s="43">
        <f>SUM(H62:H66)</f>
        <v>0</v>
      </c>
      <c r="I67" s="42"/>
      <c r="J67" s="44">
        <f>SUM(J62:J66)</f>
        <v>0</v>
      </c>
      <c r="K67" s="45">
        <f>SUM(K62:K66)</f>
        <v>0</v>
      </c>
    </row>
    <row r="68" spans="1:11" x14ac:dyDescent="0.2">
      <c r="A68" s="46"/>
      <c r="B68" s="42"/>
      <c r="C68" s="42"/>
      <c r="D68" s="42"/>
      <c r="E68" s="42"/>
      <c r="F68" s="42"/>
      <c r="G68" s="42"/>
      <c r="H68" s="42"/>
      <c r="I68" s="42"/>
      <c r="J68" s="42"/>
      <c r="K68" s="47"/>
    </row>
    <row r="69" spans="1:11" x14ac:dyDescent="0.2">
      <c r="A69" s="41" t="s">
        <v>194</v>
      </c>
      <c r="B69" s="42"/>
      <c r="C69" s="42"/>
      <c r="D69" s="42"/>
      <c r="E69" s="42"/>
      <c r="F69" s="42"/>
      <c r="G69" s="42"/>
      <c r="H69" s="43">
        <f>tzujt1_1+tzujt2_1+tzujt3_1+tzujt4_1+tzujt5_1+tzujt6_1+tzujt7_1</f>
        <v>0</v>
      </c>
      <c r="I69" s="42"/>
      <c r="J69" s="44">
        <f>tzpjt1_1+tzpjt2_1+tzpjt3_1+tzpjt4_1+tzpjt5_1+tzpjt6_1+tzpjt7_1</f>
        <v>0</v>
      </c>
      <c r="K69" s="45">
        <f>tzpmt1_1+tzpmt2_1+tzpmt3_1+tzpmt4_1+tzpmt5_1+tzpmt6_1+tzpmt7_1</f>
        <v>0</v>
      </c>
    </row>
    <row r="70" spans="1:11" x14ac:dyDescent="0.2">
      <c r="A70" s="46"/>
      <c r="B70" s="42"/>
      <c r="C70" s="42"/>
      <c r="D70" s="42"/>
      <c r="E70" s="42"/>
      <c r="F70" s="42"/>
      <c r="G70" s="42"/>
      <c r="H70" s="42"/>
      <c r="I70" s="42"/>
      <c r="J70" s="42"/>
      <c r="K70" s="47"/>
    </row>
    <row r="71" spans="1:11" x14ac:dyDescent="0.2">
      <c r="A71" s="69"/>
      <c r="B71" s="70"/>
      <c r="C71" s="70"/>
      <c r="D71" s="70"/>
      <c r="E71" s="70"/>
      <c r="F71" s="70"/>
      <c r="G71" s="70"/>
      <c r="H71" s="70"/>
      <c r="I71" s="70"/>
      <c r="J71" s="70"/>
      <c r="K71" s="71"/>
    </row>
    <row r="72" spans="1:11" x14ac:dyDescent="0.2">
      <c r="A72" s="12" t="s">
        <v>122</v>
      </c>
      <c r="B72" s="13"/>
      <c r="C72" s="13"/>
      <c r="D72" s="13"/>
      <c r="E72" s="13"/>
      <c r="F72" s="13"/>
      <c r="G72" s="13"/>
      <c r="H72" s="13"/>
      <c r="I72" s="13"/>
      <c r="J72" s="13"/>
      <c r="K72" s="14"/>
    </row>
    <row r="73" spans="1:11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1"/>
    </row>
    <row r="74" spans="1:11" x14ac:dyDescent="0.2">
      <c r="A74" s="72" t="s">
        <v>273</v>
      </c>
      <c r="B74" s="13"/>
      <c r="C74" s="13"/>
      <c r="D74" s="13"/>
      <c r="E74" s="13"/>
      <c r="F74" s="13"/>
      <c r="G74" s="13"/>
      <c r="H74" s="13"/>
      <c r="I74" s="13"/>
      <c r="J74" s="13"/>
      <c r="K74" s="14"/>
    </row>
    <row r="75" spans="1:11" x14ac:dyDescent="0.2">
      <c r="A75" s="15" t="s">
        <v>285</v>
      </c>
      <c r="B75" s="15" t="s">
        <v>14</v>
      </c>
      <c r="C75" s="16">
        <f>IF(ISBLANK(B75),0,IF(ISERROR(VALUE(B75)),VLOOKUP(B75,dagsoorttabel1,2,FALSE)*dagenperjaar1,VALUE(B75)))</f>
        <v>102</v>
      </c>
      <c r="D75" s="15" t="s">
        <v>269</v>
      </c>
      <c r="E75" s="19"/>
      <c r="F75" s="18"/>
      <c r="G75" s="73"/>
      <c r="H75" s="30">
        <f>IF(ISBLANK(G75),0,G75*C75)+IF(ISBLANK(F75),0,F75*objecturen2_3)</f>
        <v>0</v>
      </c>
      <c r="I75" s="30">
        <f>IF(C75=0,0,H75/C75)</f>
        <v>0</v>
      </c>
      <c r="J75" s="33">
        <f>IF(ISBLANK(E75),0,ROUND(E75,2)*H75)</f>
        <v>0</v>
      </c>
      <c r="K75" s="33">
        <f>J75/12</f>
        <v>0</v>
      </c>
    </row>
    <row r="76" spans="1:11" x14ac:dyDescent="0.2">
      <c r="A76" s="20"/>
      <c r="B76" s="20"/>
      <c r="C76" s="74">
        <f>dagenperjaar1</f>
        <v>255</v>
      </c>
      <c r="D76" s="75" t="s">
        <v>270</v>
      </c>
      <c r="E76" s="24"/>
      <c r="F76" s="23"/>
      <c r="G76" s="76"/>
      <c r="H76" s="34">
        <f>IF(ISBLANK(G76),0,G76*C76)+IF(ISBLANK(F76),0,F76*objecturen2_3)</f>
        <v>0</v>
      </c>
      <c r="I76" s="34">
        <f>IF(C76=0,0,H76/C76)</f>
        <v>0</v>
      </c>
      <c r="J76" s="37">
        <f>IF(ISBLANK(E76),0,ROUND(E76,2)*H76)</f>
        <v>0</v>
      </c>
      <c r="K76" s="37">
        <f>J76/12</f>
        <v>0</v>
      </c>
    </row>
    <row r="77" spans="1:11" x14ac:dyDescent="0.2">
      <c r="A77" s="20"/>
      <c r="B77" s="20"/>
      <c r="C77" s="74">
        <f>dagenperjaar1</f>
        <v>255</v>
      </c>
      <c r="D77" s="75" t="s">
        <v>270</v>
      </c>
      <c r="E77" s="24"/>
      <c r="F77" s="23"/>
      <c r="G77" s="76"/>
      <c r="H77" s="34">
        <f>IF(ISBLANK(G77),0,G77*C77)+IF(ISBLANK(F77),0,F77*objecturen2_3)</f>
        <v>0</v>
      </c>
      <c r="I77" s="34">
        <f>IF(C77=0,0,H77/C77)</f>
        <v>0</v>
      </c>
      <c r="J77" s="37">
        <f>IF(ISBLANK(E77),0,ROUND(E77,2)*H77)</f>
        <v>0</v>
      </c>
      <c r="K77" s="37">
        <f>J77/12</f>
        <v>0</v>
      </c>
    </row>
    <row r="78" spans="1:11" x14ac:dyDescent="0.2">
      <c r="A78" s="20"/>
      <c r="B78" s="20"/>
      <c r="C78" s="74">
        <f>dagenperjaar1</f>
        <v>255</v>
      </c>
      <c r="D78" s="75" t="s">
        <v>271</v>
      </c>
      <c r="E78" s="24"/>
      <c r="F78" s="77"/>
      <c r="G78" s="22"/>
      <c r="H78" s="34">
        <f>IF(ISBLANK(G78),0,G78*C78)+IF(ISBLANK(F78),0,F78*objecturen2_3)</f>
        <v>0</v>
      </c>
      <c r="I78" s="34">
        <f>IF(C78=0,0,H78/C78)</f>
        <v>0</v>
      </c>
      <c r="J78" s="37">
        <f>IF(ISBLANK(E78),0,ROUND(E78,2)*H78)</f>
        <v>0</v>
      </c>
      <c r="K78" s="37">
        <f>J78/12</f>
        <v>0</v>
      </c>
    </row>
    <row r="79" spans="1:11" x14ac:dyDescent="0.2">
      <c r="A79" s="25"/>
      <c r="B79" s="25"/>
      <c r="C79" s="78">
        <f>dagenperjaar1</f>
        <v>255</v>
      </c>
      <c r="D79" s="79" t="s">
        <v>271</v>
      </c>
      <c r="E79" s="29"/>
      <c r="F79" s="80"/>
      <c r="G79" s="27"/>
      <c r="H79" s="38">
        <f>IF(ISBLANK(G79),0,G79*C79)+IF(ISBLANK(F79),0,F79*objecturen2_3)</f>
        <v>0</v>
      </c>
      <c r="I79" s="38">
        <f>IF(C79=0,0,H79/C79)</f>
        <v>0</v>
      </c>
      <c r="J79" s="40">
        <f>IF(ISBLANK(E79),0,ROUND(E79,2)*H79)</f>
        <v>0</v>
      </c>
      <c r="K79" s="40">
        <f>J79/12</f>
        <v>0</v>
      </c>
    </row>
    <row r="80" spans="1:11" x14ac:dyDescent="0.2">
      <c r="A80" s="81" t="s">
        <v>274</v>
      </c>
      <c r="B80" s="42"/>
      <c r="C80" s="42"/>
      <c r="D80" s="42"/>
      <c r="E80" s="42"/>
      <c r="F80" s="42"/>
      <c r="G80" s="42"/>
      <c r="H80" s="43">
        <f>SUM(H75:H79)</f>
        <v>0</v>
      </c>
      <c r="I80" s="42"/>
      <c r="J80" s="44">
        <f>SUM(J75:J79)</f>
        <v>0</v>
      </c>
      <c r="K80" s="45">
        <f>SUM(K75:K79)</f>
        <v>0</v>
      </c>
    </row>
    <row r="81" spans="1:11" x14ac:dyDescent="0.2">
      <c r="A81" s="46"/>
      <c r="B81" s="42"/>
      <c r="C81" s="42"/>
      <c r="D81" s="42"/>
      <c r="E81" s="42"/>
      <c r="F81" s="42"/>
      <c r="G81" s="42"/>
      <c r="H81" s="42"/>
      <c r="I81" s="42"/>
      <c r="J81" s="42"/>
      <c r="K81" s="47"/>
    </row>
    <row r="82" spans="1:11" x14ac:dyDescent="0.2">
      <c r="A82" s="41" t="s">
        <v>199</v>
      </c>
      <c r="B82" s="42"/>
      <c r="C82" s="42"/>
      <c r="D82" s="42"/>
      <c r="E82" s="42"/>
      <c r="F82" s="42"/>
      <c r="G82" s="42"/>
      <c r="H82" s="43">
        <f>tzujt2_3</f>
        <v>0</v>
      </c>
      <c r="I82" s="42"/>
      <c r="J82" s="44">
        <f>tzpjt2_3</f>
        <v>0</v>
      </c>
      <c r="K82" s="45">
        <f>tzpmt2_3</f>
        <v>0</v>
      </c>
    </row>
    <row r="83" spans="1:11" x14ac:dyDescent="0.2">
      <c r="A83" s="46"/>
      <c r="B83" s="42"/>
      <c r="C83" s="42"/>
      <c r="D83" s="42"/>
      <c r="E83" s="42"/>
      <c r="F83" s="42"/>
      <c r="G83" s="42"/>
      <c r="H83" s="42"/>
      <c r="I83" s="42"/>
      <c r="J83" s="42"/>
      <c r="K83" s="47"/>
    </row>
    <row r="85" spans="1:11" x14ac:dyDescent="0.2">
      <c r="A85" s="41" t="s">
        <v>286</v>
      </c>
      <c r="B85" s="42"/>
      <c r="C85" s="42"/>
      <c r="D85" s="42"/>
      <c r="E85" s="42"/>
      <c r="F85" s="42"/>
      <c r="G85" s="42"/>
      <c r="H85" s="43">
        <f>tzujt1+tzujt3</f>
        <v>0</v>
      </c>
      <c r="I85" s="42"/>
      <c r="J85" s="44">
        <f>tzpjt1+tzpjt3</f>
        <v>0</v>
      </c>
      <c r="K85" s="44">
        <f>tzpmt1+tzpmt3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CC8B-5063-4B48-B825-654C0878869E}">
  <dimension ref="A1:K12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1" width="13.625" customWidth="1"/>
  </cols>
  <sheetData>
    <row r="1" spans="1:11" x14ac:dyDescent="0.2">
      <c r="A1" s="1" t="str">
        <f>CONCATENATE("Bijlage D .5: ",tabeltype," totaalblad objecten")</f>
        <v>Bijlage D .5: Invultabel totaalblad objecten</v>
      </c>
    </row>
    <row r="3" spans="1:11" ht="38.25" x14ac:dyDescent="0.2">
      <c r="A3" s="8" t="s">
        <v>218</v>
      </c>
      <c r="B3" s="8" t="s">
        <v>219</v>
      </c>
      <c r="C3" s="8" t="s">
        <v>220</v>
      </c>
      <c r="D3" s="8" t="s">
        <v>221</v>
      </c>
      <c r="E3" s="8" t="s">
        <v>231</v>
      </c>
      <c r="F3" s="8" t="s">
        <v>133</v>
      </c>
      <c r="G3" s="8" t="s">
        <v>287</v>
      </c>
      <c r="H3" s="8" t="s">
        <v>288</v>
      </c>
      <c r="I3" s="8" t="s">
        <v>289</v>
      </c>
      <c r="J3" s="8" t="s">
        <v>290</v>
      </c>
      <c r="K3" s="8" t="s">
        <v>291</v>
      </c>
    </row>
    <row r="4" spans="1:11" x14ac:dyDescent="0.2">
      <c r="A4" s="15" t="s">
        <v>234</v>
      </c>
      <c r="B4" s="15" t="s">
        <v>235</v>
      </c>
      <c r="C4" s="15" t="s">
        <v>236</v>
      </c>
      <c r="D4" s="15" t="s">
        <v>237</v>
      </c>
      <c r="E4" s="30">
        <f>objecturenhf1_1</f>
        <v>0</v>
      </c>
      <c r="F4" s="30">
        <f>objecturen1_1</f>
        <v>0</v>
      </c>
      <c r="G4" s="33">
        <f>objectprijs1_1</f>
        <v>0</v>
      </c>
      <c r="H4" s="30">
        <f>tzujt1_1</f>
        <v>0</v>
      </c>
      <c r="I4" s="33">
        <f>tzpjt1_1</f>
        <v>0</v>
      </c>
      <c r="J4" s="33">
        <f>G4+I4</f>
        <v>0</v>
      </c>
      <c r="K4" s="33">
        <f>J4/12</f>
        <v>0</v>
      </c>
    </row>
    <row r="5" spans="1:11" x14ac:dyDescent="0.2">
      <c r="A5" s="20" t="s">
        <v>238</v>
      </c>
      <c r="B5" s="20" t="s">
        <v>239</v>
      </c>
      <c r="C5" s="20" t="s">
        <v>236</v>
      </c>
      <c r="D5" s="20" t="s">
        <v>237</v>
      </c>
      <c r="E5" s="34">
        <f>objecturenhf2_1+objecturenhf2_3</f>
        <v>0</v>
      </c>
      <c r="F5" s="34">
        <f>objecturen2_1+objecturen2_3</f>
        <v>0</v>
      </c>
      <c r="G5" s="37">
        <f>objectprijs2_1+objectprijs2_3</f>
        <v>0</v>
      </c>
      <c r="H5" s="34">
        <f>tzujt2_1+tzujt2_3</f>
        <v>0</v>
      </c>
      <c r="I5" s="37">
        <f>tzpjt2_1+tzpjt2_3</f>
        <v>0</v>
      </c>
      <c r="J5" s="37">
        <f>G5+I5</f>
        <v>0</v>
      </c>
      <c r="K5" s="37">
        <f>J5/12</f>
        <v>0</v>
      </c>
    </row>
    <row r="6" spans="1:11" x14ac:dyDescent="0.2">
      <c r="A6" s="20" t="s">
        <v>240</v>
      </c>
      <c r="B6" s="20" t="s">
        <v>241</v>
      </c>
      <c r="C6" s="20" t="s">
        <v>242</v>
      </c>
      <c r="D6" s="20" t="s">
        <v>243</v>
      </c>
      <c r="E6" s="34">
        <f>objecturenhf3_1</f>
        <v>0</v>
      </c>
      <c r="F6" s="34">
        <f>objecturen3_1</f>
        <v>0</v>
      </c>
      <c r="G6" s="37">
        <f>objectprijs3_1</f>
        <v>0</v>
      </c>
      <c r="H6" s="34">
        <f>tzujt3_1</f>
        <v>0</v>
      </c>
      <c r="I6" s="37">
        <f>tzpjt3_1</f>
        <v>0</v>
      </c>
      <c r="J6" s="37">
        <f>G6+I6</f>
        <v>0</v>
      </c>
      <c r="K6" s="37">
        <f>J6/12</f>
        <v>0</v>
      </c>
    </row>
    <row r="7" spans="1:11" x14ac:dyDescent="0.2">
      <c r="A7" s="20" t="s">
        <v>244</v>
      </c>
      <c r="B7" s="20" t="s">
        <v>245</v>
      </c>
      <c r="C7" s="20" t="s">
        <v>246</v>
      </c>
      <c r="D7" s="20" t="s">
        <v>237</v>
      </c>
      <c r="E7" s="34">
        <f>objecturenhf4_1</f>
        <v>0</v>
      </c>
      <c r="F7" s="34">
        <f>objecturen4_1</f>
        <v>0</v>
      </c>
      <c r="G7" s="37">
        <f>objectprijs4_1</f>
        <v>0</v>
      </c>
      <c r="H7" s="34">
        <f>tzujt4_1</f>
        <v>0</v>
      </c>
      <c r="I7" s="37">
        <f>tzpjt4_1</f>
        <v>0</v>
      </c>
      <c r="J7" s="37">
        <f>G7+I7</f>
        <v>0</v>
      </c>
      <c r="K7" s="37">
        <f>J7/12</f>
        <v>0</v>
      </c>
    </row>
    <row r="8" spans="1:11" x14ac:dyDescent="0.2">
      <c r="A8" s="20" t="s">
        <v>247</v>
      </c>
      <c r="B8" s="20" t="s">
        <v>248</v>
      </c>
      <c r="C8" s="20" t="s">
        <v>249</v>
      </c>
      <c r="D8" s="20" t="s">
        <v>250</v>
      </c>
      <c r="E8" s="34">
        <f>objecturenhf5_1</f>
        <v>0</v>
      </c>
      <c r="F8" s="34">
        <f>objecturen5_1</f>
        <v>0</v>
      </c>
      <c r="G8" s="37">
        <f>objectprijs5_1</f>
        <v>0</v>
      </c>
      <c r="H8" s="34">
        <f>tzujt5_1</f>
        <v>0</v>
      </c>
      <c r="I8" s="37">
        <f>tzpjt5_1</f>
        <v>0</v>
      </c>
      <c r="J8" s="37">
        <f>G8+I8</f>
        <v>0</v>
      </c>
      <c r="K8" s="37">
        <f>J8/12</f>
        <v>0</v>
      </c>
    </row>
    <row r="9" spans="1:11" x14ac:dyDescent="0.2">
      <c r="A9" s="20" t="s">
        <v>251</v>
      </c>
      <c r="B9" s="20" t="s">
        <v>252</v>
      </c>
      <c r="C9" s="20" t="s">
        <v>253</v>
      </c>
      <c r="D9" s="20" t="s">
        <v>237</v>
      </c>
      <c r="E9" s="34">
        <f>objecturenhf6_1</f>
        <v>0</v>
      </c>
      <c r="F9" s="34">
        <f>objecturen6_1</f>
        <v>0</v>
      </c>
      <c r="G9" s="37">
        <f>objectprijs6_1</f>
        <v>0</v>
      </c>
      <c r="H9" s="34">
        <f>tzujt6_1</f>
        <v>0</v>
      </c>
      <c r="I9" s="37">
        <f>tzpjt6_1</f>
        <v>0</v>
      </c>
      <c r="J9" s="37">
        <f>G9+I9</f>
        <v>0</v>
      </c>
      <c r="K9" s="37">
        <f>J9/12</f>
        <v>0</v>
      </c>
    </row>
    <row r="10" spans="1:11" x14ac:dyDescent="0.2">
      <c r="A10" s="25" t="s">
        <v>254</v>
      </c>
      <c r="B10" s="25" t="s">
        <v>255</v>
      </c>
      <c r="C10" s="25" t="s">
        <v>256</v>
      </c>
      <c r="D10" s="25" t="s">
        <v>237</v>
      </c>
      <c r="E10" s="38">
        <f>objecturenhf7_1</f>
        <v>0</v>
      </c>
      <c r="F10" s="38">
        <f>objecturen7_1</f>
        <v>0</v>
      </c>
      <c r="G10" s="40">
        <f>objectprijs7_1</f>
        <v>0</v>
      </c>
      <c r="H10" s="38">
        <f>tzujt7_1</f>
        <v>0</v>
      </c>
      <c r="I10" s="40">
        <f>tzpjt7_1</f>
        <v>0</v>
      </c>
      <c r="J10" s="40">
        <f>G10+I10</f>
        <v>0</v>
      </c>
      <c r="K10" s="40">
        <f>J10/12</f>
        <v>0</v>
      </c>
    </row>
    <row r="12" spans="1:11" x14ac:dyDescent="0.2">
      <c r="A12" s="41" t="s">
        <v>292</v>
      </c>
      <c r="B12" s="42"/>
      <c r="C12" s="42"/>
      <c r="D12" s="42"/>
      <c r="E12" s="43">
        <f>SUM(E4:E10)</f>
        <v>0</v>
      </c>
      <c r="F12" s="43">
        <f>SUM(F4:F10)</f>
        <v>0</v>
      </c>
      <c r="G12" s="44">
        <f>SUM(G4:G10)</f>
        <v>0</v>
      </c>
      <c r="H12" s="43">
        <f>SUM(H4:H10)</f>
        <v>0</v>
      </c>
      <c r="I12" s="44">
        <f>SUM(I4:I10)</f>
        <v>0</v>
      </c>
      <c r="J12" s="44">
        <f>SUM(J4:J10)</f>
        <v>0</v>
      </c>
      <c r="K12" s="44">
        <f>SUM(K4:K10)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C763-D240-4094-9B00-567918477638}">
  <dimension ref="A1:E81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D .6: ",tabeltype," afroep incidenteel")</f>
        <v>Bijlage D .6: Invultabel afroep incidenteel</v>
      </c>
    </row>
    <row r="3" spans="1:5" ht="38.25" x14ac:dyDescent="0.2">
      <c r="A3" s="8" t="s">
        <v>293</v>
      </c>
      <c r="B3" s="8" t="s">
        <v>26</v>
      </c>
      <c r="C3" s="8" t="s">
        <v>29</v>
      </c>
      <c r="D3" s="8" t="s">
        <v>294</v>
      </c>
      <c r="E3" s="8" t="s">
        <v>295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31</v>
      </c>
      <c r="B5" s="13"/>
      <c r="C5" s="13"/>
      <c r="D5" s="13"/>
      <c r="E5" s="14"/>
    </row>
    <row r="6" spans="1:5" x14ac:dyDescent="0.2">
      <c r="A6" s="15" t="s">
        <v>296</v>
      </c>
      <c r="B6" s="15" t="s">
        <v>297</v>
      </c>
      <c r="C6" s="15" t="s">
        <v>298</v>
      </c>
      <c r="D6" s="15" t="s">
        <v>299</v>
      </c>
      <c r="E6" s="19"/>
    </row>
    <row r="7" spans="1:5" x14ac:dyDescent="0.2">
      <c r="A7" s="20" t="s">
        <v>300</v>
      </c>
      <c r="B7" s="20" t="s">
        <v>297</v>
      </c>
      <c r="C7" s="20" t="s">
        <v>298</v>
      </c>
      <c r="D7" s="20" t="s">
        <v>301</v>
      </c>
      <c r="E7" s="24"/>
    </row>
    <row r="8" spans="1:5" x14ac:dyDescent="0.2">
      <c r="A8" s="20" t="s">
        <v>302</v>
      </c>
      <c r="B8" s="20" t="s">
        <v>297</v>
      </c>
      <c r="C8" s="20" t="s">
        <v>298</v>
      </c>
      <c r="D8" s="20" t="s">
        <v>303</v>
      </c>
      <c r="E8" s="24"/>
    </row>
    <row r="9" spans="1:5" x14ac:dyDescent="0.2">
      <c r="A9" s="20" t="s">
        <v>304</v>
      </c>
      <c r="B9" s="20" t="s">
        <v>297</v>
      </c>
      <c r="C9" s="20" t="s">
        <v>298</v>
      </c>
      <c r="D9" s="20" t="s">
        <v>305</v>
      </c>
      <c r="E9" s="24"/>
    </row>
    <row r="10" spans="1:5" x14ac:dyDescent="0.2">
      <c r="A10" s="20" t="s">
        <v>306</v>
      </c>
      <c r="B10" s="20" t="s">
        <v>307</v>
      </c>
      <c r="C10" s="20" t="s">
        <v>298</v>
      </c>
      <c r="D10" s="20" t="s">
        <v>299</v>
      </c>
      <c r="E10" s="24"/>
    </row>
    <row r="11" spans="1:5" x14ac:dyDescent="0.2">
      <c r="A11" s="20" t="s">
        <v>308</v>
      </c>
      <c r="B11" s="20" t="s">
        <v>307</v>
      </c>
      <c r="C11" s="20" t="s">
        <v>298</v>
      </c>
      <c r="D11" s="20" t="s">
        <v>301</v>
      </c>
      <c r="E11" s="24"/>
    </row>
    <row r="12" spans="1:5" x14ac:dyDescent="0.2">
      <c r="A12" s="20" t="s">
        <v>309</v>
      </c>
      <c r="B12" s="20" t="s">
        <v>307</v>
      </c>
      <c r="C12" s="20" t="s">
        <v>298</v>
      </c>
      <c r="D12" s="20" t="s">
        <v>303</v>
      </c>
      <c r="E12" s="24"/>
    </row>
    <row r="13" spans="1:5" x14ac:dyDescent="0.2">
      <c r="A13" s="20" t="s">
        <v>310</v>
      </c>
      <c r="B13" s="20" t="s">
        <v>307</v>
      </c>
      <c r="C13" s="20" t="s">
        <v>298</v>
      </c>
      <c r="D13" s="20" t="s">
        <v>305</v>
      </c>
      <c r="E13" s="24"/>
    </row>
    <row r="14" spans="1:5" x14ac:dyDescent="0.2">
      <c r="A14" s="20" t="s">
        <v>311</v>
      </c>
      <c r="B14" s="20" t="s">
        <v>312</v>
      </c>
      <c r="C14" s="20" t="s">
        <v>298</v>
      </c>
      <c r="D14" s="20" t="s">
        <v>299</v>
      </c>
      <c r="E14" s="24"/>
    </row>
    <row r="15" spans="1:5" x14ac:dyDescent="0.2">
      <c r="A15" s="20" t="s">
        <v>313</v>
      </c>
      <c r="B15" s="20" t="s">
        <v>312</v>
      </c>
      <c r="C15" s="20" t="s">
        <v>298</v>
      </c>
      <c r="D15" s="20" t="s">
        <v>301</v>
      </c>
      <c r="E15" s="24"/>
    </row>
    <row r="16" spans="1:5" x14ac:dyDescent="0.2">
      <c r="A16" s="20" t="s">
        <v>314</v>
      </c>
      <c r="B16" s="20" t="s">
        <v>312</v>
      </c>
      <c r="C16" s="20" t="s">
        <v>298</v>
      </c>
      <c r="D16" s="20" t="s">
        <v>303</v>
      </c>
      <c r="E16" s="24"/>
    </row>
    <row r="17" spans="1:5" x14ac:dyDescent="0.2">
      <c r="A17" s="20" t="s">
        <v>315</v>
      </c>
      <c r="B17" s="20" t="s">
        <v>312</v>
      </c>
      <c r="C17" s="20" t="s">
        <v>298</v>
      </c>
      <c r="D17" s="20" t="s">
        <v>305</v>
      </c>
      <c r="E17" s="24"/>
    </row>
    <row r="18" spans="1:5" x14ac:dyDescent="0.2">
      <c r="A18" s="20" t="s">
        <v>316</v>
      </c>
      <c r="B18" s="20" t="s">
        <v>317</v>
      </c>
      <c r="C18" s="20" t="s">
        <v>298</v>
      </c>
      <c r="D18" s="20" t="s">
        <v>299</v>
      </c>
      <c r="E18" s="24"/>
    </row>
    <row r="19" spans="1:5" x14ac:dyDescent="0.2">
      <c r="A19" s="20" t="s">
        <v>318</v>
      </c>
      <c r="B19" s="20" t="s">
        <v>317</v>
      </c>
      <c r="C19" s="20" t="s">
        <v>298</v>
      </c>
      <c r="D19" s="20" t="s">
        <v>301</v>
      </c>
      <c r="E19" s="24"/>
    </row>
    <row r="20" spans="1:5" x14ac:dyDescent="0.2">
      <c r="A20" s="20" t="s">
        <v>319</v>
      </c>
      <c r="B20" s="20" t="s">
        <v>317</v>
      </c>
      <c r="C20" s="20" t="s">
        <v>298</v>
      </c>
      <c r="D20" s="20" t="s">
        <v>303</v>
      </c>
      <c r="E20" s="24"/>
    </row>
    <row r="21" spans="1:5" x14ac:dyDescent="0.2">
      <c r="A21" s="20" t="s">
        <v>320</v>
      </c>
      <c r="B21" s="20" t="s">
        <v>317</v>
      </c>
      <c r="C21" s="20" t="s">
        <v>298</v>
      </c>
      <c r="D21" s="20" t="s">
        <v>305</v>
      </c>
      <c r="E21" s="24"/>
    </row>
    <row r="22" spans="1:5" x14ac:dyDescent="0.2">
      <c r="A22" s="20" t="s">
        <v>321</v>
      </c>
      <c r="B22" s="20" t="s">
        <v>322</v>
      </c>
      <c r="C22" s="20" t="s">
        <v>323</v>
      </c>
      <c r="D22" s="20" t="s">
        <v>324</v>
      </c>
      <c r="E22" s="24"/>
    </row>
    <row r="23" spans="1:5" x14ac:dyDescent="0.2">
      <c r="A23" s="20" t="s">
        <v>325</v>
      </c>
      <c r="B23" s="20" t="s">
        <v>322</v>
      </c>
      <c r="C23" s="20" t="s">
        <v>323</v>
      </c>
      <c r="D23" s="20" t="s">
        <v>326</v>
      </c>
      <c r="E23" s="24"/>
    </row>
    <row r="24" spans="1:5" x14ac:dyDescent="0.2">
      <c r="A24" s="20" t="s">
        <v>327</v>
      </c>
      <c r="B24" s="20" t="s">
        <v>322</v>
      </c>
      <c r="C24" s="20" t="s">
        <v>323</v>
      </c>
      <c r="D24" s="20" t="s">
        <v>328</v>
      </c>
      <c r="E24" s="24"/>
    </row>
    <row r="25" spans="1:5" x14ac:dyDescent="0.2">
      <c r="A25" s="20" t="s">
        <v>329</v>
      </c>
      <c r="B25" s="20" t="s">
        <v>322</v>
      </c>
      <c r="C25" s="20" t="s">
        <v>323</v>
      </c>
      <c r="D25" s="20" t="s">
        <v>330</v>
      </c>
      <c r="E25" s="24"/>
    </row>
    <row r="26" spans="1:5" x14ac:dyDescent="0.2">
      <c r="A26" s="20" t="s">
        <v>331</v>
      </c>
      <c r="B26" s="20" t="s">
        <v>332</v>
      </c>
      <c r="C26" s="20" t="s">
        <v>323</v>
      </c>
      <c r="D26" s="20" t="s">
        <v>324</v>
      </c>
      <c r="E26" s="24"/>
    </row>
    <row r="27" spans="1:5" x14ac:dyDescent="0.2">
      <c r="A27" s="20" t="s">
        <v>333</v>
      </c>
      <c r="B27" s="20" t="s">
        <v>332</v>
      </c>
      <c r="C27" s="20" t="s">
        <v>323</v>
      </c>
      <c r="D27" s="20" t="s">
        <v>326</v>
      </c>
      <c r="E27" s="24"/>
    </row>
    <row r="28" spans="1:5" x14ac:dyDescent="0.2">
      <c r="A28" s="20" t="s">
        <v>334</v>
      </c>
      <c r="B28" s="20" t="s">
        <v>332</v>
      </c>
      <c r="C28" s="20" t="s">
        <v>323</v>
      </c>
      <c r="D28" s="20" t="s">
        <v>328</v>
      </c>
      <c r="E28" s="24"/>
    </row>
    <row r="29" spans="1:5" x14ac:dyDescent="0.2">
      <c r="A29" s="20" t="s">
        <v>335</v>
      </c>
      <c r="B29" s="20" t="s">
        <v>332</v>
      </c>
      <c r="C29" s="20" t="s">
        <v>323</v>
      </c>
      <c r="D29" s="20" t="s">
        <v>330</v>
      </c>
      <c r="E29" s="24"/>
    </row>
    <row r="30" spans="1:5" x14ac:dyDescent="0.2">
      <c r="A30" s="20" t="s">
        <v>336</v>
      </c>
      <c r="B30" s="20" t="s">
        <v>337</v>
      </c>
      <c r="C30" s="20" t="s">
        <v>323</v>
      </c>
      <c r="D30" s="20" t="s">
        <v>324</v>
      </c>
      <c r="E30" s="24"/>
    </row>
    <row r="31" spans="1:5" x14ac:dyDescent="0.2">
      <c r="A31" s="20" t="s">
        <v>338</v>
      </c>
      <c r="B31" s="20" t="s">
        <v>337</v>
      </c>
      <c r="C31" s="20" t="s">
        <v>323</v>
      </c>
      <c r="D31" s="20" t="s">
        <v>326</v>
      </c>
      <c r="E31" s="24"/>
    </row>
    <row r="32" spans="1:5" x14ac:dyDescent="0.2">
      <c r="A32" s="20" t="s">
        <v>339</v>
      </c>
      <c r="B32" s="20" t="s">
        <v>337</v>
      </c>
      <c r="C32" s="20" t="s">
        <v>323</v>
      </c>
      <c r="D32" s="20" t="s">
        <v>328</v>
      </c>
      <c r="E32" s="24"/>
    </row>
    <row r="33" spans="1:5" x14ac:dyDescent="0.2">
      <c r="A33" s="20" t="s">
        <v>340</v>
      </c>
      <c r="B33" s="20" t="s">
        <v>337</v>
      </c>
      <c r="C33" s="20" t="s">
        <v>323</v>
      </c>
      <c r="D33" s="20" t="s">
        <v>330</v>
      </c>
      <c r="E33" s="24"/>
    </row>
    <row r="34" spans="1:5" x14ac:dyDescent="0.2">
      <c r="A34" s="20" t="s">
        <v>341</v>
      </c>
      <c r="B34" s="20" t="s">
        <v>342</v>
      </c>
      <c r="C34" s="20" t="s">
        <v>323</v>
      </c>
      <c r="D34" s="20" t="s">
        <v>324</v>
      </c>
      <c r="E34" s="24"/>
    </row>
    <row r="35" spans="1:5" x14ac:dyDescent="0.2">
      <c r="A35" s="20" t="s">
        <v>343</v>
      </c>
      <c r="B35" s="20" t="s">
        <v>342</v>
      </c>
      <c r="C35" s="20" t="s">
        <v>323</v>
      </c>
      <c r="D35" s="20" t="s">
        <v>326</v>
      </c>
      <c r="E35" s="24"/>
    </row>
    <row r="36" spans="1:5" x14ac:dyDescent="0.2">
      <c r="A36" s="20" t="s">
        <v>344</v>
      </c>
      <c r="B36" s="20" t="s">
        <v>342</v>
      </c>
      <c r="C36" s="20" t="s">
        <v>323</v>
      </c>
      <c r="D36" s="20" t="s">
        <v>328</v>
      </c>
      <c r="E36" s="24"/>
    </row>
    <row r="37" spans="1:5" x14ac:dyDescent="0.2">
      <c r="A37" s="20" t="s">
        <v>345</v>
      </c>
      <c r="B37" s="20" t="s">
        <v>342</v>
      </c>
      <c r="C37" s="20" t="s">
        <v>323</v>
      </c>
      <c r="D37" s="20" t="s">
        <v>330</v>
      </c>
      <c r="E37" s="24"/>
    </row>
    <row r="38" spans="1:5" x14ac:dyDescent="0.2">
      <c r="A38" s="20" t="s">
        <v>346</v>
      </c>
      <c r="B38" s="20" t="s">
        <v>347</v>
      </c>
      <c r="C38" s="20" t="s">
        <v>323</v>
      </c>
      <c r="D38" s="20" t="s">
        <v>324</v>
      </c>
      <c r="E38" s="24"/>
    </row>
    <row r="39" spans="1:5" x14ac:dyDescent="0.2">
      <c r="A39" s="20" t="s">
        <v>348</v>
      </c>
      <c r="B39" s="20" t="s">
        <v>347</v>
      </c>
      <c r="C39" s="20" t="s">
        <v>323</v>
      </c>
      <c r="D39" s="20" t="s">
        <v>326</v>
      </c>
      <c r="E39" s="24"/>
    </row>
    <row r="40" spans="1:5" x14ac:dyDescent="0.2">
      <c r="A40" s="20" t="s">
        <v>349</v>
      </c>
      <c r="B40" s="20" t="s">
        <v>347</v>
      </c>
      <c r="C40" s="20" t="s">
        <v>323</v>
      </c>
      <c r="D40" s="20" t="s">
        <v>328</v>
      </c>
      <c r="E40" s="24"/>
    </row>
    <row r="41" spans="1:5" x14ac:dyDescent="0.2">
      <c r="A41" s="20" t="s">
        <v>350</v>
      </c>
      <c r="B41" s="20" t="s">
        <v>347</v>
      </c>
      <c r="C41" s="20" t="s">
        <v>323</v>
      </c>
      <c r="D41" s="20" t="s">
        <v>330</v>
      </c>
      <c r="E41" s="24"/>
    </row>
    <row r="42" spans="1:5" x14ac:dyDescent="0.2">
      <c r="A42" s="20" t="s">
        <v>351</v>
      </c>
      <c r="B42" s="20" t="s">
        <v>352</v>
      </c>
      <c r="C42" s="20" t="s">
        <v>323</v>
      </c>
      <c r="D42" s="20" t="s">
        <v>324</v>
      </c>
      <c r="E42" s="24"/>
    </row>
    <row r="43" spans="1:5" x14ac:dyDescent="0.2">
      <c r="A43" s="20" t="s">
        <v>353</v>
      </c>
      <c r="B43" s="20" t="s">
        <v>352</v>
      </c>
      <c r="C43" s="20" t="s">
        <v>323</v>
      </c>
      <c r="D43" s="20" t="s">
        <v>326</v>
      </c>
      <c r="E43" s="24"/>
    </row>
    <row r="44" spans="1:5" x14ac:dyDescent="0.2">
      <c r="A44" s="20" t="s">
        <v>354</v>
      </c>
      <c r="B44" s="20" t="s">
        <v>352</v>
      </c>
      <c r="C44" s="20" t="s">
        <v>323</v>
      </c>
      <c r="D44" s="20" t="s">
        <v>328</v>
      </c>
      <c r="E44" s="24"/>
    </row>
    <row r="45" spans="1:5" x14ac:dyDescent="0.2">
      <c r="A45" s="20" t="s">
        <v>355</v>
      </c>
      <c r="B45" s="20" t="s">
        <v>352</v>
      </c>
      <c r="C45" s="20" t="s">
        <v>323</v>
      </c>
      <c r="D45" s="20" t="s">
        <v>330</v>
      </c>
      <c r="E45" s="24"/>
    </row>
    <row r="46" spans="1:5" x14ac:dyDescent="0.2">
      <c r="A46" s="20" t="s">
        <v>356</v>
      </c>
      <c r="B46" s="20" t="s">
        <v>357</v>
      </c>
      <c r="C46" s="20" t="s">
        <v>323</v>
      </c>
      <c r="D46" s="20" t="s">
        <v>324</v>
      </c>
      <c r="E46" s="24"/>
    </row>
    <row r="47" spans="1:5" x14ac:dyDescent="0.2">
      <c r="A47" s="20" t="s">
        <v>358</v>
      </c>
      <c r="B47" s="20" t="s">
        <v>357</v>
      </c>
      <c r="C47" s="20" t="s">
        <v>323</v>
      </c>
      <c r="D47" s="20" t="s">
        <v>326</v>
      </c>
      <c r="E47" s="24"/>
    </row>
    <row r="48" spans="1:5" x14ac:dyDescent="0.2">
      <c r="A48" s="20" t="s">
        <v>359</v>
      </c>
      <c r="B48" s="20" t="s">
        <v>357</v>
      </c>
      <c r="C48" s="20" t="s">
        <v>323</v>
      </c>
      <c r="D48" s="20" t="s">
        <v>328</v>
      </c>
      <c r="E48" s="24"/>
    </row>
    <row r="49" spans="1:5" x14ac:dyDescent="0.2">
      <c r="A49" s="20" t="s">
        <v>360</v>
      </c>
      <c r="B49" s="20" t="s">
        <v>357</v>
      </c>
      <c r="C49" s="20" t="s">
        <v>323</v>
      </c>
      <c r="D49" s="20" t="s">
        <v>330</v>
      </c>
      <c r="E49" s="24"/>
    </row>
    <row r="50" spans="1:5" x14ac:dyDescent="0.2">
      <c r="A50" s="20" t="s">
        <v>361</v>
      </c>
      <c r="B50" s="20" t="s">
        <v>362</v>
      </c>
      <c r="C50" s="20" t="s">
        <v>323</v>
      </c>
      <c r="D50" s="20" t="s">
        <v>363</v>
      </c>
      <c r="E50" s="24"/>
    </row>
    <row r="51" spans="1:5" x14ac:dyDescent="0.2">
      <c r="A51" s="20" t="s">
        <v>364</v>
      </c>
      <c r="B51" s="20" t="s">
        <v>365</v>
      </c>
      <c r="C51" s="20" t="s">
        <v>366</v>
      </c>
      <c r="D51" s="20" t="s">
        <v>363</v>
      </c>
      <c r="E51" s="24"/>
    </row>
    <row r="52" spans="1:5" x14ac:dyDescent="0.2">
      <c r="A52" s="20" t="s">
        <v>367</v>
      </c>
      <c r="B52" s="20" t="s">
        <v>368</v>
      </c>
      <c r="C52" s="20" t="s">
        <v>323</v>
      </c>
      <c r="D52" s="20" t="s">
        <v>369</v>
      </c>
      <c r="E52" s="24"/>
    </row>
    <row r="53" spans="1:5" x14ac:dyDescent="0.2">
      <c r="A53" s="20" t="s">
        <v>370</v>
      </c>
      <c r="B53" s="20" t="s">
        <v>368</v>
      </c>
      <c r="C53" s="20" t="s">
        <v>323</v>
      </c>
      <c r="D53" s="20" t="s">
        <v>371</v>
      </c>
      <c r="E53" s="24"/>
    </row>
    <row r="54" spans="1:5" x14ac:dyDescent="0.2">
      <c r="A54" s="20" t="s">
        <v>372</v>
      </c>
      <c r="B54" s="20" t="s">
        <v>368</v>
      </c>
      <c r="C54" s="20" t="s">
        <v>323</v>
      </c>
      <c r="D54" s="20" t="s">
        <v>373</v>
      </c>
      <c r="E54" s="24"/>
    </row>
    <row r="55" spans="1:5" x14ac:dyDescent="0.2">
      <c r="A55" s="20" t="s">
        <v>374</v>
      </c>
      <c r="B55" s="20" t="s">
        <v>368</v>
      </c>
      <c r="C55" s="20" t="s">
        <v>323</v>
      </c>
      <c r="D55" s="20" t="s">
        <v>375</v>
      </c>
      <c r="E55" s="24"/>
    </row>
    <row r="56" spans="1:5" x14ac:dyDescent="0.2">
      <c r="A56" s="20" t="s">
        <v>376</v>
      </c>
      <c r="B56" s="20" t="s">
        <v>377</v>
      </c>
      <c r="C56" s="20" t="s">
        <v>323</v>
      </c>
      <c r="D56" s="20" t="s">
        <v>369</v>
      </c>
      <c r="E56" s="24"/>
    </row>
    <row r="57" spans="1:5" x14ac:dyDescent="0.2">
      <c r="A57" s="20" t="s">
        <v>378</v>
      </c>
      <c r="B57" s="20" t="s">
        <v>377</v>
      </c>
      <c r="C57" s="20" t="s">
        <v>323</v>
      </c>
      <c r="D57" s="20" t="s">
        <v>371</v>
      </c>
      <c r="E57" s="24"/>
    </row>
    <row r="58" spans="1:5" x14ac:dyDescent="0.2">
      <c r="A58" s="20" t="s">
        <v>379</v>
      </c>
      <c r="B58" s="20" t="s">
        <v>377</v>
      </c>
      <c r="C58" s="20" t="s">
        <v>323</v>
      </c>
      <c r="D58" s="20" t="s">
        <v>373</v>
      </c>
      <c r="E58" s="24"/>
    </row>
    <row r="59" spans="1:5" x14ac:dyDescent="0.2">
      <c r="A59" s="20" t="s">
        <v>380</v>
      </c>
      <c r="B59" s="20" t="s">
        <v>377</v>
      </c>
      <c r="C59" s="20" t="s">
        <v>323</v>
      </c>
      <c r="D59" s="20" t="s">
        <v>375</v>
      </c>
      <c r="E59" s="24"/>
    </row>
    <row r="60" spans="1:5" x14ac:dyDescent="0.2">
      <c r="A60" s="20" t="s">
        <v>381</v>
      </c>
      <c r="B60" s="20" t="s">
        <v>382</v>
      </c>
      <c r="C60" s="20" t="s">
        <v>323</v>
      </c>
      <c r="D60" s="20" t="s">
        <v>369</v>
      </c>
      <c r="E60" s="24"/>
    </row>
    <row r="61" spans="1:5" x14ac:dyDescent="0.2">
      <c r="A61" s="20" t="s">
        <v>383</v>
      </c>
      <c r="B61" s="20" t="s">
        <v>382</v>
      </c>
      <c r="C61" s="20" t="s">
        <v>323</v>
      </c>
      <c r="D61" s="20" t="s">
        <v>371</v>
      </c>
      <c r="E61" s="24"/>
    </row>
    <row r="62" spans="1:5" x14ac:dyDescent="0.2">
      <c r="A62" s="20" t="s">
        <v>384</v>
      </c>
      <c r="B62" s="20" t="s">
        <v>382</v>
      </c>
      <c r="C62" s="20" t="s">
        <v>323</v>
      </c>
      <c r="D62" s="20" t="s">
        <v>373</v>
      </c>
      <c r="E62" s="24"/>
    </row>
    <row r="63" spans="1:5" x14ac:dyDescent="0.2">
      <c r="A63" s="20" t="s">
        <v>385</v>
      </c>
      <c r="B63" s="20" t="s">
        <v>382</v>
      </c>
      <c r="C63" s="20" t="s">
        <v>323</v>
      </c>
      <c r="D63" s="20" t="s">
        <v>375</v>
      </c>
      <c r="E63" s="24"/>
    </row>
    <row r="64" spans="1:5" x14ac:dyDescent="0.2">
      <c r="A64" s="20" t="s">
        <v>386</v>
      </c>
      <c r="B64" s="20" t="s">
        <v>387</v>
      </c>
      <c r="C64" s="20" t="s">
        <v>323</v>
      </c>
      <c r="D64" s="20" t="s">
        <v>369</v>
      </c>
      <c r="E64" s="24"/>
    </row>
    <row r="65" spans="1:5" x14ac:dyDescent="0.2">
      <c r="A65" s="20" t="s">
        <v>388</v>
      </c>
      <c r="B65" s="20" t="s">
        <v>387</v>
      </c>
      <c r="C65" s="20" t="s">
        <v>323</v>
      </c>
      <c r="D65" s="20" t="s">
        <v>389</v>
      </c>
      <c r="E65" s="24"/>
    </row>
    <row r="66" spans="1:5" x14ac:dyDescent="0.2">
      <c r="A66" s="20" t="s">
        <v>390</v>
      </c>
      <c r="B66" s="20" t="s">
        <v>387</v>
      </c>
      <c r="C66" s="20" t="s">
        <v>323</v>
      </c>
      <c r="D66" s="20" t="s">
        <v>375</v>
      </c>
      <c r="E66" s="24"/>
    </row>
    <row r="67" spans="1:5" x14ac:dyDescent="0.2">
      <c r="A67" s="20" t="s">
        <v>391</v>
      </c>
      <c r="B67" s="20" t="s">
        <v>392</v>
      </c>
      <c r="C67" s="20" t="s">
        <v>323</v>
      </c>
      <c r="D67" s="20" t="s">
        <v>369</v>
      </c>
      <c r="E67" s="24"/>
    </row>
    <row r="68" spans="1:5" x14ac:dyDescent="0.2">
      <c r="A68" s="20" t="s">
        <v>393</v>
      </c>
      <c r="B68" s="20" t="s">
        <v>392</v>
      </c>
      <c r="C68" s="20" t="s">
        <v>323</v>
      </c>
      <c r="D68" s="20" t="s">
        <v>371</v>
      </c>
      <c r="E68" s="24"/>
    </row>
    <row r="69" spans="1:5" x14ac:dyDescent="0.2">
      <c r="A69" s="20" t="s">
        <v>394</v>
      </c>
      <c r="B69" s="20" t="s">
        <v>392</v>
      </c>
      <c r="C69" s="20" t="s">
        <v>323</v>
      </c>
      <c r="D69" s="20" t="s">
        <v>373</v>
      </c>
      <c r="E69" s="24"/>
    </row>
    <row r="70" spans="1:5" x14ac:dyDescent="0.2">
      <c r="A70" s="20" t="s">
        <v>395</v>
      </c>
      <c r="B70" s="20" t="s">
        <v>392</v>
      </c>
      <c r="C70" s="20" t="s">
        <v>323</v>
      </c>
      <c r="D70" s="20" t="s">
        <v>375</v>
      </c>
      <c r="E70" s="24"/>
    </row>
    <row r="71" spans="1:5" x14ac:dyDescent="0.2">
      <c r="A71" s="20" t="s">
        <v>396</v>
      </c>
      <c r="B71" s="20" t="s">
        <v>397</v>
      </c>
      <c r="C71" s="20" t="s">
        <v>323</v>
      </c>
      <c r="D71" s="20" t="s">
        <v>369</v>
      </c>
      <c r="E71" s="24"/>
    </row>
    <row r="72" spans="1:5" x14ac:dyDescent="0.2">
      <c r="A72" s="20" t="s">
        <v>398</v>
      </c>
      <c r="B72" s="20" t="s">
        <v>397</v>
      </c>
      <c r="C72" s="20" t="s">
        <v>323</v>
      </c>
      <c r="D72" s="20" t="s">
        <v>371</v>
      </c>
      <c r="E72" s="24"/>
    </row>
    <row r="73" spans="1:5" x14ac:dyDescent="0.2">
      <c r="A73" s="20" t="s">
        <v>399</v>
      </c>
      <c r="B73" s="20" t="s">
        <v>397</v>
      </c>
      <c r="C73" s="20" t="s">
        <v>323</v>
      </c>
      <c r="D73" s="20" t="s">
        <v>373</v>
      </c>
      <c r="E73" s="24"/>
    </row>
    <row r="74" spans="1:5" x14ac:dyDescent="0.2">
      <c r="A74" s="20" t="s">
        <v>400</v>
      </c>
      <c r="B74" s="20" t="s">
        <v>397</v>
      </c>
      <c r="C74" s="20" t="s">
        <v>323</v>
      </c>
      <c r="D74" s="20" t="s">
        <v>375</v>
      </c>
      <c r="E74" s="24"/>
    </row>
    <row r="75" spans="1:5" x14ac:dyDescent="0.2">
      <c r="A75" s="20" t="s">
        <v>401</v>
      </c>
      <c r="B75" s="20" t="s">
        <v>402</v>
      </c>
      <c r="C75" s="20" t="s">
        <v>323</v>
      </c>
      <c r="D75" s="20" t="s">
        <v>369</v>
      </c>
      <c r="E75" s="24"/>
    </row>
    <row r="76" spans="1:5" x14ac:dyDescent="0.2">
      <c r="A76" s="20" t="s">
        <v>403</v>
      </c>
      <c r="B76" s="20" t="s">
        <v>402</v>
      </c>
      <c r="C76" s="20" t="s">
        <v>323</v>
      </c>
      <c r="D76" s="20" t="s">
        <v>371</v>
      </c>
      <c r="E76" s="24"/>
    </row>
    <row r="77" spans="1:5" x14ac:dyDescent="0.2">
      <c r="A77" s="20" t="s">
        <v>404</v>
      </c>
      <c r="B77" s="20" t="s">
        <v>402</v>
      </c>
      <c r="C77" s="20" t="s">
        <v>323</v>
      </c>
      <c r="D77" s="20" t="s">
        <v>373</v>
      </c>
      <c r="E77" s="24"/>
    </row>
    <row r="78" spans="1:5" x14ac:dyDescent="0.2">
      <c r="A78" s="25" t="s">
        <v>405</v>
      </c>
      <c r="B78" s="25" t="s">
        <v>402</v>
      </c>
      <c r="C78" s="25" t="s">
        <v>323</v>
      </c>
      <c r="D78" s="25" t="s">
        <v>375</v>
      </c>
      <c r="E78" s="29"/>
    </row>
    <row r="79" spans="1:5" x14ac:dyDescent="0.2">
      <c r="A79" s="41" t="s">
        <v>194</v>
      </c>
      <c r="B79" s="42"/>
      <c r="C79" s="42"/>
      <c r="D79" s="42"/>
      <c r="E79" s="82"/>
    </row>
    <row r="81" spans="1:5" x14ac:dyDescent="0.2">
      <c r="A81" s="41" t="s">
        <v>406</v>
      </c>
      <c r="B81" s="42"/>
      <c r="C81" s="42"/>
      <c r="D81" s="42"/>
      <c r="E81" s="82"/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BA73-186A-4C61-A106-67761667100E}">
  <dimension ref="A1:L1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D .7: ",tabeltype," regiewerk")</f>
        <v>Bijlage D .7: Invultabel regiewerk</v>
      </c>
    </row>
    <row r="3" spans="1:12" ht="38.25" x14ac:dyDescent="0.2">
      <c r="A3" s="8" t="s">
        <v>293</v>
      </c>
      <c r="B3" s="8" t="s">
        <v>7</v>
      </c>
      <c r="C3" s="8" t="s">
        <v>407</v>
      </c>
      <c r="D3" s="8" t="s">
        <v>26</v>
      </c>
      <c r="E3" s="8" t="s">
        <v>29</v>
      </c>
      <c r="F3" s="8" t="s">
        <v>408</v>
      </c>
      <c r="G3" s="8" t="s">
        <v>409</v>
      </c>
      <c r="H3" s="8" t="s">
        <v>410</v>
      </c>
      <c r="I3" s="8" t="s">
        <v>295</v>
      </c>
      <c r="J3" s="8" t="s">
        <v>411</v>
      </c>
      <c r="K3" s="8" t="s">
        <v>134</v>
      </c>
      <c r="L3" s="8" t="s">
        <v>233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412</v>
      </c>
      <c r="B6" s="15" t="s">
        <v>17</v>
      </c>
      <c r="C6" s="16">
        <f>IF(ISBLANK(B6),0,IF(ISERROR(VALUE(B6)),VLOOKUP(B6,dagsoorttabel1,2,FALSE)*dagenperjaar1,VALUE(B6)))</f>
        <v>12</v>
      </c>
      <c r="D6" s="15" t="s">
        <v>413</v>
      </c>
      <c r="E6" s="15" t="s">
        <v>366</v>
      </c>
      <c r="F6" s="83">
        <v>15</v>
      </c>
      <c r="G6" s="19"/>
      <c r="H6" s="84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2">
      <c r="A7" s="20" t="s">
        <v>414</v>
      </c>
      <c r="B7" s="20" t="s">
        <v>17</v>
      </c>
      <c r="C7" s="21">
        <f>IF(ISBLANK(B7),0,IF(ISERROR(VALUE(B7)),VLOOKUP(B7,dagsoorttabel1,2,FALSE)*dagenperjaar1,VALUE(B7)))</f>
        <v>12</v>
      </c>
      <c r="D7" s="20" t="s">
        <v>415</v>
      </c>
      <c r="E7" s="20" t="s">
        <v>366</v>
      </c>
      <c r="F7" s="85">
        <v>2</v>
      </c>
      <c r="G7" s="24"/>
      <c r="H7" s="86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2">
      <c r="A8" s="25" t="s">
        <v>416</v>
      </c>
      <c r="B8" s="25" t="s">
        <v>22</v>
      </c>
      <c r="C8" s="26">
        <f>IF(ISBLANK(B8),0,IF(ISERROR(VALUE(B8)),VLOOKUP(B8,dagsoorttabel1,2,FALSE)*dagenperjaar1,VALUE(B8)))</f>
        <v>1</v>
      </c>
      <c r="D8" s="25" t="s">
        <v>392</v>
      </c>
      <c r="E8" s="25" t="s">
        <v>323</v>
      </c>
      <c r="F8" s="87">
        <v>7790</v>
      </c>
      <c r="G8" s="29"/>
      <c r="H8" s="88"/>
      <c r="I8" s="29"/>
      <c r="J8" s="40">
        <f>IF(ISBLANK(F8),0,F8)*I8</f>
        <v>0</v>
      </c>
      <c r="K8" s="40">
        <f>C8*J8</f>
        <v>0</v>
      </c>
      <c r="L8" s="40">
        <f>K8/12</f>
        <v>0</v>
      </c>
    </row>
    <row r="9" spans="1:12" x14ac:dyDescent="0.2">
      <c r="A9" s="41" t="s">
        <v>194</v>
      </c>
      <c r="B9" s="42"/>
      <c r="C9" s="42"/>
      <c r="D9" s="42"/>
      <c r="E9" s="42"/>
      <c r="F9" s="42"/>
      <c r="G9" s="42"/>
      <c r="H9" s="42"/>
      <c r="I9" s="42"/>
      <c r="J9" s="42"/>
      <c r="K9" s="44">
        <f>SUM(K6:K8)</f>
        <v>0</v>
      </c>
      <c r="L9" s="89">
        <f>K9/12</f>
        <v>0</v>
      </c>
    </row>
    <row r="11" spans="1:12" x14ac:dyDescent="0.2">
      <c r="A11" s="41" t="s">
        <v>417</v>
      </c>
      <c r="B11" s="42"/>
      <c r="C11" s="42"/>
      <c r="D11" s="42"/>
      <c r="E11" s="42"/>
      <c r="F11" s="42"/>
      <c r="G11" s="42"/>
      <c r="H11" s="42"/>
      <c r="I11" s="42"/>
      <c r="J11" s="42"/>
      <c r="K11" s="44">
        <f>prijsjaarregie1</f>
        <v>0</v>
      </c>
      <c r="L11" s="89">
        <f>K11/12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&amp;LGemeente Velsen EA                                          &amp;ROpmaakdatum: 29-09-2021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414</vt:i4>
      </vt:variant>
    </vt:vector>
  </HeadingPairs>
  <TitlesOfParts>
    <vt:vector size="426" baseType="lpstr">
      <vt:lpstr>Omreken</vt:lpstr>
      <vt:lpstr>Categorienormen</vt:lpstr>
      <vt:lpstr>Regulier werk</vt:lpstr>
      <vt:lpstr>Objectinformatie</vt:lpstr>
      <vt:lpstr>Objecten</vt:lpstr>
      <vt:lpstr>Niet-meewerkende objectleiding</vt:lpstr>
      <vt:lpstr>Totaalblad Objecten</vt:lpstr>
      <vt:lpstr>Afroep incidenteel</vt:lpstr>
      <vt:lpstr>Regiewerk</vt:lpstr>
      <vt:lpstr>Glas</vt:lpstr>
      <vt:lpstr>Glas per locatie</vt:lpstr>
      <vt:lpstr>Totaal</vt:lpstr>
      <vt:lpstr>'Afroep incidenteel'!Afdruktitels</vt:lpstr>
      <vt:lpstr>Categorienormen!Afdruktitels</vt:lpstr>
      <vt:lpstr>Glas!Afdruktitels</vt:lpstr>
      <vt:lpstr>'Glas per locatie'!Afdruktitels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Totaal!Afdruktitels</vt:lpstr>
      <vt:lpstr>'Totaalblad Objecten'!Afdruktitels</vt:lpstr>
      <vt:lpstr>catdw_1_AHB_1</vt:lpstr>
      <vt:lpstr>catdw_1_AHV_51</vt:lpstr>
      <vt:lpstr>catdw_1_AZV_12</vt:lpstr>
      <vt:lpstr>catdw_1_BHB_1</vt:lpstr>
      <vt:lpstr>catdw_1_BHV_51</vt:lpstr>
      <vt:lpstr>catdw_1_BZB_1</vt:lpstr>
      <vt:lpstr>catdw_1_BZV_51</vt:lpstr>
      <vt:lpstr>catdw_1_DHB_1</vt:lpstr>
      <vt:lpstr>catdw_1_DHV_51</vt:lpstr>
      <vt:lpstr>catdw_1_EHB_1</vt:lpstr>
      <vt:lpstr>catdw_1_EHV_51</vt:lpstr>
      <vt:lpstr>catdw_1_EZB_1</vt:lpstr>
      <vt:lpstr>catdw_1_EZV_51</vt:lpstr>
      <vt:lpstr>catdw_1_IHB_1</vt:lpstr>
      <vt:lpstr>catdw_1_IHV_51</vt:lpstr>
      <vt:lpstr>catdw_1_KHB_1</vt:lpstr>
      <vt:lpstr>catdw_1_KHV_51</vt:lpstr>
      <vt:lpstr>catdw_1_OHB_1</vt:lpstr>
      <vt:lpstr>catdw_1_OHV_51</vt:lpstr>
      <vt:lpstr>catdw_1_OZB_1</vt:lpstr>
      <vt:lpstr>catdw_1_OZV_51</vt:lpstr>
      <vt:lpstr>catdw_1_PHB_1</vt:lpstr>
      <vt:lpstr>catdw_1_PHV_51</vt:lpstr>
      <vt:lpstr>catdw_1_PZB_1</vt:lpstr>
      <vt:lpstr>catdw_1_PZV_51</vt:lpstr>
      <vt:lpstr>catdw_1_RHB_1</vt:lpstr>
      <vt:lpstr>catdw_1_RHV_51</vt:lpstr>
      <vt:lpstr>catdw_1_RZB_1</vt:lpstr>
      <vt:lpstr>catdw_1_RZV_51</vt:lpstr>
      <vt:lpstr>catdw_1_SHB_1</vt:lpstr>
      <vt:lpstr>catdw_1_SHV_30</vt:lpstr>
      <vt:lpstr>catdw_1_SHV_51</vt:lpstr>
      <vt:lpstr>catdw_1_THB_1</vt:lpstr>
      <vt:lpstr>catdw_1_THV_51</vt:lpstr>
      <vt:lpstr>catdw_1_TZB_1</vt:lpstr>
      <vt:lpstr>catdw_1_TZV_51</vt:lpstr>
      <vt:lpstr>catdw_1_VHB_1</vt:lpstr>
      <vt:lpstr>catdw_1_VHV_51</vt:lpstr>
      <vt:lpstr>catdw_1_VZB_1</vt:lpstr>
      <vt:lpstr>catdw_1_VZV_51</vt:lpstr>
      <vt:lpstr>catdw_1_WZB_1</vt:lpstr>
      <vt:lpstr>catdw_1_WZV_51</vt:lpstr>
      <vt:lpstr>catdw_1_XBB_1</vt:lpstr>
      <vt:lpstr>catdw_3_WBZB_1</vt:lpstr>
      <vt:lpstr>catdw_3_WOZB_1</vt:lpstr>
      <vt:lpstr>catdw_3_WSHB_1</vt:lpstr>
      <vt:lpstr>catfd_1_AHB_1</vt:lpstr>
      <vt:lpstr>catfd_1_AHV_51</vt:lpstr>
      <vt:lpstr>catfd_1_AZV_12</vt:lpstr>
      <vt:lpstr>catfd_1_BHB_1</vt:lpstr>
      <vt:lpstr>catfd_1_BHV_51</vt:lpstr>
      <vt:lpstr>catfd_1_BZB_1</vt:lpstr>
      <vt:lpstr>catfd_1_BZV_51</vt:lpstr>
      <vt:lpstr>catfd_1_DHB_1</vt:lpstr>
      <vt:lpstr>catfd_1_DHV_51</vt:lpstr>
      <vt:lpstr>catfd_1_EHB_1</vt:lpstr>
      <vt:lpstr>catfd_1_EHV_51</vt:lpstr>
      <vt:lpstr>catfd_1_EZB_1</vt:lpstr>
      <vt:lpstr>catfd_1_EZV_51</vt:lpstr>
      <vt:lpstr>catfd_1_IHB_1</vt:lpstr>
      <vt:lpstr>catfd_1_IHV_51</vt:lpstr>
      <vt:lpstr>catfd_1_KHB_1</vt:lpstr>
      <vt:lpstr>catfd_1_KHV_51</vt:lpstr>
      <vt:lpstr>catfd_1_OHB_1</vt:lpstr>
      <vt:lpstr>catfd_1_OHV_51</vt:lpstr>
      <vt:lpstr>catfd_1_OZB_1</vt:lpstr>
      <vt:lpstr>catfd_1_OZV_51</vt:lpstr>
      <vt:lpstr>catfd_1_PHB_1</vt:lpstr>
      <vt:lpstr>catfd_1_PHV_51</vt:lpstr>
      <vt:lpstr>catfd_1_PZB_1</vt:lpstr>
      <vt:lpstr>catfd_1_PZV_51</vt:lpstr>
      <vt:lpstr>catfd_1_RHB_1</vt:lpstr>
      <vt:lpstr>catfd_1_RHV_51</vt:lpstr>
      <vt:lpstr>catfd_1_RZB_1</vt:lpstr>
      <vt:lpstr>catfd_1_RZV_51</vt:lpstr>
      <vt:lpstr>catfd_1_SHB_1</vt:lpstr>
      <vt:lpstr>catfd_1_SHV_30</vt:lpstr>
      <vt:lpstr>catfd_1_SHV_51</vt:lpstr>
      <vt:lpstr>catfd_1_THB_1</vt:lpstr>
      <vt:lpstr>catfd_1_THV_51</vt:lpstr>
      <vt:lpstr>catfd_1_TZB_1</vt:lpstr>
      <vt:lpstr>catfd_1_TZV_51</vt:lpstr>
      <vt:lpstr>catfd_1_VHB_1</vt:lpstr>
      <vt:lpstr>catfd_1_VHV_51</vt:lpstr>
      <vt:lpstr>catfd_1_VZB_1</vt:lpstr>
      <vt:lpstr>catfd_1_VZV_51</vt:lpstr>
      <vt:lpstr>catfd_1_WZB_1</vt:lpstr>
      <vt:lpstr>catfd_1_WZV_51</vt:lpstr>
      <vt:lpstr>catfd_1_XBB_1</vt:lpstr>
      <vt:lpstr>catfd_3_WBZB_1</vt:lpstr>
      <vt:lpstr>catfd_3_WOZB_1</vt:lpstr>
      <vt:lpstr>catfd_3_WSHB_1</vt:lpstr>
      <vt:lpstr>catpn_1_AHB_1</vt:lpstr>
      <vt:lpstr>catpn_1_AHV_51</vt:lpstr>
      <vt:lpstr>catpn_1_AZV_12</vt:lpstr>
      <vt:lpstr>catpn_1_BHB_1</vt:lpstr>
      <vt:lpstr>catpn_1_BHV_51</vt:lpstr>
      <vt:lpstr>catpn_1_BZB_1</vt:lpstr>
      <vt:lpstr>catpn_1_BZV_51</vt:lpstr>
      <vt:lpstr>catpn_1_DHB_1</vt:lpstr>
      <vt:lpstr>catpn_1_DHV_51</vt:lpstr>
      <vt:lpstr>catpn_1_EHB_1</vt:lpstr>
      <vt:lpstr>catpn_1_EHV_51</vt:lpstr>
      <vt:lpstr>catpn_1_EZB_1</vt:lpstr>
      <vt:lpstr>catpn_1_EZV_51</vt:lpstr>
      <vt:lpstr>catpn_1_IHB_1</vt:lpstr>
      <vt:lpstr>catpn_1_IHV_51</vt:lpstr>
      <vt:lpstr>catpn_1_KHB_1</vt:lpstr>
      <vt:lpstr>catpn_1_KHV_51</vt:lpstr>
      <vt:lpstr>catpn_1_OHB_1</vt:lpstr>
      <vt:lpstr>catpn_1_OHV_51</vt:lpstr>
      <vt:lpstr>catpn_1_OZB_1</vt:lpstr>
      <vt:lpstr>catpn_1_OZV_51</vt:lpstr>
      <vt:lpstr>catpn_1_PHB_1</vt:lpstr>
      <vt:lpstr>catpn_1_PHV_51</vt:lpstr>
      <vt:lpstr>catpn_1_PZB_1</vt:lpstr>
      <vt:lpstr>catpn_1_PZV_51</vt:lpstr>
      <vt:lpstr>catpn_1_RHB_1</vt:lpstr>
      <vt:lpstr>catpn_1_RHV_51</vt:lpstr>
      <vt:lpstr>catpn_1_RZB_1</vt:lpstr>
      <vt:lpstr>catpn_1_RZV_51</vt:lpstr>
      <vt:lpstr>catpn_1_SHB_1</vt:lpstr>
      <vt:lpstr>catpn_1_SHV_30</vt:lpstr>
      <vt:lpstr>catpn_1_SHV_51</vt:lpstr>
      <vt:lpstr>catpn_1_THB_1</vt:lpstr>
      <vt:lpstr>catpn_1_THV_51</vt:lpstr>
      <vt:lpstr>catpn_1_TZB_1</vt:lpstr>
      <vt:lpstr>catpn_1_TZV_51</vt:lpstr>
      <vt:lpstr>catpn_1_VHB_1</vt:lpstr>
      <vt:lpstr>catpn_1_VHV_51</vt:lpstr>
      <vt:lpstr>catpn_1_VZB_1</vt:lpstr>
      <vt:lpstr>catpn_1_VZV_51</vt:lpstr>
      <vt:lpstr>catpn_1_WZB_1</vt:lpstr>
      <vt:lpstr>catpn_1_WZV_51</vt:lpstr>
      <vt:lpstr>catpn_1_XBB_1</vt:lpstr>
      <vt:lpstr>catpn_3_WBZB_1</vt:lpstr>
      <vt:lpstr>catpn_3_WOZB_1</vt:lpstr>
      <vt:lpstr>catpn_3_WSHB_1</vt:lpstr>
      <vt:lpstr>cattf_1_AHB_1</vt:lpstr>
      <vt:lpstr>cattf_1_AHV_51</vt:lpstr>
      <vt:lpstr>cattf_1_AZV_12</vt:lpstr>
      <vt:lpstr>cattf_1_BHB_1</vt:lpstr>
      <vt:lpstr>cattf_1_BHV_51</vt:lpstr>
      <vt:lpstr>cattf_1_BZB_1</vt:lpstr>
      <vt:lpstr>cattf_1_BZV_51</vt:lpstr>
      <vt:lpstr>cattf_1_DHB_1</vt:lpstr>
      <vt:lpstr>cattf_1_DHV_51</vt:lpstr>
      <vt:lpstr>cattf_1_EHB_1</vt:lpstr>
      <vt:lpstr>cattf_1_EHV_51</vt:lpstr>
      <vt:lpstr>cattf_1_EZB_1</vt:lpstr>
      <vt:lpstr>cattf_1_EZV_51</vt:lpstr>
      <vt:lpstr>cattf_1_IHB_1</vt:lpstr>
      <vt:lpstr>cattf_1_IHV_51</vt:lpstr>
      <vt:lpstr>cattf_1_KHB_1</vt:lpstr>
      <vt:lpstr>cattf_1_KHV_51</vt:lpstr>
      <vt:lpstr>cattf_1_OHB_1</vt:lpstr>
      <vt:lpstr>cattf_1_OHV_51</vt:lpstr>
      <vt:lpstr>cattf_1_OZB_1</vt:lpstr>
      <vt:lpstr>cattf_1_OZV_51</vt:lpstr>
      <vt:lpstr>cattf_1_PHB_1</vt:lpstr>
      <vt:lpstr>cattf_1_PHV_51</vt:lpstr>
      <vt:lpstr>cattf_1_PZB_1</vt:lpstr>
      <vt:lpstr>cattf_1_PZV_51</vt:lpstr>
      <vt:lpstr>cattf_1_RHB_1</vt:lpstr>
      <vt:lpstr>cattf_1_RHV_51</vt:lpstr>
      <vt:lpstr>cattf_1_RZB_1</vt:lpstr>
      <vt:lpstr>cattf_1_RZV_51</vt:lpstr>
      <vt:lpstr>cattf_1_SHB_1</vt:lpstr>
      <vt:lpstr>cattf_1_SHV_30</vt:lpstr>
      <vt:lpstr>cattf_1_SHV_51</vt:lpstr>
      <vt:lpstr>cattf_1_THB_1</vt:lpstr>
      <vt:lpstr>cattf_1_THV_51</vt:lpstr>
      <vt:lpstr>cattf_1_TZB_1</vt:lpstr>
      <vt:lpstr>cattf_1_TZV_51</vt:lpstr>
      <vt:lpstr>cattf_1_VHB_1</vt:lpstr>
      <vt:lpstr>cattf_1_VHV_51</vt:lpstr>
      <vt:lpstr>cattf_1_VZB_1</vt:lpstr>
      <vt:lpstr>cattf_1_VZV_51</vt:lpstr>
      <vt:lpstr>cattf_1_WZB_1</vt:lpstr>
      <vt:lpstr>cattf_1_WZV_51</vt:lpstr>
      <vt:lpstr>cattf_1_XBB_1</vt:lpstr>
      <vt:lpstr>cattf_3_WBZB_1</vt:lpstr>
      <vt:lpstr>cattf_3_WOZB_1</vt:lpstr>
      <vt:lpstr>cattf_3_WSHB_1</vt:lpstr>
      <vt:lpstr>dagenperjaar1</vt:lpstr>
      <vt:lpstr>dagenperweek1</vt:lpstr>
      <vt:lpstr>dagsoorttabel1</vt:lpstr>
      <vt:lpstr>dagwerk14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dagwerk48</vt:lpstr>
      <vt:lpstr>dagwerk49</vt:lpstr>
      <vt:lpstr>dagwerk50</vt:lpstr>
      <vt:lpstr>dagwerktabel1</vt:lpstr>
      <vt:lpstr>dagwerktabel3</vt:lpstr>
      <vt:lpstr>gemuurtarief1</vt:lpstr>
      <vt:lpstr>gemuurtarief3</vt:lpstr>
      <vt:lpstr>kengetaltabel1</vt:lpstr>
      <vt:lpstr>kengetaltabel3</vt:lpstr>
      <vt:lpstr>object1_opptabel1</vt:lpstr>
      <vt:lpstr>object1_opptabel3</vt:lpstr>
      <vt:lpstr>object2_opptabel1</vt:lpstr>
      <vt:lpstr>object2_opptabel3</vt:lpstr>
      <vt:lpstr>object3_opptabel1</vt:lpstr>
      <vt:lpstr>object3_opptabel3</vt:lpstr>
      <vt:lpstr>object4_opptabel1</vt:lpstr>
      <vt:lpstr>object4_opptabel3</vt:lpstr>
      <vt:lpstr>object5_opptabel1</vt:lpstr>
      <vt:lpstr>object5_opptabel3</vt:lpstr>
      <vt:lpstr>object6_opptabel1</vt:lpstr>
      <vt:lpstr>object6_opptabel3</vt:lpstr>
      <vt:lpstr>object7_opptabel1</vt:lpstr>
      <vt:lpstr>object7_opptabel3</vt:lpstr>
      <vt:lpstr>objectprijs1_1</vt:lpstr>
      <vt:lpstr>objectprijs2_1</vt:lpstr>
      <vt:lpstr>objectprijs2_3</vt:lpstr>
      <vt:lpstr>objectprijs3_1</vt:lpstr>
      <vt:lpstr>objectprijs4_1</vt:lpstr>
      <vt:lpstr>objectprijs5_1</vt:lpstr>
      <vt:lpstr>objectprijs6_1</vt:lpstr>
      <vt:lpstr>objectprijs7_1</vt:lpstr>
      <vt:lpstr>objecturen1_1</vt:lpstr>
      <vt:lpstr>objecturen2_1</vt:lpstr>
      <vt:lpstr>objecturen2_3</vt:lpstr>
      <vt:lpstr>objecturen3_1</vt:lpstr>
      <vt:lpstr>objecturen4_1</vt:lpstr>
      <vt:lpstr>objecturen5_1</vt:lpstr>
      <vt:lpstr>objecturen6_1</vt:lpstr>
      <vt:lpstr>objecturen7_1</vt:lpstr>
      <vt:lpstr>objecturenhf1_1</vt:lpstr>
      <vt:lpstr>objecturenhf2_1</vt:lpstr>
      <vt:lpstr>objecturenhf2_3</vt:lpstr>
      <vt:lpstr>objecturenhf3_1</vt:lpstr>
      <vt:lpstr>objecturenhf4_1</vt:lpstr>
      <vt:lpstr>objecturenhf5_1</vt:lpstr>
      <vt:lpstr>objecturenhf6_1</vt:lpstr>
      <vt:lpstr>objecturenhf7_1</vt:lpstr>
      <vt:lpstr>prijsdag1</vt:lpstr>
      <vt:lpstr>prijsdag3</vt:lpstr>
      <vt:lpstr>prijsjaar</vt:lpstr>
      <vt:lpstr>prijsjaar1</vt:lpstr>
      <vt:lpstr>prijsjaar3</vt:lpstr>
      <vt:lpstr>prijsjaarglas</vt:lpstr>
      <vt:lpstr>prijsjaarglas1</vt:lpstr>
      <vt:lpstr>prijsjaarnietmeewerkend</vt:lpstr>
      <vt:lpstr>prijsjaarregie</vt:lpstr>
      <vt:lpstr>prijsjaarregie1</vt:lpstr>
      <vt:lpstr>prijsjaartotaal</vt:lpstr>
      <vt:lpstr>prijsjaartotaal1</vt:lpstr>
      <vt:lpstr>prijsjaartotaal3</vt:lpstr>
      <vt:lpstr>prijsjaartotaaloverzicht</vt:lpstr>
      <vt:lpstr>prijsmaandtotaal1</vt:lpstr>
      <vt:lpstr>prijsmaandtotaal3</vt:lpstr>
      <vt:lpstr>prodnorm14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prodnorm48</vt:lpstr>
      <vt:lpstr>prodnorm49</vt:lpstr>
      <vt:lpstr>prodnorm50</vt:lpstr>
      <vt:lpstr>taakfreqtabel1</vt:lpstr>
      <vt:lpstr>taakfreqtabel3</vt:lpstr>
      <vt:lpstr>tabeltype</vt:lpstr>
      <vt:lpstr>tarieftabel1</vt:lpstr>
      <vt:lpstr>tarieftabel3</vt:lpstr>
      <vt:lpstr>tzpjt1</vt:lpstr>
      <vt:lpstr>tzpjt1_1</vt:lpstr>
      <vt:lpstr>tzpjt2_1</vt:lpstr>
      <vt:lpstr>tzpjt2_3</vt:lpstr>
      <vt:lpstr>tzpjt3</vt:lpstr>
      <vt:lpstr>tzpjt3_1</vt:lpstr>
      <vt:lpstr>tzpjt4_1</vt:lpstr>
      <vt:lpstr>tzpjt5_1</vt:lpstr>
      <vt:lpstr>tzpjt6_1</vt:lpstr>
      <vt:lpstr>tzpjt7_1</vt:lpstr>
      <vt:lpstr>tzpmt1</vt:lpstr>
      <vt:lpstr>tzpmt1_1</vt:lpstr>
      <vt:lpstr>tzpmt2_1</vt:lpstr>
      <vt:lpstr>tzpmt2_3</vt:lpstr>
      <vt:lpstr>tzpmt3</vt:lpstr>
      <vt:lpstr>tzpmt3_1</vt:lpstr>
      <vt:lpstr>tzpmt4_1</vt:lpstr>
      <vt:lpstr>tzpmt5_1</vt:lpstr>
      <vt:lpstr>tzpmt6_1</vt:lpstr>
      <vt:lpstr>tzpmt7_1</vt:lpstr>
      <vt:lpstr>tzujt1</vt:lpstr>
      <vt:lpstr>tzujt1_1</vt:lpstr>
      <vt:lpstr>tzujt2_1</vt:lpstr>
      <vt:lpstr>tzujt2_3</vt:lpstr>
      <vt:lpstr>tzujt3</vt:lpstr>
      <vt:lpstr>tzujt3_1</vt:lpstr>
      <vt:lpstr>tzujt4_1</vt:lpstr>
      <vt:lpstr>tzujt5_1</vt:lpstr>
      <vt:lpstr>tzujt6_1</vt:lpstr>
      <vt:lpstr>tzujt7_1</vt:lpstr>
      <vt:lpstr>urendag1</vt:lpstr>
      <vt:lpstr>urendag3</vt:lpstr>
      <vt:lpstr>urenjaar</vt:lpstr>
      <vt:lpstr>urenjaar1</vt:lpstr>
      <vt:lpstr>urenjaar3</vt:lpstr>
      <vt:lpstr>urenjaarnietmeewerkend</vt:lpstr>
      <vt:lpstr>urenjaartotaal</vt:lpstr>
      <vt:lpstr>urenjaartotaal1</vt:lpstr>
      <vt:lpstr>urenjaartotaal3</vt:lpstr>
      <vt:lpstr>urenjaartotaalhf</vt:lpstr>
      <vt:lpstr>urenjaartotaalhf1</vt:lpstr>
      <vt:lpstr>urenjaartotaalhf3</vt:lpstr>
      <vt:lpstr>urenjaartotaaloverzicht</vt:lpstr>
      <vt:lpstr>urenjaartotaaloverzichthf</vt:lpstr>
      <vt:lpstr>uurfactortabel1</vt:lpstr>
      <vt:lpstr>uurfactortabel3</vt:lpstr>
      <vt:lpstr>uurtarief14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uurtarief48</vt:lpstr>
      <vt:lpstr>uurtarief49</vt:lpstr>
      <vt:lpstr>uurtarief50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2021-09-29T14:41:25Z</dcterms:created>
  <dcterms:modified xsi:type="dcterms:W3CDTF">2021-09-29T14:44:50Z</dcterms:modified>
</cp:coreProperties>
</file>