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ingenionnl.sharepoint.com/sites/SP-Projecten/Shared Documents/Konot/EA MFP (2021)/Werkdocumenten/"/>
    </mc:Choice>
  </mc:AlternateContent>
  <xr:revisionPtr revIDLastSave="2267" documentId="8_{7AA72634-F3E7-4927-B340-2518F1E90819}" xr6:coauthVersionLast="46" xr6:coauthVersionMax="46" xr10:uidLastSave="{1647926A-A3F2-476A-803A-21828A47D617}"/>
  <bookViews>
    <workbookView xWindow="28692" yWindow="-108" windowWidth="29016" windowHeight="15816" xr2:uid="{5388CAA8-65CB-4AAB-BEFF-7D99F3197186}"/>
  </bookViews>
  <sheets>
    <sheet name="Toelichting" sheetId="2" r:id="rId1"/>
    <sheet name="SKOLO" sheetId="1" r:id="rId2"/>
    <sheet name="KONOT" sheetId="5" r:id="rId3"/>
    <sheet name="OPOHvT" sheetId="4" r:id="rId4"/>
    <sheet name="Keender"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2" i="4" l="1"/>
  <c r="J61" i="4"/>
  <c r="J71" i="3"/>
  <c r="J70" i="3"/>
  <c r="J84" i="5"/>
  <c r="J83" i="5"/>
  <c r="J59" i="1"/>
  <c r="J60" i="1"/>
  <c r="N9" i="1"/>
  <c r="N34" i="5" l="1"/>
  <c r="M34" i="5"/>
  <c r="L34" i="5"/>
  <c r="K33" i="5"/>
  <c r="J33" i="5"/>
  <c r="K32" i="5"/>
  <c r="J32" i="5"/>
  <c r="K31" i="5"/>
  <c r="J31" i="5"/>
  <c r="K30" i="5"/>
  <c r="J30" i="5"/>
  <c r="K29" i="5"/>
  <c r="J29" i="5"/>
  <c r="K28" i="5"/>
  <c r="J28" i="5"/>
  <c r="K27" i="5"/>
  <c r="J27" i="5"/>
  <c r="K26" i="5"/>
  <c r="J26" i="5"/>
  <c r="K25" i="5"/>
  <c r="J25" i="5"/>
  <c r="K24" i="5"/>
  <c r="J24" i="5"/>
  <c r="K23" i="5"/>
  <c r="J23" i="5"/>
  <c r="K22" i="5"/>
  <c r="J22" i="5"/>
  <c r="K21" i="5"/>
  <c r="J21" i="5"/>
  <c r="K20" i="5"/>
  <c r="J20" i="5"/>
  <c r="K19" i="5"/>
  <c r="J19" i="5"/>
  <c r="K18" i="5"/>
  <c r="J18" i="5"/>
  <c r="K17" i="5"/>
  <c r="J17" i="5"/>
  <c r="K16" i="5"/>
  <c r="J16" i="5"/>
  <c r="K15" i="5"/>
  <c r="J15" i="5"/>
  <c r="K14" i="5"/>
  <c r="J14" i="5"/>
  <c r="K13" i="5"/>
  <c r="J13" i="5"/>
  <c r="K12" i="5"/>
  <c r="J12" i="5"/>
  <c r="K11" i="5"/>
  <c r="J11" i="5"/>
  <c r="K10" i="5"/>
  <c r="J10" i="5"/>
  <c r="K9" i="5"/>
  <c r="J9" i="5"/>
  <c r="K8" i="5"/>
  <c r="J8" i="5"/>
  <c r="K7" i="5"/>
  <c r="J7" i="5"/>
  <c r="K6" i="5"/>
  <c r="J6" i="5"/>
  <c r="K5" i="5"/>
  <c r="J5" i="5"/>
  <c r="K4" i="5"/>
  <c r="J4" i="5"/>
  <c r="K3" i="5"/>
  <c r="J3" i="5"/>
  <c r="K2" i="5"/>
  <c r="J2" i="5"/>
  <c r="N12" i="4"/>
  <c r="M12" i="4"/>
  <c r="L12" i="4"/>
  <c r="K11" i="4"/>
  <c r="J11" i="4"/>
  <c r="K10" i="4"/>
  <c r="J10" i="4"/>
  <c r="K9" i="4"/>
  <c r="J9" i="4"/>
  <c r="K8" i="4"/>
  <c r="J8" i="4"/>
  <c r="K7" i="4"/>
  <c r="J7" i="4"/>
  <c r="K6" i="4"/>
  <c r="J6" i="4"/>
  <c r="K5" i="4"/>
  <c r="J5" i="4"/>
  <c r="K4" i="4"/>
  <c r="J4" i="4"/>
  <c r="K3" i="4"/>
  <c r="J3" i="4"/>
  <c r="K2" i="4"/>
  <c r="J2" i="4"/>
  <c r="N21" i="3"/>
  <c r="M21" i="3"/>
  <c r="L21" i="3"/>
  <c r="K20" i="3"/>
  <c r="J20" i="3"/>
  <c r="K19" i="3"/>
  <c r="J19" i="3"/>
  <c r="K18" i="3"/>
  <c r="J18" i="3"/>
  <c r="K17" i="3"/>
  <c r="J17" i="3"/>
  <c r="K16" i="3"/>
  <c r="J16" i="3"/>
  <c r="K15" i="3"/>
  <c r="J15" i="3"/>
  <c r="K14" i="3"/>
  <c r="J14" i="3"/>
  <c r="K13" i="3"/>
  <c r="J13" i="3"/>
  <c r="K12" i="3"/>
  <c r="J12" i="3"/>
  <c r="K11" i="3"/>
  <c r="J11" i="3"/>
  <c r="K10" i="3"/>
  <c r="J10" i="3"/>
  <c r="K9" i="3"/>
  <c r="J9" i="3"/>
  <c r="K8" i="3"/>
  <c r="J8" i="3"/>
  <c r="K7" i="3"/>
  <c r="J7" i="3"/>
  <c r="K6" i="3"/>
  <c r="J6" i="3"/>
  <c r="K5" i="3"/>
  <c r="J5" i="3"/>
  <c r="K4" i="3"/>
  <c r="J4" i="3"/>
  <c r="K3" i="3"/>
  <c r="J3" i="3"/>
  <c r="K2" i="3"/>
  <c r="J2" i="3"/>
  <c r="J6" i="1"/>
  <c r="K6" i="1"/>
  <c r="H3" i="3" l="1"/>
  <c r="V3" i="3" s="1"/>
  <c r="H3" i="4"/>
  <c r="U3" i="4" s="1"/>
  <c r="J12" i="4"/>
  <c r="G7" i="5"/>
  <c r="T7" i="5" s="1"/>
  <c r="J21" i="3"/>
  <c r="G3" i="3"/>
  <c r="T3" i="3" s="1"/>
  <c r="H5" i="4"/>
  <c r="U5" i="4" s="1"/>
  <c r="G2" i="4"/>
  <c r="P2" i="4" s="1"/>
  <c r="G4" i="4"/>
  <c r="T4" i="4" s="1"/>
  <c r="H8" i="4"/>
  <c r="R8" i="4" s="1"/>
  <c r="H10" i="4"/>
  <c r="R10" i="4" s="1"/>
  <c r="H6" i="4"/>
  <c r="U6" i="4" s="1"/>
  <c r="G7" i="4"/>
  <c r="T7" i="4" s="1"/>
  <c r="H7" i="5"/>
  <c r="R7" i="5" s="1"/>
  <c r="H8" i="5"/>
  <c r="R8" i="5" s="1"/>
  <c r="K34" i="5"/>
  <c r="H4" i="5"/>
  <c r="R4" i="5" s="1"/>
  <c r="G5" i="5"/>
  <c r="T5" i="5" s="1"/>
  <c r="G10" i="5"/>
  <c r="P10" i="5" s="1"/>
  <c r="H9" i="5"/>
  <c r="U9" i="5" s="1"/>
  <c r="H5" i="5"/>
  <c r="R5" i="5" s="1"/>
  <c r="G2" i="5"/>
  <c r="S2" i="5" s="1"/>
  <c r="G9" i="5"/>
  <c r="T9" i="5" s="1"/>
  <c r="H2" i="5"/>
  <c r="R2" i="5" s="1"/>
  <c r="H3" i="5"/>
  <c r="R3" i="5" s="1"/>
  <c r="H6" i="5"/>
  <c r="R6" i="5" s="1"/>
  <c r="H10" i="5"/>
  <c r="V10" i="5" s="1"/>
  <c r="J34" i="5"/>
  <c r="G4" i="5"/>
  <c r="G3" i="5"/>
  <c r="G6" i="5"/>
  <c r="G8" i="5"/>
  <c r="H11" i="5"/>
  <c r="G11" i="5"/>
  <c r="H12" i="5"/>
  <c r="G12" i="5"/>
  <c r="H13" i="5"/>
  <c r="G13" i="5"/>
  <c r="H14" i="5"/>
  <c r="G14" i="5"/>
  <c r="H15" i="5"/>
  <c r="G15" i="5"/>
  <c r="H16" i="5"/>
  <c r="G16" i="5"/>
  <c r="H17" i="5"/>
  <c r="G17" i="5"/>
  <c r="H18" i="5"/>
  <c r="G18" i="5"/>
  <c r="H19" i="5"/>
  <c r="G19" i="5"/>
  <c r="H20" i="5"/>
  <c r="G20" i="5"/>
  <c r="H21" i="5"/>
  <c r="G21" i="5"/>
  <c r="H22" i="5"/>
  <c r="G22" i="5"/>
  <c r="H23" i="5"/>
  <c r="G23" i="5"/>
  <c r="H24" i="5"/>
  <c r="G24" i="5"/>
  <c r="H25" i="5"/>
  <c r="G25" i="5"/>
  <c r="H26" i="5"/>
  <c r="G26" i="5"/>
  <c r="H27" i="5"/>
  <c r="G27" i="5"/>
  <c r="H28" i="5"/>
  <c r="G28" i="5"/>
  <c r="H29" i="5"/>
  <c r="G29" i="5"/>
  <c r="H30" i="5"/>
  <c r="G30" i="5"/>
  <c r="H31" i="5"/>
  <c r="G31" i="5"/>
  <c r="H32" i="5"/>
  <c r="G32" i="5"/>
  <c r="H33" i="5"/>
  <c r="G33" i="5"/>
  <c r="H9" i="4"/>
  <c r="Q9" i="4" s="1"/>
  <c r="G11" i="4"/>
  <c r="P11" i="4" s="1"/>
  <c r="Q3" i="4"/>
  <c r="R3" i="4"/>
  <c r="G3" i="4"/>
  <c r="G5" i="4"/>
  <c r="G6" i="4"/>
  <c r="G8" i="4"/>
  <c r="G9" i="4"/>
  <c r="G10" i="4"/>
  <c r="H2" i="4"/>
  <c r="H4" i="4"/>
  <c r="H7" i="4"/>
  <c r="H11" i="4"/>
  <c r="K12" i="4"/>
  <c r="G2" i="3"/>
  <c r="K21" i="3"/>
  <c r="H2" i="3"/>
  <c r="H4" i="3"/>
  <c r="G4" i="3"/>
  <c r="H5" i="3"/>
  <c r="G5" i="3"/>
  <c r="H6" i="3"/>
  <c r="G6" i="3"/>
  <c r="H7" i="3"/>
  <c r="G7" i="3"/>
  <c r="H8" i="3"/>
  <c r="G8" i="3"/>
  <c r="H9" i="3"/>
  <c r="G9" i="3"/>
  <c r="H10" i="3"/>
  <c r="G10" i="3"/>
  <c r="H11" i="3"/>
  <c r="G11" i="3"/>
  <c r="H12" i="3"/>
  <c r="G12" i="3"/>
  <c r="H13" i="3"/>
  <c r="G13" i="3"/>
  <c r="H14" i="3"/>
  <c r="G14" i="3"/>
  <c r="H15" i="3"/>
  <c r="G15" i="3"/>
  <c r="H16" i="3"/>
  <c r="G16" i="3"/>
  <c r="H17" i="3"/>
  <c r="G17" i="3"/>
  <c r="H18" i="3"/>
  <c r="G18" i="3"/>
  <c r="H19" i="3"/>
  <c r="G19" i="3"/>
  <c r="H20" i="3"/>
  <c r="G20" i="3"/>
  <c r="H6" i="1"/>
  <c r="G6" i="1"/>
  <c r="K3" i="1"/>
  <c r="K4" i="1"/>
  <c r="K5" i="1"/>
  <c r="K7" i="1"/>
  <c r="K8" i="1"/>
  <c r="J3" i="1"/>
  <c r="J4" i="1"/>
  <c r="J5" i="1"/>
  <c r="J7" i="1"/>
  <c r="J8" i="1"/>
  <c r="Q3" i="3" l="1"/>
  <c r="O3" i="3"/>
  <c r="U3" i="3"/>
  <c r="R3" i="3"/>
  <c r="S3" i="3"/>
  <c r="V3" i="4"/>
  <c r="T2" i="4"/>
  <c r="S2" i="4"/>
  <c r="R6" i="4"/>
  <c r="V6" i="4"/>
  <c r="O7" i="5"/>
  <c r="S7" i="5"/>
  <c r="P7" i="5"/>
  <c r="R5" i="4"/>
  <c r="P3" i="3"/>
  <c r="U8" i="4"/>
  <c r="V5" i="4"/>
  <c r="Q10" i="4"/>
  <c r="O7" i="4"/>
  <c r="S7" i="4"/>
  <c r="U2" i="5"/>
  <c r="S4" i="4"/>
  <c r="O4" i="4"/>
  <c r="Q5" i="4"/>
  <c r="Q8" i="5"/>
  <c r="V7" i="5"/>
  <c r="O2" i="4"/>
  <c r="Q6" i="4"/>
  <c r="Q5" i="5"/>
  <c r="P4" i="4"/>
  <c r="P7" i="4"/>
  <c r="Q8" i="4"/>
  <c r="V10" i="4"/>
  <c r="V8" i="4"/>
  <c r="U10" i="4"/>
  <c r="P5" i="5"/>
  <c r="Q7" i="5"/>
  <c r="U8" i="5"/>
  <c r="T10" i="5"/>
  <c r="Q3" i="5"/>
  <c r="Q6" i="5"/>
  <c r="U5" i="5"/>
  <c r="V5" i="5"/>
  <c r="U3" i="5"/>
  <c r="V3" i="5"/>
  <c r="Q10" i="5"/>
  <c r="P9" i="5"/>
  <c r="O9" i="5"/>
  <c r="O5" i="5"/>
  <c r="O10" i="5"/>
  <c r="V8" i="5"/>
  <c r="P2" i="5"/>
  <c r="S9" i="5"/>
  <c r="T2" i="5"/>
  <c r="U7" i="5"/>
  <c r="S10" i="5"/>
  <c r="S5" i="5"/>
  <c r="V6" i="5"/>
  <c r="U4" i="5"/>
  <c r="V4" i="5"/>
  <c r="Q4" i="5"/>
  <c r="R9" i="5"/>
  <c r="V9" i="5"/>
  <c r="R10" i="5"/>
  <c r="Q9" i="5"/>
  <c r="V2" i="5"/>
  <c r="O2" i="5"/>
  <c r="U10" i="5"/>
  <c r="Q2" i="5"/>
  <c r="U6" i="5"/>
  <c r="H21" i="3"/>
  <c r="G65" i="3" s="1"/>
  <c r="R9" i="4"/>
  <c r="G34" i="5"/>
  <c r="T11" i="4"/>
  <c r="O11" i="4"/>
  <c r="V9" i="4"/>
  <c r="H34" i="5"/>
  <c r="G78" i="5" s="1"/>
  <c r="S11" i="4"/>
  <c r="U9" i="4"/>
  <c r="U24" i="5"/>
  <c r="Q24" i="5"/>
  <c r="R24" i="5"/>
  <c r="V24" i="5"/>
  <c r="U14" i="5"/>
  <c r="Q14" i="5"/>
  <c r="V14" i="5"/>
  <c r="R14" i="5"/>
  <c r="T32" i="5"/>
  <c r="P32" i="5"/>
  <c r="S32" i="5"/>
  <c r="O32" i="5"/>
  <c r="T30" i="5"/>
  <c r="P30" i="5"/>
  <c r="S30" i="5"/>
  <c r="O30" i="5"/>
  <c r="T29" i="5"/>
  <c r="P29" i="5"/>
  <c r="S29" i="5"/>
  <c r="O29" i="5"/>
  <c r="T27" i="5"/>
  <c r="P27" i="5"/>
  <c r="S27" i="5"/>
  <c r="O27" i="5"/>
  <c r="T25" i="5"/>
  <c r="P25" i="5"/>
  <c r="S25" i="5"/>
  <c r="O25" i="5"/>
  <c r="T23" i="5"/>
  <c r="P23" i="5"/>
  <c r="S23" i="5"/>
  <c r="O23" i="5"/>
  <c r="T21" i="5"/>
  <c r="P21" i="5"/>
  <c r="S21" i="5"/>
  <c r="O21" i="5"/>
  <c r="T19" i="5"/>
  <c r="P19" i="5"/>
  <c r="S19" i="5"/>
  <c r="O19" i="5"/>
  <c r="T17" i="5"/>
  <c r="P17" i="5"/>
  <c r="S17" i="5"/>
  <c r="O17" i="5"/>
  <c r="T15" i="5"/>
  <c r="P15" i="5"/>
  <c r="S15" i="5"/>
  <c r="O15" i="5"/>
  <c r="T13" i="5"/>
  <c r="P13" i="5"/>
  <c r="S13" i="5"/>
  <c r="O13" i="5"/>
  <c r="T11" i="5"/>
  <c r="P11" i="5"/>
  <c r="S11" i="5"/>
  <c r="O11" i="5"/>
  <c r="U31" i="5"/>
  <c r="Q31" i="5"/>
  <c r="R31" i="5"/>
  <c r="V31" i="5"/>
  <c r="U26" i="5"/>
  <c r="Q26" i="5"/>
  <c r="R26" i="5"/>
  <c r="V26" i="5"/>
  <c r="U20" i="5"/>
  <c r="Q20" i="5"/>
  <c r="R20" i="5"/>
  <c r="V20" i="5"/>
  <c r="U16" i="5"/>
  <c r="Q16" i="5"/>
  <c r="R16" i="5"/>
  <c r="V16" i="5"/>
  <c r="U32" i="5"/>
  <c r="Q32" i="5"/>
  <c r="V32" i="5"/>
  <c r="R32" i="5"/>
  <c r="U30" i="5"/>
  <c r="Q30" i="5"/>
  <c r="R30" i="5"/>
  <c r="V30" i="5"/>
  <c r="U29" i="5"/>
  <c r="Q29" i="5"/>
  <c r="R29" i="5"/>
  <c r="V29" i="5"/>
  <c r="U27" i="5"/>
  <c r="Q27" i="5"/>
  <c r="R27" i="5"/>
  <c r="V27" i="5"/>
  <c r="U25" i="5"/>
  <c r="Q25" i="5"/>
  <c r="R25" i="5"/>
  <c r="V25" i="5"/>
  <c r="U23" i="5"/>
  <c r="Q23" i="5"/>
  <c r="V23" i="5"/>
  <c r="R23" i="5"/>
  <c r="U21" i="5"/>
  <c r="Q21" i="5"/>
  <c r="R21" i="5"/>
  <c r="V21" i="5"/>
  <c r="U19" i="5"/>
  <c r="Q19" i="5"/>
  <c r="R19" i="5"/>
  <c r="V19" i="5"/>
  <c r="U17" i="5"/>
  <c r="Q17" i="5"/>
  <c r="R17" i="5"/>
  <c r="V17" i="5"/>
  <c r="U15" i="5"/>
  <c r="Q15" i="5"/>
  <c r="R15" i="5"/>
  <c r="V15" i="5"/>
  <c r="U13" i="5"/>
  <c r="Q13" i="5"/>
  <c r="R13" i="5"/>
  <c r="V13" i="5"/>
  <c r="U11" i="5"/>
  <c r="Q11" i="5"/>
  <c r="V11" i="5"/>
  <c r="R11" i="5"/>
  <c r="S3" i="5"/>
  <c r="P3" i="5"/>
  <c r="T3" i="5"/>
  <c r="O3" i="5"/>
  <c r="U33" i="5"/>
  <c r="Q33" i="5"/>
  <c r="R33" i="5"/>
  <c r="V33" i="5"/>
  <c r="U28" i="5"/>
  <c r="Q28" i="5"/>
  <c r="R28" i="5"/>
  <c r="V28" i="5"/>
  <c r="U22" i="5"/>
  <c r="Q22" i="5"/>
  <c r="R22" i="5"/>
  <c r="V22" i="5"/>
  <c r="U18" i="5"/>
  <c r="Q18" i="5"/>
  <c r="V18" i="5"/>
  <c r="R18" i="5"/>
  <c r="U12" i="5"/>
  <c r="Q12" i="5"/>
  <c r="R12" i="5"/>
  <c r="V12" i="5"/>
  <c r="P6" i="5"/>
  <c r="T6" i="5"/>
  <c r="S6" i="5"/>
  <c r="O6" i="5"/>
  <c r="T33" i="5"/>
  <c r="P33" i="5"/>
  <c r="S33" i="5"/>
  <c r="O33" i="5"/>
  <c r="T31" i="5"/>
  <c r="P31" i="5"/>
  <c r="S31" i="5"/>
  <c r="O31" i="5"/>
  <c r="T28" i="5"/>
  <c r="P28" i="5"/>
  <c r="S28" i="5"/>
  <c r="O28" i="5"/>
  <c r="T26" i="5"/>
  <c r="P26" i="5"/>
  <c r="S26" i="5"/>
  <c r="O26" i="5"/>
  <c r="T24" i="5"/>
  <c r="P24" i="5"/>
  <c r="S24" i="5"/>
  <c r="O24" i="5"/>
  <c r="T22" i="5"/>
  <c r="P22" i="5"/>
  <c r="S22" i="5"/>
  <c r="O22" i="5"/>
  <c r="T20" i="5"/>
  <c r="P20" i="5"/>
  <c r="S20" i="5"/>
  <c r="O20" i="5"/>
  <c r="T18" i="5"/>
  <c r="P18" i="5"/>
  <c r="S18" i="5"/>
  <c r="O18" i="5"/>
  <c r="T16" i="5"/>
  <c r="P16" i="5"/>
  <c r="S16" i="5"/>
  <c r="O16" i="5"/>
  <c r="T14" i="5"/>
  <c r="P14" i="5"/>
  <c r="S14" i="5"/>
  <c r="O14" i="5"/>
  <c r="T12" i="5"/>
  <c r="P12" i="5"/>
  <c r="S12" i="5"/>
  <c r="O12" i="5"/>
  <c r="S8" i="5"/>
  <c r="P8" i="5"/>
  <c r="O8" i="5"/>
  <c r="T8" i="5"/>
  <c r="P4" i="5"/>
  <c r="T4" i="5"/>
  <c r="O4" i="5"/>
  <c r="S4" i="5"/>
  <c r="G12" i="4"/>
  <c r="G55" i="4" s="1"/>
  <c r="S9" i="4"/>
  <c r="T9" i="4"/>
  <c r="P9" i="4"/>
  <c r="O9" i="4"/>
  <c r="U4" i="4"/>
  <c r="Q4" i="4"/>
  <c r="R4" i="4"/>
  <c r="V4" i="4"/>
  <c r="S8" i="4"/>
  <c r="O8" i="4"/>
  <c r="T8" i="4"/>
  <c r="P8" i="4"/>
  <c r="U7" i="4"/>
  <c r="Q7" i="4"/>
  <c r="V7" i="4"/>
  <c r="R7" i="4"/>
  <c r="U2" i="4"/>
  <c r="Q2" i="4"/>
  <c r="R2" i="4"/>
  <c r="H12" i="4"/>
  <c r="V2" i="4"/>
  <c r="O6" i="4"/>
  <c r="T6" i="4"/>
  <c r="P6" i="4"/>
  <c r="S6" i="4"/>
  <c r="O3" i="4"/>
  <c r="T3" i="4"/>
  <c r="P3" i="4"/>
  <c r="S3" i="4"/>
  <c r="U11" i="4"/>
  <c r="Q11" i="4"/>
  <c r="R11" i="4"/>
  <c r="V11" i="4"/>
  <c r="T10" i="4"/>
  <c r="P10" i="4"/>
  <c r="S10" i="4"/>
  <c r="O10" i="4"/>
  <c r="S5" i="4"/>
  <c r="O5" i="4"/>
  <c r="T5" i="4"/>
  <c r="P5" i="4"/>
  <c r="T20" i="3"/>
  <c r="P20" i="3"/>
  <c r="S20" i="3"/>
  <c r="O20" i="3"/>
  <c r="T12" i="3"/>
  <c r="P12" i="3"/>
  <c r="S12" i="3"/>
  <c r="O12" i="3"/>
  <c r="T6" i="3"/>
  <c r="P6" i="3"/>
  <c r="S6" i="3"/>
  <c r="O6" i="3"/>
  <c r="U20" i="3"/>
  <c r="Q20" i="3"/>
  <c r="V20" i="3"/>
  <c r="R20" i="3"/>
  <c r="U18" i="3"/>
  <c r="Q18" i="3"/>
  <c r="V18" i="3"/>
  <c r="R18" i="3"/>
  <c r="U16" i="3"/>
  <c r="Q16" i="3"/>
  <c r="V16" i="3"/>
  <c r="R16" i="3"/>
  <c r="U14" i="3"/>
  <c r="Q14" i="3"/>
  <c r="V14" i="3"/>
  <c r="R14" i="3"/>
  <c r="U12" i="3"/>
  <c r="Q12" i="3"/>
  <c r="V12" i="3"/>
  <c r="R12" i="3"/>
  <c r="U10" i="3"/>
  <c r="Q10" i="3"/>
  <c r="V10" i="3"/>
  <c r="R10" i="3"/>
  <c r="U8" i="3"/>
  <c r="Q8" i="3"/>
  <c r="V8" i="3"/>
  <c r="R8" i="3"/>
  <c r="U6" i="3"/>
  <c r="Q6" i="3"/>
  <c r="V6" i="3"/>
  <c r="R6" i="3"/>
  <c r="U4" i="3"/>
  <c r="Q4" i="3"/>
  <c r="V4" i="3"/>
  <c r="R4" i="3"/>
  <c r="T18" i="3"/>
  <c r="P18" i="3"/>
  <c r="S18" i="3"/>
  <c r="O18" i="3"/>
  <c r="T14" i="3"/>
  <c r="P14" i="3"/>
  <c r="S14" i="3"/>
  <c r="O14" i="3"/>
  <c r="T10" i="3"/>
  <c r="P10" i="3"/>
  <c r="S10" i="3"/>
  <c r="O10" i="3"/>
  <c r="T4" i="3"/>
  <c r="P4" i="3"/>
  <c r="S4" i="3"/>
  <c r="O4" i="3"/>
  <c r="G21" i="3"/>
  <c r="S2" i="3"/>
  <c r="O2" i="3"/>
  <c r="P2" i="3"/>
  <c r="T2" i="3"/>
  <c r="T19" i="3"/>
  <c r="P19" i="3"/>
  <c r="S19" i="3"/>
  <c r="O19" i="3"/>
  <c r="T17" i="3"/>
  <c r="P17" i="3"/>
  <c r="S17" i="3"/>
  <c r="O17" i="3"/>
  <c r="T15" i="3"/>
  <c r="P15" i="3"/>
  <c r="S15" i="3"/>
  <c r="O15" i="3"/>
  <c r="T13" i="3"/>
  <c r="P13" i="3"/>
  <c r="S13" i="3"/>
  <c r="O13" i="3"/>
  <c r="T11" i="3"/>
  <c r="P11" i="3"/>
  <c r="S11" i="3"/>
  <c r="O11" i="3"/>
  <c r="T9" i="3"/>
  <c r="P9" i="3"/>
  <c r="S9" i="3"/>
  <c r="O9" i="3"/>
  <c r="T7" i="3"/>
  <c r="P7" i="3"/>
  <c r="S7" i="3"/>
  <c r="O7" i="3"/>
  <c r="T5" i="3"/>
  <c r="P5" i="3"/>
  <c r="S5" i="3"/>
  <c r="O5" i="3"/>
  <c r="U2" i="3"/>
  <c r="Q2" i="3"/>
  <c r="V2" i="3"/>
  <c r="R2" i="3"/>
  <c r="T16" i="3"/>
  <c r="P16" i="3"/>
  <c r="S16" i="3"/>
  <c r="O16" i="3"/>
  <c r="T8" i="3"/>
  <c r="P8" i="3"/>
  <c r="S8" i="3"/>
  <c r="O8" i="3"/>
  <c r="U19" i="3"/>
  <c r="Q19" i="3"/>
  <c r="V19" i="3"/>
  <c r="R19" i="3"/>
  <c r="U17" i="3"/>
  <c r="Q17" i="3"/>
  <c r="V17" i="3"/>
  <c r="R17" i="3"/>
  <c r="U15" i="3"/>
  <c r="Q15" i="3"/>
  <c r="V15" i="3"/>
  <c r="R15" i="3"/>
  <c r="U13" i="3"/>
  <c r="Q13" i="3"/>
  <c r="V13" i="3"/>
  <c r="R13" i="3"/>
  <c r="U11" i="3"/>
  <c r="Q11" i="3"/>
  <c r="V11" i="3"/>
  <c r="R11" i="3"/>
  <c r="U9" i="3"/>
  <c r="Q9" i="3"/>
  <c r="V9" i="3"/>
  <c r="R9" i="3"/>
  <c r="U7" i="3"/>
  <c r="Q7" i="3"/>
  <c r="V7" i="3"/>
  <c r="R7" i="3"/>
  <c r="U5" i="3"/>
  <c r="Q5" i="3"/>
  <c r="V5" i="3"/>
  <c r="R5" i="3"/>
  <c r="H7" i="1"/>
  <c r="V7" i="1" s="1"/>
  <c r="U6" i="1"/>
  <c r="V6" i="1"/>
  <c r="G5" i="1"/>
  <c r="P5" i="1" s="1"/>
  <c r="G4" i="1"/>
  <c r="P4" i="1" s="1"/>
  <c r="H8" i="1"/>
  <c r="R8" i="1" s="1"/>
  <c r="H3" i="1"/>
  <c r="T6" i="1"/>
  <c r="S6" i="1"/>
  <c r="G7" i="1"/>
  <c r="G8" i="1"/>
  <c r="H5" i="1"/>
  <c r="O6" i="1"/>
  <c r="P6" i="1"/>
  <c r="Q6" i="1"/>
  <c r="R6" i="1"/>
  <c r="G3" i="1"/>
  <c r="H4" i="1"/>
  <c r="G77" i="5" l="1"/>
  <c r="G82" i="5"/>
  <c r="H69" i="3"/>
  <c r="H68" i="3"/>
  <c r="G69" i="3"/>
  <c r="G68" i="3"/>
  <c r="I64" i="3"/>
  <c r="I69" i="3"/>
  <c r="G64" i="3"/>
  <c r="H64" i="3"/>
  <c r="I68" i="3"/>
  <c r="H55" i="4"/>
  <c r="I60" i="4"/>
  <c r="I59" i="4"/>
  <c r="G60" i="4"/>
  <c r="J60" i="4" s="1"/>
  <c r="I55" i="4"/>
  <c r="H60" i="4"/>
  <c r="H59" i="4"/>
  <c r="G59" i="4"/>
  <c r="J59" i="4" s="1"/>
  <c r="I65" i="3"/>
  <c r="H65" i="3"/>
  <c r="I78" i="5"/>
  <c r="H78" i="5"/>
  <c r="I82" i="5"/>
  <c r="I81" i="5"/>
  <c r="H82" i="5"/>
  <c r="H81" i="5"/>
  <c r="G81" i="5"/>
  <c r="J81" i="5" s="1"/>
  <c r="I77" i="5"/>
  <c r="H77" i="5"/>
  <c r="Q34" i="5"/>
  <c r="H9" i="1"/>
  <c r="G54" i="1" s="1"/>
  <c r="O34" i="5"/>
  <c r="T34" i="5"/>
  <c r="U34" i="5"/>
  <c r="T12" i="4"/>
  <c r="S34" i="5"/>
  <c r="R34" i="5"/>
  <c r="V34" i="5"/>
  <c r="S12" i="4"/>
  <c r="P34" i="5"/>
  <c r="O12" i="4"/>
  <c r="P12" i="4"/>
  <c r="Q12" i="4"/>
  <c r="V12" i="4"/>
  <c r="U12" i="4"/>
  <c r="R12" i="4"/>
  <c r="Q7" i="1"/>
  <c r="U7" i="1"/>
  <c r="R7" i="1"/>
  <c r="P21" i="3"/>
  <c r="O5" i="1"/>
  <c r="Q21" i="3"/>
  <c r="O21" i="3"/>
  <c r="O4" i="1"/>
  <c r="R21" i="3"/>
  <c r="U21" i="3"/>
  <c r="S21" i="3"/>
  <c r="V21" i="3"/>
  <c r="T21" i="3"/>
  <c r="U5" i="1"/>
  <c r="V5" i="1"/>
  <c r="R3" i="1"/>
  <c r="V3" i="1"/>
  <c r="U3" i="1"/>
  <c r="V4" i="1"/>
  <c r="U4" i="1"/>
  <c r="V8" i="1"/>
  <c r="U8" i="1"/>
  <c r="Q8" i="1"/>
  <c r="T3" i="1"/>
  <c r="S3" i="1"/>
  <c r="S8" i="1"/>
  <c r="T8" i="1"/>
  <c r="Q3" i="1"/>
  <c r="T4" i="1"/>
  <c r="S4" i="1"/>
  <c r="T7" i="1"/>
  <c r="S7" i="1"/>
  <c r="S5" i="1"/>
  <c r="T5" i="1"/>
  <c r="R4" i="1"/>
  <c r="Q4" i="1"/>
  <c r="P7" i="1"/>
  <c r="O7" i="1"/>
  <c r="P8" i="1"/>
  <c r="O8" i="1"/>
  <c r="P3" i="1"/>
  <c r="O3" i="1"/>
  <c r="Q5" i="1"/>
  <c r="R5" i="1"/>
  <c r="J68" i="3" l="1"/>
  <c r="J82" i="5"/>
  <c r="J77" i="5"/>
  <c r="J65" i="3"/>
  <c r="J69" i="3"/>
  <c r="J78" i="5"/>
  <c r="J64" i="3"/>
  <c r="J55" i="4"/>
  <c r="I54" i="1"/>
  <c r="H54" i="1"/>
  <c r="L40" i="5"/>
  <c r="K40" i="5"/>
  <c r="G79" i="5" s="1"/>
  <c r="L27" i="3"/>
  <c r="K27" i="3"/>
  <c r="G66" i="3" s="1"/>
  <c r="K18" i="4"/>
  <c r="G57" i="4" s="1"/>
  <c r="N40" i="5"/>
  <c r="N27" i="3"/>
  <c r="M40" i="5"/>
  <c r="G80" i="5" s="1"/>
  <c r="N18" i="4"/>
  <c r="L18" i="4"/>
  <c r="M27" i="3"/>
  <c r="G67" i="3" s="1"/>
  <c r="M18" i="4"/>
  <c r="G58" i="4" s="1"/>
  <c r="I57" i="4" l="1"/>
  <c r="H57" i="4"/>
  <c r="J57" i="4" s="1"/>
  <c r="I67" i="3"/>
  <c r="H67" i="3"/>
  <c r="H66" i="3"/>
  <c r="J66" i="3" s="1"/>
  <c r="I66" i="3"/>
  <c r="I58" i="4"/>
  <c r="H58" i="4"/>
  <c r="I80" i="5"/>
  <c r="H80" i="5"/>
  <c r="I79" i="5"/>
  <c r="H79" i="5"/>
  <c r="O9" i="1"/>
  <c r="P9" i="1"/>
  <c r="Q9" i="1"/>
  <c r="R9" i="1"/>
  <c r="S9" i="1"/>
  <c r="T9" i="1"/>
  <c r="U9" i="1"/>
  <c r="V9" i="1"/>
  <c r="K9" i="1"/>
  <c r="J9" i="1"/>
  <c r="G9" i="1"/>
  <c r="G58" i="1" s="1"/>
  <c r="J67" i="3" l="1"/>
  <c r="J58" i="4"/>
  <c r="J80" i="5"/>
  <c r="J79" i="5"/>
  <c r="I86" i="5" s="1"/>
  <c r="I73" i="3"/>
  <c r="I64" i="4"/>
  <c r="K15" i="1"/>
  <c r="G55" i="1" s="1"/>
  <c r="N15" i="1"/>
  <c r="I56" i="1" s="1"/>
  <c r="M15" i="1"/>
  <c r="G56" i="1" s="1"/>
  <c r="H58" i="1"/>
  <c r="I58" i="1"/>
  <c r="I57" i="1"/>
  <c r="H57" i="1"/>
  <c r="G57" i="1"/>
  <c r="I53" i="1"/>
  <c r="H53" i="1"/>
  <c r="G53" i="1"/>
  <c r="J54" i="1"/>
  <c r="L15" i="1"/>
  <c r="J58" i="1" l="1"/>
  <c r="H56" i="1"/>
  <c r="J56" i="1" s="1"/>
  <c r="J57" i="1"/>
  <c r="J53" i="1"/>
  <c r="I55" i="1"/>
  <c r="H55" i="1"/>
  <c r="L9" i="1"/>
  <c r="M9" i="1"/>
  <c r="J55" i="1" l="1"/>
  <c r="I62" i="1" s="1"/>
</calcChain>
</file>

<file path=xl/sharedStrings.xml><?xml version="1.0" encoding="utf-8"?>
<sst xmlns="http://schemas.openxmlformats.org/spreadsheetml/2006/main" count="854" uniqueCount="427">
  <si>
    <t>05AT</t>
  </si>
  <si>
    <t>KBS Pax Christi</t>
  </si>
  <si>
    <t>Hoofdstraat 68</t>
  </si>
  <si>
    <t>7586 BV</t>
  </si>
  <si>
    <t>Overdinkel</t>
  </si>
  <si>
    <t>053 - 536 07 54</t>
  </si>
  <si>
    <t>06IY</t>
  </si>
  <si>
    <t>RK Basisschool Veldzijde</t>
  </si>
  <si>
    <t>Ericahof 1</t>
  </si>
  <si>
    <t>7581 VZ</t>
  </si>
  <si>
    <t>Losser</t>
  </si>
  <si>
    <t>053 - 536 07 66</t>
  </si>
  <si>
    <t>08LV</t>
  </si>
  <si>
    <t>KBS De Verrekijker</t>
  </si>
  <si>
    <t>Jan Jansstraat 2</t>
  </si>
  <si>
    <t>7582 BG</t>
  </si>
  <si>
    <t>053 - 536 07 71</t>
  </si>
  <si>
    <t>11KW</t>
  </si>
  <si>
    <t>RK Basisschool De Wegwijzer</t>
  </si>
  <si>
    <t>Sperwerstraat 1</t>
  </si>
  <si>
    <t>7581 EP</t>
  </si>
  <si>
    <t>053 - 536 07 57</t>
  </si>
  <si>
    <t>10GB</t>
  </si>
  <si>
    <t>KBS De Martinus</t>
  </si>
  <si>
    <t>Keizerskroon 5</t>
  </si>
  <si>
    <t>053 - 536 07 67</t>
  </si>
  <si>
    <t>BRIN</t>
  </si>
  <si>
    <t>Naam school</t>
  </si>
  <si>
    <t>Adres</t>
  </si>
  <si>
    <t>PC</t>
  </si>
  <si>
    <t>Plaats</t>
  </si>
  <si>
    <t>Telefoon</t>
  </si>
  <si>
    <t>Bestuursbureau SKOLO</t>
  </si>
  <si>
    <t>Totaal</t>
  </si>
  <si>
    <t>07WG</t>
  </si>
  <si>
    <t>De Sterrenboog</t>
  </si>
  <si>
    <t>Mariaplein 8</t>
  </si>
  <si>
    <t>7156 MG</t>
  </si>
  <si>
    <t>Beltrum</t>
  </si>
  <si>
    <t>0544 - 48 15 43</t>
  </si>
  <si>
    <t>08YS</t>
  </si>
  <si>
    <t>Dr. Ariëns Daltonschool</t>
  </si>
  <si>
    <t>Rutgerinkdijk 3</t>
  </si>
  <si>
    <t>7161 EW</t>
  </si>
  <si>
    <t>Neede</t>
  </si>
  <si>
    <t>0545 - 29 55 50</t>
  </si>
  <si>
    <t>09WH</t>
  </si>
  <si>
    <t>Kardinaal Alfrink</t>
  </si>
  <si>
    <t>Koordsteeg 11</t>
  </si>
  <si>
    <t>7161 WP</t>
  </si>
  <si>
    <t>0545 - 29 26 86</t>
  </si>
  <si>
    <t>06WM</t>
  </si>
  <si>
    <t>St. Jozef</t>
  </si>
  <si>
    <t>Van Everdingenstraat 24</t>
  </si>
  <si>
    <t>7165 AK</t>
  </si>
  <si>
    <t>Rietmolen</t>
  </si>
  <si>
    <t>0545 - 22 10 48</t>
  </si>
  <si>
    <t>06NL</t>
  </si>
  <si>
    <t>Heeckeren</t>
  </si>
  <si>
    <t>Kloosterlaan 60</t>
  </si>
  <si>
    <t>7471 BC</t>
  </si>
  <si>
    <t>Goor</t>
  </si>
  <si>
    <t>0547 - 26 14 18</t>
  </si>
  <si>
    <t>03XH</t>
  </si>
  <si>
    <t>De Albatros</t>
  </si>
  <si>
    <t>Kievitstraat 63</t>
  </si>
  <si>
    <t>7471 EL</t>
  </si>
  <si>
    <t>0547 - 27 38 06</t>
  </si>
  <si>
    <t>11ZU</t>
  </si>
  <si>
    <t>Lijsterstraat 11</t>
  </si>
  <si>
    <t>7481 BD</t>
  </si>
  <si>
    <t>Haaksbergen</t>
  </si>
  <si>
    <t>053 - 572 23 79</t>
  </si>
  <si>
    <t>11BU</t>
  </si>
  <si>
    <t>Paus Joannes</t>
  </si>
  <si>
    <t>Benninkstraat 12</t>
  </si>
  <si>
    <t>7481 DL</t>
  </si>
  <si>
    <t>053 - 572 18 08</t>
  </si>
  <si>
    <t>11ON</t>
  </si>
  <si>
    <t>Pius X</t>
  </si>
  <si>
    <t>Jordaansingel 20</t>
  </si>
  <si>
    <t>7481 GP</t>
  </si>
  <si>
    <t>053 - 572 13 96</t>
  </si>
  <si>
    <t>13EN</t>
  </si>
  <si>
    <t>Buurse</t>
  </si>
  <si>
    <t>De Noor 101</t>
  </si>
  <si>
    <t>7481 RL</t>
  </si>
  <si>
    <t>053 - 569 63 63</t>
  </si>
  <si>
    <t>13AF</t>
  </si>
  <si>
    <t>Honesch</t>
  </si>
  <si>
    <t>Hasseltweg 10</t>
  </si>
  <si>
    <t>7481 VB</t>
  </si>
  <si>
    <t>053 - 572 15 48</t>
  </si>
  <si>
    <t>12YQ</t>
  </si>
  <si>
    <t>Holthuizen</t>
  </si>
  <si>
    <t>Holthuizerstraat 12-14</t>
  </si>
  <si>
    <t>7482 ET</t>
  </si>
  <si>
    <t>053 - 572 39 93</t>
  </si>
  <si>
    <t>13JY</t>
  </si>
  <si>
    <t>St. Bonifacius</t>
  </si>
  <si>
    <t>Beckummerweg 9</t>
  </si>
  <si>
    <t>7482 SR</t>
  </si>
  <si>
    <t>St. Isidorushoeve</t>
  </si>
  <si>
    <t>074 - 357 53 57</t>
  </si>
  <si>
    <t>12LX</t>
  </si>
  <si>
    <t>IKC De Kameleon</t>
  </si>
  <si>
    <t>Bartokstraat 56</t>
  </si>
  <si>
    <t>7482 TW</t>
  </si>
  <si>
    <t>053 - 572 33 63</t>
  </si>
  <si>
    <t>09SY</t>
  </si>
  <si>
    <t>Dr. Ariëns Haaksbergen</t>
  </si>
  <si>
    <t>A. Brouwerstr 4</t>
  </si>
  <si>
    <t>7482 ZK</t>
  </si>
  <si>
    <t>053 - 572 20 12</t>
  </si>
  <si>
    <t>29TN</t>
  </si>
  <si>
    <t xml:space="preserve">Los Hoes </t>
  </si>
  <si>
    <t>Hassinkborgh 16</t>
  </si>
  <si>
    <t>7483 CT</t>
  </si>
  <si>
    <t>053 - 574 38 22</t>
  </si>
  <si>
    <t>08NC</t>
  </si>
  <si>
    <t>Petrusschool</t>
  </si>
  <si>
    <t>Bekkampstraat 49</t>
  </si>
  <si>
    <t>7496 AH</t>
  </si>
  <si>
    <t>Hengevelde</t>
  </si>
  <si>
    <t>0547 - 33 34 20</t>
  </si>
  <si>
    <t>25351</t>
  </si>
  <si>
    <t>Holthuizerstraat 14</t>
  </si>
  <si>
    <t>053 - 572 35 03</t>
  </si>
  <si>
    <t>Bonifatius</t>
  </si>
  <si>
    <t>Bestuurskantoor Keender</t>
  </si>
  <si>
    <t>03AN</t>
  </si>
  <si>
    <t>Azelo</t>
  </si>
  <si>
    <t>Secretaris Engelbertinkstraat 1</t>
  </si>
  <si>
    <t>7495 TW</t>
  </si>
  <si>
    <t>Ambt Delden</t>
  </si>
  <si>
    <t>074 - 266 44 25</t>
  </si>
  <si>
    <t>10TE</t>
  </si>
  <si>
    <t>Brookschole</t>
  </si>
  <si>
    <t>Larenseweg 44</t>
  </si>
  <si>
    <t>7475 PW</t>
  </si>
  <si>
    <t>Markelo</t>
  </si>
  <si>
    <t>0547 - 36 27 23</t>
  </si>
  <si>
    <t>10UJ</t>
  </si>
  <si>
    <t>Kievitstraat 67</t>
  </si>
  <si>
    <t>0547 - 27 30 04</t>
  </si>
  <si>
    <t>11HK</t>
  </si>
  <si>
    <t>0547 - 36 33 65</t>
  </si>
  <si>
    <t>08DH</t>
  </si>
  <si>
    <t>Stedeke</t>
  </si>
  <si>
    <t>Kuimgaarden 15</t>
  </si>
  <si>
    <t>7478 AN</t>
  </si>
  <si>
    <t>Diepenheim</t>
  </si>
  <si>
    <t>0547 - 35 14 54</t>
  </si>
  <si>
    <t>10BF</t>
  </si>
  <si>
    <t>Stokkum</t>
  </si>
  <si>
    <t>Stokkumerweg 40</t>
  </si>
  <si>
    <t>7475 MV</t>
  </si>
  <si>
    <t>0547 - 36 33 09</t>
  </si>
  <si>
    <t>08EA</t>
  </si>
  <si>
    <t>Wiene</t>
  </si>
  <si>
    <t>Tankinksweg 4</t>
  </si>
  <si>
    <t>7495 RL</t>
  </si>
  <si>
    <t>0547 - 27 45 75</t>
  </si>
  <si>
    <t>10CT</t>
  </si>
  <si>
    <t>Daltonschool 't Gijmink</t>
  </si>
  <si>
    <t>Lindelaan 70b</t>
  </si>
  <si>
    <t>7471 KD</t>
  </si>
  <si>
    <t>0547 - 27 34 56</t>
  </si>
  <si>
    <t>09FH</t>
  </si>
  <si>
    <t>Daltonschool Elserike</t>
  </si>
  <si>
    <t>Herikerweg 36</t>
  </si>
  <si>
    <t>7475 TT</t>
  </si>
  <si>
    <t>0547 - 36 20 95</t>
  </si>
  <si>
    <t>41785</t>
  </si>
  <si>
    <t>Kievitstraat 67A</t>
  </si>
  <si>
    <t>0547 - 27 66 38</t>
  </si>
  <si>
    <t xml:space="preserve">Bestuursbureau OPOHvT </t>
  </si>
  <si>
    <t>07EF</t>
  </si>
  <si>
    <t>De Willibrordus</t>
  </si>
  <si>
    <t>Kerkweg 1</t>
  </si>
  <si>
    <t>7561 PT</t>
  </si>
  <si>
    <t>Deurningen</t>
  </si>
  <si>
    <t>074 - 278 03 14</t>
  </si>
  <si>
    <t>11EN01</t>
  </si>
  <si>
    <t>Drieëenheidschool - Noordwal</t>
  </si>
  <si>
    <t>Noordwal 10</t>
  </si>
  <si>
    <t>7571 AM</t>
  </si>
  <si>
    <t>Oldenzaal</t>
  </si>
  <si>
    <t>0541 - 53 23 98</t>
  </si>
  <si>
    <t>7572 DE</t>
  </si>
  <si>
    <t>13PM</t>
  </si>
  <si>
    <t>Windroos</t>
  </si>
  <si>
    <t>Lariksstraat 11</t>
  </si>
  <si>
    <t>0541 - 53 24 18</t>
  </si>
  <si>
    <t>11QT</t>
  </si>
  <si>
    <t>Fransiscusschool</t>
  </si>
  <si>
    <t>Lyceumstraat 2b</t>
  </si>
  <si>
    <t>7572 CP</t>
  </si>
  <si>
    <t>0541 - 53 35 61</t>
  </si>
  <si>
    <t>11EN</t>
  </si>
  <si>
    <t>Drieëenheidschool - Meijbreestraat</t>
  </si>
  <si>
    <t>Meijbreestraat 11</t>
  </si>
  <si>
    <t>7573 EP</t>
  </si>
  <si>
    <t>0541 - 51 22 79</t>
  </si>
  <si>
    <t>De Leemstee</t>
  </si>
  <si>
    <t>Helmichstraat 44</t>
  </si>
  <si>
    <t>7574 TX</t>
  </si>
  <si>
    <t>0541 - 53 27 25</t>
  </si>
  <si>
    <t>09XH</t>
  </si>
  <si>
    <t xml:space="preserve">De Maten </t>
  </si>
  <si>
    <t>Guido Gezellestraat 35</t>
  </si>
  <si>
    <t>7576 AG</t>
  </si>
  <si>
    <t>0541 - 53 26 07</t>
  </si>
  <si>
    <t>13KR</t>
  </si>
  <si>
    <t>De Wendakker</t>
  </si>
  <si>
    <t>Zandhorstlaan 95</t>
  </si>
  <si>
    <t>7576 VR</t>
  </si>
  <si>
    <t>0541 - 51 75 84</t>
  </si>
  <si>
    <t>12ZQ</t>
  </si>
  <si>
    <t>De Bongerd - Wieldraaierlaan</t>
  </si>
  <si>
    <t>Wieldraaierlaan 120</t>
  </si>
  <si>
    <t>7577 NR</t>
  </si>
  <si>
    <t>0541 - 58 05 80</t>
  </si>
  <si>
    <t>12TE</t>
  </si>
  <si>
    <t>De Esch</t>
  </si>
  <si>
    <t>Oosterikweg 1</t>
  </si>
  <si>
    <t>7577 PL</t>
  </si>
  <si>
    <t>0541 - 51 34 60</t>
  </si>
  <si>
    <t>12ZQ01</t>
  </si>
  <si>
    <t>De Bongerd - Paukenlaan</t>
  </si>
  <si>
    <t>Paukenlaan 1</t>
  </si>
  <si>
    <t>7577 LL</t>
  </si>
  <si>
    <t>0541 - 58 05 90</t>
  </si>
  <si>
    <t>03XA</t>
  </si>
  <si>
    <t>St. Plechelmusschool</t>
  </si>
  <si>
    <t>Plechelmusstraat 9</t>
  </si>
  <si>
    <t>7587 AL</t>
  </si>
  <si>
    <t>De Lutte</t>
  </si>
  <si>
    <t>0541 - 55 15 07</t>
  </si>
  <si>
    <t>11WU</t>
  </si>
  <si>
    <t>Mariaschool</t>
  </si>
  <si>
    <t>Beuningerstraat 63</t>
  </si>
  <si>
    <t>7588 RG</t>
  </si>
  <si>
    <t>Beuningen</t>
  </si>
  <si>
    <t>0541 - 35 19 48</t>
  </si>
  <si>
    <t>10GT</t>
  </si>
  <si>
    <t>De Veldkamp</t>
  </si>
  <si>
    <t>Churchillstraat 2</t>
  </si>
  <si>
    <t>7591 CX</t>
  </si>
  <si>
    <t>Denekamp</t>
  </si>
  <si>
    <t>0541 - 35 19 35</t>
  </si>
  <si>
    <t>03SC</t>
  </si>
  <si>
    <t>Willibrord</t>
  </si>
  <si>
    <t>Johanninksweg 4</t>
  </si>
  <si>
    <t>7591 NX</t>
  </si>
  <si>
    <t>0541 - 35 18 96</t>
  </si>
  <si>
    <t>09LS</t>
  </si>
  <si>
    <t>De Zevenster</t>
  </si>
  <si>
    <t>Meester Muldersstraat 45</t>
  </si>
  <si>
    <t>7591 VA</t>
  </si>
  <si>
    <t>0541 - 35 17 16</t>
  </si>
  <si>
    <t>08MS</t>
  </si>
  <si>
    <t>De Alexander</t>
  </si>
  <si>
    <t>Ootmarsumsestraat 21</t>
  </si>
  <si>
    <t>7591 EN</t>
  </si>
  <si>
    <t>0541 - 35 17 69</t>
  </si>
  <si>
    <t>06PT</t>
  </si>
  <si>
    <t>Aloysiusschool</t>
  </si>
  <si>
    <t>Remigiusstraat 5</t>
  </si>
  <si>
    <t>7595 AM</t>
  </si>
  <si>
    <t>Weerselo</t>
  </si>
  <si>
    <t>0541 - 66 14 45</t>
  </si>
  <si>
    <t>05EP</t>
  </si>
  <si>
    <t>De Kerkewei</t>
  </si>
  <si>
    <t>Kerkewei 2</t>
  </si>
  <si>
    <t>7596 KN</t>
  </si>
  <si>
    <t>Rossum</t>
  </si>
  <si>
    <t>0541 - 62 52 34</t>
  </si>
  <si>
    <t>04EV</t>
  </si>
  <si>
    <t>Bernardus</t>
  </si>
  <si>
    <t>Hoflaan 6</t>
  </si>
  <si>
    <t>7597 LS</t>
  </si>
  <si>
    <t>Saasveld</t>
  </si>
  <si>
    <t>074 - 349 43 27</t>
  </si>
  <si>
    <t>09BB</t>
  </si>
  <si>
    <t>De Meander</t>
  </si>
  <si>
    <t>Profietstraat 8</t>
  </si>
  <si>
    <t>7631 GR</t>
  </si>
  <si>
    <t>Ootmarsum</t>
  </si>
  <si>
    <t>0541 - 29 16 19</t>
  </si>
  <si>
    <t>11LK</t>
  </si>
  <si>
    <t>’n Esch</t>
  </si>
  <si>
    <t>Schoolstraat 18</t>
  </si>
  <si>
    <t>7634 PS</t>
  </si>
  <si>
    <t>Tilligte</t>
  </si>
  <si>
    <t>0541 - 22 12 00</t>
  </si>
  <si>
    <t>10XP</t>
  </si>
  <si>
    <t>'t Kämpke</t>
  </si>
  <si>
    <t>Ottershagenweg 45</t>
  </si>
  <si>
    <t>7635 LT</t>
  </si>
  <si>
    <t>Lattrop-Breklenkamp</t>
  </si>
  <si>
    <t>0541 - 22 93 93</t>
  </si>
  <si>
    <t>05KK</t>
  </si>
  <si>
    <t>’n Baoken</t>
  </si>
  <si>
    <t>Heggelkampsweg 4</t>
  </si>
  <si>
    <t>7636 RB</t>
  </si>
  <si>
    <t>Agelo</t>
  </si>
  <si>
    <t>0541 - 29 19 12</t>
  </si>
  <si>
    <t>Zw/w p/m</t>
  </si>
  <si>
    <t>kleur p/m</t>
  </si>
  <si>
    <t>Datum in gebruikname</t>
  </si>
  <si>
    <t>Zw/w p/j</t>
  </si>
  <si>
    <t>Kleur p/j</t>
  </si>
  <si>
    <t>Aantal maanden</t>
  </si>
  <si>
    <t>Afdrukprijs kleur</t>
  </si>
  <si>
    <t>Eenmalige implementatiekosten (uitrol)</t>
  </si>
  <si>
    <t>Eenmalige implementatiekosten (instructie en training)</t>
  </si>
  <si>
    <t xml:space="preserve"> (optioneel, telt niet mee in totaalprijs)</t>
  </si>
  <si>
    <r>
      <t>Meerprijs verhuizing</t>
    </r>
    <r>
      <rPr>
        <vertAlign val="superscript"/>
        <sz val="11"/>
        <rFont val="Calibri"/>
        <family val="2"/>
        <scheme val="minor"/>
      </rPr>
      <t>3</t>
    </r>
    <r>
      <rPr>
        <sz val="11"/>
        <rFont val="Calibri"/>
        <family val="2"/>
        <scheme val="minor"/>
      </rPr>
      <t xml:space="preserve"> van een MFP per keer </t>
    </r>
  </si>
  <si>
    <t>Totaalprijs</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</si>
  <si>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</si>
  <si>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</si>
  <si>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</si>
  <si>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</si>
  <si>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Uitsluitend de roze en groen gekleurde cellen onderaan de werkbladen dienen te worden ingevuld. Aan de hand van formules wordt onderin het werkblad de totaalprijs zichtbaar. Deze totaalprijs wordt gebruikt voor de beoordeling op prijs.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</si>
  <si>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</si>
  <si>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Invulcellen prijzen</t>
  </si>
  <si>
    <t>Software</t>
  </si>
  <si>
    <t>Optie jaar 1</t>
  </si>
  <si>
    <t>Optie jaar 2</t>
  </si>
  <si>
    <t>Eerste 48 maanden</t>
  </si>
  <si>
    <t>Afdrukprijs zwart/wit</t>
  </si>
  <si>
    <t>Optionele Software</t>
  </si>
  <si>
    <t>Scan to Google Drive / My Google Drive (Eis O3) per MFP per maand</t>
  </si>
  <si>
    <t>Scan to Dropbox / My Dropbox (Eis O4) per MFP per maand</t>
  </si>
  <si>
    <t>OCR scannen naar MS Office (Eis O5) per MFP per maand</t>
  </si>
  <si>
    <t>OCR scannen naar Searchable pdf en pdf/A (Eis O6) per MFP per maand</t>
  </si>
  <si>
    <t>Pull printing (Eis O8) per MFP per maand</t>
  </si>
  <si>
    <t>Aantal afdrukken</t>
  </si>
  <si>
    <t>kleur 48 maanden</t>
  </si>
  <si>
    <t>Model 1
(eis M1 t/m M27)</t>
  </si>
  <si>
    <t>Model 2
(eis M1 t/m M27)</t>
  </si>
  <si>
    <t>Aantal zw/w afdrukken per optiejaar M1</t>
  </si>
  <si>
    <t>Aantal kleur afdrukken per optiejaar M1</t>
  </si>
  <si>
    <t>Aantal zw/w afdrukken per optiejaar M2</t>
  </si>
  <si>
    <t>Aantal kleur afdrukken per optiejaar M2</t>
  </si>
  <si>
    <t># kleur afdrukken eerste 48 mnd M2</t>
  </si>
  <si>
    <t># zw/w afdrukken eerste 48 mnd M1</t>
  </si>
  <si>
    <t># kleur afdrukken eerste 48 mnd M1</t>
  </si>
  <si>
    <t># zw/w afdrukken eerste 48 mnd M2</t>
  </si>
  <si>
    <r>
      <t>De opgegeven prijzen zijn conform het gestelde in de Uitnodiging to</t>
    </r>
    <r>
      <rPr>
        <sz val="11"/>
        <rFont val="Calibri"/>
        <family val="2"/>
        <scheme val="minor"/>
      </rPr>
      <t>t Inschrijving (3.7.7)</t>
    </r>
    <r>
      <rPr>
        <sz val="11"/>
        <color theme="1"/>
        <rFont val="Calibri Light"/>
        <family val="2"/>
      </rPr>
      <t xml:space="preserve"> en het Programma van Eisen (o.a. Commerciële eisen). 
</t>
    </r>
  </si>
  <si>
    <t xml:space="preserve">Onderaan het tabblad "Prijzenblad" staan enkele voetnoten vermeld. Deze verschaffen de Inschrijver extra informatie over de op te geven prijzen. Elke Inschrijver wordt geadviseerd hier grondig kennis van te nemen.
</t>
  </si>
  <si>
    <r>
      <t>Leaseprijs</t>
    </r>
    <r>
      <rPr>
        <vertAlign val="superscript"/>
        <sz val="11"/>
        <color theme="1"/>
        <rFont val="Calibri Light"/>
        <family val="2"/>
      </rPr>
      <t>1</t>
    </r>
    <r>
      <rPr>
        <sz val="11"/>
        <color theme="1"/>
        <rFont val="Calibri Light"/>
        <family val="2"/>
      </rPr>
      <t xml:space="preserve"> per MFP model 2 per maand </t>
    </r>
  </si>
  <si>
    <r>
      <t xml:space="preserve"> Leaseprijs</t>
    </r>
    <r>
      <rPr>
        <vertAlign val="superscript"/>
        <sz val="11"/>
        <color theme="1"/>
        <rFont val="Calibri Light"/>
        <family val="2"/>
      </rPr>
      <t>1</t>
    </r>
    <r>
      <rPr>
        <sz val="11"/>
        <color theme="1"/>
        <rFont val="Calibri Light"/>
        <family val="2"/>
      </rPr>
      <t xml:space="preserve"> per MFP model 1 per maand </t>
    </r>
  </si>
  <si>
    <t>Totaal model 2: Leaseprijs alle machines</t>
  </si>
  <si>
    <t>Totaal model 1: Leaseprijs alle machines</t>
  </si>
  <si>
    <t xml:space="preserve">Afdrukkosten zwart/wit </t>
  </si>
  <si>
    <t>Afdrukken kleur</t>
  </si>
  <si>
    <t>Subtotaal</t>
  </si>
  <si>
    <t>Omschrijving</t>
  </si>
  <si>
    <t>zwart/wit per optiejaar</t>
  </si>
  <si>
    <t>kleur per optiejaar</t>
  </si>
  <si>
    <t>Software per MFP (ongeacht model) per maand (Eis S1 t/m S17))</t>
  </si>
  <si>
    <t>Pakket 1</t>
  </si>
  <si>
    <t>Pakket 2</t>
  </si>
  <si>
    <t>Pakket 3</t>
  </si>
  <si>
    <t>Pakket 4</t>
  </si>
  <si>
    <t>Pakket 5</t>
  </si>
  <si>
    <t>Pakket 6</t>
  </si>
  <si>
    <t>Pakket 7</t>
  </si>
  <si>
    <t>Pakket 8</t>
  </si>
  <si>
    <t>Scan to Sharepoint online / My Sharepoint online (Eis O7) per MFP per maand</t>
  </si>
  <si>
    <t>Scan to OneDrive for business/ My OneDrive for business (Eis O9) per MFP per maand</t>
  </si>
  <si>
    <t>Scan to OneDrive / My OneDrive (Eis O2) per MFP per maand</t>
  </si>
  <si>
    <t>Prijs per maand per MFP tijdens de optiejaren</t>
  </si>
  <si>
    <t>Prijs per maand per MFP tijdens de eerste 48 maanden</t>
  </si>
  <si>
    <t>Meerprijs perforatie unit (2-gaats) model 1 per MFP per maand</t>
  </si>
  <si>
    <t>Meerprijs perforatie unit (2-gaats) model 2 per MFP per maand</t>
  </si>
  <si>
    <t>Meerprijs niet/vouw finisher (bookletmaker³) model 1 per MFP per maand</t>
  </si>
  <si>
    <t>Meerprijs niet/vouw finisher (bookletmaker³) model 2 per MFP per maand</t>
  </si>
  <si>
    <t>Meerprijs externe finisher bij model 1 per MFP per maand</t>
  </si>
  <si>
    <t>Meerprijs externe finisher bij model 2 per MFP per maand</t>
  </si>
  <si>
    <t>Bulklade bij model 1 in plaats van lade 3 + 4 per MFP per maand</t>
  </si>
  <si>
    <t>Bulklade bij model 2 in plaats van lade 3 + 4 per MFP per maand</t>
  </si>
  <si>
    <t>Invullen pakketten</t>
  </si>
  <si>
    <t xml:space="preserve">De groene cellen van alle tabbladen dienen te worden ingevuld. Alleen een bedrag (in cijfers) mag worden ingevuld. Een negatief bedrag is niet toegestaan. De opgegeven prijzen dienen reëel en waar te maken zijn.
</t>
  </si>
  <si>
    <t xml:space="preserve">De licht roze cellen op alle tabbladen dienen te worden ingevuld. Alleen een bedrag (in cijfers) mag worden ingevuld. Een negatief bedrag is niet toegestaan. De opgegeven prijzen dienen reëel en waar te maken zijn. Deze bedragen worden niet meegerekend in de Totaalprijs. Iedere Stichting kan te zijner tijd besluiten of zij gebruik wenst te maken van de hier opgegeven opties. De prijs is net als alle andere prijzen vast gedurende de looptijd van de Overeenkomst.
</t>
  </si>
  <si>
    <r>
      <rPr>
        <vertAlign val="superscript"/>
        <sz val="10"/>
        <color theme="1"/>
        <rFont val="Calibri"/>
        <family val="2"/>
        <scheme val="minor"/>
      </rPr>
      <t>1</t>
    </r>
    <r>
      <rPr>
        <sz val="10"/>
        <color theme="1"/>
        <rFont val="Calibri Light"/>
        <family val="2"/>
      </rPr>
      <t xml:space="preserve"> De opgegeven prijzen dienen te voldoen aan de eisen zoals gesteld in de Uitnodiging tot Inschrijving.</t>
    </r>
  </si>
  <si>
    <r>
      <rPr>
        <vertAlign val="superscript"/>
        <sz val="10"/>
        <color theme="1"/>
        <rFont val="Calibri"/>
        <family val="2"/>
        <scheme val="minor"/>
      </rPr>
      <t xml:space="preserve">2 </t>
    </r>
    <r>
      <rPr>
        <sz val="10"/>
        <color theme="1"/>
        <rFont val="Calibri Light"/>
        <family val="2"/>
      </rPr>
      <t xml:space="preserve">Het gaat hierbij om een verhuizing tussen Locaties van de Opdrachtgever bovenop het aantal verhuizingen genoemd in de Uitnodiging tot Inschrijving. Het apparaat wordt ontkoppeld verplaatst en opnieuw aangesloten, gereed voor gebruik. </t>
    </r>
  </si>
  <si>
    <r>
      <rPr>
        <vertAlign val="superscript"/>
        <sz val="10"/>
        <color theme="1"/>
        <rFont val="Calibri"/>
        <family val="2"/>
        <scheme val="minor"/>
      </rPr>
      <t xml:space="preserve">3 </t>
    </r>
    <r>
      <rPr>
        <sz val="10"/>
        <color theme="1"/>
        <rFont val="Calibri Light"/>
        <family val="2"/>
      </rPr>
      <t>Het betreft een functie waarbij een A4 vel gevouwen wordt en een nietje in de rug van gevouwen boekje wordt geplaatst. De opgegeven prijs is de meerprijs ten opzichte van de standaardfinisher die is uitgevraagd in de Uitnodiging tot Inschrijving.</t>
    </r>
  </si>
  <si>
    <t xml:space="preserve">7581 TX </t>
  </si>
  <si>
    <t xml:space="preserve">De licht groene cellen op alle tabbladen dienen te worden ingevuld (door een kruisje te zetten). In het Programma van Eisen (Bijlage 5 uit de Uitnodiging tot Inschrijving) worden alle Optionele Software eisen weergegeven, deze eisen zijn ook zichtbaar in alle tabbladen van dit rekenblad. Aangezien sommige Inschrijvers deze eisen het liefst in een pakket willen aanbieden en daar geen standaard voor is dienen de Inschrijvers zelf een aantal pakketten (of 1 pakket) samen te stellen. De pakketten kunnen samengesteld worden door per Optionele Software eis een kruisje te zetten in welk pakket deze eis zit. Dit betekent dat er meerdere eisen kunnen zitten in 1 pakket, maar het kan ook zijn dat alle eisen apart in een pakket worden aangeboden. Hieronder worden twee voorbeelden gepresenteerd ter verduidelijking.
Opdrachtgever is op zoek naar pakketten waar zo min mogelijk overlap van de Optionele Software eisen in zit. Echter alle eisen dienen wel minimaal in 1 pakket te zitten. Bij de berekening van de totaalprijs wordt er vanuit gegaan dat Opdrachtgever alle pakketten zal afnemen. Dit wordt gedaan om alle Inschrijvingen goed 1 op 1 te kunnen vergelijken. Of er naderhand daadwerkelijk 1 of meerdere pakketten worden afgenomen is niet zeker.
Tip! Mocht Inschrijver standaard pakketten hebben die uitgebreider zijn dan de Optionele Software eisen kan dit bij de beantwoording van vraag 6 uit tabel 10  over de toegevoegde waarde (§3 van de Uitnodiging tot Inschrijving) worden aangegeven.
</t>
  </si>
  <si>
    <t>zwart/wit 48 maanden</t>
  </si>
  <si>
    <t>Totale implementatiekosten (éénmalig)</t>
  </si>
  <si>
    <t>Uitrol</t>
  </si>
  <si>
    <t>Instructie en training</t>
  </si>
  <si>
    <t>Licentie en maintenance kosten voor Software</t>
  </si>
  <si>
    <t>Kosten voor Software per MFP (ongeacht model) per maand (Eis S1 t/m S17))</t>
  </si>
  <si>
    <t>Afdrukprijs per Afdruk voor zwart/wit en kleur</t>
  </si>
  <si>
    <t>De huurcomponent (hardware)</t>
  </si>
  <si>
    <t>Overige opties</t>
  </si>
  <si>
    <t>Meerprijs verhuizing² van een MFP (Eis C10) per keer</t>
  </si>
  <si>
    <t>De Boomhut</t>
  </si>
  <si>
    <t>De Zwaluw</t>
  </si>
  <si>
    <t>Koekoekslaan 2a</t>
  </si>
  <si>
    <t>7475 CN</t>
  </si>
  <si>
    <t>7484 CT</t>
  </si>
  <si>
    <t>Gronausetsraat 57</t>
  </si>
  <si>
    <t>7581 CD</t>
  </si>
  <si>
    <t>Lariksstraat 12</t>
  </si>
  <si>
    <t>7573 DE</t>
  </si>
  <si>
    <t>542 - 53 24 18</t>
  </si>
  <si>
    <t>7588 AL</t>
  </si>
  <si>
    <t>542 - 55 15 07</t>
  </si>
  <si>
    <t>7578 PL</t>
  </si>
  <si>
    <t>542 - 51 34 60</t>
  </si>
  <si>
    <t>7578 NR</t>
  </si>
  <si>
    <t>542 - 58 05 80</t>
  </si>
  <si>
    <t>7575 TX</t>
  </si>
  <si>
    <t>7596 AM</t>
  </si>
  <si>
    <t>7633 GR</t>
  </si>
  <si>
    <t>10PS</t>
  </si>
  <si>
    <t>7571 DE</t>
  </si>
  <si>
    <t>Stafbureau KONOT</t>
  </si>
  <si>
    <t>Optionele Software / Hardware</t>
  </si>
  <si>
    <t>Paslezer t.b.v. identificatie met smartphone (Eis  S1) per MFP per maand</t>
  </si>
  <si>
    <t>Voor alle Locaties (dus alle MFP's), later op factuur te specificeren per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</si>
</sst>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413]\ * #,##0.00_ ;_ [$€-413]\ * \-#,##0.00_ ;_ [$€-413]\ * &quot;-&quot;??_ ;_ @_ "/>
    <numFmt numFmtId="167" formatCode="_ [$€-2]\ * #,##0.00_ ;_ [$€-2]\ * \-#,##0.00_ ;_ [$€-2]\ * &quot;-&quot;??_ ;_ @_ "/>
    <numFmt numFmtId="168" formatCode="&quot;zw/w tot&quot;\ d/m/yyyy"/>
  </numFmts>
  <fonts count="20" x14ac:knownFonts="1">
    <font>
      <sz val="11"/>
      <color theme="1"/>
      <name val="Calibri Light"/>
      <family val="2"/>
    </font>
    <font>
      <sz val="11"/>
      <color theme="1"/>
      <name val="Calibri Light"/>
      <family val="2"/>
    </font>
    <font>
      <sz val="8"/>
      <name val="Calibri Light"/>
      <family val="2"/>
    </font>
    <font>
      <sz val="11"/>
      <name val="Calibri Light"/>
      <family val="2"/>
    </font>
    <font>
      <b/>
      <sz val="11"/>
      <color theme="1"/>
      <name val="Calibri Light"/>
      <family val="2"/>
    </font>
    <font>
      <sz val="10"/>
      <color theme="1"/>
      <name val="Calibri Light"/>
      <family val="2"/>
    </font>
    <font>
      <vertAlign val="superscript"/>
      <sz val="11"/>
      <name val="Calibri"/>
      <family val="2"/>
      <scheme val="minor"/>
    </font>
    <font>
      <sz val="11"/>
      <name val="Calibri"/>
      <family val="2"/>
      <scheme val="minor"/>
    </font>
    <font>
      <sz val="18"/>
      <color theme="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b/>
      <sz val="16"/>
      <name val="Calibri"/>
      <family val="2"/>
      <scheme val="minor"/>
    </font>
    <font>
      <b/>
      <sz val="10"/>
      <color theme="0"/>
      <name val="Calibri"/>
      <family val="2"/>
      <scheme val="minor"/>
    </font>
    <font>
      <sz val="11"/>
      <color rgb="FFFF0000"/>
      <name val="Calibri Light"/>
      <family val="2"/>
    </font>
    <font>
      <vertAlign val="superscript"/>
      <sz val="11"/>
      <color theme="1"/>
      <name val="Calibri Light"/>
      <family val="2"/>
    </font>
    <font>
      <b/>
      <sz val="11"/>
      <name val="Calibri Light"/>
      <family val="2"/>
    </font>
    <font>
      <b/>
      <sz val="18"/>
      <name val="Calibri"/>
      <family val="2"/>
      <scheme val="minor"/>
    </font>
    <font>
      <sz val="14"/>
      <color rgb="FFFF0000"/>
      <name val="Calibri Light"/>
      <family val="2"/>
    </font>
    <font>
      <vertAlign val="superscript"/>
      <sz val="10"/>
      <color theme="1"/>
      <name val="Calibri"/>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theme="2" tint="-4.9989318521683403E-2"/>
        <bgColor indexed="64"/>
      </patternFill>
    </fill>
    <fill>
      <patternFill patternType="solid">
        <fgColor rgb="FF00FF99"/>
        <bgColor indexed="64"/>
      </patternFill>
    </fill>
    <fill>
      <patternFill patternType="solid">
        <fgColor rgb="FFFFC000"/>
        <bgColor theme="4"/>
      </patternFill>
    </fill>
    <fill>
      <patternFill patternType="solid">
        <fgColor rgb="FFFFC000"/>
        <bgColor indexed="64"/>
      </patternFill>
    </fill>
    <fill>
      <patternFill patternType="solid">
        <fgColor rgb="FFCDFFEC"/>
        <bgColor indexed="64"/>
      </patternFill>
    </fill>
    <fill>
      <patternFill patternType="solid">
        <fgColor rgb="FFFFEFFF"/>
        <bgColor indexed="64"/>
      </patternFill>
    </fill>
    <fill>
      <patternFill patternType="solid">
        <fgColor rgb="FFCDFFEB"/>
        <bgColor indexed="64"/>
      </patternFill>
    </fill>
    <fill>
      <patternFill patternType="solid">
        <fgColor theme="7" tint="-0.249977111117893"/>
        <bgColor indexed="64"/>
      </patternFill>
    </fill>
    <fill>
      <patternFill patternType="solid">
        <fgColor theme="5"/>
        <bgColor indexed="64"/>
      </patternFill>
    </fill>
    <fill>
      <patternFill patternType="solid">
        <fgColor theme="0" tint="-0.3499862666707357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theme="4" tint="0.39997558519241921"/>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164" fontId="0" fillId="0" borderId="0" xfId="1" applyNumberFormat="1" applyFont="1"/>
    <xf numFmtId="3" fontId="0" fillId="0" borderId="0" xfId="0" applyNumberFormat="1"/>
    <xf numFmtId="164" fontId="0" fillId="0" borderId="0" xfId="0" applyNumberFormat="1"/>
    <xf numFmtId="14" fontId="0" fillId="0" borderId="0" xfId="0" applyNumberFormat="1"/>
    <xf numFmtId="164" fontId="0" fillId="0" borderId="0" xfId="0" applyNumberFormat="1" applyFont="1"/>
    <xf numFmtId="0" fontId="3" fillId="0" borderId="0" xfId="0" applyFont="1"/>
    <xf numFmtId="0" fontId="0" fillId="0" borderId="0" xfId="0" applyAlignment="1">
      <alignment horizontal="right"/>
    </xf>
    <xf numFmtId="3" fontId="0" fillId="0" borderId="0" xfId="1" applyNumberFormat="1" applyFont="1"/>
    <xf numFmtId="0" fontId="5" fillId="0" borderId="0" xfId="0" applyFont="1" applyAlignment="1">
      <alignment horizontal="left" vertical="center"/>
    </xf>
    <xf numFmtId="0" fontId="5" fillId="0" borderId="0" xfId="0" applyFont="1" applyFill="1" applyAlignment="1">
      <alignment horizontal="left" vertical="center" wrapText="1"/>
    </xf>
    <xf numFmtId="44" fontId="0" fillId="0" borderId="0" xfId="2" applyFont="1" applyFill="1" applyBorder="1" applyProtection="1">
      <protection locked="0"/>
    </xf>
    <xf numFmtId="164" fontId="0" fillId="0" borderId="0" xfId="1" applyNumberFormat="1" applyFont="1" applyProtection="1">
      <protection hidden="1"/>
    </xf>
    <xf numFmtId="0" fontId="0" fillId="0" borderId="0" xfId="0" applyProtection="1">
      <protection hidden="1"/>
    </xf>
    <xf numFmtId="44" fontId="8" fillId="0" borderId="0" xfId="0" applyNumberFormat="1" applyFont="1" applyAlignment="1" applyProtection="1">
      <alignment horizontal="center"/>
      <protection hidden="1"/>
    </xf>
    <xf numFmtId="167" fontId="0" fillId="0" borderId="0" xfId="0" applyNumberFormat="1" applyProtection="1">
      <protection hidden="1"/>
    </xf>
    <xf numFmtId="164" fontId="0" fillId="0" borderId="0" xfId="1" applyNumberFormat="1" applyFont="1" applyAlignment="1" applyProtection="1">
      <alignment vertical="center"/>
      <protection hidden="1"/>
    </xf>
    <xf numFmtId="0" fontId="0" fillId="0" borderId="0" xfId="0" applyAlignment="1" applyProtection="1">
      <alignment horizontal="center"/>
      <protection hidden="1"/>
    </xf>
    <xf numFmtId="0" fontId="0" fillId="0" borderId="0" xfId="0" applyAlignment="1">
      <alignment horizontal="right"/>
    </xf>
    <xf numFmtId="0" fontId="0" fillId="0" borderId="1" xfId="0" applyBorder="1" applyAlignment="1">
      <alignment wrapText="1"/>
    </xf>
    <xf numFmtId="0" fontId="0" fillId="0" borderId="1" xfId="0" applyBorder="1" applyAlignment="1">
      <alignment vertical="top" wrapText="1"/>
    </xf>
    <xf numFmtId="0" fontId="9" fillId="0" borderId="1" xfId="0" applyFont="1" applyFill="1" applyBorder="1" applyAlignment="1">
      <alignment vertical="center"/>
    </xf>
    <xf numFmtId="44" fontId="9" fillId="0" borderId="1" xfId="2" applyFont="1" applyFill="1" applyBorder="1" applyAlignment="1" applyProtection="1">
      <alignment vertical="center" wrapText="1"/>
      <protection locked="0"/>
    </xf>
    <xf numFmtId="0" fontId="0" fillId="0" borderId="0" xfId="0" applyAlignment="1">
      <alignment horizontal="right"/>
    </xf>
    <xf numFmtId="0" fontId="4" fillId="0" borderId="0" xfId="0" applyFont="1" applyAlignment="1">
      <alignment horizontal="right"/>
    </xf>
    <xf numFmtId="44" fontId="7" fillId="0" borderId="0" xfId="2" applyFont="1" applyFill="1" applyBorder="1" applyAlignment="1" applyProtection="1">
      <alignment horizontal="center"/>
      <protection locked="0"/>
    </xf>
    <xf numFmtId="0" fontId="0" fillId="0" borderId="0" xfId="0" applyAlignment="1">
      <alignment horizontal="center"/>
    </xf>
    <xf numFmtId="0" fontId="0" fillId="0" borderId="0" xfId="0" applyAlignment="1">
      <alignment horizontal="center" vertical="center"/>
    </xf>
    <xf numFmtId="166" fontId="7" fillId="0" borderId="0" xfId="2" applyNumberFormat="1" applyFont="1" applyFill="1" applyBorder="1" applyAlignment="1" applyProtection="1">
      <alignment horizontal="center"/>
      <protection locked="0"/>
    </xf>
    <xf numFmtId="164" fontId="0" fillId="2" borderId="1" xfId="0" applyNumberFormat="1" applyFill="1" applyBorder="1" applyAlignment="1" applyProtection="1">
      <alignment vertical="center"/>
      <protection hidden="1"/>
    </xf>
    <xf numFmtId="164" fontId="0" fillId="0" borderId="0" xfId="0" applyNumberFormat="1" applyAlignment="1">
      <alignment horizontal="center"/>
    </xf>
    <xf numFmtId="0" fontId="0" fillId="0" borderId="0" xfId="0" applyAlignment="1"/>
    <xf numFmtId="0" fontId="0" fillId="0" borderId="0" xfId="0" applyFill="1" applyBorder="1" applyAlignment="1" applyProtection="1">
      <protection hidden="1"/>
    </xf>
    <xf numFmtId="0" fontId="0" fillId="0" borderId="0" xfId="0" applyAlignment="1">
      <alignment wrapText="1"/>
    </xf>
    <xf numFmtId="14" fontId="0" fillId="0" borderId="0" xfId="0" applyNumberFormat="1" applyAlignment="1">
      <alignment horizontal="center" vertical="center"/>
    </xf>
    <xf numFmtId="164" fontId="0" fillId="0" borderId="0" xfId="1" applyNumberFormat="1" applyFont="1" applyAlignment="1">
      <alignment horizontal="center" vertical="center"/>
    </xf>
    <xf numFmtId="164" fontId="0" fillId="0" borderId="0" xfId="0" applyNumberFormat="1" applyAlignment="1">
      <alignment horizontal="center" vertical="center"/>
    </xf>
    <xf numFmtId="0" fontId="5" fillId="0" borderId="0" xfId="0" applyFont="1" applyAlignment="1">
      <alignment horizontal="left" vertical="center" wrapText="1"/>
    </xf>
    <xf numFmtId="164" fontId="0" fillId="0" borderId="0" xfId="0" applyNumberFormat="1" applyAlignment="1">
      <alignment vertical="top"/>
    </xf>
    <xf numFmtId="0" fontId="14" fillId="0" borderId="0" xfId="0" applyFont="1"/>
    <xf numFmtId="0" fontId="3" fillId="0" borderId="0" xfId="0" applyFont="1" applyAlignment="1"/>
    <xf numFmtId="0" fontId="14" fillId="0" borderId="0" xfId="0" applyFont="1" applyAlignment="1"/>
    <xf numFmtId="0" fontId="0" fillId="0" borderId="0" xfId="0" applyBorder="1" applyAlignment="1">
      <alignment horizontal="right"/>
    </xf>
    <xf numFmtId="0" fontId="0" fillId="0" borderId="0" xfId="0" applyAlignment="1" applyProtection="1">
      <alignment horizontal="left" wrapText="1"/>
      <protection hidden="1"/>
    </xf>
    <xf numFmtId="0" fontId="4" fillId="0" borderId="1" xfId="0" applyFont="1" applyBorder="1" applyAlignment="1">
      <alignment horizontal="center"/>
    </xf>
    <xf numFmtId="0" fontId="4" fillId="0" borderId="1" xfId="0" applyFont="1" applyBorder="1" applyAlignment="1">
      <alignment horizontal="center" wrapText="1"/>
    </xf>
    <xf numFmtId="0" fontId="0" fillId="0" borderId="0" xfId="0" applyBorder="1" applyAlignment="1">
      <alignment horizontal="center" vertical="center"/>
    </xf>
    <xf numFmtId="166" fontId="7" fillId="4" borderId="1" xfId="3" applyNumberFormat="1" applyFont="1" applyFill="1" applyBorder="1" applyAlignment="1" applyProtection="1">
      <alignment horizontal="center" vertical="center"/>
      <protection locked="0"/>
    </xf>
    <xf numFmtId="166" fontId="7" fillId="4" borderId="1" xfId="3" applyNumberFormat="1" applyFont="1" applyFill="1" applyBorder="1" applyAlignment="1" applyProtection="1">
      <alignment horizontal="center"/>
      <protection locked="0"/>
    </xf>
    <xf numFmtId="165" fontId="7" fillId="4" borderId="1" xfId="2" applyNumberFormat="1" applyFont="1" applyFill="1" applyBorder="1" applyAlignment="1" applyProtection="1">
      <alignment horizontal="center"/>
      <protection locked="0"/>
    </xf>
    <xf numFmtId="44" fontId="7" fillId="4" borderId="1" xfId="2" applyFont="1" applyFill="1" applyBorder="1" applyAlignment="1" applyProtection="1">
      <alignment horizontal="center"/>
      <protection locked="0"/>
    </xf>
    <xf numFmtId="44" fontId="7" fillId="4" borderId="1" xfId="2" applyNumberFormat="1" applyFont="1" applyFill="1" applyBorder="1" applyAlignment="1" applyProtection="1">
      <alignment horizontal="center"/>
      <protection locked="0"/>
    </xf>
    <xf numFmtId="164" fontId="4" fillId="2" borderId="1" xfId="0" applyNumberFormat="1" applyFont="1" applyFill="1" applyBorder="1" applyAlignment="1" applyProtection="1">
      <alignment vertical="center"/>
      <protection hidden="1"/>
    </xf>
    <xf numFmtId="0" fontId="0" fillId="3" borderId="5" xfId="0" applyFill="1" applyBorder="1" applyAlignment="1"/>
    <xf numFmtId="0" fontId="0" fillId="3" borderId="5" xfId="0" applyFont="1" applyFill="1" applyBorder="1" applyAlignment="1">
      <alignment horizontal="right"/>
    </xf>
    <xf numFmtId="44" fontId="0" fillId="3" borderId="5" xfId="0" applyNumberFormat="1" applyFont="1" applyFill="1" applyBorder="1" applyAlignment="1">
      <alignment horizontal="center"/>
    </xf>
    <xf numFmtId="0" fontId="0" fillId="0" borderId="5" xfId="0" applyBorder="1" applyAlignment="1"/>
    <xf numFmtId="0" fontId="0" fillId="0" borderId="5" xfId="0" applyFont="1" applyFill="1" applyBorder="1" applyAlignment="1">
      <alignment horizontal="right"/>
    </xf>
    <xf numFmtId="44" fontId="0" fillId="0" borderId="5" xfId="0" applyNumberFormat="1" applyFont="1" applyFill="1" applyBorder="1" applyAlignment="1">
      <alignment horizontal="center"/>
    </xf>
    <xf numFmtId="0" fontId="14" fillId="3" borderId="5" xfId="0" applyFont="1" applyFill="1" applyBorder="1" applyAlignment="1"/>
    <xf numFmtId="0" fontId="14" fillId="0" borderId="5" xfId="0" applyFont="1" applyBorder="1" applyAlignment="1"/>
    <xf numFmtId="0" fontId="3" fillId="3" borderId="5" xfId="0" applyFont="1" applyFill="1" applyBorder="1" applyAlignment="1">
      <alignment horizontal="right"/>
    </xf>
    <xf numFmtId="166" fontId="9" fillId="4" borderId="1" xfId="2" applyNumberFormat="1" applyFont="1" applyFill="1" applyBorder="1" applyAlignment="1" applyProtection="1">
      <alignment horizontal="left" vertical="center"/>
      <protection locked="0"/>
    </xf>
    <xf numFmtId="44" fontId="7" fillId="7" borderId="1" xfId="2" applyNumberFormat="1" applyFont="1" applyFill="1" applyBorder="1" applyAlignment="1" applyProtection="1">
      <alignment horizontal="center"/>
      <protection locked="0"/>
    </xf>
    <xf numFmtId="166" fontId="7" fillId="8" borderId="4" xfId="2" applyNumberFormat="1" applyFont="1" applyFill="1" applyBorder="1" applyAlignment="1" applyProtection="1">
      <alignment horizontal="center"/>
      <protection locked="0"/>
    </xf>
    <xf numFmtId="166" fontId="7" fillId="8" borderId="1" xfId="2" applyNumberFormat="1" applyFont="1" applyFill="1" applyBorder="1" applyAlignment="1" applyProtection="1">
      <alignment horizontal="center"/>
      <protection locked="0"/>
    </xf>
    <xf numFmtId="0" fontId="0" fillId="6" borderId="6" xfId="0" applyFill="1" applyBorder="1"/>
    <xf numFmtId="0" fontId="0" fillId="6" borderId="7" xfId="0" applyFill="1" applyBorder="1"/>
    <xf numFmtId="0" fontId="16" fillId="5" borderId="8" xfId="0" applyFont="1" applyFill="1" applyBorder="1"/>
    <xf numFmtId="0" fontId="16" fillId="5" borderId="7" xfId="0" applyFont="1" applyFill="1" applyBorder="1" applyAlignment="1">
      <alignment horizontal="center" wrapText="1"/>
    </xf>
    <xf numFmtId="0" fontId="16" fillId="5" borderId="7" xfId="0" applyFont="1" applyFill="1" applyBorder="1" applyAlignment="1">
      <alignment horizontal="center"/>
    </xf>
    <xf numFmtId="164" fontId="16" fillId="5" borderId="9" xfId="1" applyNumberFormat="1" applyFont="1" applyFill="1" applyBorder="1" applyAlignment="1">
      <alignment horizontal="center"/>
    </xf>
    <xf numFmtId="0" fontId="0" fillId="3" borderId="10" xfId="0" applyFill="1" applyBorder="1" applyAlignment="1"/>
    <xf numFmtId="44" fontId="4" fillId="3" borderId="11" xfId="2" applyNumberFormat="1" applyFont="1" applyFill="1" applyBorder="1"/>
    <xf numFmtId="0" fontId="0" fillId="0" borderId="10" xfId="0" applyBorder="1" applyAlignment="1"/>
    <xf numFmtId="44" fontId="4" fillId="0" borderId="11" xfId="2" applyNumberFormat="1" applyFont="1" applyFill="1" applyBorder="1"/>
    <xf numFmtId="0" fontId="14" fillId="3" borderId="10" xfId="0" applyFont="1" applyFill="1" applyBorder="1" applyAlignment="1"/>
    <xf numFmtId="0" fontId="14" fillId="0" borderId="10" xfId="0" applyFont="1" applyBorder="1" applyAlignment="1"/>
    <xf numFmtId="0" fontId="3" fillId="0" borderId="12" xfId="0" applyFont="1" applyBorder="1" applyAlignment="1"/>
    <xf numFmtId="0" fontId="3" fillId="0" borderId="13" xfId="0" applyFont="1" applyBorder="1" applyAlignment="1"/>
    <xf numFmtId="0" fontId="3" fillId="0" borderId="13" xfId="0" applyFont="1" applyFill="1" applyBorder="1" applyAlignment="1">
      <alignment horizontal="right"/>
    </xf>
    <xf numFmtId="44" fontId="4" fillId="0" borderId="14" xfId="2" applyNumberFormat="1" applyFont="1" applyFill="1" applyBorder="1"/>
    <xf numFmtId="44" fontId="9" fillId="8" borderId="1" xfId="2" applyFont="1" applyFill="1" applyBorder="1" applyAlignment="1" applyProtection="1">
      <alignment vertical="center" wrapText="1"/>
      <protection locked="0"/>
    </xf>
    <xf numFmtId="0" fontId="4" fillId="0" borderId="0" xfId="0" applyFont="1" applyBorder="1" applyAlignment="1">
      <alignment horizontal="right" vertical="center"/>
    </xf>
    <xf numFmtId="44" fontId="7" fillId="9" borderId="1" xfId="2" applyNumberFormat="1" applyFont="1" applyFill="1" applyBorder="1" applyAlignment="1" applyProtection="1">
      <alignment horizontal="center"/>
      <protection locked="0"/>
    </xf>
    <xf numFmtId="0" fontId="0" fillId="0" borderId="0" xfId="0" applyFill="1"/>
    <xf numFmtId="0" fontId="0" fillId="0" borderId="0" xfId="0" applyFill="1" applyBorder="1"/>
    <xf numFmtId="44" fontId="7" fillId="0" borderId="0" xfId="2" applyNumberFormat="1" applyFont="1" applyFill="1" applyBorder="1" applyAlignment="1" applyProtection="1">
      <alignment horizontal="center"/>
      <protection locked="0"/>
    </xf>
    <xf numFmtId="0" fontId="18" fillId="0" borderId="0" xfId="0" applyFont="1"/>
    <xf numFmtId="0" fontId="5" fillId="0" borderId="0" xfId="0" applyFont="1" applyProtection="1">
      <protection hidden="1"/>
    </xf>
    <xf numFmtId="0" fontId="5" fillId="0" borderId="0" xfId="0" applyFont="1" applyAlignment="1" applyProtection="1">
      <alignment horizontal="left"/>
      <protection hidden="1"/>
    </xf>
    <xf numFmtId="44" fontId="0" fillId="10" borderId="5" xfId="0" applyNumberFormat="1" applyFont="1" applyFill="1" applyBorder="1" applyAlignment="1">
      <alignment horizontal="center"/>
    </xf>
    <xf numFmtId="44" fontId="0" fillId="10" borderId="13" xfId="0" applyNumberFormat="1" applyFont="1" applyFill="1" applyBorder="1" applyAlignment="1">
      <alignment horizontal="center"/>
    </xf>
    <xf numFmtId="0" fontId="17" fillId="6" borderId="15" xfId="0" applyFont="1" applyFill="1" applyBorder="1" applyAlignment="1" applyProtection="1">
      <alignment horizontal="right"/>
      <protection hidden="1"/>
    </xf>
    <xf numFmtId="44" fontId="13" fillId="11" borderId="2" xfId="2" applyFont="1" applyFill="1" applyBorder="1" applyAlignment="1" applyProtection="1">
      <alignment horizontal="center" vertical="center"/>
      <protection hidden="1"/>
    </xf>
    <xf numFmtId="168" fontId="13" fillId="11" borderId="3" xfId="0" applyNumberFormat="1" applyFont="1" applyFill="1" applyBorder="1" applyAlignment="1" applyProtection="1">
      <alignment horizontal="center" vertical="center" wrapText="1"/>
      <protection hidden="1"/>
    </xf>
    <xf numFmtId="0" fontId="13" fillId="11" borderId="3" xfId="0" applyFont="1" applyFill="1" applyBorder="1" applyAlignment="1" applyProtection="1">
      <alignment horizontal="center" vertical="center" wrapText="1"/>
      <protection hidden="1"/>
    </xf>
    <xf numFmtId="0" fontId="13" fillId="11" borderId="4" xfId="0" applyFont="1" applyFill="1" applyBorder="1" applyAlignment="1" applyProtection="1">
      <alignment horizontal="center" vertical="center" wrapText="1"/>
      <protection hidden="1"/>
    </xf>
    <xf numFmtId="164" fontId="4" fillId="2" borderId="0" xfId="0" applyNumberFormat="1" applyFont="1" applyFill="1" applyBorder="1" applyAlignment="1" applyProtection="1">
      <alignment vertical="center"/>
      <protection hidden="1"/>
    </xf>
    <xf numFmtId="166" fontId="7" fillId="0" borderId="0" xfId="3" applyNumberFormat="1" applyFont="1" applyFill="1" applyBorder="1" applyAlignment="1" applyProtection="1">
      <alignment horizontal="center" vertical="center"/>
      <protection locked="0"/>
    </xf>
    <xf numFmtId="0" fontId="0" fillId="0" borderId="0" xfId="0" applyFill="1" applyAlignment="1">
      <alignment horizontal="right"/>
    </xf>
    <xf numFmtId="0" fontId="0" fillId="0" borderId="0" xfId="0" applyFill="1" applyBorder="1" applyAlignment="1">
      <alignment horizontal="right"/>
    </xf>
    <xf numFmtId="164" fontId="0" fillId="2" borderId="0" xfId="0" applyNumberFormat="1" applyFill="1" applyBorder="1" applyAlignment="1" applyProtection="1">
      <alignment vertical="center"/>
      <protection hidden="1"/>
    </xf>
    <xf numFmtId="165" fontId="7" fillId="0" borderId="0" xfId="2" applyNumberFormat="1" applyFont="1" applyFill="1" applyBorder="1" applyAlignment="1" applyProtection="1">
      <alignment horizontal="center"/>
      <protection locked="0"/>
    </xf>
    <xf numFmtId="44" fontId="13" fillId="11" borderId="2" xfId="2" applyFont="1" applyFill="1" applyBorder="1" applyAlignment="1" applyProtection="1">
      <alignment horizontal="center" vertical="center" wrapText="1"/>
      <protection hidden="1"/>
    </xf>
    <xf numFmtId="166" fontId="7" fillId="12" borderId="1" xfId="3" applyNumberFormat="1" applyFont="1" applyFill="1" applyBorder="1" applyAlignment="1" applyProtection="1">
      <alignment horizontal="center" vertical="center"/>
      <protection locked="0"/>
    </xf>
    <xf numFmtId="44" fontId="0" fillId="12" borderId="5" xfId="0" applyNumberFormat="1" applyFont="1" applyFill="1" applyBorder="1" applyAlignment="1">
      <alignment horizontal="center"/>
    </xf>
    <xf numFmtId="44" fontId="4" fillId="12" borderId="11" xfId="2" applyNumberFormat="1" applyFont="1" applyFill="1" applyBorder="1"/>
    <xf numFmtId="0" fontId="0" fillId="12" borderId="0" xfId="0" applyFill="1" applyAlignment="1">
      <alignment wrapText="1"/>
    </xf>
    <xf numFmtId="0" fontId="0" fillId="12" borderId="0" xfId="0" applyFill="1" applyBorder="1" applyAlignment="1">
      <alignment horizontal="right"/>
    </xf>
    <xf numFmtId="0" fontId="0" fillId="0" borderId="0" xfId="0" applyNumberFormat="1" applyAlignment="1">
      <alignment horizontal="center" vertical="top"/>
    </xf>
    <xf numFmtId="0" fontId="0" fillId="0" borderId="0" xfId="0" applyNumberFormat="1" applyAlignment="1">
      <alignment horizontal="center"/>
    </xf>
    <xf numFmtId="0" fontId="5" fillId="0" borderId="0" xfId="0" applyNumberFormat="1" applyFont="1" applyFill="1" applyAlignment="1">
      <alignment horizontal="left" vertical="center" wrapText="1"/>
    </xf>
    <xf numFmtId="0" fontId="0" fillId="0" borderId="0" xfId="0" applyNumberFormat="1" applyAlignment="1">
      <alignment horizontal="center" vertical="center"/>
    </xf>
    <xf numFmtId="0" fontId="12" fillId="11" borderId="1" xfId="0" applyFont="1" applyFill="1" applyBorder="1"/>
    <xf numFmtId="0" fontId="0" fillId="0" borderId="0" xfId="0" applyAlignment="1">
      <alignment horizontal="right"/>
    </xf>
    <xf numFmtId="44" fontId="9" fillId="9" borderId="1" xfId="2" applyFont="1" applyFill="1" applyBorder="1" applyAlignment="1" applyProtection="1">
      <alignment horizontal="center" vertical="center" wrapText="1"/>
      <protection locked="0"/>
    </xf>
    <xf numFmtId="0" fontId="0" fillId="0" borderId="1" xfId="0" applyBorder="1" applyAlignment="1">
      <alignment horizontal="left" vertical="top" wrapText="1"/>
    </xf>
    <xf numFmtId="44" fontId="17" fillId="6" borderId="16" xfId="2" applyFont="1" applyFill="1" applyBorder="1" applyAlignment="1" applyProtection="1">
      <alignment horizontal="center" vertical="center"/>
      <protection hidden="1"/>
    </xf>
    <xf numFmtId="44" fontId="17" fillId="6" borderId="17" xfId="2" applyFont="1" applyFill="1" applyBorder="1" applyAlignment="1" applyProtection="1">
      <alignment horizontal="center" vertical="center"/>
      <protection hidden="1"/>
    </xf>
    <xf numFmtId="0" fontId="0" fillId="0" borderId="0" xfId="0" applyAlignment="1">
      <alignment horizontal="right"/>
    </xf>
  </cellXfs>
  <cellStyles count="4">
    <cellStyle name="Komma" xfId="1" builtinId="3"/>
    <cellStyle name="Procent" xfId="3" builtinId="5"/>
    <cellStyle name="Standaard" xfId="0" builtinId="0"/>
    <cellStyle name="Valuta" xfId="2" builtinId="4"/>
  </cellStyles>
  <dxfs count="132">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3" formatCode="#,##0"/>
    </dxf>
    <dxf>
      <numFmt numFmtId="3" formatCode="#,##0"/>
    </dxf>
    <dxf>
      <numFmt numFmtId="3" formatCode="#,##0"/>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center" vertical="bottom" textRotation="0" wrapText="0" indent="0" justifyLastLine="0" shrinkToFit="0" readingOrder="0"/>
    </dxf>
    <dxf>
      <numFmt numFmtId="3" formatCode="#,##0"/>
    </dxf>
    <dxf>
      <border outline="0">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10"/>
        <color theme="1"/>
        <name val="Calibri Light"/>
        <family val="2"/>
        <scheme val="none"/>
      </font>
      <fill>
        <patternFill patternType="none">
          <fgColor indexed="64"/>
          <bgColor indexed="65"/>
        </patternFill>
      </fill>
      <alignment horizontal="left" vertical="center" textRotation="0" wrapText="1" indent="0" justifyLastLine="0" shrinkToFit="0" readingOrder="0"/>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dxf>
    <dxf>
      <font>
        <b val="0"/>
        <i val="0"/>
        <strike val="0"/>
        <condense val="0"/>
        <extend val="0"/>
        <outline val="0"/>
        <shadow val="0"/>
        <u val="none"/>
        <vertAlign val="baseline"/>
        <sz val="10"/>
        <color theme="1"/>
        <name val="Calibri Light"/>
        <family val="2"/>
        <scheme val="none"/>
      </font>
      <fill>
        <patternFill patternType="none">
          <fgColor indexed="64"/>
          <bgColor indexed="65"/>
        </patternFill>
      </fill>
      <alignment horizontal="left" vertical="center" textRotation="0" wrapText="1" indent="0" justifyLastLine="0" shrinkToFit="0" readingOrder="0"/>
    </dxf>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3" formatCode="#,##0"/>
    </dxf>
    <dxf>
      <numFmt numFmtId="3" formatCode="#,##0"/>
    </dxf>
    <dxf>
      <numFmt numFmtId="3" formatCode="#,##0"/>
    </dxf>
    <dxf>
      <numFmt numFmtId="3" formatCode="#,##0"/>
    </dxf>
    <dxf>
      <numFmt numFmtId="3" formatCode="#,##0"/>
    </dxf>
    <dxf>
      <numFmt numFmtId="164" formatCode="_ * #,##0_ ;_ * \-#,##0_ ;_ * &quot;-&quot;??_ ;_ @_ "/>
    </dxf>
    <dxf>
      <numFmt numFmtId="19" formatCode="d/m/yyyy"/>
    </dxf>
    <dxf>
      <numFmt numFmtId="164" formatCode="_ * #,##0_ ;_ * \-#,##0_ ;_ * &quot;-&quot;??_ ;_ @_ "/>
    </dxf>
    <dxf>
      <numFmt numFmtId="19" formatCode="d/m/yyyy"/>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3" formatCode="#,##0"/>
    </dxf>
    <dxf>
      <font>
        <b val="0"/>
        <i val="0"/>
        <strike val="0"/>
        <condense val="0"/>
        <extend val="0"/>
        <outline val="0"/>
        <shadow val="0"/>
        <u val="none"/>
        <vertAlign val="baseline"/>
        <sz val="10"/>
        <color theme="1"/>
        <name val="Calibri Light"/>
        <family val="2"/>
        <scheme val="none"/>
      </font>
      <fill>
        <patternFill patternType="none">
          <fgColor indexed="64"/>
          <bgColor indexed="65"/>
        </patternFill>
      </fill>
      <alignment horizontal="left" vertical="center" textRotation="0" wrapText="1"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dxf>
    <dxf>
      <font>
        <strike val="0"/>
        <outline val="0"/>
        <shadow val="0"/>
        <u val="none"/>
        <vertAlign val="baseline"/>
        <sz val="10"/>
        <color theme="1"/>
      </font>
      <fill>
        <patternFill patternType="none">
          <fgColor indexed="64"/>
          <bgColor auto="1"/>
        </patternFill>
      </fill>
      <alignment horizontal="left" vertical="center" textRotation="0" wrapText="1" indent="0" justifyLastLine="0" shrinkToFit="0" readingOrder="0"/>
    </dxf>
  </dxfs>
  <tableStyles count="0" defaultTableStyle="TableStyleMedium2" defaultPivotStyle="PivotStyleLight16"/>
  <colors>
    <mruColors>
      <color rgb="FFCDFFEB"/>
      <color rgb="FFFFEFFF"/>
      <color rgb="FF00FF99"/>
      <color rgb="FFCDFFEC"/>
      <color rgb="FFFFCCFF"/>
      <color rgb="FFA7FFDB"/>
      <color rgb="FFEFFFF9"/>
      <color rgb="FFCE18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135148</xdr:colOff>
      <xdr:row>8</xdr:row>
      <xdr:rowOff>2746058</xdr:rowOff>
    </xdr:from>
    <xdr:to>
      <xdr:col>1</xdr:col>
      <xdr:colOff>7353300</xdr:colOff>
      <xdr:row>9</xdr:row>
      <xdr:rowOff>971176</xdr:rowOff>
    </xdr:to>
    <xdr:pic>
      <xdr:nvPicPr>
        <xdr:cNvPr id="5" name="Afbeelding 4">
          <a:extLst>
            <a:ext uri="{FF2B5EF4-FFF2-40B4-BE49-F238E27FC236}">
              <a16:creationId xmlns:a16="http://schemas.microsoft.com/office/drawing/2014/main" id="{9B040044-4FDE-4FF1-8DDF-48E3E258FF68}"/>
            </a:ext>
          </a:extLst>
        </xdr:cNvPr>
        <xdr:cNvPicPr>
          <a:picLocks noChangeAspect="1"/>
        </xdr:cNvPicPr>
      </xdr:nvPicPr>
      <xdr:blipFill rotWithShape="1">
        <a:blip xmlns:r="http://schemas.openxmlformats.org/officeDocument/2006/relationships" r:embed="rId1"/>
        <a:srcRect b="25143"/>
        <a:stretch/>
      </xdr:blipFill>
      <xdr:spPr>
        <a:xfrm>
          <a:off x="2221123" y="7965758"/>
          <a:ext cx="7218152" cy="342576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501831-FC0E-48D9-979B-EBA9A87B5908}" name="SKOLO" displayName="SKOLO" ref="A2:V9" totalsRowCount="1" headerRowDxfId="131">
  <autoFilter ref="A2:V8"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0C39DC90-4A28-49A7-8A7C-63721AC2C602}" name="BRIN" totalsRowLabel="Totaal"/>
    <tableColumn id="2" xr3:uid="{187D964B-CE85-470E-928F-C5A48DFE4C40}" name="Naam school" dataDxfId="130" dataCellStyle="Komma"/>
    <tableColumn id="3" xr3:uid="{ACBDCDE2-B427-4672-AD6B-BA3973BFCBA2}" name="Adres"/>
    <tableColumn id="4" xr3:uid="{6CA03EAC-7875-4A3F-BB6F-E25D4E793A20}" name="PC"/>
    <tableColumn id="5" xr3:uid="{DA3E7444-5F60-4F02-82DE-934A5CBC2D96}" name="Plaats"/>
    <tableColumn id="6" xr3:uid="{625FF3B3-5EA3-4758-9668-4F079A0F2C14}" name="Telefoon"/>
    <tableColumn id="10" xr3:uid="{04727A6C-FCA0-438E-AF4E-2ACAADBF3B6A}" name="Model 1_x000a_(eis M1 t/m M27)" totalsRowFunction="custom" dataDxfId="129" totalsRowDxfId="128">
      <calculatedColumnFormula>IF((SKOLO[[#This Row],[Zw/w p/j]]+SKOLO[[#This Row],[Kleur p/j]])&lt;$H$1,1,IF((SKOLO[[#This Row],[Zw/w p/j]]+SKOLO[[#This Row],[Kleur p/j]])&gt;$G$1,2,""))</calculatedColumnFormula>
      <totalsRowFormula>SUM(SKOLO[Model 1
(eis M1 t/m M27)])</totalsRowFormula>
    </tableColumn>
    <tableColumn id="14" xr3:uid="{BECC558B-3A02-4B2C-9F26-125C30EA087A}" name="Model 2_x000a_(eis M1 t/m M27)" totalsRowFunction="custom" dataDxfId="127" totalsRowDxfId="126">
      <calculatedColumnFormula>IF(AND(SKOLO[[#This Row],[Zw/w p/j]]+SKOLO[[#This Row],[Kleur p/j]]&gt;=$H$1,SKOLO[[#This Row],[Zw/w p/j]]+SKOLO[[#This Row],[Kleur p/j]]&lt;$G$1),1,"")</calculatedColumnFormula>
      <totalsRowFormula>SUM(SKOLO[Model 2
(eis M1 t/m M27)])</totalsRowFormula>
    </tableColumn>
    <tableColumn id="11" xr3:uid="{A7A382A9-D7D8-4B7F-9C82-4B7CE941AB69}" name="Datum in gebruikname" dataDxfId="125" totalsRowDxfId="124"/>
    <tableColumn id="8" xr3:uid="{0340CAB5-FB04-4E6C-9414-97DF5857A5DE}" name="Zw/w p/j" totalsRowFunction="custom" dataDxfId="123" totalsRowDxfId="122" dataCellStyle="Komma">
      <calculatedColumnFormula>SKOLO[[#This Row],[Zw/w p/m]]*12</calculatedColumnFormula>
      <totalsRowFormula>SUM(SKOLO[Zw/w p/j])</totalsRowFormula>
    </tableColumn>
    <tableColumn id="7" xr3:uid="{E1CFDB08-1088-4470-8F44-BF837186B8DE}" name="Kleur p/j" totalsRowFunction="custom" dataDxfId="121" totalsRowDxfId="120" dataCellStyle="Komma">
      <calculatedColumnFormula>SKOLO[[#This Row],[kleur p/m]]*12</calculatedColumnFormula>
      <totalsRowFormula>SUM(SKOLO[Kleur p/j])</totalsRowFormula>
    </tableColumn>
    <tableColumn id="12" xr3:uid="{9216B3BD-27C0-49CC-91CF-7D28552ED699}" name="Zw/w p/m" totalsRowFunction="sum" dataDxfId="119" totalsRowDxfId="118" dataCellStyle="Komma"/>
    <tableColumn id="13" xr3:uid="{D4A116E2-14C4-4703-B53D-5E4E3F2DFAC8}" name="kleur p/m" totalsRowFunction="sum" dataDxfId="117" totalsRowDxfId="116" dataCellStyle="Komma"/>
    <tableColumn id="9" xr3:uid="{C0CBDF7B-46B3-437F-A22F-DFAEF488CA67}" name="Aantal maanden" totalsRowFunction="sum" dataDxfId="115" totalsRowDxfId="114" dataCellStyle="Komma"/>
    <tableColumn id="15" xr3:uid="{824BA721-DD73-4063-B594-2FFB51E088EF}" name="# zw/w afdrukken eerste 48 mnd M1" totalsRowFunction="sum" dataDxfId="113" totalsRowDxfId="112" dataCellStyle="Komma">
      <calculatedColumnFormula>IF(SKOLO[[#This Row],[Model 1
(eis M1 t/m M27)]]="","",SKOLO[[#This Row],[Zw/w p/m]]*SKOLO[[#This Row],[Aantal maanden]])</calculatedColumnFormula>
    </tableColumn>
    <tableColumn id="16" xr3:uid="{CADE8F89-1940-4F71-9C42-BCC1A769E490}" name="# kleur afdrukken eerste 48 mnd M1" totalsRowFunction="sum" dataDxfId="111" totalsRowDxfId="110" dataCellStyle="Komma">
      <calculatedColumnFormula>IF(SKOLO[[#This Row],[Model 1
(eis M1 t/m M27)]]="","",SKOLO[[#This Row],[kleur p/m]]*SKOLO[[#This Row],[Aantal maanden]])</calculatedColumnFormula>
    </tableColumn>
    <tableColumn id="17" xr3:uid="{7C0AE6C0-2647-4491-8709-73C5D3CE0F47}" name="# zw/w afdrukken eerste 48 mnd M2" totalsRowFunction="sum" dataDxfId="109" totalsRowDxfId="108" dataCellStyle="Komma">
      <calculatedColumnFormula>IF(SKOLO[[#This Row],[Model 2
(eis M1 t/m M27)]]="","",SKOLO[[#This Row],[Zw/w p/m]]*SKOLO[[#This Row],[Aantal maanden]])</calculatedColumnFormula>
    </tableColumn>
    <tableColumn id="18" xr3:uid="{2ADEA285-604B-40A5-A99C-2A8E0E7C5A54}" name="# kleur afdrukken eerste 48 mnd M2" totalsRowFunction="sum" dataDxfId="107" totalsRowDxfId="106" dataCellStyle="Komma">
      <calculatedColumnFormula>IF(SKOLO[[#This Row],[Model 2
(eis M1 t/m M27)]]="","",SKOLO[[#This Row],[kleur p/m]]*SKOLO[[#This Row],[Aantal maanden]])</calculatedColumnFormula>
    </tableColumn>
    <tableColumn id="21" xr3:uid="{6EF3A3D9-43E8-4657-876C-976FB83E02FD}" name="Aantal zw/w afdrukken per optiejaar M1" totalsRowFunction="sum" dataDxfId="105" totalsRowDxfId="104" dataCellStyle="Komma">
      <calculatedColumnFormula>IF(SKOLO[[#This Row],[Model 1
(eis M1 t/m M27)]]="","",SKOLO[[#This Row],[Zw/w p/j]])</calculatedColumnFormula>
    </tableColumn>
    <tableColumn id="22" xr3:uid="{D4E65E12-2523-486E-8C91-DFECDA45B9BD}" name="Aantal kleur afdrukken per optiejaar M1" totalsRowFunction="sum" dataDxfId="103" totalsRowDxfId="102" dataCellStyle="Komma">
      <calculatedColumnFormula>IF(SKOLO[[#This Row],[Model 1
(eis M1 t/m M27)]]="","",SKOLO[[#This Row],[Kleur p/j]])</calculatedColumnFormula>
    </tableColumn>
    <tableColumn id="25" xr3:uid="{E40EDA3E-D19B-45A8-AFC7-BBFD1A735148}" name="Aantal zw/w afdrukken per optiejaar M2" totalsRowFunction="sum" dataDxfId="101" totalsRowDxfId="100" dataCellStyle="Komma">
      <calculatedColumnFormula>IF(SKOLO[[#This Row],[Model 2
(eis M1 t/m M27)]]="","",SKOLO[[#This Row],[Zw/w p/j]])</calculatedColumnFormula>
    </tableColumn>
    <tableColumn id="26" xr3:uid="{011E1BDF-BDD0-4097-AA37-BC4FDF25BB8A}" name="Aantal kleur afdrukken per optiejaar M2" totalsRowFunction="sum" dataDxfId="99" totalsRowDxfId="98" dataCellStyle="Komma">
      <calculatedColumnFormula>IF(SKOLO[[#This Row],[Model 2
(eis M1 t/m M27)]]="","",SKOLO[[#This Row],[Kleur p/j]])</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447C3B8-51FD-48EB-90F1-2E06057EBBB7}" name="Konot" displayName="Konot" ref="A1:V34" totalsRowCount="1" headerRowDxfId="97">
  <autoFilter ref="A1:V33" xr:uid="{DF13A21A-464B-434F-8A8B-FFD5EB1CEA8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012199D4-BF7E-4AA1-AD59-F560C49C1F5D}" name="BRIN" totalsRowLabel="Totaal"/>
    <tableColumn id="2" xr3:uid="{C3D4046B-4351-4CCF-89A4-047B63B03051}" name="Naam school" dataDxfId="96"/>
    <tableColumn id="3" xr3:uid="{03A52F2F-C0FD-4C16-8083-D48AF54A0681}" name="Adres"/>
    <tableColumn id="4" xr3:uid="{3ADE2354-3C29-4ECA-ABE1-043ABF9A1BFA}" name="PC"/>
    <tableColumn id="5" xr3:uid="{064603D6-9979-4AE5-A87F-67215F157654}" name="Plaats"/>
    <tableColumn id="6" xr3:uid="{2BB6FB4B-B162-401B-802C-4DF43E54D098}" name="Telefoon"/>
    <tableColumn id="10" xr3:uid="{83B23814-9255-4674-9411-AAA5689ACA42}" name="Model 1_x000a_(eis M1 t/m M27)" totalsRowFunction="custom" dataDxfId="95" totalsRowDxfId="94">
      <calculatedColumnFormula>IF((Konot[[#This Row],[Zw/w p/j]]+Konot[[#This Row],[Kleur p/j]])&lt;SKOLO!$H$1,1,IF((Konot[[#This Row],[Zw/w p/j]]+Konot[[#This Row],[Kleur p/j]])&gt;SKOLO!$G$1,2,""))</calculatedColumnFormula>
      <totalsRowFormula>SUM(Konot[Model 1
(eis M1 t/m M27)])</totalsRowFormula>
    </tableColumn>
    <tableColumn id="11" xr3:uid="{C356389F-41AB-4534-99BD-4B83C5F3F71E}" name="Model 2_x000a_(eis M1 t/m M27)" totalsRowFunction="custom" dataDxfId="93" totalsRowDxfId="92">
      <calculatedColumnFormula>IF(AND(Konot[[#This Row],[Zw/w p/j]]+Konot[[#This Row],[Kleur p/j]]&gt;=SKOLO!$H$1,Konot[[#This Row],[Zw/w p/j]]+Konot[[#This Row],[Kleur p/j]]&lt;SKOLO!$G$1),1,"")</calculatedColumnFormula>
      <totalsRowFormula>SUM(Konot[Model 2
(eis M1 t/m M27)])</totalsRowFormula>
    </tableColumn>
    <tableColumn id="12" xr3:uid="{C71B98EC-D34E-43BC-880B-0AAB22D256F7}" name="Datum in gebruikname"/>
    <tableColumn id="8" xr3:uid="{E7B41293-8781-424E-A637-397BBFC13D9D}" name="Zw/w p/j" totalsRowFunction="custom" dataDxfId="91" totalsRowDxfId="90">
      <calculatedColumnFormula>Konot[[#This Row],[Zw/w p/m]]*12</calculatedColumnFormula>
      <totalsRowFormula>SUM(J2:J33)</totalsRowFormula>
    </tableColumn>
    <tableColumn id="7" xr3:uid="{B8DF1DDF-B776-4AFA-AF72-A018CC701A0B}" name="Kleur p/j" totalsRowFunction="custom" dataDxfId="89" totalsRowDxfId="88">
      <calculatedColumnFormula>Konot[[#This Row],[kleur p/m]]*12</calculatedColumnFormula>
      <totalsRowFormula>SUM(K2:K33)</totalsRowFormula>
    </tableColumn>
    <tableColumn id="13" xr3:uid="{978E6B5D-A75E-493A-9E63-8D872455A935}" name="Zw/w p/m" totalsRowFunction="sum" dataDxfId="87" totalsRowDxfId="86"/>
    <tableColumn id="14" xr3:uid="{F7C755BA-8FEE-4611-8BE8-580351F77554}" name="kleur p/m" totalsRowFunction="sum" dataDxfId="85" totalsRowDxfId="84"/>
    <tableColumn id="9" xr3:uid="{7E9F0552-4B01-422F-9FE7-7929CE266EBF}" name="Aantal maanden" totalsRowFunction="custom" dataDxfId="83" totalsRowDxfId="82">
      <totalsRowFormula>SUM(N4:N33)</totalsRowFormula>
    </tableColumn>
    <tableColumn id="15" xr3:uid="{998C43D3-1C8E-4D97-BEA1-32ADEE74F0B0}" name="# zw/w afdrukken eerste 48 mnd M1" totalsRowFunction="custom" dataDxfId="81" totalsRowDxfId="80">
      <calculatedColumnFormula>IF(Konot[[#This Row],[Model 1
(eis M1 t/m M27)]]="","",Konot[[#This Row],[Zw/w p/m]]*Konot[[#This Row],[Aantal maanden]])</calculatedColumnFormula>
      <totalsRowFormula>SUM(O4:O33)</totalsRowFormula>
    </tableColumn>
    <tableColumn id="16" xr3:uid="{F24FC723-9848-44CF-B66B-D10792DC60F7}" name="# kleur afdrukken eerste 48 mnd M1" totalsRowFunction="custom" dataDxfId="79" totalsRowDxfId="78">
      <calculatedColumnFormula>IF(Konot[[#This Row],[Model 1
(eis M1 t/m M27)]]="","",Konot[[#This Row],[kleur p/m]]*Konot[[#This Row],[Aantal maanden]])</calculatedColumnFormula>
      <totalsRowFormula>SUM(P4:P33)</totalsRowFormula>
    </tableColumn>
    <tableColumn id="17" xr3:uid="{F0FD5FF7-59B6-4FE2-ADD6-534DC7861B7D}" name="# zw/w afdrukken eerste 48 mnd M2" totalsRowFunction="custom" dataDxfId="77" totalsRowDxfId="76">
      <calculatedColumnFormula>IF(Konot[[#This Row],[Model 2
(eis M1 t/m M27)]]="","",Konot[[#This Row],[Zw/w p/m]]*Konot[[#This Row],[Aantal maanden]])</calculatedColumnFormula>
      <totalsRowFormula>SUM(Q4:Q33)</totalsRowFormula>
    </tableColumn>
    <tableColumn id="18" xr3:uid="{36ECFB07-420B-49DF-BDAA-02A672E504D0}" name="# kleur afdrukken eerste 48 mnd M2" totalsRowFunction="custom" dataDxfId="75" totalsRowDxfId="74">
      <calculatedColumnFormula>IF(Konot[[#This Row],[Model 2
(eis M1 t/m M27)]]="","",Konot[[#This Row],[kleur p/m]]*Konot[[#This Row],[Aantal maanden]])</calculatedColumnFormula>
      <totalsRowFormula>SUM(R4:R33)</totalsRowFormula>
    </tableColumn>
    <tableColumn id="21" xr3:uid="{5DFFC0BD-5C36-449D-880E-05CDACA6FAE7}" name="Aantal zw/w afdrukken per optiejaar M1" totalsRowFunction="custom" dataDxfId="73" totalsRowDxfId="72">
      <calculatedColumnFormula>IF(Konot[[#This Row],[Model 1
(eis M1 t/m M27)]]="","",Konot[[#This Row],[Zw/w p/j]])</calculatedColumnFormula>
      <totalsRowFormula>SUM(S4:S33)</totalsRowFormula>
    </tableColumn>
    <tableColumn id="22" xr3:uid="{1D121BF8-2951-44E0-88A0-D8FA135E648A}" name="Aantal kleur afdrukken per optiejaar M1" totalsRowFunction="custom" dataDxfId="71" totalsRowDxfId="70">
      <calculatedColumnFormula>IF(Konot[[#This Row],[Model 1
(eis M1 t/m M27)]]="","",Konot[[#This Row],[Kleur p/j]])</calculatedColumnFormula>
      <totalsRowFormula>SUM(T4:T33)</totalsRowFormula>
    </tableColumn>
    <tableColumn id="25" xr3:uid="{0161E59E-C442-4651-902D-087C42EED859}" name="Aantal zw/w afdrukken per optiejaar M2" totalsRowFunction="custom" dataDxfId="69" totalsRowDxfId="68">
      <calculatedColumnFormula>IF(Konot[[#This Row],[Model 2
(eis M1 t/m M27)]]="","",Konot[[#This Row],[Zw/w p/j]])</calculatedColumnFormula>
      <totalsRowFormula>SUM(U4:U33)</totalsRowFormula>
    </tableColumn>
    <tableColumn id="26" xr3:uid="{06A128A0-1330-48C4-B489-F39AB3A937A3}" name="Aantal kleur afdrukken per optiejaar M2" totalsRowFunction="custom" dataDxfId="67" totalsRowDxfId="66">
      <calculatedColumnFormula>IF(Konot[[#This Row],[Model 2
(eis M1 t/m M27)]]="","",Konot[[#This Row],[Kleur p/j]])</calculatedColumnFormula>
      <totalsRowFormula>SUM(V4:V33)</totalsRowFormula>
    </tableColumn>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1A88DD-EDD2-48DC-9704-1F998A4FEEFC}" name="OPOHvT" displayName="OPOHvT" ref="A1:V12" totalsRowCount="1" headerRowDxfId="65">
  <autoFilter ref="A1:V11" xr:uid="{8C23A164-FE6D-4376-9F93-51CB65B900F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4F3817C0-6E01-4A38-B2F7-BE62B1E6C3AF}" name="BRIN" totalsRowLabel="Totaal"/>
    <tableColumn id="2" xr3:uid="{554BD3D0-8465-4064-84AC-D2E31510B6D3}" name="Naam school" dataDxfId="64" dataCellStyle="Komma"/>
    <tableColumn id="3" xr3:uid="{3ED433E3-C1A9-497D-B295-8B0A21FF6CCD}" name="Adres"/>
    <tableColumn id="4" xr3:uid="{AAB6768F-B745-4C96-8A38-EE7118515A37}" name="PC"/>
    <tableColumn id="5" xr3:uid="{3D05361C-78D6-45D8-B05B-02E76636F21C}" name="Plaats"/>
    <tableColumn id="6" xr3:uid="{066B11CF-229E-48CE-AB2B-C68C6C050AFE}" name="Telefoon"/>
    <tableColumn id="10" xr3:uid="{15036024-96A5-472D-82E3-92C9C69317B1}" name="Model 1_x000a_(eis M1 t/m M27)" totalsRowFunction="sum" dataDxfId="63" totalsRowDxfId="62">
      <calculatedColumnFormula>IF((OPOHvT[[#This Row],[Zw/w p/j]]+OPOHvT[[#This Row],[Kleur p/j]])&lt;SKOLO!$H$1,1,IF((OPOHvT[[#This Row],[Zw/w p/j]]+OPOHvT[[#This Row],[Kleur p/j]])&gt;SKOLO!$G$1,2,""))</calculatedColumnFormula>
    </tableColumn>
    <tableColumn id="11" xr3:uid="{CB7B90D5-FDA5-470E-ADED-BF0C18ED3638}" name="Model 2_x000a_(eis M1 t/m M27)" totalsRowFunction="sum" dataDxfId="61" totalsRowDxfId="60">
      <calculatedColumnFormula>IF(AND(OPOHvT[[#This Row],[Zw/w p/j]]+OPOHvT[[#This Row],[Kleur p/j]]&gt;=SKOLO!$H$1,OPOHvT[[#This Row],[Zw/w p/j]]+OPOHvT[[#This Row],[Kleur p/j]]&lt;SKOLO!$G$1),1,"")</calculatedColumnFormula>
    </tableColumn>
    <tableColumn id="12" xr3:uid="{4B5D64AF-BFCF-4E04-A255-4AF96174EDFF}" name="Datum in gebruikname"/>
    <tableColumn id="8" xr3:uid="{225AA84C-F5AD-4ED7-8B46-36BB83521A03}" name="Zw/w p/j" totalsRowFunction="custom" dataDxfId="59" totalsRowDxfId="58" dataCellStyle="Komma">
      <calculatedColumnFormula>OPOHvT[[#This Row],[Zw/w p/m]]*12</calculatedColumnFormula>
      <totalsRowFormula>SUM(OPOHvT[Zw/w p/j])</totalsRowFormula>
    </tableColumn>
    <tableColumn id="7" xr3:uid="{A395690F-6045-4C25-90C6-1DFB5C2F2D43}" name="Kleur p/j" totalsRowFunction="custom" dataDxfId="57" totalsRowDxfId="56" dataCellStyle="Komma">
      <calculatedColumnFormula>OPOHvT[[#This Row],[kleur p/m]]*12</calculatedColumnFormula>
      <totalsRowFormula>SUM(OPOHvT[Kleur p/j])</totalsRowFormula>
    </tableColumn>
    <tableColumn id="13" xr3:uid="{E267746F-EE23-449F-8229-8146E42E0A32}" name="Zw/w p/m" totalsRowFunction="sum" dataDxfId="55" totalsRowDxfId="54" dataCellStyle="Komma"/>
    <tableColumn id="14" xr3:uid="{E23C0761-B0DE-44EF-B582-1ECFABE70697}" name="kleur p/m" totalsRowFunction="sum" dataDxfId="53" totalsRowDxfId="52" dataCellStyle="Komma"/>
    <tableColumn id="9" xr3:uid="{D69E1134-758F-484B-8399-2E60CC3A7618}" name="Aantal maanden" totalsRowFunction="custom" dataDxfId="51" totalsRowDxfId="50" dataCellStyle="Komma">
      <totalsRowFormula>SUM(OPOHvT[Aantal maanden])</totalsRowFormula>
    </tableColumn>
    <tableColumn id="15" xr3:uid="{3BD84DB0-2624-491C-8611-8C493565230E}" name="# zw/w afdrukken eerste 48 mnd M1" totalsRowFunction="custom" dataDxfId="49" totalsRowDxfId="48" dataCellStyle="Komma">
      <calculatedColumnFormula>IF(OPOHvT[[#This Row],[Model 1
(eis M1 t/m M27)]]="","",OPOHvT[[#This Row],[Zw/w p/m]]*OPOHvT[[#This Row],[Aantal maanden]])</calculatedColumnFormula>
      <totalsRowFormula>SUM(OPOHvT['# zw/w afdrukken eerste 48 mnd M1])</totalsRowFormula>
    </tableColumn>
    <tableColumn id="16" xr3:uid="{579CD615-642D-4EEC-8FCD-281300477A14}" name="# kleur afdrukken eerste 48 mnd M1" totalsRowFunction="custom" dataDxfId="47" totalsRowDxfId="46" dataCellStyle="Komma">
      <calculatedColumnFormula>IF(OPOHvT[[#This Row],[Model 1
(eis M1 t/m M27)]]="","",OPOHvT[[#This Row],[kleur p/m]]*OPOHvT[[#This Row],[Aantal maanden]])</calculatedColumnFormula>
      <totalsRowFormula>SUM(OPOHvT['# kleur afdrukken eerste 48 mnd M1])</totalsRowFormula>
    </tableColumn>
    <tableColumn id="17" xr3:uid="{138F85D3-38B3-4EA7-AE35-D0669593C3A6}" name="# zw/w afdrukken eerste 48 mnd M2" totalsRowFunction="custom" dataDxfId="45" totalsRowDxfId="44" dataCellStyle="Komma">
      <calculatedColumnFormula>IF(OPOHvT[[#This Row],[Model 2
(eis M1 t/m M27)]]="","",OPOHvT[[#This Row],[Zw/w p/m]]*OPOHvT[[#This Row],[Aantal maanden]])</calculatedColumnFormula>
      <totalsRowFormula>SUM(OPOHvT['# zw/w afdrukken eerste 48 mnd M2])</totalsRowFormula>
    </tableColumn>
    <tableColumn id="18" xr3:uid="{10ADA9E6-80BF-446C-B3D5-29AB15A715E9}" name="# kleur afdrukken eerste 48 mnd M2" totalsRowFunction="custom" dataDxfId="43" totalsRowDxfId="42" dataCellStyle="Komma">
      <calculatedColumnFormula>IF(OPOHvT[[#This Row],[Model 2
(eis M1 t/m M27)]]="","",OPOHvT[[#This Row],[kleur p/m]]*OPOHvT[[#This Row],[Aantal maanden]])</calculatedColumnFormula>
      <totalsRowFormula>SUM(OPOHvT['# kleur afdrukken eerste 48 mnd M2])</totalsRowFormula>
    </tableColumn>
    <tableColumn id="21" xr3:uid="{669B81CD-7F43-42D9-A4EF-46644E050156}" name="Aantal zw/w afdrukken per optiejaar M1" totalsRowFunction="custom" dataDxfId="41" totalsRowDxfId="40" dataCellStyle="Komma">
      <calculatedColumnFormula>IF(OPOHvT[[#This Row],[Model 1
(eis M1 t/m M27)]]="","",OPOHvT[[#This Row],[Zw/w p/j]])</calculatedColumnFormula>
      <totalsRowFormula>SUM(OPOHvT[Aantal zw/w afdrukken per optiejaar M1])</totalsRowFormula>
    </tableColumn>
    <tableColumn id="22" xr3:uid="{2445254D-B1D4-4101-923E-9EAD96C6A994}" name="Aantal kleur afdrukken per optiejaar M1" totalsRowFunction="custom" dataDxfId="39" totalsRowDxfId="38" dataCellStyle="Komma">
      <calculatedColumnFormula>IF(OPOHvT[[#This Row],[Model 1
(eis M1 t/m M27)]]="","",OPOHvT[[#This Row],[Kleur p/j]])</calculatedColumnFormula>
      <totalsRowFormula>SUM(OPOHvT[Aantal kleur afdrukken per optiejaar M1])</totalsRowFormula>
    </tableColumn>
    <tableColumn id="25" xr3:uid="{21A779E6-2E98-42FB-9A25-53E40459B55C}" name="Aantal zw/w afdrukken per optiejaar M2" totalsRowFunction="custom" dataDxfId="37" totalsRowDxfId="36" dataCellStyle="Komma">
      <calculatedColumnFormula>IF(OPOHvT[[#This Row],[Model 2
(eis M1 t/m M27)]]="","",OPOHvT[[#This Row],[Zw/w p/j]])</calculatedColumnFormula>
      <totalsRowFormula>SUM(OPOHvT[Aantal zw/w afdrukken per optiejaar M2])</totalsRowFormula>
    </tableColumn>
    <tableColumn id="26" xr3:uid="{EC9EB41E-FC8D-40C8-AB42-874D476ECD5D}" name="Aantal kleur afdrukken per optiejaar M2" totalsRowFunction="custom" dataDxfId="35" totalsRowDxfId="34" dataCellStyle="Komma">
      <calculatedColumnFormula>IF(OPOHvT[[#This Row],[Model 2
(eis M1 t/m M27)]]="","",OPOHvT[[#This Row],[Kleur p/j]])</calculatedColumnFormula>
      <totalsRowFormula>SUM(OPOHvT[Aantal kleur afdrukken per optiejaar M2])</totalsRow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F3E740-11F4-4D10-A4C9-76CEACB58F6A}" name="Keender" displayName="Keender" ref="A1:V21" totalsRowCount="1" headerRowDxfId="33" headerRowBorderDxfId="32" tableBorderDxfId="31">
  <autoFilter ref="A1:V20" xr:uid="{0E5AD42A-FDCF-4D53-8905-53A19F9B68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12FECFC9-A181-467E-9583-5FE637E98A88}" name="BRIN" totalsRowLabel="Totaal"/>
    <tableColumn id="2" xr3:uid="{7EE842A5-B627-4DE8-8647-96207B0C37F9}" name="Naam school" dataDxfId="30"/>
    <tableColumn id="3" xr3:uid="{AAE55379-9745-4428-9558-FBF4F7B10138}" name="Adres"/>
    <tableColumn id="4" xr3:uid="{5BC4569A-FAB3-4F39-A6EC-A334ABC1D2CE}" name="PC"/>
    <tableColumn id="5" xr3:uid="{6695066E-2ED5-4637-A56C-EB8ABF925ABC}" name="Plaats"/>
    <tableColumn id="6" xr3:uid="{E7A1A565-6513-4AE0-9E99-07D8554BD10E}" name="Telefoon"/>
    <tableColumn id="10" xr3:uid="{6C475FB3-2778-4CFB-BC5D-2C281B0799C7}" name="Model 1_x000a_(eis M1 t/m M27)" totalsRowFunction="sum" dataDxfId="29" totalsRowDxfId="28">
      <calculatedColumnFormula>IF((Keender[[#This Row],[Zw/w p/j]]+Keender[[#This Row],[Kleur p/j]])&lt;SKOLO!$H$1,1,IF((Keender[[#This Row],[Zw/w p/j]]+Keender[[#This Row],[Kleur p/j]])&gt;SKOLO!$G$1,2,""))</calculatedColumnFormula>
    </tableColumn>
    <tableColumn id="11" xr3:uid="{79F288CC-19C3-4F96-B0B8-DEAB1D729B7B}" name="Model 2_x000a_(eis M1 t/m M27)" totalsRowFunction="sum" dataDxfId="27" totalsRowDxfId="26">
      <calculatedColumnFormula>IF(AND(Keender[[#This Row],[Zw/w p/j]]+Keender[[#This Row],[Kleur p/j]]&gt;=SKOLO!$H$1,Keender[[#This Row],[Zw/w p/j]]+Keender[[#This Row],[Kleur p/j]]&lt;SKOLO!$G$1),1,"")</calculatedColumnFormula>
    </tableColumn>
    <tableColumn id="12" xr3:uid="{D8DBC42A-FBB1-4C9A-8627-946F400AD5F0}" name="Datum in gebruikname"/>
    <tableColumn id="8" xr3:uid="{43F742C5-3593-45D5-A9C9-EA049FF2CD2D}" name="Zw/w p/j" totalsRowFunction="custom" dataDxfId="25" totalsRowDxfId="24" dataCellStyle="Komma">
      <calculatedColumnFormula>Keender[[#This Row],[Zw/w p/m]]*12</calculatedColumnFormula>
      <totalsRowFormula>SUM(Keender[Zw/w p/j])</totalsRowFormula>
    </tableColumn>
    <tableColumn id="7" xr3:uid="{E71D8563-BAD8-4F96-A4A2-CC58571608AD}" name="Kleur p/j" totalsRowFunction="custom" dataDxfId="23" totalsRowDxfId="22" dataCellStyle="Komma">
      <calculatedColumnFormula>Keender[[#This Row],[kleur p/m]]*12</calculatedColumnFormula>
      <totalsRowFormula>SUM(Keender[Kleur p/j])</totalsRowFormula>
    </tableColumn>
    <tableColumn id="13" xr3:uid="{FAD2389A-FABE-4E7B-A75D-972863F4CB1A}" name="Zw/w p/m" totalsRowFunction="sum" dataDxfId="21" totalsRowDxfId="20"/>
    <tableColumn id="14" xr3:uid="{BEA22BCB-4095-4E59-BFA5-618480261C8B}" name="kleur p/m" totalsRowFunction="custom" dataDxfId="19" totalsRowDxfId="18">
      <totalsRowFormula>ROUNDUP(SUBTOTAL(109,Keender[kleur p/m]),0)</totalsRowFormula>
    </tableColumn>
    <tableColumn id="9" xr3:uid="{7502BC75-80EA-48F9-AA7D-7089E147E0F8}" name="Aantal maanden" totalsRowFunction="custom" dataDxfId="17" totalsRowDxfId="16">
      <totalsRowFormula>SUM(Keender[Aantal maanden])</totalsRowFormula>
    </tableColumn>
    <tableColumn id="15" xr3:uid="{C015829C-1535-4A84-9321-E7BAD3D6A330}" name="# zw/w afdrukken eerste 48 mnd M1" totalsRowFunction="custom" dataDxfId="15" totalsRowDxfId="14">
      <calculatedColumnFormula>IF(Keender[[#This Row],[Model 1
(eis M1 t/m M27)]]="","",Keender[[#This Row],[Zw/w p/m]]*Keender[[#This Row],[Aantal maanden]])</calculatedColumnFormula>
      <totalsRowFormula>SUM(Keender['# zw/w afdrukken eerste 48 mnd M1])</totalsRowFormula>
    </tableColumn>
    <tableColumn id="16" xr3:uid="{F81C9568-087B-4F73-8580-8A8650727A95}" name="# kleur afdrukken eerste 48 mnd M1" totalsRowFunction="custom" dataDxfId="13" totalsRowDxfId="12">
      <calculatedColumnFormula>IF(Keender[[#This Row],[Model 1
(eis M1 t/m M27)]]="","",Keender[[#This Row],[kleur p/m]]*Keender[[#This Row],[Aantal maanden]])</calculatedColumnFormula>
      <totalsRowFormula>SUM(Keender['# kleur afdrukken eerste 48 mnd M1])</totalsRowFormula>
    </tableColumn>
    <tableColumn id="17" xr3:uid="{7B9E5637-A183-42D3-AE8F-837757D98FC5}" name="# zw/w afdrukken eerste 48 mnd M2" totalsRowFunction="custom" dataDxfId="11" totalsRowDxfId="10">
      <calculatedColumnFormula>IF(Keender[[#This Row],[Model 2
(eis M1 t/m M27)]]="","",Keender[[#This Row],[Zw/w p/m]]*Keender[[#This Row],[Aantal maanden]])</calculatedColumnFormula>
      <totalsRowFormula>SUM(Keender['# zw/w afdrukken eerste 48 mnd M2])</totalsRowFormula>
    </tableColumn>
    <tableColumn id="18" xr3:uid="{1A7F1DA3-12F2-4998-BE5A-D281F599A2A0}" name="# kleur afdrukken eerste 48 mnd M2" totalsRowFunction="custom" dataDxfId="9" totalsRowDxfId="8">
      <calculatedColumnFormula>IF(Keender[[#This Row],[Model 2
(eis M1 t/m M27)]]="","",Keender[[#This Row],[kleur p/m]]*Keender[[#This Row],[Aantal maanden]])</calculatedColumnFormula>
      <totalsRowFormula>SUM(Keender['# kleur afdrukken eerste 48 mnd M2])</totalsRowFormula>
    </tableColumn>
    <tableColumn id="21" xr3:uid="{513DD194-2B56-47C3-85BC-8AA10FAF9833}" name="Aantal zw/w afdrukken per optiejaar M1" totalsRowFunction="custom" dataDxfId="7" totalsRowDxfId="6">
      <calculatedColumnFormula>IF(Keender[[#This Row],[Model 1
(eis M1 t/m M27)]]="","",Keender[[#This Row],[Zw/w p/j]])</calculatedColumnFormula>
      <totalsRowFormula>SUM(Keender[Aantal zw/w afdrukken per optiejaar M1])</totalsRowFormula>
    </tableColumn>
    <tableColumn id="22" xr3:uid="{9B8D2A07-D50C-414C-88C8-E968B4288E09}" name="Aantal kleur afdrukken per optiejaar M1" totalsRowFunction="custom" dataDxfId="5" totalsRowDxfId="4">
      <calculatedColumnFormula>IF(Keender[[#This Row],[Model 1
(eis M1 t/m M27)]]="","",Keender[[#This Row],[Kleur p/j]])</calculatedColumnFormula>
      <totalsRowFormula>SUM(Keender[Aantal kleur afdrukken per optiejaar M1])</totalsRowFormula>
    </tableColumn>
    <tableColumn id="25" xr3:uid="{9BED32C2-D040-4AF9-A30F-A49CA2EE31E4}" name="Aantal zw/w afdrukken per optiejaar M2" totalsRowFunction="custom" dataDxfId="3" totalsRowDxfId="2">
      <calculatedColumnFormula>IF(Keender[[#This Row],[Model 2
(eis M1 t/m M27)]]="","",Keender[[#This Row],[Zw/w p/j]])</calculatedColumnFormula>
      <totalsRowFormula>SUM(Keender[Aantal zw/w afdrukken per optiejaar M2])</totalsRowFormula>
    </tableColumn>
    <tableColumn id="26" xr3:uid="{901205BF-38AA-44AC-BB50-7BB8A8FBF882}" name="Aantal kleur afdrukken per optiejaar M2" totalsRowFunction="custom" dataDxfId="1" totalsRowDxfId="0">
      <calculatedColumnFormula>IF(Keender[[#This Row],[Model 2
(eis M1 t/m M27)]]="","",Keender[[#This Row],[Kleur p/j]])</calculatedColumnFormula>
      <totalsRowFormula>SUM(Keender[Aantal kleur afdrukken per optiejaar M2])</totalsRowFormula>
    </tableColumn>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Aangepast 3">
      <a:dk1>
        <a:srgbClr val="000000"/>
      </a:dk1>
      <a:lt1>
        <a:srgbClr val="FFFFFF"/>
      </a:lt1>
      <a:dk2>
        <a:srgbClr val="7F7F7F"/>
      </a:dk2>
      <a:lt2>
        <a:srgbClr val="FFFFFF"/>
      </a:lt2>
      <a:accent1>
        <a:srgbClr val="0087C9"/>
      </a:accent1>
      <a:accent2>
        <a:srgbClr val="00A0D1"/>
      </a:accent2>
      <a:accent3>
        <a:srgbClr val="002E60"/>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8"/>
  <sheetViews>
    <sheetView showGridLines="0" tabSelected="1" topLeftCell="A4" zoomScaleNormal="100" workbookViewId="0">
      <selection activeCell="B5" sqref="B5"/>
    </sheetView>
  </sheetViews>
  <sheetFormatPr defaultRowHeight="14.4" x14ac:dyDescent="0.3"/>
  <cols>
    <col min="1" max="1" width="30.44140625" bestFit="1" customWidth="1"/>
    <col min="2" max="2" width="112" customWidth="1"/>
    <col min="3" max="3" width="73.5546875" bestFit="1" customWidth="1"/>
    <col min="4" max="4" width="9.5546875" bestFit="1" customWidth="1"/>
  </cols>
  <sheetData>
    <row r="1" spans="1:4" ht="21" x14ac:dyDescent="0.4">
      <c r="A1" s="114" t="s">
        <v>320</v>
      </c>
      <c r="B1" s="114" t="s">
        <v>321</v>
      </c>
    </row>
    <row r="2" spans="1:4" ht="86.4" x14ac:dyDescent="0.3">
      <c r="A2" s="21" t="s">
        <v>322</v>
      </c>
      <c r="B2" s="19" t="s">
        <v>323</v>
      </c>
    </row>
    <row r="3" spans="1:4" ht="43.2" x14ac:dyDescent="0.3">
      <c r="A3" s="21" t="s">
        <v>322</v>
      </c>
      <c r="B3" s="19" t="s">
        <v>350</v>
      </c>
    </row>
    <row r="4" spans="1:4" ht="43.2" x14ac:dyDescent="0.3">
      <c r="A4" s="21" t="s">
        <v>322</v>
      </c>
      <c r="B4" s="19" t="s">
        <v>324</v>
      </c>
    </row>
    <row r="5" spans="1:4" ht="43.2" x14ac:dyDescent="0.3">
      <c r="A5" s="21" t="s">
        <v>322</v>
      </c>
      <c r="B5" s="20" t="s">
        <v>351</v>
      </c>
    </row>
    <row r="6" spans="1:4" ht="57.6" x14ac:dyDescent="0.3">
      <c r="A6" s="22" t="s">
        <v>322</v>
      </c>
      <c r="B6" s="19" t="s">
        <v>325</v>
      </c>
    </row>
    <row r="7" spans="1:4" ht="43.2" x14ac:dyDescent="0.3">
      <c r="A7" s="62" t="s">
        <v>326</v>
      </c>
      <c r="B7" s="19" t="s">
        <v>385</v>
      </c>
    </row>
    <row r="8" spans="1:4" ht="72" x14ac:dyDescent="0.3">
      <c r="A8" s="82" t="s">
        <v>326</v>
      </c>
      <c r="B8" s="20" t="s">
        <v>386</v>
      </c>
    </row>
    <row r="9" spans="1:4" ht="409.6" customHeight="1" x14ac:dyDescent="0.3">
      <c r="A9" s="116" t="s">
        <v>384</v>
      </c>
      <c r="B9" s="117" t="s">
        <v>391</v>
      </c>
    </row>
    <row r="10" spans="1:4" ht="94.2" customHeight="1" x14ac:dyDescent="0.3">
      <c r="A10" s="116"/>
      <c r="B10" s="117"/>
    </row>
    <row r="12" spans="1:4" x14ac:dyDescent="0.3">
      <c r="D12" s="83"/>
    </row>
    <row r="13" spans="1:4" x14ac:dyDescent="0.3">
      <c r="D13" s="42"/>
    </row>
    <row r="14" spans="1:4" x14ac:dyDescent="0.3">
      <c r="D14" s="42"/>
    </row>
    <row r="15" spans="1:4" x14ac:dyDescent="0.3">
      <c r="D15" s="42"/>
    </row>
    <row r="16" spans="1:4" x14ac:dyDescent="0.3">
      <c r="D16" s="42"/>
    </row>
    <row r="17" spans="3:4" x14ac:dyDescent="0.3">
      <c r="D17" s="42"/>
    </row>
    <row r="18" spans="3:4" x14ac:dyDescent="0.3">
      <c r="D18" s="42"/>
    </row>
    <row r="19" spans="3:4" x14ac:dyDescent="0.3">
      <c r="D19" s="42"/>
    </row>
    <row r="20" spans="3:4" x14ac:dyDescent="0.3">
      <c r="D20" s="42"/>
    </row>
    <row r="21" spans="3:4" x14ac:dyDescent="0.3">
      <c r="D21" s="24"/>
    </row>
    <row r="22" spans="3:4" x14ac:dyDescent="0.3">
      <c r="D22" s="24"/>
    </row>
    <row r="24" spans="3:4" x14ac:dyDescent="0.3">
      <c r="C24" s="46"/>
      <c r="D24" s="83"/>
    </row>
    <row r="25" spans="3:4" x14ac:dyDescent="0.3">
      <c r="C25" s="42"/>
      <c r="D25" s="42"/>
    </row>
    <row r="26" spans="3:4" x14ac:dyDescent="0.3">
      <c r="C26" s="42"/>
      <c r="D26" s="42"/>
    </row>
    <row r="27" spans="3:4" x14ac:dyDescent="0.3">
      <c r="C27" s="42"/>
      <c r="D27" s="42"/>
    </row>
    <row r="28" spans="3:4" x14ac:dyDescent="0.3">
      <c r="C28" s="42"/>
      <c r="D28" s="42"/>
    </row>
    <row r="29" spans="3:4" x14ac:dyDescent="0.3">
      <c r="C29" s="42"/>
      <c r="D29" s="42"/>
    </row>
    <row r="30" spans="3:4" x14ac:dyDescent="0.3">
      <c r="C30" s="42"/>
      <c r="D30" s="42"/>
    </row>
    <row r="31" spans="3:4" x14ac:dyDescent="0.3">
      <c r="C31" s="42"/>
      <c r="D31" s="42"/>
    </row>
    <row r="32" spans="3:4" x14ac:dyDescent="0.3">
      <c r="C32" s="24"/>
      <c r="D32" s="42"/>
    </row>
    <row r="33" spans="1:4" x14ac:dyDescent="0.3">
      <c r="C33" s="24"/>
      <c r="D33" s="24"/>
    </row>
    <row r="34" spans="1:4" ht="18" x14ac:dyDescent="0.35">
      <c r="D34" s="88"/>
    </row>
    <row r="35" spans="1:4" x14ac:dyDescent="0.3">
      <c r="A35" s="42"/>
      <c r="B35" s="46"/>
      <c r="C35" s="83"/>
      <c r="D35" s="24"/>
    </row>
    <row r="36" spans="1:4" x14ac:dyDescent="0.3">
      <c r="A36" s="42"/>
      <c r="B36" s="42"/>
      <c r="C36" s="42"/>
      <c r="D36" s="24"/>
    </row>
    <row r="37" spans="1:4" x14ac:dyDescent="0.3">
      <c r="A37" s="42"/>
      <c r="B37" s="42"/>
      <c r="C37" s="42"/>
    </row>
    <row r="38" spans="1:4" x14ac:dyDescent="0.3">
      <c r="A38" s="42"/>
      <c r="B38" s="42"/>
      <c r="C38" s="42"/>
      <c r="D38" s="83"/>
    </row>
    <row r="39" spans="1:4" x14ac:dyDescent="0.3">
      <c r="A39" s="42"/>
      <c r="B39" s="42"/>
      <c r="C39" s="42"/>
      <c r="D39" s="42"/>
    </row>
    <row r="40" spans="1:4" x14ac:dyDescent="0.3">
      <c r="A40" s="42"/>
      <c r="B40" s="42"/>
      <c r="C40" s="42"/>
      <c r="D40" s="42"/>
    </row>
    <row r="41" spans="1:4" x14ac:dyDescent="0.3">
      <c r="A41" s="42"/>
      <c r="B41" s="42"/>
      <c r="C41" s="42"/>
      <c r="D41" s="42"/>
    </row>
    <row r="42" spans="1:4" x14ac:dyDescent="0.3">
      <c r="A42" s="42"/>
      <c r="B42" s="42"/>
      <c r="C42" s="42"/>
      <c r="D42" s="42"/>
    </row>
    <row r="43" spans="1:4" x14ac:dyDescent="0.3">
      <c r="A43" s="42"/>
      <c r="B43" s="42"/>
      <c r="C43" s="42"/>
      <c r="D43" s="42"/>
    </row>
    <row r="44" spans="1:4" x14ac:dyDescent="0.3">
      <c r="A44" s="23"/>
      <c r="B44" s="23"/>
      <c r="C44" s="24"/>
      <c r="D44" s="42"/>
    </row>
    <row r="45" spans="1:4" x14ac:dyDescent="0.3">
      <c r="A45" s="23"/>
      <c r="B45" s="23"/>
      <c r="C45" s="24"/>
      <c r="D45" s="42"/>
    </row>
    <row r="46" spans="1:4" x14ac:dyDescent="0.3">
      <c r="A46" s="23"/>
      <c r="B46" s="23"/>
      <c r="C46" s="24"/>
      <c r="D46" s="42"/>
    </row>
    <row r="47" spans="1:4" ht="18" x14ac:dyDescent="0.35">
      <c r="D47" s="88"/>
    </row>
    <row r="48" spans="1:4" x14ac:dyDescent="0.3">
      <c r="C48" s="83"/>
    </row>
    <row r="49" spans="3:3" x14ac:dyDescent="0.3">
      <c r="C49" s="42"/>
    </row>
    <row r="50" spans="3:3" x14ac:dyDescent="0.3">
      <c r="C50" s="42"/>
    </row>
    <row r="51" spans="3:3" x14ac:dyDescent="0.3">
      <c r="C51" s="42"/>
    </row>
    <row r="52" spans="3:3" x14ac:dyDescent="0.3">
      <c r="C52" s="42"/>
    </row>
    <row r="53" spans="3:3" x14ac:dyDescent="0.3">
      <c r="C53" s="42"/>
    </row>
    <row r="54" spans="3:3" x14ac:dyDescent="0.3">
      <c r="C54" s="42"/>
    </row>
    <row r="55" spans="3:3" x14ac:dyDescent="0.3">
      <c r="C55" s="42"/>
    </row>
    <row r="56" spans="3:3" x14ac:dyDescent="0.3">
      <c r="C56" s="42"/>
    </row>
    <row r="57" spans="3:3" x14ac:dyDescent="0.3">
      <c r="C57" s="24"/>
    </row>
    <row r="58" spans="3:3" x14ac:dyDescent="0.3">
      <c r="C58" s="24"/>
    </row>
  </sheetData>
  <mergeCells count="2">
    <mergeCell ref="A9:A10"/>
    <mergeCell ref="B9:B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0B0C6-B925-4AE0-9E83-74FE8E11F3C7}">
  <dimension ref="A1:AB67"/>
  <sheetViews>
    <sheetView showGridLines="0" topLeftCell="C5" zoomScale="90" zoomScaleNormal="90" workbookViewId="0">
      <selection activeCell="H24" sqref="H24"/>
    </sheetView>
  </sheetViews>
  <sheetFormatPr defaultRowHeight="14.4" x14ac:dyDescent="0.3"/>
  <cols>
    <col min="1" max="1" width="15.77734375" customWidth="1"/>
    <col min="2" max="3" width="25.77734375" customWidth="1"/>
    <col min="4" max="6" width="20.77734375" customWidth="1"/>
    <col min="7" max="7" width="21.44140625" customWidth="1"/>
    <col min="8" max="22" width="20.77734375" customWidth="1"/>
    <col min="23" max="28" width="19.33203125" customWidth="1"/>
  </cols>
  <sheetData>
    <row r="1" spans="1:28" hidden="1" x14ac:dyDescent="0.3">
      <c r="G1">
        <v>400000</v>
      </c>
      <c r="H1">
        <v>200000</v>
      </c>
    </row>
    <row r="2" spans="1:28" s="37" customFormat="1" ht="27.6" x14ac:dyDescent="0.3">
      <c r="A2" s="10" t="s">
        <v>26</v>
      </c>
      <c r="B2" s="10" t="s">
        <v>27</v>
      </c>
      <c r="C2" s="10" t="s">
        <v>28</v>
      </c>
      <c r="D2" s="10" t="s">
        <v>29</v>
      </c>
      <c r="E2" s="10" t="s">
        <v>30</v>
      </c>
      <c r="F2" s="10" t="s">
        <v>31</v>
      </c>
      <c r="G2" s="112" t="s">
        <v>340</v>
      </c>
      <c r="H2" s="112" t="s">
        <v>341</v>
      </c>
      <c r="I2" s="10" t="s">
        <v>310</v>
      </c>
      <c r="J2" s="10" t="s">
        <v>311</v>
      </c>
      <c r="K2" s="10" t="s">
        <v>312</v>
      </c>
      <c r="L2" s="10" t="s">
        <v>308</v>
      </c>
      <c r="M2" s="10" t="s">
        <v>309</v>
      </c>
      <c r="N2" s="10" t="s">
        <v>313</v>
      </c>
      <c r="O2" s="10" t="s">
        <v>347</v>
      </c>
      <c r="P2" s="10" t="s">
        <v>348</v>
      </c>
      <c r="Q2" s="10" t="s">
        <v>349</v>
      </c>
      <c r="R2" s="10" t="s">
        <v>346</v>
      </c>
      <c r="S2" s="10" t="s">
        <v>342</v>
      </c>
      <c r="T2" s="10" t="s">
        <v>343</v>
      </c>
      <c r="U2" s="10" t="s">
        <v>344</v>
      </c>
      <c r="V2" s="10" t="s">
        <v>345</v>
      </c>
    </row>
    <row r="3" spans="1:28" x14ac:dyDescent="0.3">
      <c r="A3" t="s">
        <v>0</v>
      </c>
      <c r="B3" s="1" t="s">
        <v>1</v>
      </c>
      <c r="C3" t="s">
        <v>2</v>
      </c>
      <c r="D3" t="s">
        <v>3</v>
      </c>
      <c r="E3" t="s">
        <v>4</v>
      </c>
      <c r="F3" t="s">
        <v>5</v>
      </c>
      <c r="G3" s="113" t="str">
        <f>IF((SKOLO[[#This Row],[Zw/w p/j]]+SKOLO[[#This Row],[Kleur p/j]])&lt;$H$1,1,IF((SKOLO[[#This Row],[Zw/w p/j]]+SKOLO[[#This Row],[Kleur p/j]])&gt;$G$1,2,""))</f>
        <v/>
      </c>
      <c r="H3" s="113">
        <f>IF(AND(SKOLO[[#This Row],[Zw/w p/j]]+SKOLO[[#This Row],[Kleur p/j]]&gt;=$H$1,SKOLO[[#This Row],[Zw/w p/j]]+SKOLO[[#This Row],[Kleur p/j]]&lt;$G$1),1,"")</f>
        <v>1</v>
      </c>
      <c r="I3" s="34">
        <v>44501</v>
      </c>
      <c r="J3" s="35">
        <f>SKOLO[[#This Row],[Zw/w p/m]]*12</f>
        <v>242316</v>
      </c>
      <c r="K3" s="35">
        <f>SKOLO[[#This Row],[kleur p/m]]*12</f>
        <v>42480</v>
      </c>
      <c r="L3" s="35">
        <v>20193</v>
      </c>
      <c r="M3" s="35">
        <v>3540</v>
      </c>
      <c r="N3" s="35">
        <v>48</v>
      </c>
      <c r="O3" s="35" t="str">
        <f>IF(SKOLO[[#This Row],[Model 1
(eis M1 t/m M27)]]="","",SKOLO[[#This Row],[Zw/w p/m]]*SKOLO[[#This Row],[Aantal maanden]])</f>
        <v/>
      </c>
      <c r="P3" s="35" t="str">
        <f>IF(SKOLO[[#This Row],[Model 1
(eis M1 t/m M27)]]="","",SKOLO[[#This Row],[kleur p/m]]*SKOLO[[#This Row],[Aantal maanden]])</f>
        <v/>
      </c>
      <c r="Q3" s="35">
        <f>IF(SKOLO[[#This Row],[Model 2
(eis M1 t/m M27)]]="","",SKOLO[[#This Row],[Zw/w p/m]]*SKOLO[[#This Row],[Aantal maanden]])</f>
        <v>969264</v>
      </c>
      <c r="R3" s="35">
        <f>IF(SKOLO[[#This Row],[Model 2
(eis M1 t/m M27)]]="","",SKOLO[[#This Row],[kleur p/m]]*SKOLO[[#This Row],[Aantal maanden]])</f>
        <v>169920</v>
      </c>
      <c r="S3" s="35" t="str">
        <f>IF(SKOLO[[#This Row],[Model 1
(eis M1 t/m M27)]]="","",SKOLO[[#This Row],[Zw/w p/j]])</f>
        <v/>
      </c>
      <c r="T3" s="35" t="str">
        <f>IF(SKOLO[[#This Row],[Model 1
(eis M1 t/m M27)]]="","",SKOLO[[#This Row],[Kleur p/j]])</f>
        <v/>
      </c>
      <c r="U3" s="35">
        <f>IF(SKOLO[[#This Row],[Model 2
(eis M1 t/m M27)]]="","",SKOLO[[#This Row],[Zw/w p/j]])</f>
        <v>242316</v>
      </c>
      <c r="V3" s="35">
        <f>IF(SKOLO[[#This Row],[Model 2
(eis M1 t/m M27)]]="","",SKOLO[[#This Row],[Kleur p/j]])</f>
        <v>42480</v>
      </c>
    </row>
    <row r="4" spans="1:28" x14ac:dyDescent="0.3">
      <c r="A4" t="s">
        <v>6</v>
      </c>
      <c r="B4" s="1" t="s">
        <v>7</v>
      </c>
      <c r="C4" t="s">
        <v>8</v>
      </c>
      <c r="D4" t="s">
        <v>9</v>
      </c>
      <c r="E4" t="s">
        <v>10</v>
      </c>
      <c r="F4" t="s">
        <v>11</v>
      </c>
      <c r="G4" s="113">
        <f>IF((SKOLO[[#This Row],[Zw/w p/j]]+SKOLO[[#This Row],[Kleur p/j]])&lt;$H$1,1,IF((SKOLO[[#This Row],[Zw/w p/j]]+SKOLO[[#This Row],[Kleur p/j]])&gt;$G$1,2,""))</f>
        <v>1</v>
      </c>
      <c r="H4" s="113" t="str">
        <f>IF(AND(SKOLO[[#This Row],[Zw/w p/j]]+SKOLO[[#This Row],[Kleur p/j]]&gt;=$H$1,SKOLO[[#This Row],[Zw/w p/j]]+SKOLO[[#This Row],[Kleur p/j]]&lt;$G$1),1,"")</f>
        <v/>
      </c>
      <c r="I4" s="34">
        <v>44501</v>
      </c>
      <c r="J4" s="35">
        <f>SKOLO[[#This Row],[Zw/w p/m]]*12</f>
        <v>144048</v>
      </c>
      <c r="K4" s="35">
        <f>SKOLO[[#This Row],[kleur p/m]]*12</f>
        <v>25680</v>
      </c>
      <c r="L4" s="35">
        <v>12004</v>
      </c>
      <c r="M4" s="35">
        <v>2140</v>
      </c>
      <c r="N4" s="35">
        <v>48</v>
      </c>
      <c r="O4" s="35">
        <f>IF(SKOLO[[#This Row],[Model 1
(eis M1 t/m M27)]]="","",SKOLO[[#This Row],[Zw/w p/m]]*SKOLO[[#This Row],[Aantal maanden]])</f>
        <v>576192</v>
      </c>
      <c r="P4" s="35">
        <f>IF(SKOLO[[#This Row],[Model 1
(eis M1 t/m M27)]]="","",SKOLO[[#This Row],[kleur p/m]]*SKOLO[[#This Row],[Aantal maanden]])</f>
        <v>102720</v>
      </c>
      <c r="Q4" s="35" t="str">
        <f>IF(SKOLO[[#This Row],[Model 2
(eis M1 t/m M27)]]="","",SKOLO[[#This Row],[Zw/w p/m]]*SKOLO[[#This Row],[Aantal maanden]])</f>
        <v/>
      </c>
      <c r="R4" s="35" t="str">
        <f>IF(SKOLO[[#This Row],[Model 2
(eis M1 t/m M27)]]="","",SKOLO[[#This Row],[kleur p/m]]*SKOLO[[#This Row],[Aantal maanden]])</f>
        <v/>
      </c>
      <c r="S4" s="35">
        <f>IF(SKOLO[[#This Row],[Model 1
(eis M1 t/m M27)]]="","",SKOLO[[#This Row],[Zw/w p/j]])</f>
        <v>144048</v>
      </c>
      <c r="T4" s="35">
        <f>IF(SKOLO[[#This Row],[Model 1
(eis M1 t/m M27)]]="","",SKOLO[[#This Row],[Kleur p/j]])</f>
        <v>25680</v>
      </c>
      <c r="U4" s="35" t="str">
        <f>IF(SKOLO[[#This Row],[Model 2
(eis M1 t/m M27)]]="","",SKOLO[[#This Row],[Zw/w p/j]])</f>
        <v/>
      </c>
      <c r="V4" s="35" t="str">
        <f>IF(SKOLO[[#This Row],[Model 2
(eis M1 t/m M27)]]="","",SKOLO[[#This Row],[Kleur p/j]])</f>
        <v/>
      </c>
    </row>
    <row r="5" spans="1:28" x14ac:dyDescent="0.3">
      <c r="A5" t="s">
        <v>12</v>
      </c>
      <c r="B5" s="1" t="s">
        <v>13</v>
      </c>
      <c r="C5" t="s">
        <v>14</v>
      </c>
      <c r="D5" t="s">
        <v>15</v>
      </c>
      <c r="E5" t="s">
        <v>10</v>
      </c>
      <c r="F5" t="s">
        <v>16</v>
      </c>
      <c r="G5" s="113">
        <f>IF((SKOLO[[#This Row],[Zw/w p/j]]+SKOLO[[#This Row],[Kleur p/j]])&lt;$H$1,1,IF((SKOLO[[#This Row],[Zw/w p/j]]+SKOLO[[#This Row],[Kleur p/j]])&gt;$G$1,2,""))</f>
        <v>1</v>
      </c>
      <c r="H5" s="113" t="str">
        <f>IF(AND(SKOLO[[#This Row],[Zw/w p/j]]+SKOLO[[#This Row],[Kleur p/j]]&gt;=$H$1,SKOLO[[#This Row],[Zw/w p/j]]+SKOLO[[#This Row],[Kleur p/j]]&lt;$G$1),1,"")</f>
        <v/>
      </c>
      <c r="I5" s="34">
        <v>44501</v>
      </c>
      <c r="J5" s="35">
        <f>SKOLO[[#This Row],[Zw/w p/m]]*12</f>
        <v>169572</v>
      </c>
      <c r="K5" s="35">
        <f>SKOLO[[#This Row],[kleur p/m]]*12</f>
        <v>12564</v>
      </c>
      <c r="L5" s="35">
        <v>14131</v>
      </c>
      <c r="M5" s="35">
        <v>1047</v>
      </c>
      <c r="N5" s="35">
        <v>48</v>
      </c>
      <c r="O5" s="35">
        <f>IF(SKOLO[[#This Row],[Model 1
(eis M1 t/m M27)]]="","",SKOLO[[#This Row],[Zw/w p/m]]*SKOLO[[#This Row],[Aantal maanden]])</f>
        <v>678288</v>
      </c>
      <c r="P5" s="35">
        <f>IF(SKOLO[[#This Row],[Model 1
(eis M1 t/m M27)]]="","",SKOLO[[#This Row],[kleur p/m]]*SKOLO[[#This Row],[Aantal maanden]])</f>
        <v>50256</v>
      </c>
      <c r="Q5" s="35" t="str">
        <f>IF(SKOLO[[#This Row],[Model 2
(eis M1 t/m M27)]]="","",SKOLO[[#This Row],[Zw/w p/m]]*SKOLO[[#This Row],[Aantal maanden]])</f>
        <v/>
      </c>
      <c r="R5" s="35" t="str">
        <f>IF(SKOLO[[#This Row],[Model 2
(eis M1 t/m M27)]]="","",SKOLO[[#This Row],[kleur p/m]]*SKOLO[[#This Row],[Aantal maanden]])</f>
        <v/>
      </c>
      <c r="S5" s="35">
        <f>IF(SKOLO[[#This Row],[Model 1
(eis M1 t/m M27)]]="","",SKOLO[[#This Row],[Zw/w p/j]])</f>
        <v>169572</v>
      </c>
      <c r="T5" s="35">
        <f>IF(SKOLO[[#This Row],[Model 1
(eis M1 t/m M27)]]="","",SKOLO[[#This Row],[Kleur p/j]])</f>
        <v>12564</v>
      </c>
      <c r="U5" s="35" t="str">
        <f>IF(SKOLO[[#This Row],[Model 2
(eis M1 t/m M27)]]="","",SKOLO[[#This Row],[Zw/w p/j]])</f>
        <v/>
      </c>
      <c r="V5" s="35" t="str">
        <f>IF(SKOLO[[#This Row],[Model 2
(eis M1 t/m M27)]]="","",SKOLO[[#This Row],[Kleur p/j]])</f>
        <v/>
      </c>
    </row>
    <row r="6" spans="1:28" x14ac:dyDescent="0.3">
      <c r="A6" t="s">
        <v>17</v>
      </c>
      <c r="B6" s="1" t="s">
        <v>18</v>
      </c>
      <c r="C6" t="s">
        <v>19</v>
      </c>
      <c r="D6" t="s">
        <v>20</v>
      </c>
      <c r="E6" t="s">
        <v>10</v>
      </c>
      <c r="F6" t="s">
        <v>21</v>
      </c>
      <c r="G6" s="113">
        <f>IF((SKOLO[[#This Row],[Zw/w p/j]]+SKOLO[[#This Row],[Kleur p/j]])&lt;$H$1,1,IF((SKOLO[[#This Row],[Zw/w p/j]]+SKOLO[[#This Row],[Kleur p/j]])&gt;$G$1,2,""))</f>
        <v>1</v>
      </c>
      <c r="H6" s="113" t="str">
        <f>IF(AND(SKOLO[[#This Row],[Zw/w p/j]]+SKOLO[[#This Row],[Kleur p/j]]&gt;=$H$1,SKOLO[[#This Row],[Zw/w p/j]]+SKOLO[[#This Row],[Kleur p/j]]&lt;$G$1),1,"")</f>
        <v/>
      </c>
      <c r="I6" s="34">
        <v>44501</v>
      </c>
      <c r="J6" s="35">
        <f>SKOLO[[#This Row],[Zw/w p/m]]*12</f>
        <v>151980</v>
      </c>
      <c r="K6" s="35">
        <f>SKOLO[[#This Row],[kleur p/m]]*12</f>
        <v>16980</v>
      </c>
      <c r="L6" s="35">
        <v>12665</v>
      </c>
      <c r="M6" s="35">
        <v>1415</v>
      </c>
      <c r="N6" s="35">
        <v>48</v>
      </c>
      <c r="O6" s="35">
        <f>IF(SKOLO[[#This Row],[Model 1
(eis M1 t/m M27)]]="","",SKOLO[[#This Row],[Zw/w p/m]]*SKOLO[[#This Row],[Aantal maanden]])</f>
        <v>607920</v>
      </c>
      <c r="P6" s="35">
        <f>IF(SKOLO[[#This Row],[Model 1
(eis M1 t/m M27)]]="","",SKOLO[[#This Row],[kleur p/m]]*SKOLO[[#This Row],[Aantal maanden]])</f>
        <v>67920</v>
      </c>
      <c r="Q6" s="35" t="str">
        <f>IF(SKOLO[[#This Row],[Model 2
(eis M1 t/m M27)]]="","",SKOLO[[#This Row],[Zw/w p/m]]*SKOLO[[#This Row],[Aantal maanden]])</f>
        <v/>
      </c>
      <c r="R6" s="35" t="str">
        <f>IF(SKOLO[[#This Row],[Model 2
(eis M1 t/m M27)]]="","",SKOLO[[#This Row],[kleur p/m]]*SKOLO[[#This Row],[Aantal maanden]])</f>
        <v/>
      </c>
      <c r="S6" s="35">
        <f>IF(SKOLO[[#This Row],[Model 1
(eis M1 t/m M27)]]="","",SKOLO[[#This Row],[Zw/w p/j]])</f>
        <v>151980</v>
      </c>
      <c r="T6" s="35">
        <f>IF(SKOLO[[#This Row],[Model 1
(eis M1 t/m M27)]]="","",SKOLO[[#This Row],[Kleur p/j]])</f>
        <v>16980</v>
      </c>
      <c r="U6" s="35" t="str">
        <f>IF(SKOLO[[#This Row],[Model 2
(eis M1 t/m M27)]]="","",SKOLO[[#This Row],[Zw/w p/j]])</f>
        <v/>
      </c>
      <c r="V6" s="35" t="str">
        <f>IF(SKOLO[[#This Row],[Model 2
(eis M1 t/m M27)]]="","",SKOLO[[#This Row],[Kleur p/j]])</f>
        <v/>
      </c>
    </row>
    <row r="7" spans="1:28" x14ac:dyDescent="0.3">
      <c r="A7" t="s">
        <v>22</v>
      </c>
      <c r="B7" s="1" t="s">
        <v>23</v>
      </c>
      <c r="C7" t="s">
        <v>24</v>
      </c>
      <c r="D7" t="s">
        <v>390</v>
      </c>
      <c r="E7" t="s">
        <v>10</v>
      </c>
      <c r="F7" t="s">
        <v>25</v>
      </c>
      <c r="G7" s="113" t="str">
        <f>IF((SKOLO[[#This Row],[Zw/w p/j]]+SKOLO[[#This Row],[Kleur p/j]])&lt;$H$1,1,IF((SKOLO[[#This Row],[Zw/w p/j]]+SKOLO[[#This Row],[Kleur p/j]])&gt;$G$1,2,""))</f>
        <v/>
      </c>
      <c r="H7" s="113">
        <f>IF(AND(SKOLO[[#This Row],[Zw/w p/j]]+SKOLO[[#This Row],[Kleur p/j]]&gt;=$H$1,SKOLO[[#This Row],[Zw/w p/j]]+SKOLO[[#This Row],[Kleur p/j]]&lt;$G$1),1,"")</f>
        <v>1</v>
      </c>
      <c r="I7" s="34">
        <v>44501</v>
      </c>
      <c r="J7" s="35">
        <f>SKOLO[[#This Row],[Zw/w p/m]]*12</f>
        <v>180672</v>
      </c>
      <c r="K7" s="35">
        <f>SKOLO[[#This Row],[kleur p/m]]*12</f>
        <v>37296</v>
      </c>
      <c r="L7" s="35">
        <v>15056</v>
      </c>
      <c r="M7" s="35">
        <v>3108</v>
      </c>
      <c r="N7" s="35">
        <v>48</v>
      </c>
      <c r="O7" s="35" t="str">
        <f>IF(SKOLO[[#This Row],[Model 1
(eis M1 t/m M27)]]="","",SKOLO[[#This Row],[Zw/w p/m]]*SKOLO[[#This Row],[Aantal maanden]])</f>
        <v/>
      </c>
      <c r="P7" s="35" t="str">
        <f>IF(SKOLO[[#This Row],[Model 1
(eis M1 t/m M27)]]="","",SKOLO[[#This Row],[kleur p/m]]*SKOLO[[#This Row],[Aantal maanden]])</f>
        <v/>
      </c>
      <c r="Q7" s="35">
        <f>IF(SKOLO[[#This Row],[Model 2
(eis M1 t/m M27)]]="","",SKOLO[[#This Row],[Zw/w p/m]]*SKOLO[[#This Row],[Aantal maanden]])</f>
        <v>722688</v>
      </c>
      <c r="R7" s="35">
        <f>IF(SKOLO[[#This Row],[Model 2
(eis M1 t/m M27)]]="","",SKOLO[[#This Row],[kleur p/m]]*SKOLO[[#This Row],[Aantal maanden]])</f>
        <v>149184</v>
      </c>
      <c r="S7" s="35" t="str">
        <f>IF(SKOLO[[#This Row],[Model 1
(eis M1 t/m M27)]]="","",SKOLO[[#This Row],[Zw/w p/j]])</f>
        <v/>
      </c>
      <c r="T7" s="35" t="str">
        <f>IF(SKOLO[[#This Row],[Model 1
(eis M1 t/m M27)]]="","",SKOLO[[#This Row],[Kleur p/j]])</f>
        <v/>
      </c>
      <c r="U7" s="35">
        <f>IF(SKOLO[[#This Row],[Model 2
(eis M1 t/m M27)]]="","",SKOLO[[#This Row],[Zw/w p/j]])</f>
        <v>180672</v>
      </c>
      <c r="V7" s="35">
        <f>IF(SKOLO[[#This Row],[Model 2
(eis M1 t/m M27)]]="","",SKOLO[[#This Row],[Kleur p/j]])</f>
        <v>37296</v>
      </c>
    </row>
    <row r="8" spans="1:28" x14ac:dyDescent="0.3">
      <c r="B8" s="1" t="s">
        <v>32</v>
      </c>
      <c r="C8" t="s">
        <v>407</v>
      </c>
      <c r="D8" t="s">
        <v>408</v>
      </c>
      <c r="E8" t="s">
        <v>10</v>
      </c>
      <c r="G8" s="113">
        <f>IF((SKOLO[[#This Row],[Zw/w p/j]]+SKOLO[[#This Row],[Kleur p/j]])&lt;$H$1,1,IF((SKOLO[[#This Row],[Zw/w p/j]]+SKOLO[[#This Row],[Kleur p/j]])&gt;$G$1,2,""))</f>
        <v>1</v>
      </c>
      <c r="H8" s="113" t="str">
        <f>IF(AND(SKOLO[[#This Row],[Zw/w p/j]]+SKOLO[[#This Row],[Kleur p/j]]&gt;=$H$1,SKOLO[[#This Row],[Zw/w p/j]]+SKOLO[[#This Row],[Kleur p/j]]&lt;$G$1),1,"")</f>
        <v/>
      </c>
      <c r="I8" s="34">
        <v>44501</v>
      </c>
      <c r="J8" s="35">
        <f>SKOLO[[#This Row],[Zw/w p/m]]*12</f>
        <v>8172</v>
      </c>
      <c r="K8" s="35">
        <f>SKOLO[[#This Row],[kleur p/m]]*12</f>
        <v>2652</v>
      </c>
      <c r="L8" s="35">
        <v>681</v>
      </c>
      <c r="M8" s="35">
        <v>221</v>
      </c>
      <c r="N8" s="35">
        <v>48</v>
      </c>
      <c r="O8" s="35">
        <f>IF(SKOLO[[#This Row],[Model 1
(eis M1 t/m M27)]]="","",SKOLO[[#This Row],[Zw/w p/m]]*SKOLO[[#This Row],[Aantal maanden]])</f>
        <v>32688</v>
      </c>
      <c r="P8" s="35">
        <f>IF(SKOLO[[#This Row],[Model 1
(eis M1 t/m M27)]]="","",SKOLO[[#This Row],[kleur p/m]]*SKOLO[[#This Row],[Aantal maanden]])</f>
        <v>10608</v>
      </c>
      <c r="Q8" s="35" t="str">
        <f>IF(SKOLO[[#This Row],[Model 2
(eis M1 t/m M27)]]="","",SKOLO[[#This Row],[Zw/w p/m]]*SKOLO[[#This Row],[Aantal maanden]])</f>
        <v/>
      </c>
      <c r="R8" s="35" t="str">
        <f>IF(SKOLO[[#This Row],[Model 2
(eis M1 t/m M27)]]="","",SKOLO[[#This Row],[kleur p/m]]*SKOLO[[#This Row],[Aantal maanden]])</f>
        <v/>
      </c>
      <c r="S8" s="35">
        <f>IF(SKOLO[[#This Row],[Model 1
(eis M1 t/m M27)]]="","",SKOLO[[#This Row],[Zw/w p/j]])</f>
        <v>8172</v>
      </c>
      <c r="T8" s="35">
        <f>IF(SKOLO[[#This Row],[Model 1
(eis M1 t/m M27)]]="","",SKOLO[[#This Row],[Kleur p/j]])</f>
        <v>2652</v>
      </c>
      <c r="U8" s="35" t="str">
        <f>IF(SKOLO[[#This Row],[Model 2
(eis M1 t/m M27)]]="","",SKOLO[[#This Row],[Zw/w p/j]])</f>
        <v/>
      </c>
      <c r="V8" s="35" t="str">
        <f>IF(SKOLO[[#This Row],[Model 2
(eis M1 t/m M27)]]="","",SKOLO[[#This Row],[Kleur p/j]])</f>
        <v/>
      </c>
    </row>
    <row r="9" spans="1:28" x14ac:dyDescent="0.3">
      <c r="A9" t="s">
        <v>33</v>
      </c>
      <c r="G9" s="113">
        <f>SUM(SKOLO[Model 1
(eis M1 t/m M27)])</f>
        <v>4</v>
      </c>
      <c r="H9" s="113">
        <f>SUM(SKOLO[Model 2
(eis M1 t/m M27)])</f>
        <v>2</v>
      </c>
      <c r="I9" s="27"/>
      <c r="J9" s="36">
        <f>SUM(SKOLO[Zw/w p/j])</f>
        <v>896760</v>
      </c>
      <c r="K9" s="36">
        <f>SUM(SKOLO[Kleur p/j])</f>
        <v>137652</v>
      </c>
      <c r="L9" s="36">
        <f>SUBTOTAL(109,SKOLO[Zw/w p/m])</f>
        <v>74730</v>
      </c>
      <c r="M9" s="36">
        <f>SUBTOTAL(109,SKOLO[kleur p/m])</f>
        <v>11471</v>
      </c>
      <c r="N9" s="36">
        <f>SUBTOTAL(109,SKOLO[Aantal maanden])</f>
        <v>288</v>
      </c>
      <c r="O9" s="36">
        <f>SUBTOTAL(109,SKOLO['# zw/w afdrukken eerste 48 mnd M1])</f>
        <v>1895088</v>
      </c>
      <c r="P9" s="36">
        <f>SUBTOTAL(109,SKOLO['# kleur afdrukken eerste 48 mnd M1])</f>
        <v>231504</v>
      </c>
      <c r="Q9" s="36">
        <f>SUBTOTAL(109,SKOLO['# zw/w afdrukken eerste 48 mnd M2])</f>
        <v>1691952</v>
      </c>
      <c r="R9" s="36">
        <f>SUBTOTAL(109,SKOLO['# kleur afdrukken eerste 48 mnd M2])</f>
        <v>319104</v>
      </c>
      <c r="S9" s="36">
        <f>SUBTOTAL(109,SKOLO[Aantal zw/w afdrukken per optiejaar M1])</f>
        <v>473772</v>
      </c>
      <c r="T9" s="36">
        <f>SUBTOTAL(109,SKOLO[Aantal kleur afdrukken per optiejaar M1])</f>
        <v>57876</v>
      </c>
      <c r="U9" s="36">
        <f>SUBTOTAL(109,SKOLO[Aantal zw/w afdrukken per optiejaar M2])</f>
        <v>422988</v>
      </c>
      <c r="V9" s="36">
        <f>SUBTOTAL(109,SKOLO[Aantal kleur afdrukken per optiejaar M2])</f>
        <v>79776</v>
      </c>
    </row>
    <row r="10" spans="1:28" s="9" customFormat="1" ht="13.8" x14ac:dyDescent="0.3"/>
    <row r="11" spans="1:28" x14ac:dyDescent="0.3">
      <c r="G11" s="3"/>
      <c r="H11" s="3"/>
      <c r="J11" s="3"/>
      <c r="K11" s="3"/>
      <c r="L11" s="2"/>
      <c r="M11" s="2"/>
      <c r="N11" s="3"/>
      <c r="O11" s="3"/>
      <c r="P11" s="3"/>
      <c r="Q11" s="3"/>
      <c r="R11" s="3"/>
      <c r="S11" s="3"/>
      <c r="T11" s="3"/>
      <c r="U11" s="3"/>
      <c r="V11" s="3"/>
      <c r="W11" s="3"/>
      <c r="X11" s="3"/>
      <c r="Y11" s="3"/>
      <c r="Z11" s="3"/>
      <c r="AA11" s="3"/>
      <c r="AB11" s="3"/>
    </row>
    <row r="12" spans="1:28" x14ac:dyDescent="0.3">
      <c r="F12" s="24" t="s">
        <v>399</v>
      </c>
      <c r="G12" s="45" t="s">
        <v>330</v>
      </c>
      <c r="H12" s="44" t="s">
        <v>328</v>
      </c>
      <c r="I12" s="44" t="s">
        <v>329</v>
      </c>
    </row>
    <row r="13" spans="1:28" ht="14.4" customHeight="1" x14ac:dyDescent="0.3">
      <c r="C13" s="33"/>
      <c r="D13" s="33"/>
      <c r="E13" s="33"/>
      <c r="F13" s="42" t="s">
        <v>353</v>
      </c>
      <c r="G13" s="47">
        <v>0</v>
      </c>
      <c r="H13" s="47">
        <v>0</v>
      </c>
      <c r="I13" s="48">
        <v>0</v>
      </c>
      <c r="K13" s="94" t="s">
        <v>338</v>
      </c>
      <c r="L13" s="94" t="s">
        <v>338</v>
      </c>
      <c r="M13" s="94" t="s">
        <v>338</v>
      </c>
      <c r="N13" s="94" t="s">
        <v>338</v>
      </c>
    </row>
    <row r="14" spans="1:28" ht="14.4" customHeight="1" x14ac:dyDescent="0.3">
      <c r="D14" s="33"/>
      <c r="E14" s="33"/>
      <c r="F14" s="42" t="s">
        <v>352</v>
      </c>
      <c r="G14" s="47">
        <v>0</v>
      </c>
      <c r="H14" s="47">
        <v>0</v>
      </c>
      <c r="I14" s="47">
        <v>0</v>
      </c>
      <c r="K14" s="95" t="s">
        <v>392</v>
      </c>
      <c r="L14" s="96" t="s">
        <v>360</v>
      </c>
      <c r="M14" s="95" t="s">
        <v>339</v>
      </c>
      <c r="N14" s="97" t="s">
        <v>361</v>
      </c>
    </row>
    <row r="15" spans="1:28" ht="14.4" customHeight="1" x14ac:dyDescent="0.3">
      <c r="G15" s="6"/>
      <c r="H15" s="6"/>
      <c r="I15" s="6"/>
      <c r="K15" s="52">
        <f>SUM(SKOLO[[#Totals],['# zw/w afdrukken eerste 48 mnd M1]]+SKOLO[[#Totals],['# zw/w afdrukken eerste 48 mnd M2]])</f>
        <v>3587040</v>
      </c>
      <c r="L15" s="52">
        <f>SUM(SKOLO[[#Totals],[Aantal zw/w afdrukken per optiejaar M1]]+SKOLO[[#Totals],[Aantal zw/w afdrukken per optiejaar M2]])</f>
        <v>896760</v>
      </c>
      <c r="M15" s="52">
        <f>SUM(SKOLO[[#Totals],['# kleur afdrukken eerste 48 mnd M1]]+SKOLO[[#Totals],['# kleur afdrukken eerste 48 mnd M2]])</f>
        <v>550608</v>
      </c>
      <c r="N15" s="52">
        <f>SUM(SKOLO[[#Totals],[Aantal kleur afdrukken per optiejaar M1]]+SKOLO[[#Totals],[Aantal kleur afdrukken per optiejaar M2]])</f>
        <v>137652</v>
      </c>
    </row>
    <row r="16" spans="1:28" ht="14.4" customHeight="1" x14ac:dyDescent="0.3">
      <c r="F16" s="24" t="s">
        <v>398</v>
      </c>
      <c r="G16" s="6"/>
      <c r="H16" s="6"/>
      <c r="I16" s="6"/>
      <c r="K16" s="98"/>
      <c r="L16" s="98"/>
      <c r="M16" s="98"/>
      <c r="N16" s="98"/>
    </row>
    <row r="17" spans="3:14" x14ac:dyDescent="0.3">
      <c r="D17" s="32"/>
      <c r="F17" s="18" t="s">
        <v>331</v>
      </c>
      <c r="G17" s="49">
        <v>0</v>
      </c>
      <c r="H17" s="49">
        <v>0</v>
      </c>
      <c r="I17" s="49">
        <v>0</v>
      </c>
    </row>
    <row r="18" spans="3:14" x14ac:dyDescent="0.3">
      <c r="D18" s="31"/>
      <c r="E18" s="31"/>
      <c r="F18" s="18" t="s">
        <v>314</v>
      </c>
      <c r="G18" s="49">
        <v>0</v>
      </c>
      <c r="H18" s="49">
        <v>0</v>
      </c>
      <c r="I18" s="49">
        <v>0</v>
      </c>
    </row>
    <row r="19" spans="3:14" x14ac:dyDescent="0.3">
      <c r="C19" s="7"/>
      <c r="D19" s="7"/>
      <c r="E19" s="7"/>
      <c r="F19" s="7"/>
      <c r="G19" s="6"/>
      <c r="H19" s="6"/>
      <c r="I19" s="6"/>
    </row>
    <row r="20" spans="3:14" x14ac:dyDescent="0.3">
      <c r="C20" s="23"/>
      <c r="D20" s="23"/>
      <c r="E20" s="23"/>
      <c r="F20" s="24" t="s">
        <v>396</v>
      </c>
      <c r="G20" s="6"/>
      <c r="H20" s="6"/>
      <c r="I20" s="6"/>
    </row>
    <row r="21" spans="3:14" x14ac:dyDescent="0.3">
      <c r="C21" s="18"/>
      <c r="D21" s="18"/>
      <c r="E21" s="18"/>
      <c r="F21" s="18" t="s">
        <v>397</v>
      </c>
      <c r="G21" s="50">
        <v>0</v>
      </c>
      <c r="H21" s="50">
        <v>0</v>
      </c>
      <c r="I21" s="50">
        <v>0</v>
      </c>
      <c r="L21" s="25"/>
    </row>
    <row r="22" spans="3:14" x14ac:dyDescent="0.3">
      <c r="C22" s="23"/>
      <c r="D22" s="23"/>
      <c r="E22" s="23"/>
      <c r="F22" s="23"/>
      <c r="G22" s="25"/>
      <c r="H22" s="25"/>
      <c r="I22" s="25"/>
      <c r="J22" s="85"/>
      <c r="L22" s="25"/>
    </row>
    <row r="23" spans="3:14" x14ac:dyDescent="0.3">
      <c r="C23" s="18"/>
      <c r="D23" s="18"/>
      <c r="E23" s="18"/>
      <c r="F23" s="83" t="s">
        <v>393</v>
      </c>
      <c r="G23" s="25"/>
      <c r="H23" s="25"/>
      <c r="I23" s="25"/>
    </row>
    <row r="24" spans="3:14" x14ac:dyDescent="0.3">
      <c r="C24" s="120" t="s">
        <v>394</v>
      </c>
      <c r="D24" s="120"/>
      <c r="E24" s="120"/>
      <c r="F24" s="120"/>
      <c r="G24" s="51">
        <v>0</v>
      </c>
      <c r="H24" s="11" t="s">
        <v>426</v>
      </c>
      <c r="I24" s="25"/>
    </row>
    <row r="25" spans="3:14" x14ac:dyDescent="0.3">
      <c r="C25" s="120" t="s">
        <v>395</v>
      </c>
      <c r="D25" s="120"/>
      <c r="E25" s="120"/>
      <c r="F25" s="120"/>
      <c r="G25" s="51">
        <v>0</v>
      </c>
      <c r="H25" s="11" t="s">
        <v>426</v>
      </c>
      <c r="I25" s="25"/>
    </row>
    <row r="26" spans="3:14" x14ac:dyDescent="0.3">
      <c r="C26" s="18"/>
      <c r="D26" s="18"/>
      <c r="E26" s="18"/>
      <c r="F26" s="18"/>
    </row>
    <row r="27" spans="3:14" x14ac:dyDescent="0.3">
      <c r="C27" s="42"/>
      <c r="D27" s="42"/>
      <c r="E27" s="46"/>
      <c r="F27" s="83" t="s">
        <v>424</v>
      </c>
      <c r="G27" s="44" t="s">
        <v>363</v>
      </c>
      <c r="H27" s="44" t="s">
        <v>364</v>
      </c>
      <c r="I27" s="44" t="s">
        <v>365</v>
      </c>
      <c r="J27" s="44" t="s">
        <v>366</v>
      </c>
      <c r="K27" s="44" t="s">
        <v>367</v>
      </c>
      <c r="L27" s="44" t="s">
        <v>368</v>
      </c>
      <c r="M27" s="44" t="s">
        <v>369</v>
      </c>
      <c r="N27" s="44" t="s">
        <v>370</v>
      </c>
    </row>
    <row r="28" spans="3:14" x14ac:dyDescent="0.3">
      <c r="C28" s="42"/>
      <c r="D28" s="42"/>
      <c r="E28" s="46"/>
      <c r="F28" s="42" t="s">
        <v>425</v>
      </c>
      <c r="G28" s="63"/>
      <c r="H28" s="63"/>
      <c r="I28" s="63"/>
      <c r="J28" s="63"/>
      <c r="K28" s="63"/>
      <c r="L28" s="63"/>
      <c r="M28" s="63"/>
      <c r="N28" s="63"/>
    </row>
    <row r="29" spans="3:14" x14ac:dyDescent="0.3">
      <c r="C29" s="42"/>
      <c r="D29" s="42"/>
      <c r="E29" s="42"/>
      <c r="F29" s="42" t="s">
        <v>373</v>
      </c>
      <c r="G29" s="63"/>
      <c r="H29" s="63"/>
      <c r="I29" s="63"/>
      <c r="J29" s="63"/>
      <c r="K29" s="63"/>
      <c r="L29" s="63"/>
      <c r="M29" s="63"/>
      <c r="N29" s="63"/>
    </row>
    <row r="30" spans="3:14" x14ac:dyDescent="0.3">
      <c r="C30" s="42"/>
      <c r="D30" s="42"/>
      <c r="E30" s="42"/>
      <c r="F30" s="42" t="s">
        <v>333</v>
      </c>
      <c r="G30" s="63"/>
      <c r="H30" s="63"/>
      <c r="I30" s="63"/>
      <c r="J30" s="63"/>
      <c r="K30" s="63"/>
      <c r="L30" s="63"/>
      <c r="M30" s="63"/>
      <c r="N30" s="63"/>
    </row>
    <row r="31" spans="3:14" x14ac:dyDescent="0.3">
      <c r="C31" s="42"/>
      <c r="D31" s="42"/>
      <c r="E31" s="42"/>
      <c r="F31" s="42" t="s">
        <v>334</v>
      </c>
      <c r="G31" s="63"/>
      <c r="H31" s="63"/>
      <c r="I31" s="63"/>
      <c r="J31" s="63"/>
      <c r="K31" s="63"/>
      <c r="L31" s="63"/>
      <c r="M31" s="63"/>
      <c r="N31" s="63"/>
    </row>
    <row r="32" spans="3:14" x14ac:dyDescent="0.3">
      <c r="C32" s="42"/>
      <c r="D32" s="42"/>
      <c r="E32" s="42"/>
      <c r="F32" s="42" t="s">
        <v>335</v>
      </c>
      <c r="G32" s="63"/>
      <c r="H32" s="63"/>
      <c r="I32" s="63"/>
      <c r="J32" s="63"/>
      <c r="K32" s="63"/>
      <c r="L32" s="63"/>
      <c r="M32" s="63"/>
      <c r="N32" s="63"/>
    </row>
    <row r="33" spans="3:14" x14ac:dyDescent="0.3">
      <c r="C33" s="42"/>
      <c r="D33" s="42"/>
      <c r="E33" s="42"/>
      <c r="F33" s="42" t="s">
        <v>336</v>
      </c>
      <c r="G33" s="63"/>
      <c r="H33" s="84"/>
      <c r="I33" s="63"/>
      <c r="J33" s="63"/>
      <c r="K33" s="63"/>
      <c r="L33" s="63"/>
      <c r="M33" s="63"/>
      <c r="N33" s="63"/>
    </row>
    <row r="34" spans="3:14" x14ac:dyDescent="0.3">
      <c r="C34" s="42"/>
      <c r="D34" s="42"/>
      <c r="E34" s="42"/>
      <c r="F34" s="42" t="s">
        <v>371</v>
      </c>
      <c r="G34" s="63"/>
      <c r="H34" s="63"/>
      <c r="I34" s="63"/>
      <c r="J34" s="63"/>
      <c r="K34" s="63"/>
      <c r="L34" s="63"/>
      <c r="M34" s="63"/>
      <c r="N34" s="63"/>
    </row>
    <row r="35" spans="3:14" x14ac:dyDescent="0.3">
      <c r="C35" s="42"/>
      <c r="D35" s="42"/>
      <c r="E35" s="42"/>
      <c r="F35" s="42" t="s">
        <v>337</v>
      </c>
      <c r="G35" s="63"/>
      <c r="H35" s="63"/>
      <c r="I35" s="63"/>
      <c r="J35" s="63"/>
      <c r="K35" s="63"/>
      <c r="L35" s="63"/>
      <c r="M35" s="63"/>
      <c r="N35" s="63"/>
    </row>
    <row r="36" spans="3:14" x14ac:dyDescent="0.3">
      <c r="C36" s="42"/>
      <c r="D36" s="42"/>
      <c r="E36" s="42"/>
      <c r="F36" s="42" t="s">
        <v>372</v>
      </c>
      <c r="G36" s="63"/>
      <c r="H36" s="63"/>
      <c r="I36" s="63"/>
      <c r="J36" s="63"/>
      <c r="K36" s="63"/>
      <c r="L36" s="63"/>
      <c r="M36" s="63"/>
      <c r="N36" s="63"/>
    </row>
    <row r="37" spans="3:14" x14ac:dyDescent="0.3">
      <c r="C37" s="18"/>
      <c r="D37" s="18"/>
      <c r="E37" s="18"/>
      <c r="F37" s="24" t="s">
        <v>375</v>
      </c>
      <c r="G37" s="51">
        <v>0</v>
      </c>
      <c r="H37" s="51">
        <v>0</v>
      </c>
      <c r="I37" s="51">
        <v>0</v>
      </c>
      <c r="J37" s="51">
        <v>0</v>
      </c>
      <c r="K37" s="51">
        <v>0</v>
      </c>
      <c r="L37" s="51">
        <v>0</v>
      </c>
      <c r="M37" s="51">
        <v>0</v>
      </c>
      <c r="N37" s="51">
        <v>0</v>
      </c>
    </row>
    <row r="38" spans="3:14" x14ac:dyDescent="0.3">
      <c r="C38" s="18"/>
      <c r="D38" s="18"/>
      <c r="E38" s="18"/>
      <c r="F38" s="24" t="s">
        <v>374</v>
      </c>
      <c r="G38" s="51">
        <v>0</v>
      </c>
      <c r="H38" s="51">
        <v>0</v>
      </c>
      <c r="I38" s="51">
        <v>0</v>
      </c>
      <c r="J38" s="51">
        <v>0</v>
      </c>
      <c r="K38" s="51">
        <v>0</v>
      </c>
      <c r="L38" s="51">
        <v>0</v>
      </c>
      <c r="M38" s="51">
        <v>0</v>
      </c>
      <c r="N38" s="51">
        <v>0</v>
      </c>
    </row>
    <row r="39" spans="3:14" x14ac:dyDescent="0.3">
      <c r="C39" s="23"/>
      <c r="D39" s="23"/>
      <c r="E39" s="23"/>
      <c r="F39" s="24"/>
      <c r="G39" s="87"/>
      <c r="H39" s="87"/>
      <c r="I39" s="87"/>
      <c r="J39" s="87"/>
      <c r="K39" s="87"/>
      <c r="L39" s="87"/>
      <c r="M39" s="87"/>
      <c r="N39" s="87"/>
    </row>
    <row r="40" spans="3:14" x14ac:dyDescent="0.3">
      <c r="C40" s="18"/>
      <c r="D40" s="18"/>
      <c r="E40" s="18"/>
      <c r="F40" s="18"/>
      <c r="G40" s="18"/>
      <c r="H40" s="11"/>
      <c r="I40" s="25"/>
    </row>
    <row r="41" spans="3:14" x14ac:dyDescent="0.3">
      <c r="C41" s="18"/>
      <c r="D41" s="18"/>
      <c r="E41" s="18"/>
      <c r="F41" s="24" t="s">
        <v>400</v>
      </c>
      <c r="G41" s="45" t="s">
        <v>330</v>
      </c>
      <c r="H41" s="44" t="s">
        <v>328</v>
      </c>
      <c r="I41" s="44" t="s">
        <v>329</v>
      </c>
    </row>
    <row r="42" spans="3:14" ht="14.4" customHeight="1" x14ac:dyDescent="0.3">
      <c r="C42" s="120" t="s">
        <v>401</v>
      </c>
      <c r="D42" s="120"/>
      <c r="E42" s="120"/>
      <c r="F42" s="120"/>
      <c r="G42" s="64">
        <v>0</v>
      </c>
      <c r="J42" s="12" t="s">
        <v>317</v>
      </c>
    </row>
    <row r="43" spans="3:14" ht="14.4" customHeight="1" x14ac:dyDescent="0.3">
      <c r="C43" s="120" t="s">
        <v>376</v>
      </c>
      <c r="D43" s="120"/>
      <c r="E43" s="120"/>
      <c r="F43" s="120"/>
      <c r="G43" s="65">
        <v>0</v>
      </c>
      <c r="H43" s="65">
        <v>0</v>
      </c>
      <c r="I43" s="65">
        <v>0</v>
      </c>
      <c r="J43" s="12" t="s">
        <v>317</v>
      </c>
    </row>
    <row r="44" spans="3:14" ht="14.4" customHeight="1" x14ac:dyDescent="0.3">
      <c r="C44" s="120" t="s">
        <v>377</v>
      </c>
      <c r="D44" s="120"/>
      <c r="E44" s="120"/>
      <c r="F44" s="120"/>
      <c r="G44" s="65">
        <v>0</v>
      </c>
      <c r="H44" s="65">
        <v>0</v>
      </c>
      <c r="I44" s="65">
        <v>0</v>
      </c>
      <c r="J44" s="12" t="s">
        <v>317</v>
      </c>
    </row>
    <row r="45" spans="3:14" ht="14.4" customHeight="1" x14ac:dyDescent="0.3">
      <c r="C45" s="120" t="s">
        <v>378</v>
      </c>
      <c r="D45" s="120"/>
      <c r="E45" s="120"/>
      <c r="F45" s="120"/>
      <c r="G45" s="65">
        <v>0</v>
      </c>
      <c r="H45" s="65">
        <v>0</v>
      </c>
      <c r="I45" s="65">
        <v>0</v>
      </c>
      <c r="J45" s="12" t="s">
        <v>317</v>
      </c>
    </row>
    <row r="46" spans="3:14" ht="14.4" customHeight="1" x14ac:dyDescent="0.3">
      <c r="C46" s="120" t="s">
        <v>379</v>
      </c>
      <c r="D46" s="120"/>
      <c r="E46" s="120"/>
      <c r="F46" s="120"/>
      <c r="G46" s="65">
        <v>0</v>
      </c>
      <c r="H46" s="65">
        <v>0</v>
      </c>
      <c r="I46" s="65">
        <v>0</v>
      </c>
      <c r="J46" s="12" t="s">
        <v>317</v>
      </c>
    </row>
    <row r="47" spans="3:14" ht="14.4" customHeight="1" x14ac:dyDescent="0.3">
      <c r="C47" s="120" t="s">
        <v>382</v>
      </c>
      <c r="D47" s="120"/>
      <c r="E47" s="120" t="s">
        <v>318</v>
      </c>
      <c r="F47" s="120"/>
      <c r="G47" s="65">
        <v>0</v>
      </c>
      <c r="H47" s="65">
        <v>0</v>
      </c>
      <c r="I47" s="65">
        <v>0</v>
      </c>
      <c r="J47" s="12" t="s">
        <v>317</v>
      </c>
    </row>
    <row r="48" spans="3:14" ht="14.4" customHeight="1" x14ac:dyDescent="0.3">
      <c r="C48" s="120" t="s">
        <v>383</v>
      </c>
      <c r="D48" s="120"/>
      <c r="E48" s="120" t="s">
        <v>318</v>
      </c>
      <c r="F48" s="120"/>
      <c r="G48" s="65">
        <v>0</v>
      </c>
      <c r="H48" s="65">
        <v>0</v>
      </c>
      <c r="I48" s="65">
        <v>0</v>
      </c>
      <c r="J48" s="12" t="s">
        <v>317</v>
      </c>
    </row>
    <row r="49" spans="3:11" ht="14.4" customHeight="1" x14ac:dyDescent="0.3">
      <c r="C49" s="120" t="s">
        <v>380</v>
      </c>
      <c r="D49" s="120"/>
      <c r="E49" s="120" t="s">
        <v>318</v>
      </c>
      <c r="F49" s="120"/>
      <c r="G49" s="65">
        <v>0</v>
      </c>
      <c r="H49" s="65">
        <v>0</v>
      </c>
      <c r="I49" s="65">
        <v>0</v>
      </c>
      <c r="J49" s="12" t="s">
        <v>317</v>
      </c>
    </row>
    <row r="50" spans="3:11" ht="14.4" customHeight="1" x14ac:dyDescent="0.3">
      <c r="C50" s="120" t="s">
        <v>381</v>
      </c>
      <c r="D50" s="120"/>
      <c r="E50" s="120" t="s">
        <v>318</v>
      </c>
      <c r="F50" s="120"/>
      <c r="G50" s="65">
        <v>0</v>
      </c>
      <c r="H50" s="65">
        <v>0</v>
      </c>
      <c r="I50" s="65">
        <v>0</v>
      </c>
      <c r="J50" s="12" t="s">
        <v>317</v>
      </c>
    </row>
    <row r="51" spans="3:11" ht="14.4" customHeight="1" thickBot="1" x14ac:dyDescent="0.35">
      <c r="C51" s="18"/>
      <c r="D51" s="18"/>
      <c r="E51" s="18"/>
      <c r="F51" s="18"/>
      <c r="G51" s="28"/>
      <c r="H51" s="28"/>
      <c r="I51" s="28"/>
      <c r="J51" s="12"/>
    </row>
    <row r="52" spans="3:11" x14ac:dyDescent="0.3">
      <c r="D52" s="66"/>
      <c r="E52" s="67"/>
      <c r="F52" s="68" t="s">
        <v>359</v>
      </c>
      <c r="G52" s="69" t="s">
        <v>330</v>
      </c>
      <c r="H52" s="70" t="s">
        <v>328</v>
      </c>
      <c r="I52" s="70" t="s">
        <v>329</v>
      </c>
      <c r="J52" s="71" t="s">
        <v>358</v>
      </c>
    </row>
    <row r="53" spans="3:11" x14ac:dyDescent="0.3">
      <c r="C53" s="31"/>
      <c r="D53" s="72"/>
      <c r="E53" s="53"/>
      <c r="F53" s="54" t="s">
        <v>355</v>
      </c>
      <c r="G53" s="55">
        <f>G13*SKOLO[[#Totals],[Model 1
(eis M1 t/m M27)]]*48</f>
        <v>0</v>
      </c>
      <c r="H53" s="55">
        <f>H13*SKOLO[[#Totals],[Model 1
(eis M1 t/m M27)]]*12</f>
        <v>0</v>
      </c>
      <c r="I53" s="55">
        <f>I13*SKOLO[[#Totals],[Model 1
(eis M1 t/m M27)]]*12</f>
        <v>0</v>
      </c>
      <c r="J53" s="73">
        <f>SUM(SKOLO!$G53:$I53)</f>
        <v>0</v>
      </c>
    </row>
    <row r="54" spans="3:11" x14ac:dyDescent="0.3">
      <c r="C54" s="31"/>
      <c r="D54" s="74"/>
      <c r="E54" s="56"/>
      <c r="F54" s="57" t="s">
        <v>354</v>
      </c>
      <c r="G54" s="58">
        <f>G14*SKOLO[[#Totals],[Model 2
(eis M1 t/m M27)]]*48</f>
        <v>0</v>
      </c>
      <c r="H54" s="58">
        <f>H14*SKOLO[[#Totals],[Model 2
(eis M1 t/m M27)]]*12</f>
        <v>0</v>
      </c>
      <c r="I54" s="58">
        <f>I14*SKOLO[[#Totals],[Model 2
(eis M1 t/m M27)]]*12</f>
        <v>0</v>
      </c>
      <c r="J54" s="75">
        <f>SUM(SKOLO!$G54:$I54)</f>
        <v>0</v>
      </c>
    </row>
    <row r="55" spans="3:11" x14ac:dyDescent="0.3">
      <c r="C55" s="31"/>
      <c r="D55" s="72"/>
      <c r="E55" s="53"/>
      <c r="F55" s="54" t="s">
        <v>356</v>
      </c>
      <c r="G55" s="55">
        <f>G17*K15</f>
        <v>0</v>
      </c>
      <c r="H55" s="55">
        <f>H17*L15</f>
        <v>0</v>
      </c>
      <c r="I55" s="55">
        <f>I17*L15</f>
        <v>0</v>
      </c>
      <c r="J55" s="73">
        <f>SUM(SKOLO!$G55:$I55)</f>
        <v>0</v>
      </c>
    </row>
    <row r="56" spans="3:11" x14ac:dyDescent="0.3">
      <c r="C56" s="31"/>
      <c r="D56" s="74"/>
      <c r="E56" s="56"/>
      <c r="F56" s="57" t="s">
        <v>357</v>
      </c>
      <c r="G56" s="58">
        <f>G18*M15</f>
        <v>0</v>
      </c>
      <c r="H56" s="58">
        <f>H18*N15</f>
        <v>0</v>
      </c>
      <c r="I56" s="58">
        <f>I18*N15</f>
        <v>0</v>
      </c>
      <c r="J56" s="75">
        <f>SUM(SKOLO!$G56:$I56)</f>
        <v>0</v>
      </c>
    </row>
    <row r="57" spans="3:11" x14ac:dyDescent="0.3">
      <c r="C57" s="41"/>
      <c r="D57" s="76"/>
      <c r="E57" s="59"/>
      <c r="F57" s="54" t="s">
        <v>327</v>
      </c>
      <c r="G57" s="55">
        <f>G21*(SKOLO[[#Totals],[Model 1
(eis M1 t/m M27)]]+SKOLO[[#Totals],[Model 2
(eis M1 t/m M27)]])*48</f>
        <v>0</v>
      </c>
      <c r="H57" s="55">
        <f>H21*(SKOLO[[#Totals],[Model 1
(eis M1 t/m M27)]]+SKOLO[[#Totals],[Model 2
(eis M1 t/m M27)]])*12</f>
        <v>0</v>
      </c>
      <c r="I57" s="55">
        <f>I21*(SKOLO[[#Totals],[Model 1
(eis M1 t/m M27)]]+SKOLO[[#Totals],[Model 2
(eis M1 t/m M27)]])*12</f>
        <v>0</v>
      </c>
      <c r="J57" s="73">
        <f>SUM(SKOLO!$G57:$I57)</f>
        <v>0</v>
      </c>
      <c r="K57" s="39"/>
    </row>
    <row r="58" spans="3:11" x14ac:dyDescent="0.3">
      <c r="C58" s="41"/>
      <c r="D58" s="77"/>
      <c r="E58" s="60"/>
      <c r="F58" s="57" t="s">
        <v>332</v>
      </c>
      <c r="G58" s="58">
        <f>SUM(G37:N37)*48*(SKOLO[[#Totals],[Model 1
(eis M1 t/m M27)]]+SKOLO[[#Totals],[Model 2
(eis M1 t/m M27)]])</f>
        <v>0</v>
      </c>
      <c r="H58" s="58">
        <f>SUM(G38:N38)*12*(SKOLO[[#Totals],[Model 1
(eis M1 t/m M27)]]+SKOLO[[#Totals],[Model 2
(eis M1 t/m M27)]])</f>
        <v>0</v>
      </c>
      <c r="I58" s="58">
        <f>SUM(G38:N38)*12*(SKOLO[[#Totals],[Model 1
(eis M1 t/m M27)]]+SKOLO[[#Totals],[Model 2
(eis M1 t/m M27)]])</f>
        <v>0</v>
      </c>
      <c r="J58" s="75">
        <f>SUM(SKOLO!$G58:$I58)</f>
        <v>0</v>
      </c>
      <c r="K58" s="39"/>
    </row>
    <row r="59" spans="3:11" x14ac:dyDescent="0.3">
      <c r="C59" s="41"/>
      <c r="D59" s="76"/>
      <c r="E59" s="59"/>
      <c r="F59" s="61" t="s">
        <v>315</v>
      </c>
      <c r="G59" s="91"/>
      <c r="H59" s="91"/>
      <c r="I59" s="91"/>
      <c r="J59" s="73">
        <f>G24</f>
        <v>0</v>
      </c>
      <c r="K59" s="39"/>
    </row>
    <row r="60" spans="3:11" ht="15" thickBot="1" x14ac:dyDescent="0.35">
      <c r="C60" s="40"/>
      <c r="D60" s="78"/>
      <c r="E60" s="79"/>
      <c r="F60" s="80" t="s">
        <v>316</v>
      </c>
      <c r="G60" s="92"/>
      <c r="H60" s="92"/>
      <c r="I60" s="92"/>
      <c r="J60" s="81">
        <f>G25</f>
        <v>0</v>
      </c>
    </row>
    <row r="61" spans="3:11" ht="24" thickBot="1" x14ac:dyDescent="0.5">
      <c r="C61" s="15"/>
      <c r="D61" s="15"/>
      <c r="E61" s="16"/>
      <c r="G61" s="14"/>
      <c r="H61" s="14"/>
      <c r="I61" s="14"/>
    </row>
    <row r="62" spans="3:11" ht="24" thickBot="1" x14ac:dyDescent="0.5">
      <c r="G62" s="17"/>
      <c r="H62" s="93" t="s">
        <v>319</v>
      </c>
      <c r="I62" s="118">
        <f>SUM(J53:J61)</f>
        <v>0</v>
      </c>
      <c r="J62" s="119"/>
    </row>
    <row r="64" spans="3:11" ht="14.4" customHeight="1" x14ac:dyDescent="0.3">
      <c r="E64" s="90" t="s">
        <v>387</v>
      </c>
      <c r="K64" s="43"/>
    </row>
    <row r="65" spans="5:11" ht="14.4" customHeight="1" x14ac:dyDescent="0.3">
      <c r="E65" s="90" t="s">
        <v>388</v>
      </c>
      <c r="F65" s="43"/>
      <c r="G65" s="43"/>
      <c r="H65" s="43"/>
      <c r="I65" s="43"/>
      <c r="J65" s="43"/>
      <c r="K65" s="43"/>
    </row>
    <row r="66" spans="5:11" ht="15" x14ac:dyDescent="0.3">
      <c r="E66" s="89" t="s">
        <v>389</v>
      </c>
      <c r="F66" s="43"/>
      <c r="G66" s="43"/>
      <c r="H66" s="43"/>
      <c r="I66" s="43"/>
      <c r="J66" s="43"/>
      <c r="K66" s="13"/>
    </row>
    <row r="67" spans="5:11" x14ac:dyDescent="0.3">
      <c r="F67" s="13"/>
      <c r="G67" s="13"/>
      <c r="H67" s="13"/>
      <c r="I67" s="13"/>
      <c r="J67" s="13"/>
    </row>
  </sheetData>
  <mergeCells count="12">
    <mergeCell ref="C24:F24"/>
    <mergeCell ref="C25:F25"/>
    <mergeCell ref="C47:F47"/>
    <mergeCell ref="C48:F48"/>
    <mergeCell ref="C49:F49"/>
    <mergeCell ref="I62:J62"/>
    <mergeCell ref="C50:F50"/>
    <mergeCell ref="C42:F42"/>
    <mergeCell ref="C43:F43"/>
    <mergeCell ref="C44:F44"/>
    <mergeCell ref="C45:F45"/>
    <mergeCell ref="C46:F46"/>
  </mergeCells>
  <phoneticPr fontId="2"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D53DD-C5DA-45BE-95BE-DEDF5248FA3A}">
  <dimension ref="A1:V91"/>
  <sheetViews>
    <sheetView showGridLines="0" topLeftCell="B1" zoomScale="90" zoomScaleNormal="90" workbookViewId="0">
      <pane ySplit="1" topLeftCell="A41" activePane="bottomLeft" state="frozen"/>
      <selection activeCell="D1" sqref="D1"/>
      <selection pane="bottomLeft" activeCell="H49" sqref="H49"/>
    </sheetView>
  </sheetViews>
  <sheetFormatPr defaultRowHeight="14.4" x14ac:dyDescent="0.3"/>
  <cols>
    <col min="1" max="1" width="15.77734375" customWidth="1"/>
    <col min="2" max="3" width="25.77734375" customWidth="1"/>
    <col min="4" max="22" width="20.77734375" customWidth="1"/>
  </cols>
  <sheetData>
    <row r="1" spans="1:22" s="37" customFormat="1" ht="27.6" x14ac:dyDescent="0.3">
      <c r="A1" s="10" t="s">
        <v>26</v>
      </c>
      <c r="B1" s="10" t="s">
        <v>27</v>
      </c>
      <c r="C1" s="10" t="s">
        <v>28</v>
      </c>
      <c r="D1" s="10" t="s">
        <v>29</v>
      </c>
      <c r="E1" s="10" t="s">
        <v>30</v>
      </c>
      <c r="F1" s="10" t="s">
        <v>31</v>
      </c>
      <c r="G1" s="10" t="s">
        <v>340</v>
      </c>
      <c r="H1" s="10" t="s">
        <v>341</v>
      </c>
      <c r="I1" s="10" t="s">
        <v>310</v>
      </c>
      <c r="J1" s="10" t="s">
        <v>311</v>
      </c>
      <c r="K1" s="10" t="s">
        <v>312</v>
      </c>
      <c r="L1" s="10" t="s">
        <v>308</v>
      </c>
      <c r="M1" s="10" t="s">
        <v>309</v>
      </c>
      <c r="N1" s="10" t="s">
        <v>313</v>
      </c>
      <c r="O1" s="10" t="s">
        <v>347</v>
      </c>
      <c r="P1" s="10" t="s">
        <v>348</v>
      </c>
      <c r="Q1" s="10" t="s">
        <v>349</v>
      </c>
      <c r="R1" s="10" t="s">
        <v>346</v>
      </c>
      <c r="S1" s="10" t="s">
        <v>342</v>
      </c>
      <c r="T1" s="10" t="s">
        <v>343</v>
      </c>
      <c r="U1" s="10" t="s">
        <v>344</v>
      </c>
      <c r="V1" s="10" t="s">
        <v>345</v>
      </c>
    </row>
    <row r="2" spans="1:22" x14ac:dyDescent="0.3">
      <c r="A2" t="s">
        <v>177</v>
      </c>
      <c r="B2" s="8" t="s">
        <v>178</v>
      </c>
      <c r="C2" t="s">
        <v>179</v>
      </c>
      <c r="D2" t="s">
        <v>180</v>
      </c>
      <c r="E2" t="s">
        <v>181</v>
      </c>
      <c r="F2" t="s">
        <v>182</v>
      </c>
      <c r="G2" s="111" t="str">
        <f>IF((Konot[[#This Row],[Zw/w p/j]]+Konot[[#This Row],[Kleur p/j]])&lt;SKOLO!$H$1,1,IF((Konot[[#This Row],[Zw/w p/j]]+Konot[[#This Row],[Kleur p/j]])&gt;SKOLO!$G$1,2,""))</f>
        <v/>
      </c>
      <c r="H2" s="111">
        <f>IF(AND(Konot[[#This Row],[Zw/w p/j]]+Konot[[#This Row],[Kleur p/j]]&gt;=SKOLO!$H$1,Konot[[#This Row],[Zw/w p/j]]+Konot[[#This Row],[Kleur p/j]]&lt;SKOLO!$G$1),1,"")</f>
        <v>1</v>
      </c>
      <c r="I2" s="4">
        <v>44501</v>
      </c>
      <c r="J2" s="1">
        <f>Konot[[#This Row],[Zw/w p/m]]*12</f>
        <v>217128</v>
      </c>
      <c r="K2" s="1">
        <f>Konot[[#This Row],[kleur p/m]]*12</f>
        <v>70776</v>
      </c>
      <c r="L2" s="2">
        <v>18094</v>
      </c>
      <c r="M2" s="2">
        <v>5898</v>
      </c>
      <c r="N2" s="2">
        <v>48</v>
      </c>
      <c r="O2" s="2" t="str">
        <f>IF(Konot[[#This Row],[Model 1
(eis M1 t/m M27)]]="","",Konot[[#This Row],[Zw/w p/m]]*Konot[[#This Row],[Aantal maanden]])</f>
        <v/>
      </c>
      <c r="P2" s="2" t="str">
        <f>IF(Konot[[#This Row],[Model 1
(eis M1 t/m M27)]]="","",Konot[[#This Row],[kleur p/m]]*Konot[[#This Row],[Aantal maanden]])</f>
        <v/>
      </c>
      <c r="Q2" s="2">
        <f>IF(Konot[[#This Row],[Model 2
(eis M1 t/m M27)]]="","",Konot[[#This Row],[Zw/w p/m]]*Konot[[#This Row],[Aantal maanden]])</f>
        <v>868512</v>
      </c>
      <c r="R2" s="2">
        <f>IF(Konot[[#This Row],[Model 2
(eis M1 t/m M27)]]="","",Konot[[#This Row],[kleur p/m]]*Konot[[#This Row],[Aantal maanden]])</f>
        <v>283104</v>
      </c>
      <c r="S2" s="8" t="str">
        <f>IF(Konot[[#This Row],[Model 1
(eis M1 t/m M27)]]="","",Konot[[#This Row],[Zw/w p/j]])</f>
        <v/>
      </c>
      <c r="T2" s="8" t="str">
        <f>IF(Konot[[#This Row],[Model 1
(eis M1 t/m M27)]]="","",Konot[[#This Row],[Kleur p/j]])</f>
        <v/>
      </c>
      <c r="U2" s="8">
        <f>IF(Konot[[#This Row],[Model 2
(eis M1 t/m M27)]]="","",Konot[[#This Row],[Zw/w p/j]])</f>
        <v>217128</v>
      </c>
      <c r="V2" s="8">
        <f>IF(Konot[[#This Row],[Model 2
(eis M1 t/m M27)]]="","",Konot[[#This Row],[Kleur p/j]])</f>
        <v>70776</v>
      </c>
    </row>
    <row r="3" spans="1:22" x14ac:dyDescent="0.3">
      <c r="A3" t="s">
        <v>183</v>
      </c>
      <c r="B3" s="8" t="s">
        <v>184</v>
      </c>
      <c r="C3" t="s">
        <v>185</v>
      </c>
      <c r="D3" t="s">
        <v>186</v>
      </c>
      <c r="E3" t="s">
        <v>187</v>
      </c>
      <c r="F3" t="s">
        <v>188</v>
      </c>
      <c r="G3" s="111">
        <f>IF((Konot[[#This Row],[Zw/w p/j]]+Konot[[#This Row],[Kleur p/j]])&lt;SKOLO!$H$1,1,IF((Konot[[#This Row],[Zw/w p/j]]+Konot[[#This Row],[Kleur p/j]])&gt;SKOLO!$G$1,2,""))</f>
        <v>1</v>
      </c>
      <c r="H3" s="111" t="str">
        <f>IF(AND(Konot[[#This Row],[Zw/w p/j]]+Konot[[#This Row],[Kleur p/j]]&gt;=SKOLO!$H$1,Konot[[#This Row],[Zw/w p/j]]+Konot[[#This Row],[Kleur p/j]]&lt;SKOLO!$G$1),1,"")</f>
        <v/>
      </c>
      <c r="I3" s="4">
        <v>44501</v>
      </c>
      <c r="J3" s="1">
        <f>Konot[[#This Row],[Zw/w p/m]]*12</f>
        <v>120072</v>
      </c>
      <c r="K3" s="1">
        <f>Konot[[#This Row],[kleur p/m]]*12</f>
        <v>22776</v>
      </c>
      <c r="L3" s="2">
        <v>10006</v>
      </c>
      <c r="M3" s="2">
        <v>1898</v>
      </c>
      <c r="N3" s="2">
        <v>48</v>
      </c>
      <c r="O3" s="2">
        <f>IF(Konot[[#This Row],[Model 1
(eis M1 t/m M27)]]="","",Konot[[#This Row],[Zw/w p/m]]*Konot[[#This Row],[Aantal maanden]])</f>
        <v>480288</v>
      </c>
      <c r="P3" s="2">
        <f>IF(Konot[[#This Row],[Model 1
(eis M1 t/m M27)]]="","",Konot[[#This Row],[kleur p/m]]*Konot[[#This Row],[Aantal maanden]])</f>
        <v>91104</v>
      </c>
      <c r="Q3" s="2" t="str">
        <f>IF(Konot[[#This Row],[Model 2
(eis M1 t/m M27)]]="","",Konot[[#This Row],[Zw/w p/m]]*Konot[[#This Row],[Aantal maanden]])</f>
        <v/>
      </c>
      <c r="R3" s="2" t="str">
        <f>IF(Konot[[#This Row],[Model 2
(eis M1 t/m M27)]]="","",Konot[[#This Row],[kleur p/m]]*Konot[[#This Row],[Aantal maanden]])</f>
        <v/>
      </c>
      <c r="S3" s="8">
        <f>IF(Konot[[#This Row],[Model 1
(eis M1 t/m M27)]]="","",Konot[[#This Row],[Zw/w p/j]])</f>
        <v>120072</v>
      </c>
      <c r="T3" s="8">
        <f>IF(Konot[[#This Row],[Model 1
(eis M1 t/m M27)]]="","",Konot[[#This Row],[Kleur p/j]])</f>
        <v>22776</v>
      </c>
      <c r="U3" s="8" t="str">
        <f>IF(Konot[[#This Row],[Model 2
(eis M1 t/m M27)]]="","",Konot[[#This Row],[Zw/w p/j]])</f>
        <v/>
      </c>
      <c r="V3" s="8" t="str">
        <f>IF(Konot[[#This Row],[Model 2
(eis M1 t/m M27)]]="","",Konot[[#This Row],[Kleur p/j]])</f>
        <v/>
      </c>
    </row>
    <row r="4" spans="1:22" x14ac:dyDescent="0.3">
      <c r="B4" t="s">
        <v>423</v>
      </c>
      <c r="C4" t="s">
        <v>409</v>
      </c>
      <c r="D4" t="s">
        <v>422</v>
      </c>
      <c r="E4" t="s">
        <v>187</v>
      </c>
      <c r="F4" t="s">
        <v>193</v>
      </c>
      <c r="G4" s="111">
        <f>IF((Konot[[#This Row],[Zw/w p/j]]+Konot[[#This Row],[Kleur p/j]])&lt;SKOLO!$H$1,1,IF((Konot[[#This Row],[Zw/w p/j]]+Konot[[#This Row],[Kleur p/j]])&gt;SKOLO!$G$1,2,""))</f>
        <v>1</v>
      </c>
      <c r="H4" s="111" t="str">
        <f>IF(AND(Konot[[#This Row],[Zw/w p/j]]+Konot[[#This Row],[Kleur p/j]]&gt;=SKOLO!$H$1,Konot[[#This Row],[Zw/w p/j]]+Konot[[#This Row],[Kleur p/j]]&lt;SKOLO!$G$1),1,"")</f>
        <v/>
      </c>
      <c r="I4" s="4">
        <v>44501</v>
      </c>
      <c r="J4" s="1">
        <f>Konot[[#This Row],[Zw/w p/m]]*12</f>
        <v>20712</v>
      </c>
      <c r="K4" s="1">
        <f>Konot[[#This Row],[kleur p/m]]*12</f>
        <v>30840</v>
      </c>
      <c r="L4" s="2">
        <v>1726</v>
      </c>
      <c r="M4" s="2">
        <v>2570</v>
      </c>
      <c r="N4" s="2">
        <v>48</v>
      </c>
      <c r="O4" s="2">
        <f>IF(Konot[[#This Row],[Model 1
(eis M1 t/m M27)]]="","",Konot[[#This Row],[Zw/w p/m]]*Konot[[#This Row],[Aantal maanden]])</f>
        <v>82848</v>
      </c>
      <c r="P4" s="2">
        <f>IF(Konot[[#This Row],[Model 1
(eis M1 t/m M27)]]="","",Konot[[#This Row],[kleur p/m]]*Konot[[#This Row],[Aantal maanden]])</f>
        <v>123360</v>
      </c>
      <c r="Q4" s="2" t="str">
        <f>IF(Konot[[#This Row],[Model 2
(eis M1 t/m M27)]]="","",Konot[[#This Row],[Zw/w p/m]]*Konot[[#This Row],[Aantal maanden]])</f>
        <v/>
      </c>
      <c r="R4" s="2" t="str">
        <f>IF(Konot[[#This Row],[Model 2
(eis M1 t/m M27)]]="","",Konot[[#This Row],[kleur p/m]]*Konot[[#This Row],[Aantal maanden]])</f>
        <v/>
      </c>
      <c r="S4" s="8">
        <f>IF(Konot[[#This Row],[Model 1
(eis M1 t/m M27)]]="","",Konot[[#This Row],[Zw/w p/j]])</f>
        <v>20712</v>
      </c>
      <c r="T4" s="8">
        <f>IF(Konot[[#This Row],[Model 1
(eis M1 t/m M27)]]="","",Konot[[#This Row],[Kleur p/j]])</f>
        <v>30840</v>
      </c>
      <c r="U4" s="8" t="str">
        <f>IF(Konot[[#This Row],[Model 2
(eis M1 t/m M27)]]="","",Konot[[#This Row],[Zw/w p/j]])</f>
        <v/>
      </c>
      <c r="V4" s="8" t="str">
        <f>IF(Konot[[#This Row],[Model 2
(eis M1 t/m M27)]]="","",Konot[[#This Row],[Kleur p/j]])</f>
        <v/>
      </c>
    </row>
    <row r="5" spans="1:22" x14ac:dyDescent="0.3">
      <c r="A5" t="s">
        <v>190</v>
      </c>
      <c r="B5" t="s">
        <v>191</v>
      </c>
      <c r="C5" t="s">
        <v>192</v>
      </c>
      <c r="D5" t="s">
        <v>189</v>
      </c>
      <c r="E5" t="s">
        <v>187</v>
      </c>
      <c r="F5" t="s">
        <v>193</v>
      </c>
      <c r="G5" s="111">
        <f>IF((Konot[[#This Row],[Zw/w p/j]]+Konot[[#This Row],[Kleur p/j]])&lt;SKOLO!$H$1,1,IF((Konot[[#This Row],[Zw/w p/j]]+Konot[[#This Row],[Kleur p/j]])&gt;SKOLO!$G$1,2,""))</f>
        <v>1</v>
      </c>
      <c r="H5" s="111" t="str">
        <f>IF(AND(Konot[[#This Row],[Zw/w p/j]]+Konot[[#This Row],[Kleur p/j]]&gt;=SKOLO!$H$1,Konot[[#This Row],[Zw/w p/j]]+Konot[[#This Row],[Kleur p/j]]&lt;SKOLO!$G$1),1,"")</f>
        <v/>
      </c>
      <c r="I5" s="4">
        <v>44501</v>
      </c>
      <c r="J5" s="1">
        <f>Konot[[#This Row],[Zw/w p/m]]*12</f>
        <v>55452</v>
      </c>
      <c r="K5" s="1">
        <f>Konot[[#This Row],[kleur p/m]]*12</f>
        <v>17160</v>
      </c>
      <c r="L5" s="2">
        <v>4621</v>
      </c>
      <c r="M5" s="2">
        <v>1430</v>
      </c>
      <c r="N5" s="2">
        <v>48</v>
      </c>
      <c r="O5" s="2">
        <f>IF(Konot[[#This Row],[Model 1
(eis M1 t/m M27)]]="","",Konot[[#This Row],[Zw/w p/m]]*Konot[[#This Row],[Aantal maanden]])</f>
        <v>221808</v>
      </c>
      <c r="P5" s="2">
        <f>IF(Konot[[#This Row],[Model 1
(eis M1 t/m M27)]]="","",Konot[[#This Row],[kleur p/m]]*Konot[[#This Row],[Aantal maanden]])</f>
        <v>68640</v>
      </c>
      <c r="Q5" s="2" t="str">
        <f>IF(Konot[[#This Row],[Model 2
(eis M1 t/m M27)]]="","",Konot[[#This Row],[Zw/w p/m]]*Konot[[#This Row],[Aantal maanden]])</f>
        <v/>
      </c>
      <c r="R5" s="2" t="str">
        <f>IF(Konot[[#This Row],[Model 2
(eis M1 t/m M27)]]="","",Konot[[#This Row],[kleur p/m]]*Konot[[#This Row],[Aantal maanden]])</f>
        <v/>
      </c>
      <c r="S5" s="8">
        <f>IF(Konot[[#This Row],[Model 1
(eis M1 t/m M27)]]="","",Konot[[#This Row],[Zw/w p/j]])</f>
        <v>55452</v>
      </c>
      <c r="T5" s="8">
        <f>IF(Konot[[#This Row],[Model 1
(eis M1 t/m M27)]]="","",Konot[[#This Row],[Kleur p/j]])</f>
        <v>17160</v>
      </c>
      <c r="U5" s="8" t="str">
        <f>IF(Konot[[#This Row],[Model 2
(eis M1 t/m M27)]]="","",Konot[[#This Row],[Zw/w p/j]])</f>
        <v/>
      </c>
      <c r="V5" s="8" t="str">
        <f>IF(Konot[[#This Row],[Model 2
(eis M1 t/m M27)]]="","",Konot[[#This Row],[Kleur p/j]])</f>
        <v/>
      </c>
    </row>
    <row r="6" spans="1:22" x14ac:dyDescent="0.3">
      <c r="A6" t="s">
        <v>190</v>
      </c>
      <c r="B6" t="s">
        <v>191</v>
      </c>
      <c r="C6" t="s">
        <v>192</v>
      </c>
      <c r="D6" t="s">
        <v>410</v>
      </c>
      <c r="E6" t="s">
        <v>187</v>
      </c>
      <c r="F6" t="s">
        <v>411</v>
      </c>
      <c r="G6" s="111" t="str">
        <f>IF((Konot[[#This Row],[Zw/w p/j]]+Konot[[#This Row],[Kleur p/j]])&lt;SKOLO!$H$1,1,IF((Konot[[#This Row],[Zw/w p/j]]+Konot[[#This Row],[Kleur p/j]])&gt;SKOLO!$G$1,2,""))</f>
        <v/>
      </c>
      <c r="H6" s="111">
        <f>IF(AND(Konot[[#This Row],[Zw/w p/j]]+Konot[[#This Row],[Kleur p/j]]&gt;=SKOLO!$H$1,Konot[[#This Row],[Zw/w p/j]]+Konot[[#This Row],[Kleur p/j]]&lt;SKOLO!$G$1),1,"")</f>
        <v>1</v>
      </c>
      <c r="I6" s="4">
        <v>44501</v>
      </c>
      <c r="J6" s="1">
        <f>Konot[[#This Row],[Zw/w p/m]]*12</f>
        <v>188988</v>
      </c>
      <c r="K6" s="1">
        <f>Konot[[#This Row],[kleur p/m]]*12</f>
        <v>66324</v>
      </c>
      <c r="L6" s="2">
        <v>15749</v>
      </c>
      <c r="M6" s="2">
        <v>5527</v>
      </c>
      <c r="N6" s="2">
        <v>48</v>
      </c>
      <c r="O6" s="2" t="str">
        <f>IF(Konot[[#This Row],[Model 1
(eis M1 t/m M27)]]="","",Konot[[#This Row],[Zw/w p/m]]*Konot[[#This Row],[Aantal maanden]])</f>
        <v/>
      </c>
      <c r="P6" s="2" t="str">
        <f>IF(Konot[[#This Row],[Model 1
(eis M1 t/m M27)]]="","",Konot[[#This Row],[kleur p/m]]*Konot[[#This Row],[Aantal maanden]])</f>
        <v/>
      </c>
      <c r="Q6" s="2">
        <f>IF(Konot[[#This Row],[Model 2
(eis M1 t/m M27)]]="","",Konot[[#This Row],[Zw/w p/m]]*Konot[[#This Row],[Aantal maanden]])</f>
        <v>755952</v>
      </c>
      <c r="R6" s="2">
        <f>IF(Konot[[#This Row],[Model 2
(eis M1 t/m M27)]]="","",Konot[[#This Row],[kleur p/m]]*Konot[[#This Row],[Aantal maanden]])</f>
        <v>265296</v>
      </c>
      <c r="S6" s="8" t="str">
        <f>IF(Konot[[#This Row],[Model 1
(eis M1 t/m M27)]]="","",Konot[[#This Row],[Zw/w p/j]])</f>
        <v/>
      </c>
      <c r="T6" s="8" t="str">
        <f>IF(Konot[[#This Row],[Model 1
(eis M1 t/m M27)]]="","",Konot[[#This Row],[Kleur p/j]])</f>
        <v/>
      </c>
      <c r="U6" s="8">
        <f>IF(Konot[[#This Row],[Model 2
(eis M1 t/m M27)]]="","",Konot[[#This Row],[Zw/w p/j]])</f>
        <v>188988</v>
      </c>
      <c r="V6" s="8">
        <f>IF(Konot[[#This Row],[Model 2
(eis M1 t/m M27)]]="","",Konot[[#This Row],[Kleur p/j]])</f>
        <v>66324</v>
      </c>
    </row>
    <row r="7" spans="1:22" x14ac:dyDescent="0.3">
      <c r="A7" t="s">
        <v>194</v>
      </c>
      <c r="B7" s="2" t="s">
        <v>195</v>
      </c>
      <c r="C7" t="s">
        <v>196</v>
      </c>
      <c r="D7" t="s">
        <v>197</v>
      </c>
      <c r="E7" t="s">
        <v>187</v>
      </c>
      <c r="F7" t="s">
        <v>198</v>
      </c>
      <c r="G7" s="111" t="str">
        <f>IF((Konot[[#This Row],[Zw/w p/j]]+Konot[[#This Row],[Kleur p/j]])&lt;SKOLO!$H$1,1,IF((Konot[[#This Row],[Zw/w p/j]]+Konot[[#This Row],[Kleur p/j]])&gt;SKOLO!$G$1,2,""))</f>
        <v/>
      </c>
      <c r="H7" s="111">
        <f>IF(AND(Konot[[#This Row],[Zw/w p/j]]+Konot[[#This Row],[Kleur p/j]]&gt;=SKOLO!$H$1,Konot[[#This Row],[Zw/w p/j]]+Konot[[#This Row],[Kleur p/j]]&lt;SKOLO!$G$1),1,"")</f>
        <v>1</v>
      </c>
      <c r="I7" s="4">
        <v>44501</v>
      </c>
      <c r="J7" s="1">
        <f>Konot[[#This Row],[Zw/w p/m]]*12</f>
        <v>143940</v>
      </c>
      <c r="K7" s="1">
        <f>Konot[[#This Row],[kleur p/m]]*12</f>
        <v>70212</v>
      </c>
      <c r="L7" s="2">
        <v>11995</v>
      </c>
      <c r="M7" s="2">
        <v>5851</v>
      </c>
      <c r="N7" s="2">
        <v>48</v>
      </c>
      <c r="O7" s="2" t="str">
        <f>IF(Konot[[#This Row],[Model 1
(eis M1 t/m M27)]]="","",Konot[[#This Row],[Zw/w p/m]]*Konot[[#This Row],[Aantal maanden]])</f>
        <v/>
      </c>
      <c r="P7" s="2" t="str">
        <f>IF(Konot[[#This Row],[Model 1
(eis M1 t/m M27)]]="","",Konot[[#This Row],[kleur p/m]]*Konot[[#This Row],[Aantal maanden]])</f>
        <v/>
      </c>
      <c r="Q7" s="2">
        <f>IF(Konot[[#This Row],[Model 2
(eis M1 t/m M27)]]="","",Konot[[#This Row],[Zw/w p/m]]*Konot[[#This Row],[Aantal maanden]])</f>
        <v>575760</v>
      </c>
      <c r="R7" s="2">
        <f>IF(Konot[[#This Row],[Model 2
(eis M1 t/m M27)]]="","",Konot[[#This Row],[kleur p/m]]*Konot[[#This Row],[Aantal maanden]])</f>
        <v>280848</v>
      </c>
      <c r="S7" s="2" t="str">
        <f>IF(Konot[[#This Row],[Model 1
(eis M1 t/m M27)]]="","",Konot[[#This Row],[Zw/w p/j]])</f>
        <v/>
      </c>
      <c r="T7" s="2" t="str">
        <f>IF(Konot[[#This Row],[Model 1
(eis M1 t/m M27)]]="","",Konot[[#This Row],[Kleur p/j]])</f>
        <v/>
      </c>
      <c r="U7" s="2">
        <f>IF(Konot[[#This Row],[Model 2
(eis M1 t/m M27)]]="","",Konot[[#This Row],[Zw/w p/j]])</f>
        <v>143940</v>
      </c>
      <c r="V7" s="2">
        <f>IF(Konot[[#This Row],[Model 2
(eis M1 t/m M27)]]="","",Konot[[#This Row],[Kleur p/j]])</f>
        <v>70212</v>
      </c>
    </row>
    <row r="8" spans="1:22" x14ac:dyDescent="0.3">
      <c r="A8" t="s">
        <v>199</v>
      </c>
      <c r="B8" s="2" t="s">
        <v>200</v>
      </c>
      <c r="C8" t="s">
        <v>201</v>
      </c>
      <c r="D8" t="s">
        <v>202</v>
      </c>
      <c r="E8" t="s">
        <v>187</v>
      </c>
      <c r="F8" t="s">
        <v>203</v>
      </c>
      <c r="G8" s="111" t="str">
        <f>IF((Konot[[#This Row],[Zw/w p/j]]+Konot[[#This Row],[Kleur p/j]])&lt;SKOLO!$H$1,1,IF((Konot[[#This Row],[Zw/w p/j]]+Konot[[#This Row],[Kleur p/j]])&gt;SKOLO!$G$1,2,""))</f>
        <v/>
      </c>
      <c r="H8" s="111">
        <f>IF(AND(Konot[[#This Row],[Zw/w p/j]]+Konot[[#This Row],[Kleur p/j]]&gt;=SKOLO!$H$1,Konot[[#This Row],[Zw/w p/j]]+Konot[[#This Row],[Kleur p/j]]&lt;SKOLO!$G$1),1,"")</f>
        <v>1</v>
      </c>
      <c r="I8" s="4">
        <v>44501</v>
      </c>
      <c r="J8" s="1">
        <f>Konot[[#This Row],[Zw/w p/m]]*12</f>
        <v>203556</v>
      </c>
      <c r="K8" s="1">
        <f>Konot[[#This Row],[kleur p/m]]*12</f>
        <v>26664</v>
      </c>
      <c r="L8" s="2">
        <v>16963</v>
      </c>
      <c r="M8" s="2">
        <v>2222</v>
      </c>
      <c r="N8" s="2">
        <v>48</v>
      </c>
      <c r="O8" s="2" t="str">
        <f>IF(Konot[[#This Row],[Model 1
(eis M1 t/m M27)]]="","",Konot[[#This Row],[Zw/w p/m]]*Konot[[#This Row],[Aantal maanden]])</f>
        <v/>
      </c>
      <c r="P8" s="2" t="str">
        <f>IF(Konot[[#This Row],[Model 1
(eis M1 t/m M27)]]="","",Konot[[#This Row],[kleur p/m]]*Konot[[#This Row],[Aantal maanden]])</f>
        <v/>
      </c>
      <c r="Q8" s="2">
        <f>IF(Konot[[#This Row],[Model 2
(eis M1 t/m M27)]]="","",Konot[[#This Row],[Zw/w p/m]]*Konot[[#This Row],[Aantal maanden]])</f>
        <v>814224</v>
      </c>
      <c r="R8" s="2">
        <f>IF(Konot[[#This Row],[Model 2
(eis M1 t/m M27)]]="","",Konot[[#This Row],[kleur p/m]]*Konot[[#This Row],[Aantal maanden]])</f>
        <v>106656</v>
      </c>
      <c r="S8" s="2" t="str">
        <f>IF(Konot[[#This Row],[Model 1
(eis M1 t/m M27)]]="","",Konot[[#This Row],[Zw/w p/j]])</f>
        <v/>
      </c>
      <c r="T8" s="2" t="str">
        <f>IF(Konot[[#This Row],[Model 1
(eis M1 t/m M27)]]="","",Konot[[#This Row],[Kleur p/j]])</f>
        <v/>
      </c>
      <c r="U8" s="2">
        <f>IF(Konot[[#This Row],[Model 2
(eis M1 t/m M27)]]="","",Konot[[#This Row],[Zw/w p/j]])</f>
        <v>203556</v>
      </c>
      <c r="V8" s="2">
        <f>IF(Konot[[#This Row],[Model 2
(eis M1 t/m M27)]]="","",Konot[[#This Row],[Kleur p/j]])</f>
        <v>26664</v>
      </c>
    </row>
    <row r="9" spans="1:22" x14ac:dyDescent="0.3">
      <c r="A9" t="s">
        <v>421</v>
      </c>
      <c r="B9" t="s">
        <v>204</v>
      </c>
      <c r="C9" t="s">
        <v>205</v>
      </c>
      <c r="D9" t="s">
        <v>206</v>
      </c>
      <c r="E9" t="s">
        <v>187</v>
      </c>
      <c r="F9" t="s">
        <v>207</v>
      </c>
      <c r="G9" s="111">
        <f>IF((Konot[[#This Row],[Zw/w p/j]]+Konot[[#This Row],[Kleur p/j]])&lt;SKOLO!$H$1,1,IF((Konot[[#This Row],[Zw/w p/j]]+Konot[[#This Row],[Kleur p/j]])&gt;SKOLO!$G$1,2,""))</f>
        <v>1</v>
      </c>
      <c r="H9" s="111" t="str">
        <f>IF(AND(Konot[[#This Row],[Zw/w p/j]]+Konot[[#This Row],[Kleur p/j]]&gt;=SKOLO!$H$1,Konot[[#This Row],[Zw/w p/j]]+Konot[[#This Row],[Kleur p/j]]&lt;SKOLO!$G$1),1,"")</f>
        <v/>
      </c>
      <c r="I9" s="4">
        <v>44501</v>
      </c>
      <c r="J9" s="1">
        <f>Konot[[#This Row],[Zw/w p/m]]*12</f>
        <v>141516</v>
      </c>
      <c r="K9" s="1">
        <f>Konot[[#This Row],[kleur p/m]]*12</f>
        <v>12576</v>
      </c>
      <c r="L9" s="2">
        <v>11793</v>
      </c>
      <c r="M9" s="2">
        <v>1048</v>
      </c>
      <c r="N9" s="2">
        <v>48</v>
      </c>
      <c r="O9" s="2">
        <f>IF(Konot[[#This Row],[Model 1
(eis M1 t/m M27)]]="","",Konot[[#This Row],[Zw/w p/m]]*Konot[[#This Row],[Aantal maanden]])</f>
        <v>566064</v>
      </c>
      <c r="P9" s="2">
        <f>IF(Konot[[#This Row],[Model 1
(eis M1 t/m M27)]]="","",Konot[[#This Row],[kleur p/m]]*Konot[[#This Row],[Aantal maanden]])</f>
        <v>50304</v>
      </c>
      <c r="Q9" s="2" t="str">
        <f>IF(Konot[[#This Row],[Model 2
(eis M1 t/m M27)]]="","",Konot[[#This Row],[Zw/w p/m]]*Konot[[#This Row],[Aantal maanden]])</f>
        <v/>
      </c>
      <c r="R9" s="2" t="str">
        <f>IF(Konot[[#This Row],[Model 2
(eis M1 t/m M27)]]="","",Konot[[#This Row],[kleur p/m]]*Konot[[#This Row],[Aantal maanden]])</f>
        <v/>
      </c>
      <c r="S9" s="2">
        <f>IF(Konot[[#This Row],[Model 1
(eis M1 t/m M27)]]="","",Konot[[#This Row],[Zw/w p/j]])</f>
        <v>141516</v>
      </c>
      <c r="T9" s="2">
        <f>IF(Konot[[#This Row],[Model 1
(eis M1 t/m M27)]]="","",Konot[[#This Row],[Kleur p/j]])</f>
        <v>12576</v>
      </c>
      <c r="U9" s="2" t="str">
        <f>IF(Konot[[#This Row],[Model 2
(eis M1 t/m M27)]]="","",Konot[[#This Row],[Zw/w p/j]])</f>
        <v/>
      </c>
      <c r="V9" s="2" t="str">
        <f>IF(Konot[[#This Row],[Model 2
(eis M1 t/m M27)]]="","",Konot[[#This Row],[Kleur p/j]])</f>
        <v/>
      </c>
    </row>
    <row r="10" spans="1:22" x14ac:dyDescent="0.3">
      <c r="A10" t="s">
        <v>421</v>
      </c>
      <c r="B10" t="s">
        <v>204</v>
      </c>
      <c r="C10" t="s">
        <v>205</v>
      </c>
      <c r="D10" t="s">
        <v>418</v>
      </c>
      <c r="E10" t="s">
        <v>187</v>
      </c>
      <c r="F10" t="s">
        <v>207</v>
      </c>
      <c r="G10" s="111">
        <f>IF((Konot[[#This Row],[Zw/w p/j]]+Konot[[#This Row],[Kleur p/j]])&lt;SKOLO!$H$1,1,IF((Konot[[#This Row],[Zw/w p/j]]+Konot[[#This Row],[Kleur p/j]])&gt;SKOLO!$G$1,2,""))</f>
        <v>1</v>
      </c>
      <c r="H10" s="111" t="str">
        <f>IF(AND(Konot[[#This Row],[Zw/w p/j]]+Konot[[#This Row],[Kleur p/j]]&gt;=SKOLO!$H$1,Konot[[#This Row],[Zw/w p/j]]+Konot[[#This Row],[Kleur p/j]]&lt;SKOLO!$G$1),1,"")</f>
        <v/>
      </c>
      <c r="I10" s="4">
        <v>44501</v>
      </c>
      <c r="J10" s="1">
        <f>Konot[[#This Row],[Zw/w p/m]]*12</f>
        <v>92868</v>
      </c>
      <c r="K10" s="1">
        <f>Konot[[#This Row],[kleur p/m]]*12</f>
        <v>25656</v>
      </c>
      <c r="L10" s="2">
        <v>7739</v>
      </c>
      <c r="M10" s="2">
        <v>2138</v>
      </c>
      <c r="N10" s="2">
        <v>48</v>
      </c>
      <c r="O10" s="2">
        <f>IF(Konot[[#This Row],[Model 1
(eis M1 t/m M27)]]="","",Konot[[#This Row],[Zw/w p/m]]*Konot[[#This Row],[Aantal maanden]])</f>
        <v>371472</v>
      </c>
      <c r="P10" s="2">
        <f>IF(Konot[[#This Row],[Model 1
(eis M1 t/m M27)]]="","",Konot[[#This Row],[kleur p/m]]*Konot[[#This Row],[Aantal maanden]])</f>
        <v>102624</v>
      </c>
      <c r="Q10" s="2" t="str">
        <f>IF(Konot[[#This Row],[Model 2
(eis M1 t/m M27)]]="","",Konot[[#This Row],[Zw/w p/m]]*Konot[[#This Row],[Aantal maanden]])</f>
        <v/>
      </c>
      <c r="R10" s="2" t="str">
        <f>IF(Konot[[#This Row],[Model 2
(eis M1 t/m M27)]]="","",Konot[[#This Row],[kleur p/m]]*Konot[[#This Row],[Aantal maanden]])</f>
        <v/>
      </c>
      <c r="S10" s="2">
        <f>IF(Konot[[#This Row],[Model 1
(eis M1 t/m M27)]]="","",Konot[[#This Row],[Zw/w p/j]])</f>
        <v>92868</v>
      </c>
      <c r="T10" s="2">
        <f>IF(Konot[[#This Row],[Model 1
(eis M1 t/m M27)]]="","",Konot[[#This Row],[Kleur p/j]])</f>
        <v>25656</v>
      </c>
      <c r="U10" s="2" t="str">
        <f>IF(Konot[[#This Row],[Model 2
(eis M1 t/m M27)]]="","",Konot[[#This Row],[Zw/w p/j]])</f>
        <v/>
      </c>
      <c r="V10" s="2" t="str">
        <f>IF(Konot[[#This Row],[Model 2
(eis M1 t/m M27)]]="","",Konot[[#This Row],[Kleur p/j]])</f>
        <v/>
      </c>
    </row>
    <row r="11" spans="1:22" x14ac:dyDescent="0.3">
      <c r="A11" t="s">
        <v>208</v>
      </c>
      <c r="B11" s="2" t="s">
        <v>209</v>
      </c>
      <c r="C11" t="s">
        <v>210</v>
      </c>
      <c r="D11" t="s">
        <v>211</v>
      </c>
      <c r="E11" t="s">
        <v>187</v>
      </c>
      <c r="F11" t="s">
        <v>212</v>
      </c>
      <c r="G11" s="111" t="str">
        <f>IF((Konot[[#This Row],[Zw/w p/j]]+Konot[[#This Row],[Kleur p/j]])&lt;SKOLO!$H$1,1,IF((Konot[[#This Row],[Zw/w p/j]]+Konot[[#This Row],[Kleur p/j]])&gt;SKOLO!$G$1,2,""))</f>
        <v/>
      </c>
      <c r="H11" s="111">
        <f>IF(AND(Konot[[#This Row],[Zw/w p/j]]+Konot[[#This Row],[Kleur p/j]]&gt;=SKOLO!$H$1,Konot[[#This Row],[Zw/w p/j]]+Konot[[#This Row],[Kleur p/j]]&lt;SKOLO!$G$1),1,"")</f>
        <v>1</v>
      </c>
      <c r="I11" s="4">
        <v>44501</v>
      </c>
      <c r="J11" s="1">
        <f>Konot[[#This Row],[Zw/w p/m]]*12</f>
        <v>150240</v>
      </c>
      <c r="K11" s="1">
        <f>Konot[[#This Row],[kleur p/m]]*12</f>
        <v>50568</v>
      </c>
      <c r="L11" s="2">
        <v>12520</v>
      </c>
      <c r="M11" s="2">
        <v>4214</v>
      </c>
      <c r="N11" s="2">
        <v>48</v>
      </c>
      <c r="O11" s="2" t="str">
        <f>IF(Konot[[#This Row],[Model 1
(eis M1 t/m M27)]]="","",Konot[[#This Row],[Zw/w p/m]]*Konot[[#This Row],[Aantal maanden]])</f>
        <v/>
      </c>
      <c r="P11" s="2" t="str">
        <f>IF(Konot[[#This Row],[Model 1
(eis M1 t/m M27)]]="","",Konot[[#This Row],[kleur p/m]]*Konot[[#This Row],[Aantal maanden]])</f>
        <v/>
      </c>
      <c r="Q11" s="2">
        <f>IF(Konot[[#This Row],[Model 2
(eis M1 t/m M27)]]="","",Konot[[#This Row],[Zw/w p/m]]*Konot[[#This Row],[Aantal maanden]])</f>
        <v>600960</v>
      </c>
      <c r="R11" s="2">
        <f>IF(Konot[[#This Row],[Model 2
(eis M1 t/m M27)]]="","",Konot[[#This Row],[kleur p/m]]*Konot[[#This Row],[Aantal maanden]])</f>
        <v>202272</v>
      </c>
      <c r="S11" s="2" t="str">
        <f>IF(Konot[[#This Row],[Model 1
(eis M1 t/m M27)]]="","",Konot[[#This Row],[Zw/w p/j]])</f>
        <v/>
      </c>
      <c r="T11" s="2" t="str">
        <f>IF(Konot[[#This Row],[Model 1
(eis M1 t/m M27)]]="","",Konot[[#This Row],[Kleur p/j]])</f>
        <v/>
      </c>
      <c r="U11" s="2">
        <f>IF(Konot[[#This Row],[Model 2
(eis M1 t/m M27)]]="","",Konot[[#This Row],[Zw/w p/j]])</f>
        <v>150240</v>
      </c>
      <c r="V11" s="2">
        <f>IF(Konot[[#This Row],[Model 2
(eis M1 t/m M27)]]="","",Konot[[#This Row],[Kleur p/j]])</f>
        <v>50568</v>
      </c>
    </row>
    <row r="12" spans="1:22" x14ac:dyDescent="0.3">
      <c r="A12" t="s">
        <v>213</v>
      </c>
      <c r="B12" s="2" t="s">
        <v>214</v>
      </c>
      <c r="C12" t="s">
        <v>215</v>
      </c>
      <c r="D12" t="s">
        <v>216</v>
      </c>
      <c r="E12" t="s">
        <v>187</v>
      </c>
      <c r="F12" t="s">
        <v>217</v>
      </c>
      <c r="G12" s="111" t="str">
        <f>IF((Konot[[#This Row],[Zw/w p/j]]+Konot[[#This Row],[Kleur p/j]])&lt;SKOLO!$H$1,1,IF((Konot[[#This Row],[Zw/w p/j]]+Konot[[#This Row],[Kleur p/j]])&gt;SKOLO!$G$1,2,""))</f>
        <v/>
      </c>
      <c r="H12" s="111">
        <f>IF(AND(Konot[[#This Row],[Zw/w p/j]]+Konot[[#This Row],[Kleur p/j]]&gt;=SKOLO!$H$1,Konot[[#This Row],[Zw/w p/j]]+Konot[[#This Row],[Kleur p/j]]&lt;SKOLO!$G$1),1,"")</f>
        <v>1</v>
      </c>
      <c r="I12" s="4">
        <v>44501</v>
      </c>
      <c r="J12" s="1">
        <f>Konot[[#This Row],[Zw/w p/m]]*12</f>
        <v>199380</v>
      </c>
      <c r="K12" s="1">
        <f>Konot[[#This Row],[kleur p/m]]*12</f>
        <v>78732</v>
      </c>
      <c r="L12" s="2">
        <v>16615</v>
      </c>
      <c r="M12" s="2">
        <v>6561</v>
      </c>
      <c r="N12" s="2">
        <v>48</v>
      </c>
      <c r="O12" s="2" t="str">
        <f>IF(Konot[[#This Row],[Model 1
(eis M1 t/m M27)]]="","",Konot[[#This Row],[Zw/w p/m]]*Konot[[#This Row],[Aantal maanden]])</f>
        <v/>
      </c>
      <c r="P12" s="2" t="str">
        <f>IF(Konot[[#This Row],[Model 1
(eis M1 t/m M27)]]="","",Konot[[#This Row],[kleur p/m]]*Konot[[#This Row],[Aantal maanden]])</f>
        <v/>
      </c>
      <c r="Q12" s="2">
        <f>IF(Konot[[#This Row],[Model 2
(eis M1 t/m M27)]]="","",Konot[[#This Row],[Zw/w p/m]]*Konot[[#This Row],[Aantal maanden]])</f>
        <v>797520</v>
      </c>
      <c r="R12" s="2">
        <f>IF(Konot[[#This Row],[Model 2
(eis M1 t/m M27)]]="","",Konot[[#This Row],[kleur p/m]]*Konot[[#This Row],[Aantal maanden]])</f>
        <v>314928</v>
      </c>
      <c r="S12" s="2" t="str">
        <f>IF(Konot[[#This Row],[Model 1
(eis M1 t/m M27)]]="","",Konot[[#This Row],[Zw/w p/j]])</f>
        <v/>
      </c>
      <c r="T12" s="2" t="str">
        <f>IF(Konot[[#This Row],[Model 1
(eis M1 t/m M27)]]="","",Konot[[#This Row],[Kleur p/j]])</f>
        <v/>
      </c>
      <c r="U12" s="2">
        <f>IF(Konot[[#This Row],[Model 2
(eis M1 t/m M27)]]="","",Konot[[#This Row],[Zw/w p/j]])</f>
        <v>199380</v>
      </c>
      <c r="V12" s="2">
        <f>IF(Konot[[#This Row],[Model 2
(eis M1 t/m M27)]]="","",Konot[[#This Row],[Kleur p/j]])</f>
        <v>78732</v>
      </c>
    </row>
    <row r="13" spans="1:22" x14ac:dyDescent="0.3">
      <c r="A13" t="s">
        <v>218</v>
      </c>
      <c r="B13" s="2" t="s">
        <v>219</v>
      </c>
      <c r="C13" t="s">
        <v>220</v>
      </c>
      <c r="D13" t="s">
        <v>221</v>
      </c>
      <c r="E13" t="s">
        <v>187</v>
      </c>
      <c r="F13" t="s">
        <v>222</v>
      </c>
      <c r="G13" s="111" t="str">
        <f>IF((Konot[[#This Row],[Zw/w p/j]]+Konot[[#This Row],[Kleur p/j]])&lt;SKOLO!$H$1,1,IF((Konot[[#This Row],[Zw/w p/j]]+Konot[[#This Row],[Kleur p/j]])&gt;SKOLO!$G$1,2,""))</f>
        <v/>
      </c>
      <c r="H13" s="111">
        <f>IF(AND(Konot[[#This Row],[Zw/w p/j]]+Konot[[#This Row],[Kleur p/j]]&gt;=SKOLO!$H$1,Konot[[#This Row],[Zw/w p/j]]+Konot[[#This Row],[Kleur p/j]]&lt;SKOLO!$G$1),1,"")</f>
        <v>1</v>
      </c>
      <c r="I13" s="4">
        <v>44501</v>
      </c>
      <c r="J13" s="1">
        <f>Konot[[#This Row],[Zw/w p/m]]*12</f>
        <v>247692</v>
      </c>
      <c r="K13" s="1">
        <f>Konot[[#This Row],[kleur p/m]]*12</f>
        <v>54024</v>
      </c>
      <c r="L13" s="2">
        <v>20641</v>
      </c>
      <c r="M13" s="2">
        <v>4502</v>
      </c>
      <c r="N13" s="2">
        <v>48</v>
      </c>
      <c r="O13" s="2" t="str">
        <f>IF(Konot[[#This Row],[Model 1
(eis M1 t/m M27)]]="","",Konot[[#This Row],[Zw/w p/m]]*Konot[[#This Row],[Aantal maanden]])</f>
        <v/>
      </c>
      <c r="P13" s="2" t="str">
        <f>IF(Konot[[#This Row],[Model 1
(eis M1 t/m M27)]]="","",Konot[[#This Row],[kleur p/m]]*Konot[[#This Row],[Aantal maanden]])</f>
        <v/>
      </c>
      <c r="Q13" s="2">
        <f>IF(Konot[[#This Row],[Model 2
(eis M1 t/m M27)]]="","",Konot[[#This Row],[Zw/w p/m]]*Konot[[#This Row],[Aantal maanden]])</f>
        <v>990768</v>
      </c>
      <c r="R13" s="2">
        <f>IF(Konot[[#This Row],[Model 2
(eis M1 t/m M27)]]="","",Konot[[#This Row],[kleur p/m]]*Konot[[#This Row],[Aantal maanden]])</f>
        <v>216096</v>
      </c>
      <c r="S13" s="2" t="str">
        <f>IF(Konot[[#This Row],[Model 1
(eis M1 t/m M27)]]="","",Konot[[#This Row],[Zw/w p/j]])</f>
        <v/>
      </c>
      <c r="T13" s="2" t="str">
        <f>IF(Konot[[#This Row],[Model 1
(eis M1 t/m M27)]]="","",Konot[[#This Row],[Kleur p/j]])</f>
        <v/>
      </c>
      <c r="U13" s="2">
        <f>IF(Konot[[#This Row],[Model 2
(eis M1 t/m M27)]]="","",Konot[[#This Row],[Zw/w p/j]])</f>
        <v>247692</v>
      </c>
      <c r="V13" s="2">
        <f>IF(Konot[[#This Row],[Model 2
(eis M1 t/m M27)]]="","",Konot[[#This Row],[Kleur p/j]])</f>
        <v>54024</v>
      </c>
    </row>
    <row r="14" spans="1:22" x14ac:dyDescent="0.3">
      <c r="A14" t="s">
        <v>218</v>
      </c>
      <c r="B14" t="s">
        <v>219</v>
      </c>
      <c r="C14" t="s">
        <v>220</v>
      </c>
      <c r="D14" t="s">
        <v>416</v>
      </c>
      <c r="E14" t="s">
        <v>187</v>
      </c>
      <c r="F14" t="s">
        <v>417</v>
      </c>
      <c r="G14" s="111">
        <f>IF((Konot[[#This Row],[Zw/w p/j]]+Konot[[#This Row],[Kleur p/j]])&lt;SKOLO!$H$1,1,IF((Konot[[#This Row],[Zw/w p/j]]+Konot[[#This Row],[Kleur p/j]])&gt;SKOLO!$G$1,2,""))</f>
        <v>1</v>
      </c>
      <c r="H14" s="111" t="str">
        <f>IF(AND(Konot[[#This Row],[Zw/w p/j]]+Konot[[#This Row],[Kleur p/j]]&gt;=SKOLO!$H$1,Konot[[#This Row],[Zw/w p/j]]+Konot[[#This Row],[Kleur p/j]]&lt;SKOLO!$G$1),1,"")</f>
        <v/>
      </c>
      <c r="I14" s="4">
        <v>44501</v>
      </c>
      <c r="J14" s="1">
        <f>Konot[[#This Row],[Zw/w p/m]]*12</f>
        <v>154212</v>
      </c>
      <c r="K14" s="1">
        <f>Konot[[#This Row],[kleur p/m]]*12</f>
        <v>29880</v>
      </c>
      <c r="L14" s="2">
        <v>12851</v>
      </c>
      <c r="M14" s="2">
        <v>2490</v>
      </c>
      <c r="N14" s="2">
        <v>48</v>
      </c>
      <c r="O14" s="2">
        <f>IF(Konot[[#This Row],[Model 1
(eis M1 t/m M27)]]="","",Konot[[#This Row],[Zw/w p/m]]*Konot[[#This Row],[Aantal maanden]])</f>
        <v>616848</v>
      </c>
      <c r="P14" s="2">
        <f>IF(Konot[[#This Row],[Model 1
(eis M1 t/m M27)]]="","",Konot[[#This Row],[kleur p/m]]*Konot[[#This Row],[Aantal maanden]])</f>
        <v>119520</v>
      </c>
      <c r="Q14" s="2" t="str">
        <f>IF(Konot[[#This Row],[Model 2
(eis M1 t/m M27)]]="","",Konot[[#This Row],[Zw/w p/m]]*Konot[[#This Row],[Aantal maanden]])</f>
        <v/>
      </c>
      <c r="R14" s="2" t="str">
        <f>IF(Konot[[#This Row],[Model 2
(eis M1 t/m M27)]]="","",Konot[[#This Row],[kleur p/m]]*Konot[[#This Row],[Aantal maanden]])</f>
        <v/>
      </c>
      <c r="S14" s="2">
        <f>IF(Konot[[#This Row],[Model 1
(eis M1 t/m M27)]]="","",Konot[[#This Row],[Zw/w p/j]])</f>
        <v>154212</v>
      </c>
      <c r="T14" s="2">
        <f>IF(Konot[[#This Row],[Model 1
(eis M1 t/m M27)]]="","",Konot[[#This Row],[Kleur p/j]])</f>
        <v>29880</v>
      </c>
      <c r="U14" s="2" t="str">
        <f>IF(Konot[[#This Row],[Model 2
(eis M1 t/m M27)]]="","",Konot[[#This Row],[Zw/w p/j]])</f>
        <v/>
      </c>
      <c r="V14" s="2" t="str">
        <f>IF(Konot[[#This Row],[Model 2
(eis M1 t/m M27)]]="","",Konot[[#This Row],[Kleur p/j]])</f>
        <v/>
      </c>
    </row>
    <row r="15" spans="1:22" x14ac:dyDescent="0.3">
      <c r="A15" t="s">
        <v>223</v>
      </c>
      <c r="B15" t="s">
        <v>224</v>
      </c>
      <c r="C15" t="s">
        <v>225</v>
      </c>
      <c r="D15" t="s">
        <v>226</v>
      </c>
      <c r="E15" t="s">
        <v>187</v>
      </c>
      <c r="F15" t="s">
        <v>227</v>
      </c>
      <c r="G15" s="111">
        <f>IF((Konot[[#This Row],[Zw/w p/j]]+Konot[[#This Row],[Kleur p/j]])&lt;SKOLO!$H$1,1,IF((Konot[[#This Row],[Zw/w p/j]]+Konot[[#This Row],[Kleur p/j]])&gt;SKOLO!$G$1,2,""))</f>
        <v>1</v>
      </c>
      <c r="H15" s="111" t="str">
        <f>IF(AND(Konot[[#This Row],[Zw/w p/j]]+Konot[[#This Row],[Kleur p/j]]&gt;=SKOLO!$H$1,Konot[[#This Row],[Zw/w p/j]]+Konot[[#This Row],[Kleur p/j]]&lt;SKOLO!$G$1),1,"")</f>
        <v/>
      </c>
      <c r="I15" s="4">
        <v>44501</v>
      </c>
      <c r="J15" s="1">
        <f>Konot[[#This Row],[Zw/w p/m]]*12</f>
        <v>33732</v>
      </c>
      <c r="K15" s="1">
        <f>Konot[[#This Row],[kleur p/m]]*12</f>
        <v>15528</v>
      </c>
      <c r="L15" s="2">
        <v>2811</v>
      </c>
      <c r="M15" s="2">
        <v>1294</v>
      </c>
      <c r="N15" s="2">
        <v>48</v>
      </c>
      <c r="O15" s="2">
        <f>IF(Konot[[#This Row],[Model 1
(eis M1 t/m M27)]]="","",Konot[[#This Row],[Zw/w p/m]]*Konot[[#This Row],[Aantal maanden]])</f>
        <v>134928</v>
      </c>
      <c r="P15" s="2">
        <f>IF(Konot[[#This Row],[Model 1
(eis M1 t/m M27)]]="","",Konot[[#This Row],[kleur p/m]]*Konot[[#This Row],[Aantal maanden]])</f>
        <v>62112</v>
      </c>
      <c r="Q15" s="2" t="str">
        <f>IF(Konot[[#This Row],[Model 2
(eis M1 t/m M27)]]="","",Konot[[#This Row],[Zw/w p/m]]*Konot[[#This Row],[Aantal maanden]])</f>
        <v/>
      </c>
      <c r="R15" s="2" t="str">
        <f>IF(Konot[[#This Row],[Model 2
(eis M1 t/m M27)]]="","",Konot[[#This Row],[kleur p/m]]*Konot[[#This Row],[Aantal maanden]])</f>
        <v/>
      </c>
      <c r="S15" s="2">
        <f>IF(Konot[[#This Row],[Model 1
(eis M1 t/m M27)]]="","",Konot[[#This Row],[Zw/w p/j]])</f>
        <v>33732</v>
      </c>
      <c r="T15" s="2">
        <f>IF(Konot[[#This Row],[Model 1
(eis M1 t/m M27)]]="","",Konot[[#This Row],[Kleur p/j]])</f>
        <v>15528</v>
      </c>
      <c r="U15" s="2" t="str">
        <f>IF(Konot[[#This Row],[Model 2
(eis M1 t/m M27)]]="","",Konot[[#This Row],[Zw/w p/j]])</f>
        <v/>
      </c>
      <c r="V15" s="2" t="str">
        <f>IF(Konot[[#This Row],[Model 2
(eis M1 t/m M27)]]="","",Konot[[#This Row],[Kleur p/j]])</f>
        <v/>
      </c>
    </row>
    <row r="16" spans="1:22" x14ac:dyDescent="0.3">
      <c r="A16" t="s">
        <v>223</v>
      </c>
      <c r="B16" t="s">
        <v>224</v>
      </c>
      <c r="C16" t="s">
        <v>225</v>
      </c>
      <c r="D16" t="s">
        <v>414</v>
      </c>
      <c r="E16" t="s">
        <v>187</v>
      </c>
      <c r="F16" t="s">
        <v>415</v>
      </c>
      <c r="G16" s="111" t="str">
        <f>IF((Konot[[#This Row],[Zw/w p/j]]+Konot[[#This Row],[Kleur p/j]])&lt;SKOLO!$H$1,1,IF((Konot[[#This Row],[Zw/w p/j]]+Konot[[#This Row],[Kleur p/j]])&gt;SKOLO!$G$1,2,""))</f>
        <v/>
      </c>
      <c r="H16" s="111">
        <f>IF(AND(Konot[[#This Row],[Zw/w p/j]]+Konot[[#This Row],[Kleur p/j]]&gt;=SKOLO!$H$1,Konot[[#This Row],[Zw/w p/j]]+Konot[[#This Row],[Kleur p/j]]&lt;SKOLO!$G$1),1,"")</f>
        <v>1</v>
      </c>
      <c r="I16" s="4">
        <v>44501</v>
      </c>
      <c r="J16" s="1">
        <f>Konot[[#This Row],[Zw/w p/m]]*12</f>
        <v>172956</v>
      </c>
      <c r="K16" s="1">
        <f>Konot[[#This Row],[kleur p/m]]*12</f>
        <v>59616</v>
      </c>
      <c r="L16" s="2">
        <v>14413</v>
      </c>
      <c r="M16" s="2">
        <v>4968</v>
      </c>
      <c r="N16" s="2">
        <v>48</v>
      </c>
      <c r="O16" s="2" t="str">
        <f>IF(Konot[[#This Row],[Model 1
(eis M1 t/m M27)]]="","",Konot[[#This Row],[Zw/w p/m]]*Konot[[#This Row],[Aantal maanden]])</f>
        <v/>
      </c>
      <c r="P16" s="2" t="str">
        <f>IF(Konot[[#This Row],[Model 1
(eis M1 t/m M27)]]="","",Konot[[#This Row],[kleur p/m]]*Konot[[#This Row],[Aantal maanden]])</f>
        <v/>
      </c>
      <c r="Q16" s="2">
        <f>IF(Konot[[#This Row],[Model 2
(eis M1 t/m M27)]]="","",Konot[[#This Row],[Zw/w p/m]]*Konot[[#This Row],[Aantal maanden]])</f>
        <v>691824</v>
      </c>
      <c r="R16" s="2">
        <f>IF(Konot[[#This Row],[Model 2
(eis M1 t/m M27)]]="","",Konot[[#This Row],[kleur p/m]]*Konot[[#This Row],[Aantal maanden]])</f>
        <v>238464</v>
      </c>
      <c r="S16" s="2" t="str">
        <f>IF(Konot[[#This Row],[Model 1
(eis M1 t/m M27)]]="","",Konot[[#This Row],[Zw/w p/j]])</f>
        <v/>
      </c>
      <c r="T16" s="2" t="str">
        <f>IF(Konot[[#This Row],[Model 1
(eis M1 t/m M27)]]="","",Konot[[#This Row],[Kleur p/j]])</f>
        <v/>
      </c>
      <c r="U16" s="2">
        <f>IF(Konot[[#This Row],[Model 2
(eis M1 t/m M27)]]="","",Konot[[#This Row],[Zw/w p/j]])</f>
        <v>172956</v>
      </c>
      <c r="V16" s="2">
        <f>IF(Konot[[#This Row],[Model 2
(eis M1 t/m M27)]]="","",Konot[[#This Row],[Kleur p/j]])</f>
        <v>59616</v>
      </c>
    </row>
    <row r="17" spans="1:22" x14ac:dyDescent="0.3">
      <c r="A17" t="s">
        <v>228</v>
      </c>
      <c r="B17" t="s">
        <v>229</v>
      </c>
      <c r="C17" t="s">
        <v>230</v>
      </c>
      <c r="D17" t="s">
        <v>231</v>
      </c>
      <c r="E17" t="s">
        <v>187</v>
      </c>
      <c r="F17" t="s">
        <v>232</v>
      </c>
      <c r="G17" s="111">
        <f>IF((Konot[[#This Row],[Zw/w p/j]]+Konot[[#This Row],[Kleur p/j]])&lt;SKOLO!$H$1,1,IF((Konot[[#This Row],[Zw/w p/j]]+Konot[[#This Row],[Kleur p/j]])&gt;SKOLO!$G$1,2,""))</f>
        <v>1</v>
      </c>
      <c r="H17" s="111" t="str">
        <f>IF(AND(Konot[[#This Row],[Zw/w p/j]]+Konot[[#This Row],[Kleur p/j]]&gt;=SKOLO!$H$1,Konot[[#This Row],[Zw/w p/j]]+Konot[[#This Row],[Kleur p/j]]&lt;SKOLO!$G$1),1,"")</f>
        <v/>
      </c>
      <c r="I17" s="4">
        <v>44501</v>
      </c>
      <c r="J17" s="1">
        <f>Konot[[#This Row],[Zw/w p/m]]*12</f>
        <v>60528</v>
      </c>
      <c r="K17" s="1">
        <f>Konot[[#This Row],[kleur p/m]]*12</f>
        <v>25284</v>
      </c>
      <c r="L17" s="2">
        <v>5044</v>
      </c>
      <c r="M17" s="2">
        <v>2107</v>
      </c>
      <c r="N17" s="2">
        <v>48</v>
      </c>
      <c r="O17" s="2">
        <f>IF(Konot[[#This Row],[Model 1
(eis M1 t/m M27)]]="","",Konot[[#This Row],[Zw/w p/m]]*Konot[[#This Row],[Aantal maanden]])</f>
        <v>242112</v>
      </c>
      <c r="P17" s="2">
        <f>IF(Konot[[#This Row],[Model 1
(eis M1 t/m M27)]]="","",Konot[[#This Row],[kleur p/m]]*Konot[[#This Row],[Aantal maanden]])</f>
        <v>101136</v>
      </c>
      <c r="Q17" s="2" t="str">
        <f>IF(Konot[[#This Row],[Model 2
(eis M1 t/m M27)]]="","",Konot[[#This Row],[Zw/w p/m]]*Konot[[#This Row],[Aantal maanden]])</f>
        <v/>
      </c>
      <c r="R17" s="2" t="str">
        <f>IF(Konot[[#This Row],[Model 2
(eis M1 t/m M27)]]="","",Konot[[#This Row],[kleur p/m]]*Konot[[#This Row],[Aantal maanden]])</f>
        <v/>
      </c>
      <c r="S17" s="2">
        <f>IF(Konot[[#This Row],[Model 1
(eis M1 t/m M27)]]="","",Konot[[#This Row],[Zw/w p/j]])</f>
        <v>60528</v>
      </c>
      <c r="T17" s="2">
        <f>IF(Konot[[#This Row],[Model 1
(eis M1 t/m M27)]]="","",Konot[[#This Row],[Kleur p/j]])</f>
        <v>25284</v>
      </c>
      <c r="U17" s="2" t="str">
        <f>IF(Konot[[#This Row],[Model 2
(eis M1 t/m M27)]]="","",Konot[[#This Row],[Zw/w p/j]])</f>
        <v/>
      </c>
      <c r="V17" s="2" t="str">
        <f>IF(Konot[[#This Row],[Model 2
(eis M1 t/m M27)]]="","",Konot[[#This Row],[Kleur p/j]])</f>
        <v/>
      </c>
    </row>
    <row r="18" spans="1:22" x14ac:dyDescent="0.3">
      <c r="A18" t="s">
        <v>233</v>
      </c>
      <c r="B18" s="2" t="s">
        <v>234</v>
      </c>
      <c r="C18" t="s">
        <v>235</v>
      </c>
      <c r="D18" t="s">
        <v>236</v>
      </c>
      <c r="E18" t="s">
        <v>237</v>
      </c>
      <c r="F18" t="s">
        <v>238</v>
      </c>
      <c r="G18" s="111">
        <f>IF((Konot[[#This Row],[Zw/w p/j]]+Konot[[#This Row],[Kleur p/j]])&lt;SKOLO!$H$1,1,IF((Konot[[#This Row],[Zw/w p/j]]+Konot[[#This Row],[Kleur p/j]])&gt;SKOLO!$G$1,2,""))</f>
        <v>1</v>
      </c>
      <c r="H18" s="111" t="str">
        <f>IF(AND(Konot[[#This Row],[Zw/w p/j]]+Konot[[#This Row],[Kleur p/j]]&gt;=SKOLO!$H$1,Konot[[#This Row],[Zw/w p/j]]+Konot[[#This Row],[Kleur p/j]]&lt;SKOLO!$G$1),1,"")</f>
        <v/>
      </c>
      <c r="I18" s="4">
        <v>44501</v>
      </c>
      <c r="J18" s="1">
        <f>Konot[[#This Row],[Zw/w p/m]]*12</f>
        <v>28800</v>
      </c>
      <c r="K18" s="1">
        <f>Konot[[#This Row],[kleur p/m]]*12</f>
        <v>13896</v>
      </c>
      <c r="L18" s="2">
        <v>2400</v>
      </c>
      <c r="M18" s="2">
        <v>1158</v>
      </c>
      <c r="N18" s="2">
        <v>48</v>
      </c>
      <c r="O18" s="2">
        <f>IF(Konot[[#This Row],[Model 1
(eis M1 t/m M27)]]="","",Konot[[#This Row],[Zw/w p/m]]*Konot[[#This Row],[Aantal maanden]])</f>
        <v>115200</v>
      </c>
      <c r="P18" s="2">
        <f>IF(Konot[[#This Row],[Model 1
(eis M1 t/m M27)]]="","",Konot[[#This Row],[kleur p/m]]*Konot[[#This Row],[Aantal maanden]])</f>
        <v>55584</v>
      </c>
      <c r="Q18" s="2" t="str">
        <f>IF(Konot[[#This Row],[Model 2
(eis M1 t/m M27)]]="","",Konot[[#This Row],[Zw/w p/m]]*Konot[[#This Row],[Aantal maanden]])</f>
        <v/>
      </c>
      <c r="R18" s="2" t="str">
        <f>IF(Konot[[#This Row],[Model 2
(eis M1 t/m M27)]]="","",Konot[[#This Row],[kleur p/m]]*Konot[[#This Row],[Aantal maanden]])</f>
        <v/>
      </c>
      <c r="S18" s="2">
        <f>IF(Konot[[#This Row],[Model 1
(eis M1 t/m M27)]]="","",Konot[[#This Row],[Zw/w p/j]])</f>
        <v>28800</v>
      </c>
      <c r="T18" s="2">
        <f>IF(Konot[[#This Row],[Model 1
(eis M1 t/m M27)]]="","",Konot[[#This Row],[Kleur p/j]])</f>
        <v>13896</v>
      </c>
      <c r="U18" s="2" t="str">
        <f>IF(Konot[[#This Row],[Model 2
(eis M1 t/m M27)]]="","",Konot[[#This Row],[Zw/w p/j]])</f>
        <v/>
      </c>
      <c r="V18" s="2" t="str">
        <f>IF(Konot[[#This Row],[Model 2
(eis M1 t/m M27)]]="","",Konot[[#This Row],[Kleur p/j]])</f>
        <v/>
      </c>
    </row>
    <row r="19" spans="1:22" x14ac:dyDescent="0.3">
      <c r="A19" t="s">
        <v>233</v>
      </c>
      <c r="B19" t="s">
        <v>234</v>
      </c>
      <c r="C19" t="s">
        <v>235</v>
      </c>
      <c r="D19" t="s">
        <v>412</v>
      </c>
      <c r="E19" t="s">
        <v>237</v>
      </c>
      <c r="F19" t="s">
        <v>413</v>
      </c>
      <c r="G19" s="111">
        <f>IF((Konot[[#This Row],[Zw/w p/j]]+Konot[[#This Row],[Kleur p/j]])&lt;SKOLO!$H$1,1,IF((Konot[[#This Row],[Zw/w p/j]]+Konot[[#This Row],[Kleur p/j]])&gt;SKOLO!$G$1,2,""))</f>
        <v>1</v>
      </c>
      <c r="H19" s="111" t="str">
        <f>IF(AND(Konot[[#This Row],[Zw/w p/j]]+Konot[[#This Row],[Kleur p/j]]&gt;=SKOLO!$H$1,Konot[[#This Row],[Zw/w p/j]]+Konot[[#This Row],[Kleur p/j]]&lt;SKOLO!$G$1),1,"")</f>
        <v/>
      </c>
      <c r="I19" s="4">
        <v>44501</v>
      </c>
      <c r="J19" s="1">
        <f>Konot[[#This Row],[Zw/w p/m]]*12</f>
        <v>128052</v>
      </c>
      <c r="K19" s="1">
        <f>Konot[[#This Row],[kleur p/m]]*12</f>
        <v>33168</v>
      </c>
      <c r="L19" s="2">
        <v>10671</v>
      </c>
      <c r="M19" s="2">
        <v>2764</v>
      </c>
      <c r="N19" s="2">
        <v>48</v>
      </c>
      <c r="O19" s="2">
        <f>IF(Konot[[#This Row],[Model 1
(eis M1 t/m M27)]]="","",Konot[[#This Row],[Zw/w p/m]]*Konot[[#This Row],[Aantal maanden]])</f>
        <v>512208</v>
      </c>
      <c r="P19" s="2">
        <f>IF(Konot[[#This Row],[Model 1
(eis M1 t/m M27)]]="","",Konot[[#This Row],[kleur p/m]]*Konot[[#This Row],[Aantal maanden]])</f>
        <v>132672</v>
      </c>
      <c r="Q19" s="2" t="str">
        <f>IF(Konot[[#This Row],[Model 2
(eis M1 t/m M27)]]="","",Konot[[#This Row],[Zw/w p/m]]*Konot[[#This Row],[Aantal maanden]])</f>
        <v/>
      </c>
      <c r="R19" s="2" t="str">
        <f>IF(Konot[[#This Row],[Model 2
(eis M1 t/m M27)]]="","",Konot[[#This Row],[kleur p/m]]*Konot[[#This Row],[Aantal maanden]])</f>
        <v/>
      </c>
      <c r="S19" s="2">
        <f>IF(Konot[[#This Row],[Model 1
(eis M1 t/m M27)]]="","",Konot[[#This Row],[Zw/w p/j]])</f>
        <v>128052</v>
      </c>
      <c r="T19" s="2">
        <f>IF(Konot[[#This Row],[Model 1
(eis M1 t/m M27)]]="","",Konot[[#This Row],[Kleur p/j]])</f>
        <v>33168</v>
      </c>
      <c r="U19" s="2" t="str">
        <f>IF(Konot[[#This Row],[Model 2
(eis M1 t/m M27)]]="","",Konot[[#This Row],[Zw/w p/j]])</f>
        <v/>
      </c>
      <c r="V19" s="2" t="str">
        <f>IF(Konot[[#This Row],[Model 2
(eis M1 t/m M27)]]="","",Konot[[#This Row],[Kleur p/j]])</f>
        <v/>
      </c>
    </row>
    <row r="20" spans="1:22" x14ac:dyDescent="0.3">
      <c r="A20" t="s">
        <v>239</v>
      </c>
      <c r="B20" t="s">
        <v>240</v>
      </c>
      <c r="C20" t="s">
        <v>241</v>
      </c>
      <c r="D20" t="s">
        <v>242</v>
      </c>
      <c r="E20" t="s">
        <v>243</v>
      </c>
      <c r="F20" t="s">
        <v>244</v>
      </c>
      <c r="G20" s="111">
        <f>IF((Konot[[#This Row],[Zw/w p/j]]+Konot[[#This Row],[Kleur p/j]])&lt;SKOLO!$H$1,1,IF((Konot[[#This Row],[Zw/w p/j]]+Konot[[#This Row],[Kleur p/j]])&gt;SKOLO!$G$1,2,""))</f>
        <v>1</v>
      </c>
      <c r="H20" s="111" t="str">
        <f>IF(AND(Konot[[#This Row],[Zw/w p/j]]+Konot[[#This Row],[Kleur p/j]]&gt;=SKOLO!$H$1,Konot[[#This Row],[Zw/w p/j]]+Konot[[#This Row],[Kleur p/j]]&lt;SKOLO!$G$1),1,"")</f>
        <v/>
      </c>
      <c r="I20" s="4">
        <v>44501</v>
      </c>
      <c r="J20" s="1">
        <f>Konot[[#This Row],[Zw/w p/m]]*12</f>
        <v>33348</v>
      </c>
      <c r="K20" s="1">
        <f>Konot[[#This Row],[kleur p/m]]*12</f>
        <v>14376</v>
      </c>
      <c r="L20" s="2">
        <v>2779</v>
      </c>
      <c r="M20" s="2">
        <v>1198</v>
      </c>
      <c r="N20" s="2">
        <v>48</v>
      </c>
      <c r="O20" s="2">
        <f>IF(Konot[[#This Row],[Model 1
(eis M1 t/m M27)]]="","",Konot[[#This Row],[Zw/w p/m]]*Konot[[#This Row],[Aantal maanden]])</f>
        <v>133392</v>
      </c>
      <c r="P20" s="2">
        <f>IF(Konot[[#This Row],[Model 1
(eis M1 t/m M27)]]="","",Konot[[#This Row],[kleur p/m]]*Konot[[#This Row],[Aantal maanden]])</f>
        <v>57504</v>
      </c>
      <c r="Q20" s="2" t="str">
        <f>IF(Konot[[#This Row],[Model 2
(eis M1 t/m M27)]]="","",Konot[[#This Row],[Zw/w p/m]]*Konot[[#This Row],[Aantal maanden]])</f>
        <v/>
      </c>
      <c r="R20" s="2" t="str">
        <f>IF(Konot[[#This Row],[Model 2
(eis M1 t/m M27)]]="","",Konot[[#This Row],[kleur p/m]]*Konot[[#This Row],[Aantal maanden]])</f>
        <v/>
      </c>
      <c r="S20" s="2">
        <f>IF(Konot[[#This Row],[Model 1
(eis M1 t/m M27)]]="","",Konot[[#This Row],[Zw/w p/j]])</f>
        <v>33348</v>
      </c>
      <c r="T20" s="2">
        <f>IF(Konot[[#This Row],[Model 1
(eis M1 t/m M27)]]="","",Konot[[#This Row],[Kleur p/j]])</f>
        <v>14376</v>
      </c>
      <c r="U20" s="2" t="str">
        <f>IF(Konot[[#This Row],[Model 2
(eis M1 t/m M27)]]="","",Konot[[#This Row],[Zw/w p/j]])</f>
        <v/>
      </c>
      <c r="V20" s="2" t="str">
        <f>IF(Konot[[#This Row],[Model 2
(eis M1 t/m M27)]]="","",Konot[[#This Row],[Kleur p/j]])</f>
        <v/>
      </c>
    </row>
    <row r="21" spans="1:22" x14ac:dyDescent="0.3">
      <c r="A21" t="s">
        <v>245</v>
      </c>
      <c r="B21" s="2" t="s">
        <v>246</v>
      </c>
      <c r="C21" t="s">
        <v>247</v>
      </c>
      <c r="D21" t="s">
        <v>248</v>
      </c>
      <c r="E21" t="s">
        <v>249</v>
      </c>
      <c r="F21" t="s">
        <v>250</v>
      </c>
      <c r="G21" s="111" t="str">
        <f>IF((Konot[[#This Row],[Zw/w p/j]]+Konot[[#This Row],[Kleur p/j]])&lt;SKOLO!$H$1,1,IF((Konot[[#This Row],[Zw/w p/j]]+Konot[[#This Row],[Kleur p/j]])&gt;SKOLO!$G$1,2,""))</f>
        <v/>
      </c>
      <c r="H21" s="111">
        <f>IF(AND(Konot[[#This Row],[Zw/w p/j]]+Konot[[#This Row],[Kleur p/j]]&gt;=SKOLO!$H$1,Konot[[#This Row],[Zw/w p/j]]+Konot[[#This Row],[Kleur p/j]]&lt;SKOLO!$G$1),1,"")</f>
        <v>1</v>
      </c>
      <c r="I21" s="4">
        <v>44501</v>
      </c>
      <c r="J21" s="1">
        <f>Konot[[#This Row],[Zw/w p/m]]*12</f>
        <v>181608</v>
      </c>
      <c r="K21" s="1">
        <f>Konot[[#This Row],[kleur p/m]]*12</f>
        <v>23388</v>
      </c>
      <c r="L21" s="2">
        <v>15134</v>
      </c>
      <c r="M21" s="2">
        <v>1949</v>
      </c>
      <c r="N21" s="2">
        <v>48</v>
      </c>
      <c r="O21" s="2" t="str">
        <f>IF(Konot[[#This Row],[Model 1
(eis M1 t/m M27)]]="","",Konot[[#This Row],[Zw/w p/m]]*Konot[[#This Row],[Aantal maanden]])</f>
        <v/>
      </c>
      <c r="P21" s="2" t="str">
        <f>IF(Konot[[#This Row],[Model 1
(eis M1 t/m M27)]]="","",Konot[[#This Row],[kleur p/m]]*Konot[[#This Row],[Aantal maanden]])</f>
        <v/>
      </c>
      <c r="Q21" s="2">
        <f>IF(Konot[[#This Row],[Model 2
(eis M1 t/m M27)]]="","",Konot[[#This Row],[Zw/w p/m]]*Konot[[#This Row],[Aantal maanden]])</f>
        <v>726432</v>
      </c>
      <c r="R21" s="2">
        <f>IF(Konot[[#This Row],[Model 2
(eis M1 t/m M27)]]="","",Konot[[#This Row],[kleur p/m]]*Konot[[#This Row],[Aantal maanden]])</f>
        <v>93552</v>
      </c>
      <c r="S21" s="2" t="str">
        <f>IF(Konot[[#This Row],[Model 1
(eis M1 t/m M27)]]="","",Konot[[#This Row],[Zw/w p/j]])</f>
        <v/>
      </c>
      <c r="T21" s="2" t="str">
        <f>IF(Konot[[#This Row],[Model 1
(eis M1 t/m M27)]]="","",Konot[[#This Row],[Kleur p/j]])</f>
        <v/>
      </c>
      <c r="U21" s="2">
        <f>IF(Konot[[#This Row],[Model 2
(eis M1 t/m M27)]]="","",Konot[[#This Row],[Zw/w p/j]])</f>
        <v>181608</v>
      </c>
      <c r="V21" s="2">
        <f>IF(Konot[[#This Row],[Model 2
(eis M1 t/m M27)]]="","",Konot[[#This Row],[Kleur p/j]])</f>
        <v>23388</v>
      </c>
    </row>
    <row r="22" spans="1:22" x14ac:dyDescent="0.3">
      <c r="A22" t="s">
        <v>251</v>
      </c>
      <c r="B22" s="2" t="s">
        <v>252</v>
      </c>
      <c r="C22" t="s">
        <v>253</v>
      </c>
      <c r="D22" t="s">
        <v>254</v>
      </c>
      <c r="E22" t="s">
        <v>249</v>
      </c>
      <c r="F22" t="s">
        <v>255</v>
      </c>
      <c r="G22" s="111">
        <f>IF((Konot[[#This Row],[Zw/w p/j]]+Konot[[#This Row],[Kleur p/j]])&lt;SKOLO!$H$1,1,IF((Konot[[#This Row],[Zw/w p/j]]+Konot[[#This Row],[Kleur p/j]])&gt;SKOLO!$G$1,2,""))</f>
        <v>1</v>
      </c>
      <c r="H22" s="111" t="str">
        <f>IF(AND(Konot[[#This Row],[Zw/w p/j]]+Konot[[#This Row],[Kleur p/j]]&gt;=SKOLO!$H$1,Konot[[#This Row],[Zw/w p/j]]+Konot[[#This Row],[Kleur p/j]]&lt;SKOLO!$G$1),1,"")</f>
        <v/>
      </c>
      <c r="I22" s="4">
        <v>44501</v>
      </c>
      <c r="J22" s="1">
        <f>Konot[[#This Row],[Zw/w p/m]]*12</f>
        <v>61728</v>
      </c>
      <c r="K22" s="1">
        <f>Konot[[#This Row],[kleur p/m]]*12</f>
        <v>33816</v>
      </c>
      <c r="L22" s="2">
        <v>5144</v>
      </c>
      <c r="M22" s="2">
        <v>2818</v>
      </c>
      <c r="N22" s="2">
        <v>48</v>
      </c>
      <c r="O22" s="2">
        <f>IF(Konot[[#This Row],[Model 1
(eis M1 t/m M27)]]="","",Konot[[#This Row],[Zw/w p/m]]*Konot[[#This Row],[Aantal maanden]])</f>
        <v>246912</v>
      </c>
      <c r="P22" s="2">
        <f>IF(Konot[[#This Row],[Model 1
(eis M1 t/m M27)]]="","",Konot[[#This Row],[kleur p/m]]*Konot[[#This Row],[Aantal maanden]])</f>
        <v>135264</v>
      </c>
      <c r="Q22" s="2" t="str">
        <f>IF(Konot[[#This Row],[Model 2
(eis M1 t/m M27)]]="","",Konot[[#This Row],[Zw/w p/m]]*Konot[[#This Row],[Aantal maanden]])</f>
        <v/>
      </c>
      <c r="R22" s="2" t="str">
        <f>IF(Konot[[#This Row],[Model 2
(eis M1 t/m M27)]]="","",Konot[[#This Row],[kleur p/m]]*Konot[[#This Row],[Aantal maanden]])</f>
        <v/>
      </c>
      <c r="S22" s="2">
        <f>IF(Konot[[#This Row],[Model 1
(eis M1 t/m M27)]]="","",Konot[[#This Row],[Zw/w p/j]])</f>
        <v>61728</v>
      </c>
      <c r="T22" s="2">
        <f>IF(Konot[[#This Row],[Model 1
(eis M1 t/m M27)]]="","",Konot[[#This Row],[Kleur p/j]])</f>
        <v>33816</v>
      </c>
      <c r="U22" s="2" t="str">
        <f>IF(Konot[[#This Row],[Model 2
(eis M1 t/m M27)]]="","",Konot[[#This Row],[Zw/w p/j]])</f>
        <v/>
      </c>
      <c r="V22" s="2" t="str">
        <f>IF(Konot[[#This Row],[Model 2
(eis M1 t/m M27)]]="","",Konot[[#This Row],[Kleur p/j]])</f>
        <v/>
      </c>
    </row>
    <row r="23" spans="1:22" x14ac:dyDescent="0.3">
      <c r="A23" t="s">
        <v>256</v>
      </c>
      <c r="B23" s="2" t="s">
        <v>257</v>
      </c>
      <c r="C23" t="s">
        <v>258</v>
      </c>
      <c r="D23" t="s">
        <v>259</v>
      </c>
      <c r="E23" t="s">
        <v>249</v>
      </c>
      <c r="F23" t="s">
        <v>260</v>
      </c>
      <c r="G23" s="111" t="str">
        <f>IF((Konot[[#This Row],[Zw/w p/j]]+Konot[[#This Row],[Kleur p/j]])&lt;SKOLO!$H$1,1,IF((Konot[[#This Row],[Zw/w p/j]]+Konot[[#This Row],[Kleur p/j]])&gt;SKOLO!$G$1,2,""))</f>
        <v/>
      </c>
      <c r="H23" s="111">
        <f>IF(AND(Konot[[#This Row],[Zw/w p/j]]+Konot[[#This Row],[Kleur p/j]]&gt;=SKOLO!$H$1,Konot[[#This Row],[Zw/w p/j]]+Konot[[#This Row],[Kleur p/j]]&lt;SKOLO!$G$1),1,"")</f>
        <v>1</v>
      </c>
      <c r="I23" s="4">
        <v>44501</v>
      </c>
      <c r="J23" s="1">
        <f>Konot[[#This Row],[Zw/w p/m]]*12</f>
        <v>240084</v>
      </c>
      <c r="K23" s="1">
        <f>Konot[[#This Row],[kleur p/m]]*12</f>
        <v>71268</v>
      </c>
      <c r="L23" s="2">
        <v>20007</v>
      </c>
      <c r="M23" s="2">
        <v>5939</v>
      </c>
      <c r="N23" s="2">
        <v>48</v>
      </c>
      <c r="O23" s="2" t="str">
        <f>IF(Konot[[#This Row],[Model 1
(eis M1 t/m M27)]]="","",Konot[[#This Row],[Zw/w p/m]]*Konot[[#This Row],[Aantal maanden]])</f>
        <v/>
      </c>
      <c r="P23" s="2" t="str">
        <f>IF(Konot[[#This Row],[Model 1
(eis M1 t/m M27)]]="","",Konot[[#This Row],[kleur p/m]]*Konot[[#This Row],[Aantal maanden]])</f>
        <v/>
      </c>
      <c r="Q23" s="2">
        <f>IF(Konot[[#This Row],[Model 2
(eis M1 t/m M27)]]="","",Konot[[#This Row],[Zw/w p/m]]*Konot[[#This Row],[Aantal maanden]])</f>
        <v>960336</v>
      </c>
      <c r="R23" s="2">
        <f>IF(Konot[[#This Row],[Model 2
(eis M1 t/m M27)]]="","",Konot[[#This Row],[kleur p/m]]*Konot[[#This Row],[Aantal maanden]])</f>
        <v>285072</v>
      </c>
      <c r="S23" s="2" t="str">
        <f>IF(Konot[[#This Row],[Model 1
(eis M1 t/m M27)]]="","",Konot[[#This Row],[Zw/w p/j]])</f>
        <v/>
      </c>
      <c r="T23" s="2" t="str">
        <f>IF(Konot[[#This Row],[Model 1
(eis M1 t/m M27)]]="","",Konot[[#This Row],[Kleur p/j]])</f>
        <v/>
      </c>
      <c r="U23" s="2">
        <f>IF(Konot[[#This Row],[Model 2
(eis M1 t/m M27)]]="","",Konot[[#This Row],[Zw/w p/j]])</f>
        <v>240084</v>
      </c>
      <c r="V23" s="2">
        <f>IF(Konot[[#This Row],[Model 2
(eis M1 t/m M27)]]="","",Konot[[#This Row],[Kleur p/j]])</f>
        <v>71268</v>
      </c>
    </row>
    <row r="24" spans="1:22" x14ac:dyDescent="0.3">
      <c r="A24" t="s">
        <v>261</v>
      </c>
      <c r="B24" s="2" t="s">
        <v>262</v>
      </c>
      <c r="C24" t="s">
        <v>263</v>
      </c>
      <c r="D24" t="s">
        <v>264</v>
      </c>
      <c r="E24" t="s">
        <v>249</v>
      </c>
      <c r="F24" t="s">
        <v>265</v>
      </c>
      <c r="G24" s="111">
        <f>IF((Konot[[#This Row],[Zw/w p/j]]+Konot[[#This Row],[Kleur p/j]])&lt;SKOLO!$H$1,1,IF((Konot[[#This Row],[Zw/w p/j]]+Konot[[#This Row],[Kleur p/j]])&gt;SKOLO!$G$1,2,""))</f>
        <v>1</v>
      </c>
      <c r="H24" s="111" t="str">
        <f>IF(AND(Konot[[#This Row],[Zw/w p/j]]+Konot[[#This Row],[Kleur p/j]]&gt;=SKOLO!$H$1,Konot[[#This Row],[Zw/w p/j]]+Konot[[#This Row],[Kleur p/j]]&lt;SKOLO!$G$1),1,"")</f>
        <v/>
      </c>
      <c r="I24" s="4">
        <v>44501</v>
      </c>
      <c r="J24" s="1">
        <f>Konot[[#This Row],[Zw/w p/m]]*12</f>
        <v>118548</v>
      </c>
      <c r="K24" s="1">
        <f>Konot[[#This Row],[kleur p/m]]*12</f>
        <v>21756</v>
      </c>
      <c r="L24" s="2">
        <v>9879</v>
      </c>
      <c r="M24" s="2">
        <v>1813</v>
      </c>
      <c r="N24" s="2">
        <v>48</v>
      </c>
      <c r="O24" s="2">
        <f>IF(Konot[[#This Row],[Model 1
(eis M1 t/m M27)]]="","",Konot[[#This Row],[Zw/w p/m]]*Konot[[#This Row],[Aantal maanden]])</f>
        <v>474192</v>
      </c>
      <c r="P24" s="2">
        <f>IF(Konot[[#This Row],[Model 1
(eis M1 t/m M27)]]="","",Konot[[#This Row],[kleur p/m]]*Konot[[#This Row],[Aantal maanden]])</f>
        <v>87024</v>
      </c>
      <c r="Q24" s="2" t="str">
        <f>IF(Konot[[#This Row],[Model 2
(eis M1 t/m M27)]]="","",Konot[[#This Row],[Zw/w p/m]]*Konot[[#This Row],[Aantal maanden]])</f>
        <v/>
      </c>
      <c r="R24" s="2" t="str">
        <f>IF(Konot[[#This Row],[Model 2
(eis M1 t/m M27)]]="","",Konot[[#This Row],[kleur p/m]]*Konot[[#This Row],[Aantal maanden]])</f>
        <v/>
      </c>
      <c r="S24" s="2">
        <f>IF(Konot[[#This Row],[Model 1
(eis M1 t/m M27)]]="","",Konot[[#This Row],[Zw/w p/j]])</f>
        <v>118548</v>
      </c>
      <c r="T24" s="2">
        <f>IF(Konot[[#This Row],[Model 1
(eis M1 t/m M27)]]="","",Konot[[#This Row],[Kleur p/j]])</f>
        <v>21756</v>
      </c>
      <c r="U24" s="2" t="str">
        <f>IF(Konot[[#This Row],[Model 2
(eis M1 t/m M27)]]="","",Konot[[#This Row],[Zw/w p/j]])</f>
        <v/>
      </c>
      <c r="V24" s="2" t="str">
        <f>IF(Konot[[#This Row],[Model 2
(eis M1 t/m M27)]]="","",Konot[[#This Row],[Kleur p/j]])</f>
        <v/>
      </c>
    </row>
    <row r="25" spans="1:22" x14ac:dyDescent="0.3">
      <c r="A25" t="s">
        <v>266</v>
      </c>
      <c r="B25" t="s">
        <v>267</v>
      </c>
      <c r="C25" t="s">
        <v>268</v>
      </c>
      <c r="D25" t="s">
        <v>269</v>
      </c>
      <c r="E25" t="s">
        <v>270</v>
      </c>
      <c r="F25" t="s">
        <v>271</v>
      </c>
      <c r="G25" s="111">
        <f>IF((Konot[[#This Row],[Zw/w p/j]]+Konot[[#This Row],[Kleur p/j]])&lt;SKOLO!$H$1,1,IF((Konot[[#This Row],[Zw/w p/j]]+Konot[[#This Row],[Kleur p/j]])&gt;SKOLO!$G$1,2,""))</f>
        <v>1</v>
      </c>
      <c r="H25" s="111" t="str">
        <f>IF(AND(Konot[[#This Row],[Zw/w p/j]]+Konot[[#This Row],[Kleur p/j]]&gt;=SKOLO!$H$1,Konot[[#This Row],[Zw/w p/j]]+Konot[[#This Row],[Kleur p/j]]&lt;SKOLO!$G$1),1,"")</f>
        <v/>
      </c>
      <c r="I25" s="4">
        <v>44501</v>
      </c>
      <c r="J25" s="1">
        <f>Konot[[#This Row],[Zw/w p/m]]*12</f>
        <v>22008</v>
      </c>
      <c r="K25" s="1">
        <f>Konot[[#This Row],[kleur p/m]]*12</f>
        <v>12720</v>
      </c>
      <c r="L25" s="2">
        <v>1834</v>
      </c>
      <c r="M25" s="2">
        <v>1060</v>
      </c>
      <c r="N25" s="2">
        <v>48</v>
      </c>
      <c r="O25" s="2">
        <f>IF(Konot[[#This Row],[Model 1
(eis M1 t/m M27)]]="","",Konot[[#This Row],[Zw/w p/m]]*Konot[[#This Row],[Aantal maanden]])</f>
        <v>88032</v>
      </c>
      <c r="P25" s="2">
        <f>IF(Konot[[#This Row],[Model 1
(eis M1 t/m M27)]]="","",Konot[[#This Row],[kleur p/m]]*Konot[[#This Row],[Aantal maanden]])</f>
        <v>50880</v>
      </c>
      <c r="Q25" s="2" t="str">
        <f>IF(Konot[[#This Row],[Model 2
(eis M1 t/m M27)]]="","",Konot[[#This Row],[Zw/w p/m]]*Konot[[#This Row],[Aantal maanden]])</f>
        <v/>
      </c>
      <c r="R25" s="2" t="str">
        <f>IF(Konot[[#This Row],[Model 2
(eis M1 t/m M27)]]="","",Konot[[#This Row],[kleur p/m]]*Konot[[#This Row],[Aantal maanden]])</f>
        <v/>
      </c>
      <c r="S25" s="2">
        <f>IF(Konot[[#This Row],[Model 1
(eis M1 t/m M27)]]="","",Konot[[#This Row],[Zw/w p/j]])</f>
        <v>22008</v>
      </c>
      <c r="T25" s="2">
        <f>IF(Konot[[#This Row],[Model 1
(eis M1 t/m M27)]]="","",Konot[[#This Row],[Kleur p/j]])</f>
        <v>12720</v>
      </c>
      <c r="U25" s="2" t="str">
        <f>IF(Konot[[#This Row],[Model 2
(eis M1 t/m M27)]]="","",Konot[[#This Row],[Zw/w p/j]])</f>
        <v/>
      </c>
      <c r="V25" s="2" t="str">
        <f>IF(Konot[[#This Row],[Model 2
(eis M1 t/m M27)]]="","",Konot[[#This Row],[Kleur p/j]])</f>
        <v/>
      </c>
    </row>
    <row r="26" spans="1:22" x14ac:dyDescent="0.3">
      <c r="A26" t="s">
        <v>266</v>
      </c>
      <c r="B26" t="s">
        <v>267</v>
      </c>
      <c r="C26" t="s">
        <v>268</v>
      </c>
      <c r="D26" t="s">
        <v>419</v>
      </c>
      <c r="E26" t="s">
        <v>270</v>
      </c>
      <c r="F26" t="s">
        <v>271</v>
      </c>
      <c r="G26" s="111">
        <f>IF((Konot[[#This Row],[Zw/w p/j]]+Konot[[#This Row],[Kleur p/j]])&lt;SKOLO!$H$1,1,IF((Konot[[#This Row],[Zw/w p/j]]+Konot[[#This Row],[Kleur p/j]])&gt;SKOLO!$G$1,2,""))</f>
        <v>1</v>
      </c>
      <c r="H26" s="111" t="str">
        <f>IF(AND(Konot[[#This Row],[Zw/w p/j]]+Konot[[#This Row],[Kleur p/j]]&gt;=SKOLO!$H$1,Konot[[#This Row],[Zw/w p/j]]+Konot[[#This Row],[Kleur p/j]]&lt;SKOLO!$G$1),1,"")</f>
        <v/>
      </c>
      <c r="I26" s="4">
        <v>44501</v>
      </c>
      <c r="J26" s="1">
        <f>Konot[[#This Row],[Zw/w p/m]]*12</f>
        <v>155076</v>
      </c>
      <c r="K26" s="1">
        <f>Konot[[#This Row],[kleur p/m]]*12</f>
        <v>21156</v>
      </c>
      <c r="L26" s="2">
        <v>12923</v>
      </c>
      <c r="M26" s="2">
        <v>1763</v>
      </c>
      <c r="N26" s="2">
        <v>48</v>
      </c>
      <c r="O26" s="2">
        <f>IF(Konot[[#This Row],[Model 1
(eis M1 t/m M27)]]="","",Konot[[#This Row],[Zw/w p/m]]*Konot[[#This Row],[Aantal maanden]])</f>
        <v>620304</v>
      </c>
      <c r="P26" s="2">
        <f>IF(Konot[[#This Row],[Model 1
(eis M1 t/m M27)]]="","",Konot[[#This Row],[kleur p/m]]*Konot[[#This Row],[Aantal maanden]])</f>
        <v>84624</v>
      </c>
      <c r="Q26" s="2" t="str">
        <f>IF(Konot[[#This Row],[Model 2
(eis M1 t/m M27)]]="","",Konot[[#This Row],[Zw/w p/m]]*Konot[[#This Row],[Aantal maanden]])</f>
        <v/>
      </c>
      <c r="R26" s="2" t="str">
        <f>IF(Konot[[#This Row],[Model 2
(eis M1 t/m M27)]]="","",Konot[[#This Row],[kleur p/m]]*Konot[[#This Row],[Aantal maanden]])</f>
        <v/>
      </c>
      <c r="S26" s="2">
        <f>IF(Konot[[#This Row],[Model 1
(eis M1 t/m M27)]]="","",Konot[[#This Row],[Zw/w p/j]])</f>
        <v>155076</v>
      </c>
      <c r="T26" s="2">
        <f>IF(Konot[[#This Row],[Model 1
(eis M1 t/m M27)]]="","",Konot[[#This Row],[Kleur p/j]])</f>
        <v>21156</v>
      </c>
      <c r="U26" s="2" t="str">
        <f>IF(Konot[[#This Row],[Model 2
(eis M1 t/m M27)]]="","",Konot[[#This Row],[Zw/w p/j]])</f>
        <v/>
      </c>
      <c r="V26" s="2" t="str">
        <f>IF(Konot[[#This Row],[Model 2
(eis M1 t/m M27)]]="","",Konot[[#This Row],[Kleur p/j]])</f>
        <v/>
      </c>
    </row>
    <row r="27" spans="1:22" x14ac:dyDescent="0.3">
      <c r="A27" t="s">
        <v>272</v>
      </c>
      <c r="B27" t="s">
        <v>273</v>
      </c>
      <c r="C27" t="s">
        <v>274</v>
      </c>
      <c r="D27" t="s">
        <v>275</v>
      </c>
      <c r="E27" t="s">
        <v>276</v>
      </c>
      <c r="F27" t="s">
        <v>277</v>
      </c>
      <c r="G27" s="111">
        <f>IF((Konot[[#This Row],[Zw/w p/j]]+Konot[[#This Row],[Kleur p/j]])&lt;SKOLO!$H$1,1,IF((Konot[[#This Row],[Zw/w p/j]]+Konot[[#This Row],[Kleur p/j]])&gt;SKOLO!$G$1,2,""))</f>
        <v>1</v>
      </c>
      <c r="H27" s="111" t="str">
        <f>IF(AND(Konot[[#This Row],[Zw/w p/j]]+Konot[[#This Row],[Kleur p/j]]&gt;=SKOLO!$H$1,Konot[[#This Row],[Zw/w p/j]]+Konot[[#This Row],[Kleur p/j]]&lt;SKOLO!$G$1),1,"")</f>
        <v/>
      </c>
      <c r="I27" s="4">
        <v>44501</v>
      </c>
      <c r="J27" s="1">
        <f>Konot[[#This Row],[Zw/w p/m]]*12</f>
        <v>130236</v>
      </c>
      <c r="K27" s="1">
        <f>Konot[[#This Row],[kleur p/m]]*12</f>
        <v>34008</v>
      </c>
      <c r="L27" s="2">
        <v>10853</v>
      </c>
      <c r="M27" s="2">
        <v>2834</v>
      </c>
      <c r="N27" s="2">
        <v>48</v>
      </c>
      <c r="O27" s="2">
        <f>IF(Konot[[#This Row],[Model 1
(eis M1 t/m M27)]]="","",Konot[[#This Row],[Zw/w p/m]]*Konot[[#This Row],[Aantal maanden]])</f>
        <v>520944</v>
      </c>
      <c r="P27" s="2">
        <f>IF(Konot[[#This Row],[Model 1
(eis M1 t/m M27)]]="","",Konot[[#This Row],[kleur p/m]]*Konot[[#This Row],[Aantal maanden]])</f>
        <v>136032</v>
      </c>
      <c r="Q27" s="2" t="str">
        <f>IF(Konot[[#This Row],[Model 2
(eis M1 t/m M27)]]="","",Konot[[#This Row],[Zw/w p/m]]*Konot[[#This Row],[Aantal maanden]])</f>
        <v/>
      </c>
      <c r="R27" s="2" t="str">
        <f>IF(Konot[[#This Row],[Model 2
(eis M1 t/m M27)]]="","",Konot[[#This Row],[kleur p/m]]*Konot[[#This Row],[Aantal maanden]])</f>
        <v/>
      </c>
      <c r="S27" s="2">
        <f>IF(Konot[[#This Row],[Model 1
(eis M1 t/m M27)]]="","",Konot[[#This Row],[Zw/w p/j]])</f>
        <v>130236</v>
      </c>
      <c r="T27" s="2">
        <f>IF(Konot[[#This Row],[Model 1
(eis M1 t/m M27)]]="","",Konot[[#This Row],[Kleur p/j]])</f>
        <v>34008</v>
      </c>
      <c r="U27" s="2" t="str">
        <f>IF(Konot[[#This Row],[Model 2
(eis M1 t/m M27)]]="","",Konot[[#This Row],[Zw/w p/j]])</f>
        <v/>
      </c>
      <c r="V27" s="2" t="str">
        <f>IF(Konot[[#This Row],[Model 2
(eis M1 t/m M27)]]="","",Konot[[#This Row],[Kleur p/j]])</f>
        <v/>
      </c>
    </row>
    <row r="28" spans="1:22" x14ac:dyDescent="0.3">
      <c r="A28" t="s">
        <v>278</v>
      </c>
      <c r="B28" t="s">
        <v>279</v>
      </c>
      <c r="C28" t="s">
        <v>280</v>
      </c>
      <c r="D28" t="s">
        <v>281</v>
      </c>
      <c r="E28" t="s">
        <v>282</v>
      </c>
      <c r="F28" t="s">
        <v>283</v>
      </c>
      <c r="G28" s="111">
        <f>IF((Konot[[#This Row],[Zw/w p/j]]+Konot[[#This Row],[Kleur p/j]])&lt;SKOLO!$H$1,1,IF((Konot[[#This Row],[Zw/w p/j]]+Konot[[#This Row],[Kleur p/j]])&gt;SKOLO!$G$1,2,""))</f>
        <v>1</v>
      </c>
      <c r="H28" s="111" t="str">
        <f>IF(AND(Konot[[#This Row],[Zw/w p/j]]+Konot[[#This Row],[Kleur p/j]]&gt;=SKOLO!$H$1,Konot[[#This Row],[Zw/w p/j]]+Konot[[#This Row],[Kleur p/j]]&lt;SKOLO!$G$1),1,"")</f>
        <v/>
      </c>
      <c r="I28" s="4">
        <v>44501</v>
      </c>
      <c r="J28" s="1">
        <f>Konot[[#This Row],[Zw/w p/m]]*12</f>
        <v>110640</v>
      </c>
      <c r="K28" s="1">
        <f>Konot[[#This Row],[kleur p/m]]*12</f>
        <v>67992</v>
      </c>
      <c r="L28" s="2">
        <v>9220</v>
      </c>
      <c r="M28" s="2">
        <v>5666</v>
      </c>
      <c r="N28" s="2">
        <v>48</v>
      </c>
      <c r="O28" s="2">
        <f>IF(Konot[[#This Row],[Model 1
(eis M1 t/m M27)]]="","",Konot[[#This Row],[Zw/w p/m]]*Konot[[#This Row],[Aantal maanden]])</f>
        <v>442560</v>
      </c>
      <c r="P28" s="2">
        <f>IF(Konot[[#This Row],[Model 1
(eis M1 t/m M27)]]="","",Konot[[#This Row],[kleur p/m]]*Konot[[#This Row],[Aantal maanden]])</f>
        <v>271968</v>
      </c>
      <c r="Q28" s="2" t="str">
        <f>IF(Konot[[#This Row],[Model 2
(eis M1 t/m M27)]]="","",Konot[[#This Row],[Zw/w p/m]]*Konot[[#This Row],[Aantal maanden]])</f>
        <v/>
      </c>
      <c r="R28" s="2" t="str">
        <f>IF(Konot[[#This Row],[Model 2
(eis M1 t/m M27)]]="","",Konot[[#This Row],[kleur p/m]]*Konot[[#This Row],[Aantal maanden]])</f>
        <v/>
      </c>
      <c r="S28" s="2">
        <f>IF(Konot[[#This Row],[Model 1
(eis M1 t/m M27)]]="","",Konot[[#This Row],[Zw/w p/j]])</f>
        <v>110640</v>
      </c>
      <c r="T28" s="2">
        <f>IF(Konot[[#This Row],[Model 1
(eis M1 t/m M27)]]="","",Konot[[#This Row],[Kleur p/j]])</f>
        <v>67992</v>
      </c>
      <c r="U28" s="2" t="str">
        <f>IF(Konot[[#This Row],[Model 2
(eis M1 t/m M27)]]="","",Konot[[#This Row],[Zw/w p/j]])</f>
        <v/>
      </c>
      <c r="V28" s="2" t="str">
        <f>IF(Konot[[#This Row],[Model 2
(eis M1 t/m M27)]]="","",Konot[[#This Row],[Kleur p/j]])</f>
        <v/>
      </c>
    </row>
    <row r="29" spans="1:22" x14ac:dyDescent="0.3">
      <c r="A29" t="s">
        <v>284</v>
      </c>
      <c r="B29" t="s">
        <v>285</v>
      </c>
      <c r="C29" t="s">
        <v>286</v>
      </c>
      <c r="D29" t="s">
        <v>287</v>
      </c>
      <c r="E29" t="s">
        <v>288</v>
      </c>
      <c r="F29" t="s">
        <v>289</v>
      </c>
      <c r="G29" s="111" t="str">
        <f>IF((Konot[[#This Row],[Zw/w p/j]]+Konot[[#This Row],[Kleur p/j]])&lt;SKOLO!$H$1,1,IF((Konot[[#This Row],[Zw/w p/j]]+Konot[[#This Row],[Kleur p/j]])&gt;SKOLO!$G$1,2,""))</f>
        <v/>
      </c>
      <c r="H29" s="111">
        <f>IF(AND(Konot[[#This Row],[Zw/w p/j]]+Konot[[#This Row],[Kleur p/j]]&gt;=SKOLO!$H$1,Konot[[#This Row],[Zw/w p/j]]+Konot[[#This Row],[Kleur p/j]]&lt;SKOLO!$G$1),1,"")</f>
        <v>1</v>
      </c>
      <c r="I29" s="4">
        <v>44501</v>
      </c>
      <c r="J29" s="1">
        <f>Konot[[#This Row],[Zw/w p/m]]*12</f>
        <v>221748</v>
      </c>
      <c r="K29" s="1">
        <f>Konot[[#This Row],[kleur p/m]]*12</f>
        <v>35760</v>
      </c>
      <c r="L29" s="2">
        <v>18479</v>
      </c>
      <c r="M29" s="2">
        <v>2980</v>
      </c>
      <c r="N29" s="2">
        <v>48</v>
      </c>
      <c r="O29" s="2" t="str">
        <f>IF(Konot[[#This Row],[Model 1
(eis M1 t/m M27)]]="","",Konot[[#This Row],[Zw/w p/m]]*Konot[[#This Row],[Aantal maanden]])</f>
        <v/>
      </c>
      <c r="P29" s="2" t="str">
        <f>IF(Konot[[#This Row],[Model 1
(eis M1 t/m M27)]]="","",Konot[[#This Row],[kleur p/m]]*Konot[[#This Row],[Aantal maanden]])</f>
        <v/>
      </c>
      <c r="Q29" s="2">
        <f>IF(Konot[[#This Row],[Model 2
(eis M1 t/m M27)]]="","",Konot[[#This Row],[Zw/w p/m]]*Konot[[#This Row],[Aantal maanden]])</f>
        <v>886992</v>
      </c>
      <c r="R29" s="2">
        <f>IF(Konot[[#This Row],[Model 2
(eis M1 t/m M27)]]="","",Konot[[#This Row],[kleur p/m]]*Konot[[#This Row],[Aantal maanden]])</f>
        <v>143040</v>
      </c>
      <c r="S29" s="2" t="str">
        <f>IF(Konot[[#This Row],[Model 1
(eis M1 t/m M27)]]="","",Konot[[#This Row],[Zw/w p/j]])</f>
        <v/>
      </c>
      <c r="T29" s="2" t="str">
        <f>IF(Konot[[#This Row],[Model 1
(eis M1 t/m M27)]]="","",Konot[[#This Row],[Kleur p/j]])</f>
        <v/>
      </c>
      <c r="U29" s="2">
        <f>IF(Konot[[#This Row],[Model 2
(eis M1 t/m M27)]]="","",Konot[[#This Row],[Zw/w p/j]])</f>
        <v>221748</v>
      </c>
      <c r="V29" s="2">
        <f>IF(Konot[[#This Row],[Model 2
(eis M1 t/m M27)]]="","",Konot[[#This Row],[Kleur p/j]])</f>
        <v>35760</v>
      </c>
    </row>
    <row r="30" spans="1:22" x14ac:dyDescent="0.3">
      <c r="A30" t="s">
        <v>284</v>
      </c>
      <c r="B30" t="s">
        <v>285</v>
      </c>
      <c r="C30" t="s">
        <v>286</v>
      </c>
      <c r="D30" t="s">
        <v>420</v>
      </c>
      <c r="E30" t="s">
        <v>288</v>
      </c>
      <c r="F30" t="s">
        <v>289</v>
      </c>
      <c r="G30" s="111">
        <f>IF((Konot[[#This Row],[Zw/w p/j]]+Konot[[#This Row],[Kleur p/j]])&lt;SKOLO!$H$1,1,IF((Konot[[#This Row],[Zw/w p/j]]+Konot[[#This Row],[Kleur p/j]])&gt;SKOLO!$G$1,2,""))</f>
        <v>1</v>
      </c>
      <c r="H30" s="111" t="str">
        <f>IF(AND(Konot[[#This Row],[Zw/w p/j]]+Konot[[#This Row],[Kleur p/j]]&gt;=SKOLO!$H$1,Konot[[#This Row],[Zw/w p/j]]+Konot[[#This Row],[Kleur p/j]]&lt;SKOLO!$G$1),1,"")</f>
        <v/>
      </c>
      <c r="I30" s="4">
        <v>44501</v>
      </c>
      <c r="J30" s="1">
        <f>Konot[[#This Row],[Zw/w p/m]]*12</f>
        <v>24924</v>
      </c>
      <c r="K30" s="1">
        <f>Konot[[#This Row],[kleur p/m]]*12</f>
        <v>43776</v>
      </c>
      <c r="L30" s="2">
        <v>2077</v>
      </c>
      <c r="M30" s="2">
        <v>3648</v>
      </c>
      <c r="N30" s="2">
        <v>48</v>
      </c>
      <c r="O30" s="2">
        <f>IF(Konot[[#This Row],[Model 1
(eis M1 t/m M27)]]="","",Konot[[#This Row],[Zw/w p/m]]*Konot[[#This Row],[Aantal maanden]])</f>
        <v>99696</v>
      </c>
      <c r="P30" s="2">
        <f>IF(Konot[[#This Row],[Model 1
(eis M1 t/m M27)]]="","",Konot[[#This Row],[kleur p/m]]*Konot[[#This Row],[Aantal maanden]])</f>
        <v>175104</v>
      </c>
      <c r="Q30" s="2" t="str">
        <f>IF(Konot[[#This Row],[Model 2
(eis M1 t/m M27)]]="","",Konot[[#This Row],[Zw/w p/m]]*Konot[[#This Row],[Aantal maanden]])</f>
        <v/>
      </c>
      <c r="R30" s="2" t="str">
        <f>IF(Konot[[#This Row],[Model 2
(eis M1 t/m M27)]]="","",Konot[[#This Row],[kleur p/m]]*Konot[[#This Row],[Aantal maanden]])</f>
        <v/>
      </c>
      <c r="S30" s="2">
        <f>IF(Konot[[#This Row],[Model 1
(eis M1 t/m M27)]]="","",Konot[[#This Row],[Zw/w p/j]])</f>
        <v>24924</v>
      </c>
      <c r="T30" s="2">
        <f>IF(Konot[[#This Row],[Model 1
(eis M1 t/m M27)]]="","",Konot[[#This Row],[Kleur p/j]])</f>
        <v>43776</v>
      </c>
      <c r="U30" s="2" t="str">
        <f>IF(Konot[[#This Row],[Model 2
(eis M1 t/m M27)]]="","",Konot[[#This Row],[Zw/w p/j]])</f>
        <v/>
      </c>
      <c r="V30" s="2" t="str">
        <f>IF(Konot[[#This Row],[Model 2
(eis M1 t/m M27)]]="","",Konot[[#This Row],[Kleur p/j]])</f>
        <v/>
      </c>
    </row>
    <row r="31" spans="1:22" x14ac:dyDescent="0.3">
      <c r="A31" t="s">
        <v>290</v>
      </c>
      <c r="B31" s="2" t="s">
        <v>291</v>
      </c>
      <c r="C31" t="s">
        <v>292</v>
      </c>
      <c r="D31" t="s">
        <v>293</v>
      </c>
      <c r="E31" t="s">
        <v>294</v>
      </c>
      <c r="F31" t="s">
        <v>295</v>
      </c>
      <c r="G31" s="111">
        <f>IF((Konot[[#This Row],[Zw/w p/j]]+Konot[[#This Row],[Kleur p/j]])&lt;SKOLO!$H$1,1,IF((Konot[[#This Row],[Zw/w p/j]]+Konot[[#This Row],[Kleur p/j]])&gt;SKOLO!$G$1,2,""))</f>
        <v>1</v>
      </c>
      <c r="H31" s="111" t="str">
        <f>IF(AND(Konot[[#This Row],[Zw/w p/j]]+Konot[[#This Row],[Kleur p/j]]&gt;=SKOLO!$H$1,Konot[[#This Row],[Zw/w p/j]]+Konot[[#This Row],[Kleur p/j]]&lt;SKOLO!$G$1),1,"")</f>
        <v/>
      </c>
      <c r="I31" s="4">
        <v>44501</v>
      </c>
      <c r="J31" s="1">
        <f>Konot[[#This Row],[Zw/w p/m]]*12</f>
        <v>34800</v>
      </c>
      <c r="K31" s="1">
        <f>Konot[[#This Row],[kleur p/m]]*12</f>
        <v>24084</v>
      </c>
      <c r="L31" s="2">
        <v>2900</v>
      </c>
      <c r="M31" s="2">
        <v>2007</v>
      </c>
      <c r="N31" s="2">
        <v>48</v>
      </c>
      <c r="O31" s="2">
        <f>IF(Konot[[#This Row],[Model 1
(eis M1 t/m M27)]]="","",Konot[[#This Row],[Zw/w p/m]]*Konot[[#This Row],[Aantal maanden]])</f>
        <v>139200</v>
      </c>
      <c r="P31" s="2">
        <f>IF(Konot[[#This Row],[Model 1
(eis M1 t/m M27)]]="","",Konot[[#This Row],[kleur p/m]]*Konot[[#This Row],[Aantal maanden]])</f>
        <v>96336</v>
      </c>
      <c r="Q31" s="2" t="str">
        <f>IF(Konot[[#This Row],[Model 2
(eis M1 t/m M27)]]="","",Konot[[#This Row],[Zw/w p/m]]*Konot[[#This Row],[Aantal maanden]])</f>
        <v/>
      </c>
      <c r="R31" s="2" t="str">
        <f>IF(Konot[[#This Row],[Model 2
(eis M1 t/m M27)]]="","",Konot[[#This Row],[kleur p/m]]*Konot[[#This Row],[Aantal maanden]])</f>
        <v/>
      </c>
      <c r="S31" s="2">
        <f>IF(Konot[[#This Row],[Model 1
(eis M1 t/m M27)]]="","",Konot[[#This Row],[Zw/w p/j]])</f>
        <v>34800</v>
      </c>
      <c r="T31" s="2">
        <f>IF(Konot[[#This Row],[Model 1
(eis M1 t/m M27)]]="","",Konot[[#This Row],[Kleur p/j]])</f>
        <v>24084</v>
      </c>
      <c r="U31" s="2" t="str">
        <f>IF(Konot[[#This Row],[Model 2
(eis M1 t/m M27)]]="","",Konot[[#This Row],[Zw/w p/j]])</f>
        <v/>
      </c>
      <c r="V31" s="2" t="str">
        <f>IF(Konot[[#This Row],[Model 2
(eis M1 t/m M27)]]="","",Konot[[#This Row],[Kleur p/j]])</f>
        <v/>
      </c>
    </row>
    <row r="32" spans="1:22" x14ac:dyDescent="0.3">
      <c r="A32" t="s">
        <v>296</v>
      </c>
      <c r="B32" s="2" t="s">
        <v>297</v>
      </c>
      <c r="C32" t="s">
        <v>298</v>
      </c>
      <c r="D32" t="s">
        <v>299</v>
      </c>
      <c r="E32" t="s">
        <v>300</v>
      </c>
      <c r="F32" t="s">
        <v>301</v>
      </c>
      <c r="G32" s="111">
        <f>IF((Konot[[#This Row],[Zw/w p/j]]+Konot[[#This Row],[Kleur p/j]])&lt;SKOLO!$H$1,1,IF((Konot[[#This Row],[Zw/w p/j]]+Konot[[#This Row],[Kleur p/j]])&gt;SKOLO!$G$1,2,""))</f>
        <v>1</v>
      </c>
      <c r="H32" s="111" t="str">
        <f>IF(AND(Konot[[#This Row],[Zw/w p/j]]+Konot[[#This Row],[Kleur p/j]]&gt;=SKOLO!$H$1,Konot[[#This Row],[Zw/w p/j]]+Konot[[#This Row],[Kleur p/j]]&lt;SKOLO!$G$1),1,"")</f>
        <v/>
      </c>
      <c r="I32" s="4">
        <v>44501</v>
      </c>
      <c r="J32" s="1">
        <f>Konot[[#This Row],[Zw/w p/m]]*12</f>
        <v>40056</v>
      </c>
      <c r="K32" s="1">
        <f>Konot[[#This Row],[kleur p/m]]*12</f>
        <v>22608</v>
      </c>
      <c r="L32" s="2">
        <v>3338</v>
      </c>
      <c r="M32" s="2">
        <v>1884</v>
      </c>
      <c r="N32" s="2">
        <v>48</v>
      </c>
      <c r="O32" s="2">
        <f>IF(Konot[[#This Row],[Model 1
(eis M1 t/m M27)]]="","",Konot[[#This Row],[Zw/w p/m]]*Konot[[#This Row],[Aantal maanden]])</f>
        <v>160224</v>
      </c>
      <c r="P32" s="2">
        <f>IF(Konot[[#This Row],[Model 1
(eis M1 t/m M27)]]="","",Konot[[#This Row],[kleur p/m]]*Konot[[#This Row],[Aantal maanden]])</f>
        <v>90432</v>
      </c>
      <c r="Q32" s="2" t="str">
        <f>IF(Konot[[#This Row],[Model 2
(eis M1 t/m M27)]]="","",Konot[[#This Row],[Zw/w p/m]]*Konot[[#This Row],[Aantal maanden]])</f>
        <v/>
      </c>
      <c r="R32" s="2" t="str">
        <f>IF(Konot[[#This Row],[Model 2
(eis M1 t/m M27)]]="","",Konot[[#This Row],[kleur p/m]]*Konot[[#This Row],[Aantal maanden]])</f>
        <v/>
      </c>
      <c r="S32" s="2">
        <f>IF(Konot[[#This Row],[Model 1
(eis M1 t/m M27)]]="","",Konot[[#This Row],[Zw/w p/j]])</f>
        <v>40056</v>
      </c>
      <c r="T32" s="2">
        <f>IF(Konot[[#This Row],[Model 1
(eis M1 t/m M27)]]="","",Konot[[#This Row],[Kleur p/j]])</f>
        <v>22608</v>
      </c>
      <c r="U32" s="2" t="str">
        <f>IF(Konot[[#This Row],[Model 2
(eis M1 t/m M27)]]="","",Konot[[#This Row],[Zw/w p/j]])</f>
        <v/>
      </c>
      <c r="V32" s="2" t="str">
        <f>IF(Konot[[#This Row],[Model 2
(eis M1 t/m M27)]]="","",Konot[[#This Row],[Kleur p/j]])</f>
        <v/>
      </c>
    </row>
    <row r="33" spans="1:22" x14ac:dyDescent="0.3">
      <c r="A33" t="s">
        <v>302</v>
      </c>
      <c r="B33" s="2" t="s">
        <v>303</v>
      </c>
      <c r="C33" t="s">
        <v>304</v>
      </c>
      <c r="D33" t="s">
        <v>305</v>
      </c>
      <c r="E33" t="s">
        <v>306</v>
      </c>
      <c r="F33" t="s">
        <v>307</v>
      </c>
      <c r="G33" s="111">
        <f>IF((Konot[[#This Row],[Zw/w p/j]]+Konot[[#This Row],[Kleur p/j]])&lt;SKOLO!$H$1,1,IF((Konot[[#This Row],[Zw/w p/j]]+Konot[[#This Row],[Kleur p/j]])&gt;SKOLO!$G$1,2,""))</f>
        <v>1</v>
      </c>
      <c r="H33" s="111" t="str">
        <f>IF(AND(Konot[[#This Row],[Zw/w p/j]]+Konot[[#This Row],[Kleur p/j]]&gt;=SKOLO!$H$1,Konot[[#This Row],[Zw/w p/j]]+Konot[[#This Row],[Kleur p/j]]&lt;SKOLO!$G$1),1,"")</f>
        <v/>
      </c>
      <c r="I33" s="4">
        <v>44501</v>
      </c>
      <c r="J33" s="1">
        <f>Konot[[#This Row],[Zw/w p/m]]*12</f>
        <v>33300</v>
      </c>
      <c r="K33" s="1">
        <f>Konot[[#This Row],[kleur p/m]]*12</f>
        <v>21564</v>
      </c>
      <c r="L33" s="2">
        <v>2775</v>
      </c>
      <c r="M33" s="2">
        <v>1797</v>
      </c>
      <c r="N33" s="2">
        <v>48</v>
      </c>
      <c r="O33" s="2">
        <f>IF(Konot[[#This Row],[Model 1
(eis M1 t/m M27)]]="","",Konot[[#This Row],[Zw/w p/m]]*Konot[[#This Row],[Aantal maanden]])</f>
        <v>133200</v>
      </c>
      <c r="P33" s="2">
        <f>IF(Konot[[#This Row],[Model 1
(eis M1 t/m M27)]]="","",Konot[[#This Row],[kleur p/m]]*Konot[[#This Row],[Aantal maanden]])</f>
        <v>86256</v>
      </c>
      <c r="Q33" s="2" t="str">
        <f>IF(Konot[[#This Row],[Model 2
(eis M1 t/m M27)]]="","",Konot[[#This Row],[Zw/w p/m]]*Konot[[#This Row],[Aantal maanden]])</f>
        <v/>
      </c>
      <c r="R33" s="2" t="str">
        <f>IF(Konot[[#This Row],[Model 2
(eis M1 t/m M27)]]="","",Konot[[#This Row],[kleur p/m]]*Konot[[#This Row],[Aantal maanden]])</f>
        <v/>
      </c>
      <c r="S33" s="2">
        <f>IF(Konot[[#This Row],[Model 1
(eis M1 t/m M27)]]="","",Konot[[#This Row],[Zw/w p/j]])</f>
        <v>33300</v>
      </c>
      <c r="T33" s="2">
        <f>IF(Konot[[#This Row],[Model 1
(eis M1 t/m M27)]]="","",Konot[[#This Row],[Kleur p/j]])</f>
        <v>21564</v>
      </c>
      <c r="U33" s="2" t="str">
        <f>IF(Konot[[#This Row],[Model 2
(eis M1 t/m M27)]]="","",Konot[[#This Row],[Zw/w p/j]])</f>
        <v/>
      </c>
      <c r="V33" s="2" t="str">
        <f>IF(Konot[[#This Row],[Model 2
(eis M1 t/m M27)]]="","",Konot[[#This Row],[Kleur p/j]])</f>
        <v/>
      </c>
    </row>
    <row r="34" spans="1:22" x14ac:dyDescent="0.3">
      <c r="A34" t="s">
        <v>33</v>
      </c>
      <c r="G34" s="111">
        <f>SUM(Konot[Model 1
(eis M1 t/m M27)])</f>
        <v>21</v>
      </c>
      <c r="H34" s="111">
        <f>SUM(Konot[Model 2
(eis M1 t/m M27)])</f>
        <v>11</v>
      </c>
      <c r="J34" s="3">
        <f>SUM(J2:J33)</f>
        <v>3767928</v>
      </c>
      <c r="K34" s="3">
        <f>SUM(K2:K33)</f>
        <v>1151952</v>
      </c>
      <c r="L34" s="2">
        <f>SUBTOTAL(109,Konot[Zw/w p/m])</f>
        <v>313994</v>
      </c>
      <c r="M34" s="2">
        <f>SUBTOTAL(109,Konot[kleur p/m])</f>
        <v>95996</v>
      </c>
      <c r="N34" s="3">
        <f t="shared" ref="N34:V34" si="0">SUM(N4:N33)</f>
        <v>1440</v>
      </c>
      <c r="O34" s="3">
        <f t="shared" si="0"/>
        <v>5922144</v>
      </c>
      <c r="P34" s="3">
        <f t="shared" si="0"/>
        <v>2087376</v>
      </c>
      <c r="Q34" s="3">
        <f t="shared" si="0"/>
        <v>7800768</v>
      </c>
      <c r="R34" s="3">
        <f t="shared" si="0"/>
        <v>2146224</v>
      </c>
      <c r="S34" s="3">
        <f t="shared" si="0"/>
        <v>1480536</v>
      </c>
      <c r="T34" s="3">
        <f t="shared" si="0"/>
        <v>521844</v>
      </c>
      <c r="U34" s="3">
        <f t="shared" si="0"/>
        <v>1950192</v>
      </c>
      <c r="V34" s="3">
        <f t="shared" si="0"/>
        <v>536556</v>
      </c>
    </row>
    <row r="36" spans="1:22" x14ac:dyDescent="0.3">
      <c r="G36" s="3"/>
      <c r="H36" s="3"/>
      <c r="J36" s="3"/>
      <c r="K36" s="3"/>
      <c r="L36" s="2"/>
      <c r="M36" s="2"/>
      <c r="N36" s="3"/>
    </row>
    <row r="37" spans="1:22" x14ac:dyDescent="0.3">
      <c r="F37" s="24" t="s">
        <v>399</v>
      </c>
      <c r="G37" s="45" t="s">
        <v>330</v>
      </c>
      <c r="H37" s="44" t="s">
        <v>328</v>
      </c>
      <c r="I37" s="44" t="s">
        <v>329</v>
      </c>
    </row>
    <row r="38" spans="1:22" ht="16.2" x14ac:dyDescent="0.3">
      <c r="C38" s="33"/>
      <c r="D38" s="33"/>
      <c r="E38" s="33"/>
      <c r="F38" s="42" t="s">
        <v>353</v>
      </c>
      <c r="G38" s="47">
        <v>0</v>
      </c>
      <c r="H38" s="47">
        <v>0</v>
      </c>
      <c r="I38" s="48">
        <v>0</v>
      </c>
      <c r="K38" s="94" t="s">
        <v>338</v>
      </c>
      <c r="L38" s="94" t="s">
        <v>338</v>
      </c>
      <c r="M38" s="94" t="s">
        <v>338</v>
      </c>
      <c r="N38" s="94" t="s">
        <v>338</v>
      </c>
    </row>
    <row r="39" spans="1:22" ht="16.2" x14ac:dyDescent="0.3">
      <c r="D39" s="33"/>
      <c r="E39" s="33"/>
      <c r="F39" s="42" t="s">
        <v>352</v>
      </c>
      <c r="G39" s="47">
        <v>0</v>
      </c>
      <c r="H39" s="47">
        <v>0</v>
      </c>
      <c r="I39" s="47">
        <v>0</v>
      </c>
      <c r="K39" s="95" t="s">
        <v>392</v>
      </c>
      <c r="L39" s="96" t="s">
        <v>360</v>
      </c>
      <c r="M39" s="95" t="s">
        <v>339</v>
      </c>
      <c r="N39" s="97" t="s">
        <v>361</v>
      </c>
    </row>
    <row r="40" spans="1:22" x14ac:dyDescent="0.3">
      <c r="D40" s="33"/>
      <c r="E40" s="33"/>
      <c r="F40" s="42"/>
      <c r="G40" s="99"/>
      <c r="H40" s="99"/>
      <c r="I40" s="99"/>
      <c r="K40" s="52">
        <f>MROUND(Konot[[#Totals],['# zw/w afdrukken eerste 48 mnd M1]]+Konot[[#Totals],['# zw/w afdrukken eerste 48 mnd M2]],1000)</f>
        <v>13723000</v>
      </c>
      <c r="L40" s="52">
        <f>MROUND(Konot[[#Totals],[Aantal zw/w afdrukken per optiejaar M1]]+Konot[[#Totals],[Aantal zw/w afdrukken per optiejaar M2]],1000)</f>
        <v>3431000</v>
      </c>
      <c r="M40" s="52">
        <f>MROUND(Konot[[#Totals],['# kleur afdrukken eerste 48 mnd M1]]+Konot[[#Totals],['# kleur afdrukken eerste 48 mnd M2]],1000)</f>
        <v>4234000</v>
      </c>
      <c r="N40" s="52">
        <f>MROUND(Konot[[#Totals],[Aantal kleur afdrukken per optiejaar M1]]+Konot[[#Totals],[Aantal kleur afdrukken per optiejaar M2]],1000)</f>
        <v>1058000</v>
      </c>
    </row>
    <row r="41" spans="1:22" x14ac:dyDescent="0.3">
      <c r="F41" s="24" t="s">
        <v>398</v>
      </c>
      <c r="G41" s="6"/>
      <c r="H41" s="6"/>
      <c r="I41" s="6"/>
    </row>
    <row r="42" spans="1:22" x14ac:dyDescent="0.3">
      <c r="D42" s="32"/>
      <c r="F42" s="23" t="s">
        <v>331</v>
      </c>
      <c r="G42" s="49">
        <v>0</v>
      </c>
      <c r="H42" s="49">
        <v>0</v>
      </c>
      <c r="I42" s="49">
        <v>0</v>
      </c>
    </row>
    <row r="43" spans="1:22" x14ac:dyDescent="0.3">
      <c r="D43" s="31"/>
      <c r="E43" s="31"/>
      <c r="F43" s="23" t="s">
        <v>314</v>
      </c>
      <c r="G43" s="49">
        <v>0</v>
      </c>
      <c r="H43" s="49">
        <v>0</v>
      </c>
      <c r="I43" s="49">
        <v>0</v>
      </c>
    </row>
    <row r="44" spans="1:22" x14ac:dyDescent="0.3">
      <c r="C44" s="23"/>
      <c r="D44" s="23"/>
      <c r="E44" s="23"/>
      <c r="F44" s="23"/>
      <c r="G44" s="6"/>
      <c r="H44" s="6"/>
      <c r="I44" s="6"/>
      <c r="L44" s="25"/>
    </row>
    <row r="45" spans="1:22" x14ac:dyDescent="0.3">
      <c r="C45" s="23"/>
      <c r="D45" s="23"/>
      <c r="E45" s="23"/>
      <c r="F45" s="24" t="s">
        <v>396</v>
      </c>
      <c r="G45" s="6"/>
      <c r="H45" s="6"/>
      <c r="I45" s="6"/>
      <c r="L45" s="25"/>
    </row>
    <row r="46" spans="1:22" x14ac:dyDescent="0.3">
      <c r="C46" s="23"/>
      <c r="D46" s="23"/>
      <c r="E46" s="23"/>
      <c r="F46" s="23" t="s">
        <v>362</v>
      </c>
      <c r="G46" s="50">
        <v>0</v>
      </c>
      <c r="H46" s="50">
        <v>0</v>
      </c>
      <c r="I46" s="50">
        <v>0</v>
      </c>
    </row>
    <row r="47" spans="1:22" x14ac:dyDescent="0.3">
      <c r="C47" s="23"/>
      <c r="D47" s="23"/>
      <c r="E47" s="23"/>
      <c r="F47" s="23"/>
    </row>
    <row r="48" spans="1:22" x14ac:dyDescent="0.3">
      <c r="C48" s="23"/>
      <c r="D48" s="23"/>
      <c r="E48" s="23"/>
      <c r="F48" s="83" t="s">
        <v>393</v>
      </c>
    </row>
    <row r="49" spans="3:14" x14ac:dyDescent="0.3">
      <c r="C49" s="120" t="s">
        <v>394</v>
      </c>
      <c r="D49" s="120"/>
      <c r="E49" s="120"/>
      <c r="F49" s="120"/>
      <c r="G49" s="51">
        <v>0</v>
      </c>
      <c r="H49" s="11" t="s">
        <v>426</v>
      </c>
      <c r="I49" s="25"/>
    </row>
    <row r="50" spans="3:14" x14ac:dyDescent="0.3">
      <c r="C50" s="120" t="s">
        <v>395</v>
      </c>
      <c r="D50" s="120"/>
      <c r="E50" s="120"/>
      <c r="F50" s="120"/>
      <c r="G50" s="51">
        <v>0</v>
      </c>
      <c r="H50" s="11" t="s">
        <v>426</v>
      </c>
      <c r="I50" s="25"/>
    </row>
    <row r="51" spans="3:14" x14ac:dyDescent="0.3">
      <c r="C51" s="23"/>
      <c r="D51" s="23"/>
      <c r="E51" s="23"/>
      <c r="F51" s="23"/>
    </row>
    <row r="52" spans="3:14" x14ac:dyDescent="0.3">
      <c r="C52" s="115"/>
      <c r="D52" s="115"/>
      <c r="E52" s="115"/>
      <c r="F52" s="83" t="s">
        <v>424</v>
      </c>
      <c r="G52" s="44" t="s">
        <v>363</v>
      </c>
      <c r="H52" s="44" t="s">
        <v>364</v>
      </c>
      <c r="I52" s="44" t="s">
        <v>365</v>
      </c>
      <c r="J52" s="44" t="s">
        <v>366</v>
      </c>
      <c r="K52" s="44" t="s">
        <v>367</v>
      </c>
      <c r="L52" s="44" t="s">
        <v>368</v>
      </c>
      <c r="M52" s="44" t="s">
        <v>369</v>
      </c>
      <c r="N52" s="44" t="s">
        <v>370</v>
      </c>
    </row>
    <row r="53" spans="3:14" x14ac:dyDescent="0.3">
      <c r="C53" s="42"/>
      <c r="D53" s="42"/>
      <c r="E53" s="46"/>
      <c r="F53" s="42" t="s">
        <v>425</v>
      </c>
      <c r="G53" s="63"/>
      <c r="H53" s="63"/>
      <c r="I53" s="63"/>
      <c r="J53" s="63"/>
      <c r="K53" s="63"/>
      <c r="L53" s="63"/>
      <c r="M53" s="63"/>
      <c r="N53" s="63"/>
    </row>
    <row r="54" spans="3:14" x14ac:dyDescent="0.3">
      <c r="C54" s="42"/>
      <c r="D54" s="42"/>
      <c r="E54" s="42"/>
      <c r="F54" s="42" t="s">
        <v>373</v>
      </c>
      <c r="G54" s="63"/>
      <c r="H54" s="63"/>
      <c r="I54" s="63"/>
      <c r="J54" s="63"/>
      <c r="K54" s="63"/>
      <c r="L54" s="63"/>
      <c r="M54" s="63"/>
      <c r="N54" s="63"/>
    </row>
    <row r="55" spans="3:14" x14ac:dyDescent="0.3">
      <c r="C55" s="42"/>
      <c r="D55" s="42"/>
      <c r="E55" s="42"/>
      <c r="F55" s="42" t="s">
        <v>333</v>
      </c>
      <c r="G55" s="63"/>
      <c r="H55" s="63"/>
      <c r="I55" s="63"/>
      <c r="J55" s="63"/>
      <c r="K55" s="63"/>
      <c r="L55" s="63"/>
      <c r="M55" s="63"/>
      <c r="N55" s="63"/>
    </row>
    <row r="56" spans="3:14" x14ac:dyDescent="0.3">
      <c r="C56" s="42"/>
      <c r="D56" s="42"/>
      <c r="E56" s="42"/>
      <c r="F56" s="42" t="s">
        <v>334</v>
      </c>
      <c r="G56" s="63"/>
      <c r="H56" s="63"/>
      <c r="I56" s="63"/>
      <c r="J56" s="63"/>
      <c r="K56" s="63"/>
      <c r="L56" s="63"/>
      <c r="M56" s="63"/>
      <c r="N56" s="63"/>
    </row>
    <row r="57" spans="3:14" x14ac:dyDescent="0.3">
      <c r="C57" s="42"/>
      <c r="D57" s="42"/>
      <c r="E57" s="42"/>
      <c r="F57" s="42" t="s">
        <v>335</v>
      </c>
      <c r="G57" s="63"/>
      <c r="H57" s="63"/>
      <c r="I57" s="63"/>
      <c r="J57" s="63"/>
      <c r="K57" s="63"/>
      <c r="L57" s="63"/>
      <c r="M57" s="63"/>
      <c r="N57" s="63"/>
    </row>
    <row r="58" spans="3:14" x14ac:dyDescent="0.3">
      <c r="C58" s="42"/>
      <c r="D58" s="42"/>
      <c r="E58" s="42"/>
      <c r="F58" s="42" t="s">
        <v>336</v>
      </c>
      <c r="G58" s="63"/>
      <c r="H58" s="84"/>
      <c r="I58" s="63"/>
      <c r="J58" s="63"/>
      <c r="K58" s="63"/>
      <c r="L58" s="63"/>
      <c r="M58" s="63"/>
      <c r="N58" s="63"/>
    </row>
    <row r="59" spans="3:14" x14ac:dyDescent="0.3">
      <c r="C59" s="42"/>
      <c r="D59" s="42"/>
      <c r="E59" s="42"/>
      <c r="F59" s="42" t="s">
        <v>371</v>
      </c>
      <c r="G59" s="63"/>
      <c r="H59" s="63"/>
      <c r="I59" s="63"/>
      <c r="J59" s="63"/>
      <c r="K59" s="63"/>
      <c r="L59" s="63"/>
      <c r="M59" s="63"/>
      <c r="N59" s="63"/>
    </row>
    <row r="60" spans="3:14" x14ac:dyDescent="0.3">
      <c r="C60" s="42"/>
      <c r="D60" s="42"/>
      <c r="E60" s="42"/>
      <c r="F60" s="42" t="s">
        <v>337</v>
      </c>
      <c r="G60" s="63"/>
      <c r="H60" s="63"/>
      <c r="I60" s="63"/>
      <c r="J60" s="63"/>
      <c r="K60" s="63"/>
      <c r="L60" s="63"/>
      <c r="M60" s="63"/>
      <c r="N60" s="63"/>
    </row>
    <row r="61" spans="3:14" x14ac:dyDescent="0.3">
      <c r="C61" s="42"/>
      <c r="D61" s="42"/>
      <c r="E61" s="42"/>
      <c r="F61" s="42" t="s">
        <v>372</v>
      </c>
      <c r="G61" s="63"/>
      <c r="H61" s="63"/>
      <c r="I61" s="63"/>
      <c r="J61" s="63"/>
      <c r="K61" s="63"/>
      <c r="L61" s="63"/>
      <c r="M61" s="63"/>
      <c r="N61" s="63"/>
    </row>
    <row r="62" spans="3:14" x14ac:dyDescent="0.3">
      <c r="C62" s="23"/>
      <c r="D62" s="23"/>
      <c r="E62" s="23"/>
      <c r="F62" s="24" t="s">
        <v>375</v>
      </c>
      <c r="G62" s="51">
        <v>0</v>
      </c>
      <c r="H62" s="51">
        <v>0</v>
      </c>
      <c r="I62" s="51">
        <v>0</v>
      </c>
      <c r="J62" s="51">
        <v>0</v>
      </c>
      <c r="K62" s="51">
        <v>0</v>
      </c>
      <c r="L62" s="51">
        <v>0</v>
      </c>
      <c r="M62" s="51">
        <v>0</v>
      </c>
      <c r="N62" s="51">
        <v>0</v>
      </c>
    </row>
    <row r="63" spans="3:14" x14ac:dyDescent="0.3">
      <c r="C63" s="23"/>
      <c r="D63" s="23"/>
      <c r="E63" s="23"/>
      <c r="F63" s="24" t="s">
        <v>374</v>
      </c>
      <c r="G63" s="51">
        <v>0</v>
      </c>
      <c r="H63" s="51">
        <v>0</v>
      </c>
      <c r="I63" s="51">
        <v>0</v>
      </c>
      <c r="J63" s="51">
        <v>0</v>
      </c>
      <c r="K63" s="51">
        <v>0</v>
      </c>
      <c r="L63" s="51">
        <v>0</v>
      </c>
      <c r="M63" s="51">
        <v>0</v>
      </c>
      <c r="N63" s="51">
        <v>0</v>
      </c>
    </row>
    <row r="64" spans="3:14" x14ac:dyDescent="0.3">
      <c r="C64" s="23"/>
      <c r="D64" s="23"/>
      <c r="E64" s="23"/>
      <c r="F64" s="23"/>
      <c r="G64" s="25"/>
      <c r="H64" s="25"/>
      <c r="I64" s="25"/>
    </row>
    <row r="65" spans="3:11" x14ac:dyDescent="0.3">
      <c r="C65" s="23"/>
      <c r="D65" s="23"/>
      <c r="E65" s="23"/>
      <c r="F65" s="23"/>
      <c r="G65" s="45" t="s">
        <v>330</v>
      </c>
      <c r="H65" s="44" t="s">
        <v>328</v>
      </c>
      <c r="I65" s="44" t="s">
        <v>329</v>
      </c>
    </row>
    <row r="66" spans="3:11" x14ac:dyDescent="0.3">
      <c r="C66" s="120" t="s">
        <v>401</v>
      </c>
      <c r="D66" s="120"/>
      <c r="E66" s="120"/>
      <c r="F66" s="120"/>
      <c r="G66" s="64">
        <v>0</v>
      </c>
      <c r="J66" s="12" t="s">
        <v>317</v>
      </c>
    </row>
    <row r="67" spans="3:11" x14ac:dyDescent="0.3">
      <c r="C67" s="120" t="s">
        <v>376</v>
      </c>
      <c r="D67" s="120"/>
      <c r="E67" s="120"/>
      <c r="F67" s="120"/>
      <c r="G67" s="65">
        <v>0</v>
      </c>
      <c r="H67" s="65">
        <v>0</v>
      </c>
      <c r="I67" s="65">
        <v>0</v>
      </c>
      <c r="J67" s="12" t="s">
        <v>317</v>
      </c>
    </row>
    <row r="68" spans="3:11" x14ac:dyDescent="0.3">
      <c r="C68" s="120" t="s">
        <v>377</v>
      </c>
      <c r="D68" s="120"/>
      <c r="E68" s="120"/>
      <c r="F68" s="120"/>
      <c r="G68" s="65">
        <v>0</v>
      </c>
      <c r="H68" s="65">
        <v>0</v>
      </c>
      <c r="I68" s="65">
        <v>0</v>
      </c>
      <c r="J68" s="12" t="s">
        <v>317</v>
      </c>
    </row>
    <row r="69" spans="3:11" x14ac:dyDescent="0.3">
      <c r="C69" s="120" t="s">
        <v>378</v>
      </c>
      <c r="D69" s="120"/>
      <c r="E69" s="120"/>
      <c r="F69" s="120"/>
      <c r="G69" s="65">
        <v>0</v>
      </c>
      <c r="H69" s="65">
        <v>0</v>
      </c>
      <c r="I69" s="65">
        <v>0</v>
      </c>
      <c r="J69" s="12" t="s">
        <v>317</v>
      </c>
    </row>
    <row r="70" spans="3:11" x14ac:dyDescent="0.3">
      <c r="C70" s="120" t="s">
        <v>379</v>
      </c>
      <c r="D70" s="120"/>
      <c r="E70" s="120"/>
      <c r="F70" s="120"/>
      <c r="G70" s="65">
        <v>0</v>
      </c>
      <c r="H70" s="65">
        <v>0</v>
      </c>
      <c r="I70" s="65">
        <v>0</v>
      </c>
      <c r="J70" s="12" t="s">
        <v>317</v>
      </c>
    </row>
    <row r="71" spans="3:11" ht="16.2" x14ac:dyDescent="0.3">
      <c r="C71" s="120" t="s">
        <v>382</v>
      </c>
      <c r="D71" s="120"/>
      <c r="E71" s="120" t="s">
        <v>318</v>
      </c>
      <c r="F71" s="120"/>
      <c r="G71" s="65">
        <v>0</v>
      </c>
      <c r="H71" s="65">
        <v>0</v>
      </c>
      <c r="I71" s="65">
        <v>0</v>
      </c>
      <c r="J71" s="12" t="s">
        <v>317</v>
      </c>
    </row>
    <row r="72" spans="3:11" ht="16.2" x14ac:dyDescent="0.3">
      <c r="C72" s="120" t="s">
        <v>383</v>
      </c>
      <c r="D72" s="120"/>
      <c r="E72" s="120" t="s">
        <v>318</v>
      </c>
      <c r="F72" s="120"/>
      <c r="G72" s="65">
        <v>0</v>
      </c>
      <c r="H72" s="65">
        <v>0</v>
      </c>
      <c r="I72" s="65">
        <v>0</v>
      </c>
      <c r="J72" s="12" t="s">
        <v>317</v>
      </c>
    </row>
    <row r="73" spans="3:11" ht="16.2" x14ac:dyDescent="0.3">
      <c r="C73" s="120" t="s">
        <v>380</v>
      </c>
      <c r="D73" s="120"/>
      <c r="E73" s="120" t="s">
        <v>318</v>
      </c>
      <c r="F73" s="120"/>
      <c r="G73" s="65">
        <v>0</v>
      </c>
      <c r="H73" s="65">
        <v>0</v>
      </c>
      <c r="I73" s="65">
        <v>0</v>
      </c>
      <c r="J73" s="12" t="s">
        <v>317</v>
      </c>
    </row>
    <row r="74" spans="3:11" ht="16.2" x14ac:dyDescent="0.3">
      <c r="C74" s="120" t="s">
        <v>381</v>
      </c>
      <c r="D74" s="120"/>
      <c r="E74" s="120" t="s">
        <v>318</v>
      </c>
      <c r="F74" s="120"/>
      <c r="G74" s="65">
        <v>0</v>
      </c>
      <c r="H74" s="65">
        <v>0</v>
      </c>
      <c r="I74" s="65">
        <v>0</v>
      </c>
      <c r="J74" s="12" t="s">
        <v>317</v>
      </c>
    </row>
    <row r="75" spans="3:11" ht="15" thickBot="1" x14ac:dyDescent="0.35">
      <c r="C75" s="23"/>
      <c r="D75" s="23"/>
      <c r="E75" s="23"/>
      <c r="F75" s="23"/>
      <c r="G75" s="28"/>
      <c r="H75" s="28"/>
      <c r="I75" s="28"/>
      <c r="J75" s="12"/>
    </row>
    <row r="76" spans="3:11" x14ac:dyDescent="0.3">
      <c r="D76" s="66"/>
      <c r="E76" s="67"/>
      <c r="F76" s="68" t="s">
        <v>359</v>
      </c>
      <c r="G76" s="69" t="s">
        <v>330</v>
      </c>
      <c r="H76" s="70" t="s">
        <v>328</v>
      </c>
      <c r="I76" s="70" t="s">
        <v>329</v>
      </c>
      <c r="J76" s="71" t="s">
        <v>358</v>
      </c>
    </row>
    <row r="77" spans="3:11" x14ac:dyDescent="0.3">
      <c r="C77" s="31"/>
      <c r="D77" s="72"/>
      <c r="E77" s="53"/>
      <c r="F77" s="54" t="s">
        <v>355</v>
      </c>
      <c r="G77" s="55">
        <f>G38*Konot[[#Totals],[Model 1
(eis M1 t/m M27)]]*48</f>
        <v>0</v>
      </c>
      <c r="H77" s="55">
        <f>H38*Konot[[#Totals],[Model 1
(eis M1 t/m M27)]]*12</f>
        <v>0</v>
      </c>
      <c r="I77" s="55">
        <f>I38*Konot[[#Totals],[Model 1
(eis M1 t/m M27)]]*12</f>
        <v>0</v>
      </c>
      <c r="J77" s="73">
        <f t="shared" ref="J77:J82" si="1">SUM(G77:I77)</f>
        <v>0</v>
      </c>
    </row>
    <row r="78" spans="3:11" x14ac:dyDescent="0.3">
      <c r="C78" s="31"/>
      <c r="D78" s="74"/>
      <c r="E78" s="56"/>
      <c r="F78" s="57" t="s">
        <v>354</v>
      </c>
      <c r="G78" s="58">
        <f>G39*Konot[[#Totals],[Model 2
(eis M1 t/m M27)]]*48</f>
        <v>0</v>
      </c>
      <c r="H78" s="58">
        <f>H39*Konot[[#Totals],[Model 2
(eis M1 t/m M27)]]*12</f>
        <v>0</v>
      </c>
      <c r="I78" s="58">
        <f>I39*Konot[[#Totals],[Model 2
(eis M1 t/m M27)]]*12</f>
        <v>0</v>
      </c>
      <c r="J78" s="75">
        <f t="shared" si="1"/>
        <v>0</v>
      </c>
    </row>
    <row r="79" spans="3:11" x14ac:dyDescent="0.3">
      <c r="C79" s="31"/>
      <c r="D79" s="72"/>
      <c r="E79" s="53"/>
      <c r="F79" s="54" t="s">
        <v>356</v>
      </c>
      <c r="G79" s="55">
        <f>G42*K40</f>
        <v>0</v>
      </c>
      <c r="H79" s="55">
        <f>H42*L40</f>
        <v>0</v>
      </c>
      <c r="I79" s="55">
        <f>I42*L40</f>
        <v>0</v>
      </c>
      <c r="J79" s="73">
        <f t="shared" si="1"/>
        <v>0</v>
      </c>
    </row>
    <row r="80" spans="3:11" x14ac:dyDescent="0.3">
      <c r="C80" s="31"/>
      <c r="D80" s="74"/>
      <c r="E80" s="56"/>
      <c r="F80" s="57" t="s">
        <v>357</v>
      </c>
      <c r="G80" s="58">
        <f>G43*M40</f>
        <v>0</v>
      </c>
      <c r="H80" s="58">
        <f>H43*N40</f>
        <v>0</v>
      </c>
      <c r="I80" s="58">
        <f>I43*N40</f>
        <v>0</v>
      </c>
      <c r="J80" s="75">
        <f t="shared" si="1"/>
        <v>0</v>
      </c>
      <c r="K80" s="39"/>
    </row>
    <row r="81" spans="3:11" x14ac:dyDescent="0.3">
      <c r="C81" s="41"/>
      <c r="D81" s="76"/>
      <c r="E81" s="59"/>
      <c r="F81" s="54" t="s">
        <v>327</v>
      </c>
      <c r="G81" s="55">
        <f>G46*(Konot[[#Totals],[Model 1
(eis M1 t/m M27)]]+Konot[[#Totals],[Model 2
(eis M1 t/m M27)]])*48</f>
        <v>0</v>
      </c>
      <c r="H81" s="55">
        <f>H46*(Konot[[#Totals],[Model 1
(eis M1 t/m M27)]]+Konot[[#Totals],[Model 2
(eis M1 t/m M27)]])*12</f>
        <v>0</v>
      </c>
      <c r="I81" s="55">
        <f>I46*(Konot[[#Totals],[Model 1
(eis M1 t/m M27)]]+Konot[[#Totals],[Model 2
(eis M1 t/m M27)]])*12</f>
        <v>0</v>
      </c>
      <c r="J81" s="73">
        <f t="shared" si="1"/>
        <v>0</v>
      </c>
      <c r="K81" s="39"/>
    </row>
    <row r="82" spans="3:11" x14ac:dyDescent="0.3">
      <c r="C82" s="41"/>
      <c r="D82" s="77"/>
      <c r="E82" s="60"/>
      <c r="F82" s="57" t="s">
        <v>332</v>
      </c>
      <c r="G82" s="58">
        <f>SUM(G62:N62)*48*(Konot[[#Totals],[Model 1
(eis M1 t/m M27)]]+Konot[[#Totals],[Model 2
(eis M1 t/m M27)]])</f>
        <v>0</v>
      </c>
      <c r="H82" s="58">
        <f>SUM(G63:N63)*12*(Konot[[#Totals],[Model 1
(eis M1 t/m M27)]]+Konot[[#Totals],[Model 2
(eis M1 t/m M27)]])</f>
        <v>0</v>
      </c>
      <c r="I82" s="58">
        <f>SUM(G63:N63)*12*(Konot[[#Totals],[Model 1
(eis M1 t/m M27)]]+Konot[[#Totals],[Model 2
(eis M1 t/m M27)]])</f>
        <v>0</v>
      </c>
      <c r="J82" s="75">
        <f t="shared" si="1"/>
        <v>0</v>
      </c>
      <c r="K82" s="39"/>
    </row>
    <row r="83" spans="3:11" x14ac:dyDescent="0.3">
      <c r="C83" s="41"/>
      <c r="D83" s="76"/>
      <c r="E83" s="59"/>
      <c r="F83" s="61" t="s">
        <v>315</v>
      </c>
      <c r="G83" s="91"/>
      <c r="H83" s="91"/>
      <c r="I83" s="91"/>
      <c r="J83" s="73">
        <f>G49</f>
        <v>0</v>
      </c>
    </row>
    <row r="84" spans="3:11" ht="15" thickBot="1" x14ac:dyDescent="0.35">
      <c r="C84" s="40"/>
      <c r="D84" s="78"/>
      <c r="E84" s="79"/>
      <c r="F84" s="80" t="s">
        <v>316</v>
      </c>
      <c r="G84" s="92"/>
      <c r="H84" s="92"/>
      <c r="I84" s="92"/>
      <c r="J84" s="81">
        <f>G50</f>
        <v>0</v>
      </c>
    </row>
    <row r="85" spans="3:11" ht="24" thickBot="1" x14ac:dyDescent="0.5">
      <c r="C85" s="15"/>
      <c r="D85" s="15"/>
      <c r="E85" s="16"/>
      <c r="G85" s="14"/>
      <c r="H85" s="14"/>
      <c r="I85" s="14"/>
    </row>
    <row r="86" spans="3:11" ht="24" thickBot="1" x14ac:dyDescent="0.5">
      <c r="G86" s="17"/>
      <c r="H86" s="93" t="s">
        <v>319</v>
      </c>
      <c r="I86" s="118">
        <f>SUM(J77:J85)</f>
        <v>0</v>
      </c>
      <c r="J86" s="119"/>
    </row>
    <row r="87" spans="3:11" x14ac:dyDescent="0.3">
      <c r="K87" s="43"/>
    </row>
    <row r="88" spans="3:11" ht="15" x14ac:dyDescent="0.3">
      <c r="E88" s="90" t="s">
        <v>387</v>
      </c>
      <c r="K88" s="43"/>
    </row>
    <row r="89" spans="3:11" ht="15" x14ac:dyDescent="0.3">
      <c r="E89" s="90" t="s">
        <v>388</v>
      </c>
      <c r="F89" s="43"/>
      <c r="G89" s="43"/>
      <c r="H89" s="43"/>
      <c r="I89" s="43"/>
      <c r="J89" s="43"/>
      <c r="K89" s="13"/>
    </row>
    <row r="90" spans="3:11" ht="15" x14ac:dyDescent="0.3">
      <c r="E90" s="89" t="s">
        <v>389</v>
      </c>
      <c r="F90" s="43"/>
      <c r="G90" s="43"/>
      <c r="H90" s="43"/>
      <c r="I90" s="43"/>
      <c r="J90" s="43"/>
    </row>
    <row r="91" spans="3:11" x14ac:dyDescent="0.3">
      <c r="F91" s="13"/>
      <c r="G91" s="13"/>
      <c r="H91" s="13"/>
      <c r="I91" s="13"/>
      <c r="J91" s="13"/>
    </row>
  </sheetData>
  <mergeCells count="12">
    <mergeCell ref="I86:J86"/>
    <mergeCell ref="C49:F49"/>
    <mergeCell ref="C50:F50"/>
    <mergeCell ref="C66:F66"/>
    <mergeCell ref="C67:F67"/>
    <mergeCell ref="C68:F68"/>
    <mergeCell ref="C69:F69"/>
    <mergeCell ref="C70:F70"/>
    <mergeCell ref="C71:F71"/>
    <mergeCell ref="C72:F72"/>
    <mergeCell ref="C73:F73"/>
    <mergeCell ref="C74:F74"/>
  </mergeCells>
  <phoneticPr fontId="2"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FBB5-E4FF-4852-AFF9-07D74819C3F8}">
  <dimension ref="A1:V69"/>
  <sheetViews>
    <sheetView showGridLines="0" zoomScale="90" zoomScaleNormal="90" workbookViewId="0">
      <pane ySplit="1" topLeftCell="A17" activePane="bottomLeft" state="frozen"/>
      <selection activeCell="G1" sqref="G1"/>
      <selection pane="bottomLeft" activeCell="H27" sqref="H27"/>
    </sheetView>
  </sheetViews>
  <sheetFormatPr defaultColWidth="15.77734375" defaultRowHeight="14.4" x14ac:dyDescent="0.3"/>
  <cols>
    <col min="2" max="3" width="25.77734375" customWidth="1"/>
    <col min="4" max="22" width="20.77734375" customWidth="1"/>
  </cols>
  <sheetData>
    <row r="1" spans="1:22" s="37" customFormat="1" ht="27.6" x14ac:dyDescent="0.3">
      <c r="A1" s="10" t="s">
        <v>26</v>
      </c>
      <c r="B1" s="10" t="s">
        <v>27</v>
      </c>
      <c r="C1" s="10" t="s">
        <v>28</v>
      </c>
      <c r="D1" s="10" t="s">
        <v>29</v>
      </c>
      <c r="E1" s="10" t="s">
        <v>30</v>
      </c>
      <c r="F1" s="10" t="s">
        <v>31</v>
      </c>
      <c r="G1" s="10" t="s">
        <v>340</v>
      </c>
      <c r="H1" s="10" t="s">
        <v>341</v>
      </c>
      <c r="I1" s="10" t="s">
        <v>310</v>
      </c>
      <c r="J1" s="10" t="s">
        <v>311</v>
      </c>
      <c r="K1" s="10" t="s">
        <v>312</v>
      </c>
      <c r="L1" s="10" t="s">
        <v>308</v>
      </c>
      <c r="M1" s="10" t="s">
        <v>309</v>
      </c>
      <c r="N1" s="10" t="s">
        <v>313</v>
      </c>
      <c r="O1" s="10" t="s">
        <v>347</v>
      </c>
      <c r="P1" s="10" t="s">
        <v>348</v>
      </c>
      <c r="Q1" s="10" t="s">
        <v>349</v>
      </c>
      <c r="R1" s="10" t="s">
        <v>346</v>
      </c>
      <c r="S1" s="10" t="s">
        <v>342</v>
      </c>
      <c r="T1" s="10" t="s">
        <v>343</v>
      </c>
      <c r="U1" s="10" t="s">
        <v>344</v>
      </c>
      <c r="V1" s="10" t="s">
        <v>345</v>
      </c>
    </row>
    <row r="2" spans="1:22" x14ac:dyDescent="0.3">
      <c r="A2" t="s">
        <v>130</v>
      </c>
      <c r="B2" s="1" t="s">
        <v>131</v>
      </c>
      <c r="C2" s="31" t="s">
        <v>132</v>
      </c>
      <c r="D2" t="s">
        <v>133</v>
      </c>
      <c r="E2" t="s">
        <v>134</v>
      </c>
      <c r="F2" t="s">
        <v>135</v>
      </c>
      <c r="G2" s="26">
        <f>IF((OPOHvT[[#This Row],[Zw/w p/j]]+OPOHvT[[#This Row],[Kleur p/j]])&lt;SKOLO!$H$1,1,IF((OPOHvT[[#This Row],[Zw/w p/j]]+OPOHvT[[#This Row],[Kleur p/j]])&gt;SKOLO!$G$1,2,""))</f>
        <v>1</v>
      </c>
      <c r="H2" s="26" t="str">
        <f>IF(AND(OPOHvT[[#This Row],[Zw/w p/j]]+OPOHvT[[#This Row],[Kleur p/j]]&gt;=SKOLO!$H$1,OPOHvT[[#This Row],[Zw/w p/j]]+OPOHvT[[#This Row],[Kleur p/j]]&lt;SKOLO!$G$1),1,"")</f>
        <v/>
      </c>
      <c r="I2" s="4">
        <v>44562</v>
      </c>
      <c r="J2" s="1">
        <f>OPOHvT[[#This Row],[Zw/w p/m]]*12</f>
        <v>30636</v>
      </c>
      <c r="K2" s="1">
        <f>OPOHvT[[#This Row],[kleur p/m]]*12</f>
        <v>9048</v>
      </c>
      <c r="L2" s="1">
        <v>2553</v>
      </c>
      <c r="M2" s="1">
        <v>754</v>
      </c>
      <c r="N2" s="1">
        <v>48</v>
      </c>
      <c r="O2" s="1">
        <f>IF(OPOHvT[[#This Row],[Model 1
(eis M1 t/m M27)]]="","",OPOHvT[[#This Row],[Zw/w p/m]]*OPOHvT[[#This Row],[Aantal maanden]])</f>
        <v>122544</v>
      </c>
      <c r="P2" s="1">
        <f>IF(OPOHvT[[#This Row],[Model 1
(eis M1 t/m M27)]]="","",OPOHvT[[#This Row],[kleur p/m]]*OPOHvT[[#This Row],[Aantal maanden]])</f>
        <v>36192</v>
      </c>
      <c r="Q2" s="1" t="str">
        <f>IF(OPOHvT[[#This Row],[Model 2
(eis M1 t/m M27)]]="","",OPOHvT[[#This Row],[Zw/w p/m]]*OPOHvT[[#This Row],[Aantal maanden]])</f>
        <v/>
      </c>
      <c r="R2" s="1" t="str">
        <f>IF(OPOHvT[[#This Row],[Model 2
(eis M1 t/m M27)]]="","",OPOHvT[[#This Row],[kleur p/m]]*OPOHvT[[#This Row],[Aantal maanden]])</f>
        <v/>
      </c>
      <c r="S2" s="1">
        <f>IF(OPOHvT[[#This Row],[Model 1
(eis M1 t/m M27)]]="","",OPOHvT[[#This Row],[Zw/w p/j]])</f>
        <v>30636</v>
      </c>
      <c r="T2" s="1">
        <f>IF(OPOHvT[[#This Row],[Model 1
(eis M1 t/m M27)]]="","",OPOHvT[[#This Row],[Kleur p/j]])</f>
        <v>9048</v>
      </c>
      <c r="U2" s="1" t="str">
        <f>IF(OPOHvT[[#This Row],[Model 2
(eis M1 t/m M27)]]="","",OPOHvT[[#This Row],[Zw/w p/j]])</f>
        <v/>
      </c>
      <c r="V2" s="1" t="str">
        <f>IF(OPOHvT[[#This Row],[Model 2
(eis M1 t/m M27)]]="","",OPOHvT[[#This Row],[Kleur p/j]])</f>
        <v/>
      </c>
    </row>
    <row r="3" spans="1:22" x14ac:dyDescent="0.3">
      <c r="A3" t="s">
        <v>136</v>
      </c>
      <c r="B3" s="1" t="s">
        <v>137</v>
      </c>
      <c r="C3" t="s">
        <v>138</v>
      </c>
      <c r="D3" t="s">
        <v>139</v>
      </c>
      <c r="E3" t="s">
        <v>140</v>
      </c>
      <c r="F3" t="s">
        <v>141</v>
      </c>
      <c r="G3" s="26">
        <f>IF((OPOHvT[[#This Row],[Zw/w p/j]]+OPOHvT[[#This Row],[Kleur p/j]])&lt;SKOLO!$H$1,1,IF((OPOHvT[[#This Row],[Zw/w p/j]]+OPOHvT[[#This Row],[Kleur p/j]])&gt;SKOLO!$G$1,2,""))</f>
        <v>1</v>
      </c>
      <c r="H3" s="26" t="str">
        <f>IF(AND(OPOHvT[[#This Row],[Zw/w p/j]]+OPOHvT[[#This Row],[Kleur p/j]]&gt;=SKOLO!$H$1,OPOHvT[[#This Row],[Zw/w p/j]]+OPOHvT[[#This Row],[Kleur p/j]]&lt;SKOLO!$G$1),1,"")</f>
        <v/>
      </c>
      <c r="I3" s="4">
        <v>44562</v>
      </c>
      <c r="J3" s="1">
        <f>OPOHvT[[#This Row],[Zw/w p/m]]*12</f>
        <v>34236</v>
      </c>
      <c r="K3" s="1">
        <f>OPOHvT[[#This Row],[kleur p/m]]*12</f>
        <v>5664</v>
      </c>
      <c r="L3" s="1">
        <v>2853</v>
      </c>
      <c r="M3" s="1">
        <v>472</v>
      </c>
      <c r="N3" s="1">
        <v>48</v>
      </c>
      <c r="O3" s="1">
        <f>IF(OPOHvT[[#This Row],[Model 1
(eis M1 t/m M27)]]="","",OPOHvT[[#This Row],[Zw/w p/m]]*OPOHvT[[#This Row],[Aantal maanden]])</f>
        <v>136944</v>
      </c>
      <c r="P3" s="1">
        <f>IF(OPOHvT[[#This Row],[Model 1
(eis M1 t/m M27)]]="","",OPOHvT[[#This Row],[kleur p/m]]*OPOHvT[[#This Row],[Aantal maanden]])</f>
        <v>22656</v>
      </c>
      <c r="Q3" s="1" t="str">
        <f>IF(OPOHvT[[#This Row],[Model 2
(eis M1 t/m M27)]]="","",OPOHvT[[#This Row],[Zw/w p/m]]*OPOHvT[[#This Row],[Aantal maanden]])</f>
        <v/>
      </c>
      <c r="R3" s="1" t="str">
        <f>IF(OPOHvT[[#This Row],[Model 2
(eis M1 t/m M27)]]="","",OPOHvT[[#This Row],[kleur p/m]]*OPOHvT[[#This Row],[Aantal maanden]])</f>
        <v/>
      </c>
      <c r="S3" s="1">
        <f>IF(OPOHvT[[#This Row],[Model 1
(eis M1 t/m M27)]]="","",OPOHvT[[#This Row],[Zw/w p/j]])</f>
        <v>34236</v>
      </c>
      <c r="T3" s="1">
        <f>IF(OPOHvT[[#This Row],[Model 1
(eis M1 t/m M27)]]="","",OPOHvT[[#This Row],[Kleur p/j]])</f>
        <v>5664</v>
      </c>
      <c r="U3" s="1" t="str">
        <f>IF(OPOHvT[[#This Row],[Model 2
(eis M1 t/m M27)]]="","",OPOHvT[[#This Row],[Zw/w p/j]])</f>
        <v/>
      </c>
      <c r="V3" s="1" t="str">
        <f>IF(OPOHvT[[#This Row],[Model 2
(eis M1 t/m M27)]]="","",OPOHvT[[#This Row],[Kleur p/j]])</f>
        <v/>
      </c>
    </row>
    <row r="4" spans="1:22" x14ac:dyDescent="0.3">
      <c r="A4" t="s">
        <v>142</v>
      </c>
      <c r="B4" s="1" t="s">
        <v>402</v>
      </c>
      <c r="C4" t="s">
        <v>143</v>
      </c>
      <c r="D4" t="s">
        <v>66</v>
      </c>
      <c r="E4" t="s">
        <v>61</v>
      </c>
      <c r="F4" t="s">
        <v>144</v>
      </c>
      <c r="G4" s="26">
        <f>IF((OPOHvT[[#This Row],[Zw/w p/j]]+OPOHvT[[#This Row],[Kleur p/j]])&lt;SKOLO!$H$1,1,IF((OPOHvT[[#This Row],[Zw/w p/j]]+OPOHvT[[#This Row],[Kleur p/j]])&gt;SKOLO!$G$1,2,""))</f>
        <v>1</v>
      </c>
      <c r="H4" s="26" t="str">
        <f>IF(AND(OPOHvT[[#This Row],[Zw/w p/j]]+OPOHvT[[#This Row],[Kleur p/j]]&gt;=SKOLO!$H$1,OPOHvT[[#This Row],[Zw/w p/j]]+OPOHvT[[#This Row],[Kleur p/j]]&lt;SKOLO!$G$1),1,"")</f>
        <v/>
      </c>
      <c r="I4" s="4">
        <v>44562</v>
      </c>
      <c r="J4" s="1">
        <f>OPOHvT[[#This Row],[Zw/w p/m]]*12</f>
        <v>121968</v>
      </c>
      <c r="K4" s="1">
        <f>OPOHvT[[#This Row],[kleur p/m]]*12</f>
        <v>15060</v>
      </c>
      <c r="L4" s="1">
        <v>10164</v>
      </c>
      <c r="M4" s="1">
        <v>1255</v>
      </c>
      <c r="N4" s="1">
        <v>48</v>
      </c>
      <c r="O4" s="1">
        <f>IF(OPOHvT[[#This Row],[Model 1
(eis M1 t/m M27)]]="","",OPOHvT[[#This Row],[Zw/w p/m]]*OPOHvT[[#This Row],[Aantal maanden]])</f>
        <v>487872</v>
      </c>
      <c r="P4" s="1">
        <f>IF(OPOHvT[[#This Row],[Model 1
(eis M1 t/m M27)]]="","",OPOHvT[[#This Row],[kleur p/m]]*OPOHvT[[#This Row],[Aantal maanden]])</f>
        <v>60240</v>
      </c>
      <c r="Q4" s="1" t="str">
        <f>IF(OPOHvT[[#This Row],[Model 2
(eis M1 t/m M27)]]="","",OPOHvT[[#This Row],[Zw/w p/m]]*OPOHvT[[#This Row],[Aantal maanden]])</f>
        <v/>
      </c>
      <c r="R4" s="1" t="str">
        <f>IF(OPOHvT[[#This Row],[Model 2
(eis M1 t/m M27)]]="","",OPOHvT[[#This Row],[kleur p/m]]*OPOHvT[[#This Row],[Aantal maanden]])</f>
        <v/>
      </c>
      <c r="S4" s="1">
        <f>IF(OPOHvT[[#This Row],[Model 1
(eis M1 t/m M27)]]="","",OPOHvT[[#This Row],[Zw/w p/j]])</f>
        <v>121968</v>
      </c>
      <c r="T4" s="1">
        <f>IF(OPOHvT[[#This Row],[Model 1
(eis M1 t/m M27)]]="","",OPOHvT[[#This Row],[Kleur p/j]])</f>
        <v>15060</v>
      </c>
      <c r="U4" s="1" t="str">
        <f>IF(OPOHvT[[#This Row],[Model 2
(eis M1 t/m M27)]]="","",OPOHvT[[#This Row],[Zw/w p/j]])</f>
        <v/>
      </c>
      <c r="V4" s="1" t="str">
        <f>IF(OPOHvT[[#This Row],[Model 2
(eis M1 t/m M27)]]="","",OPOHvT[[#This Row],[Kleur p/j]])</f>
        <v/>
      </c>
    </row>
    <row r="5" spans="1:22" x14ac:dyDescent="0.3">
      <c r="A5" t="s">
        <v>145</v>
      </c>
      <c r="B5" s="1" t="s">
        <v>403</v>
      </c>
      <c r="C5" t="s">
        <v>404</v>
      </c>
      <c r="D5" t="s">
        <v>405</v>
      </c>
      <c r="E5" t="s">
        <v>140</v>
      </c>
      <c r="F5" t="s">
        <v>146</v>
      </c>
      <c r="G5" s="26">
        <f>IF((OPOHvT[[#This Row],[Zw/w p/j]]+OPOHvT[[#This Row],[Kleur p/j]])&lt;SKOLO!$H$1,1,IF((OPOHvT[[#This Row],[Zw/w p/j]]+OPOHvT[[#This Row],[Kleur p/j]])&gt;SKOLO!$G$1,2,""))</f>
        <v>1</v>
      </c>
      <c r="H5" s="26" t="str">
        <f>IF(AND(OPOHvT[[#This Row],[Zw/w p/j]]+OPOHvT[[#This Row],[Kleur p/j]]&gt;=SKOLO!$H$1,OPOHvT[[#This Row],[Zw/w p/j]]+OPOHvT[[#This Row],[Kleur p/j]]&lt;SKOLO!$G$1),1,"")</f>
        <v/>
      </c>
      <c r="I5" s="4">
        <v>44562</v>
      </c>
      <c r="J5" s="1">
        <f>OPOHvT[[#This Row],[Zw/w p/m]]*12</f>
        <v>130500</v>
      </c>
      <c r="K5" s="1">
        <f>OPOHvT[[#This Row],[kleur p/m]]*12</f>
        <v>14724</v>
      </c>
      <c r="L5" s="1">
        <v>10875</v>
      </c>
      <c r="M5" s="1">
        <v>1227</v>
      </c>
      <c r="N5" s="1">
        <v>48</v>
      </c>
      <c r="O5" s="1">
        <f>IF(OPOHvT[[#This Row],[Model 1
(eis M1 t/m M27)]]="","",OPOHvT[[#This Row],[Zw/w p/m]]*OPOHvT[[#This Row],[Aantal maanden]])</f>
        <v>522000</v>
      </c>
      <c r="P5" s="1">
        <f>IF(OPOHvT[[#This Row],[Model 1
(eis M1 t/m M27)]]="","",OPOHvT[[#This Row],[kleur p/m]]*OPOHvT[[#This Row],[Aantal maanden]])</f>
        <v>58896</v>
      </c>
      <c r="Q5" s="1" t="str">
        <f>IF(OPOHvT[[#This Row],[Model 2
(eis M1 t/m M27)]]="","",OPOHvT[[#This Row],[Zw/w p/m]]*OPOHvT[[#This Row],[Aantal maanden]])</f>
        <v/>
      </c>
      <c r="R5" s="1" t="str">
        <f>IF(OPOHvT[[#This Row],[Model 2
(eis M1 t/m M27)]]="","",OPOHvT[[#This Row],[kleur p/m]]*OPOHvT[[#This Row],[Aantal maanden]])</f>
        <v/>
      </c>
      <c r="S5" s="1">
        <f>IF(OPOHvT[[#This Row],[Model 1
(eis M1 t/m M27)]]="","",OPOHvT[[#This Row],[Zw/w p/j]])</f>
        <v>130500</v>
      </c>
      <c r="T5" s="1">
        <f>IF(OPOHvT[[#This Row],[Model 1
(eis M1 t/m M27)]]="","",OPOHvT[[#This Row],[Kleur p/j]])</f>
        <v>14724</v>
      </c>
      <c r="U5" s="1" t="str">
        <f>IF(OPOHvT[[#This Row],[Model 2
(eis M1 t/m M27)]]="","",OPOHvT[[#This Row],[Zw/w p/j]])</f>
        <v/>
      </c>
      <c r="V5" s="1" t="str">
        <f>IF(OPOHvT[[#This Row],[Model 2
(eis M1 t/m M27)]]="","",OPOHvT[[#This Row],[Kleur p/j]])</f>
        <v/>
      </c>
    </row>
    <row r="6" spans="1:22" x14ac:dyDescent="0.3">
      <c r="A6" t="s">
        <v>147</v>
      </c>
      <c r="B6" s="1" t="s">
        <v>148</v>
      </c>
      <c r="C6" t="s">
        <v>149</v>
      </c>
      <c r="D6" t="s">
        <v>150</v>
      </c>
      <c r="E6" t="s">
        <v>151</v>
      </c>
      <c r="F6" t="s">
        <v>152</v>
      </c>
      <c r="G6" s="26">
        <f>IF((OPOHvT[[#This Row],[Zw/w p/j]]+OPOHvT[[#This Row],[Kleur p/j]])&lt;SKOLO!$H$1,1,IF((OPOHvT[[#This Row],[Zw/w p/j]]+OPOHvT[[#This Row],[Kleur p/j]])&gt;SKOLO!$G$1,2,""))</f>
        <v>1</v>
      </c>
      <c r="H6" s="26" t="str">
        <f>IF(AND(OPOHvT[[#This Row],[Zw/w p/j]]+OPOHvT[[#This Row],[Kleur p/j]]&gt;=SKOLO!$H$1,OPOHvT[[#This Row],[Zw/w p/j]]+OPOHvT[[#This Row],[Kleur p/j]]&lt;SKOLO!$G$1),1,"")</f>
        <v/>
      </c>
      <c r="I6" s="4">
        <v>44562</v>
      </c>
      <c r="J6" s="1">
        <f>OPOHvT[[#This Row],[Zw/w p/m]]*12</f>
        <v>152364</v>
      </c>
      <c r="K6" s="1">
        <f>OPOHvT[[#This Row],[kleur p/m]]*12</f>
        <v>28476</v>
      </c>
      <c r="L6" s="1">
        <v>12697</v>
      </c>
      <c r="M6" s="1">
        <v>2373</v>
      </c>
      <c r="N6" s="1">
        <v>48</v>
      </c>
      <c r="O6" s="1">
        <f>IF(OPOHvT[[#This Row],[Model 1
(eis M1 t/m M27)]]="","",OPOHvT[[#This Row],[Zw/w p/m]]*OPOHvT[[#This Row],[Aantal maanden]])</f>
        <v>609456</v>
      </c>
      <c r="P6" s="1">
        <f>IF(OPOHvT[[#This Row],[Model 1
(eis M1 t/m M27)]]="","",OPOHvT[[#This Row],[kleur p/m]]*OPOHvT[[#This Row],[Aantal maanden]])</f>
        <v>113904</v>
      </c>
      <c r="Q6" s="1" t="str">
        <f>IF(OPOHvT[[#This Row],[Model 2
(eis M1 t/m M27)]]="","",OPOHvT[[#This Row],[Zw/w p/m]]*OPOHvT[[#This Row],[Aantal maanden]])</f>
        <v/>
      </c>
      <c r="R6" s="1" t="str">
        <f>IF(OPOHvT[[#This Row],[Model 2
(eis M1 t/m M27)]]="","",OPOHvT[[#This Row],[kleur p/m]]*OPOHvT[[#This Row],[Aantal maanden]])</f>
        <v/>
      </c>
      <c r="S6" s="1">
        <f>IF(OPOHvT[[#This Row],[Model 1
(eis M1 t/m M27)]]="","",OPOHvT[[#This Row],[Zw/w p/j]])</f>
        <v>152364</v>
      </c>
      <c r="T6" s="1">
        <f>IF(OPOHvT[[#This Row],[Model 1
(eis M1 t/m M27)]]="","",OPOHvT[[#This Row],[Kleur p/j]])</f>
        <v>28476</v>
      </c>
      <c r="U6" s="1" t="str">
        <f>IF(OPOHvT[[#This Row],[Model 2
(eis M1 t/m M27)]]="","",OPOHvT[[#This Row],[Zw/w p/j]])</f>
        <v/>
      </c>
      <c r="V6" s="1" t="str">
        <f>IF(OPOHvT[[#This Row],[Model 2
(eis M1 t/m M27)]]="","",OPOHvT[[#This Row],[Kleur p/j]])</f>
        <v/>
      </c>
    </row>
    <row r="7" spans="1:22" x14ac:dyDescent="0.3">
      <c r="A7" t="s">
        <v>153</v>
      </c>
      <c r="B7" s="1" t="s">
        <v>154</v>
      </c>
      <c r="C7" t="s">
        <v>155</v>
      </c>
      <c r="D7" t="s">
        <v>156</v>
      </c>
      <c r="E7" t="s">
        <v>140</v>
      </c>
      <c r="F7" t="s">
        <v>157</v>
      </c>
      <c r="G7" s="26">
        <f>IF((OPOHvT[[#This Row],[Zw/w p/j]]+OPOHvT[[#This Row],[Kleur p/j]])&lt;SKOLO!$H$1,1,IF((OPOHvT[[#This Row],[Zw/w p/j]]+OPOHvT[[#This Row],[Kleur p/j]])&gt;SKOLO!$G$1,2,""))</f>
        <v>1</v>
      </c>
      <c r="H7" s="26" t="str">
        <f>IF(AND(OPOHvT[[#This Row],[Zw/w p/j]]+OPOHvT[[#This Row],[Kleur p/j]]&gt;=SKOLO!$H$1,OPOHvT[[#This Row],[Zw/w p/j]]+OPOHvT[[#This Row],[Kleur p/j]]&lt;SKOLO!$G$1),1,"")</f>
        <v/>
      </c>
      <c r="I7" s="4">
        <v>44562</v>
      </c>
      <c r="J7" s="1">
        <f>OPOHvT[[#This Row],[Zw/w p/m]]*12</f>
        <v>58092</v>
      </c>
      <c r="K7" s="1">
        <f>OPOHvT[[#This Row],[kleur p/m]]*12</f>
        <v>10608</v>
      </c>
      <c r="L7" s="1">
        <v>4841</v>
      </c>
      <c r="M7" s="1">
        <v>884</v>
      </c>
      <c r="N7" s="1">
        <v>48</v>
      </c>
      <c r="O7" s="1">
        <f>IF(OPOHvT[[#This Row],[Model 1
(eis M1 t/m M27)]]="","",OPOHvT[[#This Row],[Zw/w p/m]]*OPOHvT[[#This Row],[Aantal maanden]])</f>
        <v>232368</v>
      </c>
      <c r="P7" s="1">
        <f>IF(OPOHvT[[#This Row],[Model 1
(eis M1 t/m M27)]]="","",OPOHvT[[#This Row],[kleur p/m]]*OPOHvT[[#This Row],[Aantal maanden]])</f>
        <v>42432</v>
      </c>
      <c r="Q7" s="1" t="str">
        <f>IF(OPOHvT[[#This Row],[Model 2
(eis M1 t/m M27)]]="","",OPOHvT[[#This Row],[Zw/w p/m]]*OPOHvT[[#This Row],[Aantal maanden]])</f>
        <v/>
      </c>
      <c r="R7" s="1" t="str">
        <f>IF(OPOHvT[[#This Row],[Model 2
(eis M1 t/m M27)]]="","",OPOHvT[[#This Row],[kleur p/m]]*OPOHvT[[#This Row],[Aantal maanden]])</f>
        <v/>
      </c>
      <c r="S7" s="1">
        <f>IF(OPOHvT[[#This Row],[Model 1
(eis M1 t/m M27)]]="","",OPOHvT[[#This Row],[Zw/w p/j]])</f>
        <v>58092</v>
      </c>
      <c r="T7" s="1">
        <f>IF(OPOHvT[[#This Row],[Model 1
(eis M1 t/m M27)]]="","",OPOHvT[[#This Row],[Kleur p/j]])</f>
        <v>10608</v>
      </c>
      <c r="U7" s="1" t="str">
        <f>IF(OPOHvT[[#This Row],[Model 2
(eis M1 t/m M27)]]="","",OPOHvT[[#This Row],[Zw/w p/j]])</f>
        <v/>
      </c>
      <c r="V7" s="1" t="str">
        <f>IF(OPOHvT[[#This Row],[Model 2
(eis M1 t/m M27)]]="","",OPOHvT[[#This Row],[Kleur p/j]])</f>
        <v/>
      </c>
    </row>
    <row r="8" spans="1:22" x14ac:dyDescent="0.3">
      <c r="A8" t="s">
        <v>158</v>
      </c>
      <c r="B8" s="1" t="s">
        <v>159</v>
      </c>
      <c r="C8" t="s">
        <v>160</v>
      </c>
      <c r="D8" t="s">
        <v>161</v>
      </c>
      <c r="E8" t="s">
        <v>134</v>
      </c>
      <c r="F8" t="s">
        <v>162</v>
      </c>
      <c r="G8" s="26">
        <f>IF((OPOHvT[[#This Row],[Zw/w p/j]]+OPOHvT[[#This Row],[Kleur p/j]])&lt;SKOLO!$H$1,1,IF((OPOHvT[[#This Row],[Zw/w p/j]]+OPOHvT[[#This Row],[Kleur p/j]])&gt;SKOLO!$G$1,2,""))</f>
        <v>1</v>
      </c>
      <c r="H8" s="26" t="str">
        <f>IF(AND(OPOHvT[[#This Row],[Zw/w p/j]]+OPOHvT[[#This Row],[Kleur p/j]]&gt;=SKOLO!$H$1,OPOHvT[[#This Row],[Zw/w p/j]]+OPOHvT[[#This Row],[Kleur p/j]]&lt;SKOLO!$G$1),1,"")</f>
        <v/>
      </c>
      <c r="I8" s="4">
        <v>44562</v>
      </c>
      <c r="J8" s="1">
        <f>OPOHvT[[#This Row],[Zw/w p/m]]*12</f>
        <v>33996</v>
      </c>
      <c r="K8" s="1">
        <f>OPOHvT[[#This Row],[kleur p/m]]*12</f>
        <v>12000</v>
      </c>
      <c r="L8" s="1">
        <v>2833</v>
      </c>
      <c r="M8" s="1">
        <v>1000</v>
      </c>
      <c r="N8" s="1">
        <v>48</v>
      </c>
      <c r="O8" s="1">
        <f>IF(OPOHvT[[#This Row],[Model 1
(eis M1 t/m M27)]]="","",OPOHvT[[#This Row],[Zw/w p/m]]*OPOHvT[[#This Row],[Aantal maanden]])</f>
        <v>135984</v>
      </c>
      <c r="P8" s="1">
        <f>IF(OPOHvT[[#This Row],[Model 1
(eis M1 t/m M27)]]="","",OPOHvT[[#This Row],[kleur p/m]]*OPOHvT[[#This Row],[Aantal maanden]])</f>
        <v>48000</v>
      </c>
      <c r="Q8" s="1" t="str">
        <f>IF(OPOHvT[[#This Row],[Model 2
(eis M1 t/m M27)]]="","",OPOHvT[[#This Row],[Zw/w p/m]]*OPOHvT[[#This Row],[Aantal maanden]])</f>
        <v/>
      </c>
      <c r="R8" s="1" t="str">
        <f>IF(OPOHvT[[#This Row],[Model 2
(eis M1 t/m M27)]]="","",OPOHvT[[#This Row],[kleur p/m]]*OPOHvT[[#This Row],[Aantal maanden]])</f>
        <v/>
      </c>
      <c r="S8" s="1">
        <f>IF(OPOHvT[[#This Row],[Model 1
(eis M1 t/m M27)]]="","",OPOHvT[[#This Row],[Zw/w p/j]])</f>
        <v>33996</v>
      </c>
      <c r="T8" s="1">
        <f>IF(OPOHvT[[#This Row],[Model 1
(eis M1 t/m M27)]]="","",OPOHvT[[#This Row],[Kleur p/j]])</f>
        <v>12000</v>
      </c>
      <c r="U8" s="1" t="str">
        <f>IF(OPOHvT[[#This Row],[Model 2
(eis M1 t/m M27)]]="","",OPOHvT[[#This Row],[Zw/w p/j]])</f>
        <v/>
      </c>
      <c r="V8" s="1" t="str">
        <f>IF(OPOHvT[[#This Row],[Model 2
(eis M1 t/m M27)]]="","",OPOHvT[[#This Row],[Kleur p/j]])</f>
        <v/>
      </c>
    </row>
    <row r="9" spans="1:22" x14ac:dyDescent="0.3">
      <c r="A9" t="s">
        <v>163</v>
      </c>
      <c r="B9" s="1" t="s">
        <v>164</v>
      </c>
      <c r="C9" t="s">
        <v>165</v>
      </c>
      <c r="D9" t="s">
        <v>166</v>
      </c>
      <c r="E9" t="s">
        <v>61</v>
      </c>
      <c r="F9" t="s">
        <v>167</v>
      </c>
      <c r="G9" s="26">
        <f>IF((OPOHvT[[#This Row],[Zw/w p/j]]+OPOHvT[[#This Row],[Kleur p/j]])&lt;SKOLO!$H$1,1,IF((OPOHvT[[#This Row],[Zw/w p/j]]+OPOHvT[[#This Row],[Kleur p/j]])&gt;SKOLO!$G$1,2,""))</f>
        <v>1</v>
      </c>
      <c r="H9" s="26" t="str">
        <f>IF(AND(OPOHvT[[#This Row],[Zw/w p/j]]+OPOHvT[[#This Row],[Kleur p/j]]&gt;=SKOLO!$H$1,OPOHvT[[#This Row],[Zw/w p/j]]+OPOHvT[[#This Row],[Kleur p/j]]&lt;SKOLO!$G$1),1,"")</f>
        <v/>
      </c>
      <c r="I9" s="4">
        <v>44562</v>
      </c>
      <c r="J9" s="1">
        <f>OPOHvT[[#This Row],[Zw/w p/m]]*12</f>
        <v>53424</v>
      </c>
      <c r="K9" s="1">
        <f>OPOHvT[[#This Row],[kleur p/m]]*12</f>
        <v>3996</v>
      </c>
      <c r="L9" s="1">
        <v>4452</v>
      </c>
      <c r="M9" s="1">
        <v>333</v>
      </c>
      <c r="N9" s="1">
        <v>48</v>
      </c>
      <c r="O9" s="1">
        <f>IF(OPOHvT[[#This Row],[Model 1
(eis M1 t/m M27)]]="","",OPOHvT[[#This Row],[Zw/w p/m]]*OPOHvT[[#This Row],[Aantal maanden]])</f>
        <v>213696</v>
      </c>
      <c r="P9" s="1">
        <f>IF(OPOHvT[[#This Row],[Model 1
(eis M1 t/m M27)]]="","",OPOHvT[[#This Row],[kleur p/m]]*OPOHvT[[#This Row],[Aantal maanden]])</f>
        <v>15984</v>
      </c>
      <c r="Q9" s="1" t="str">
        <f>IF(OPOHvT[[#This Row],[Model 2
(eis M1 t/m M27)]]="","",OPOHvT[[#This Row],[Zw/w p/m]]*OPOHvT[[#This Row],[Aantal maanden]])</f>
        <v/>
      </c>
      <c r="R9" s="1" t="str">
        <f>IF(OPOHvT[[#This Row],[Model 2
(eis M1 t/m M27)]]="","",OPOHvT[[#This Row],[kleur p/m]]*OPOHvT[[#This Row],[Aantal maanden]])</f>
        <v/>
      </c>
      <c r="S9" s="1">
        <f>IF(OPOHvT[[#This Row],[Model 1
(eis M1 t/m M27)]]="","",OPOHvT[[#This Row],[Zw/w p/j]])</f>
        <v>53424</v>
      </c>
      <c r="T9" s="1">
        <f>IF(OPOHvT[[#This Row],[Model 1
(eis M1 t/m M27)]]="","",OPOHvT[[#This Row],[Kleur p/j]])</f>
        <v>3996</v>
      </c>
      <c r="U9" s="1" t="str">
        <f>IF(OPOHvT[[#This Row],[Model 2
(eis M1 t/m M27)]]="","",OPOHvT[[#This Row],[Zw/w p/j]])</f>
        <v/>
      </c>
      <c r="V9" s="1" t="str">
        <f>IF(OPOHvT[[#This Row],[Model 2
(eis M1 t/m M27)]]="","",OPOHvT[[#This Row],[Kleur p/j]])</f>
        <v/>
      </c>
    </row>
    <row r="10" spans="1:22" x14ac:dyDescent="0.3">
      <c r="A10" t="s">
        <v>168</v>
      </c>
      <c r="B10" s="1" t="s">
        <v>169</v>
      </c>
      <c r="C10" t="s">
        <v>170</v>
      </c>
      <c r="D10" t="s">
        <v>171</v>
      </c>
      <c r="E10" t="s">
        <v>140</v>
      </c>
      <c r="F10" t="s">
        <v>172</v>
      </c>
      <c r="G10" s="26">
        <f>IF((OPOHvT[[#This Row],[Zw/w p/j]]+OPOHvT[[#This Row],[Kleur p/j]])&lt;SKOLO!$H$1,1,IF((OPOHvT[[#This Row],[Zw/w p/j]]+OPOHvT[[#This Row],[Kleur p/j]])&gt;SKOLO!$G$1,2,""))</f>
        <v>1</v>
      </c>
      <c r="H10" s="26" t="str">
        <f>IF(AND(OPOHvT[[#This Row],[Zw/w p/j]]+OPOHvT[[#This Row],[Kleur p/j]]&gt;=SKOLO!$H$1,OPOHvT[[#This Row],[Zw/w p/j]]+OPOHvT[[#This Row],[Kleur p/j]]&lt;SKOLO!$G$1),1,"")</f>
        <v/>
      </c>
      <c r="I10" s="4">
        <v>44562</v>
      </c>
      <c r="J10" s="1">
        <f>OPOHvT[[#This Row],[Zw/w p/m]]*12</f>
        <v>78516</v>
      </c>
      <c r="K10" s="1">
        <f>OPOHvT[[#This Row],[kleur p/m]]*12</f>
        <v>27048</v>
      </c>
      <c r="L10" s="1">
        <v>6543</v>
      </c>
      <c r="M10" s="1">
        <v>2254</v>
      </c>
      <c r="N10" s="1">
        <v>48</v>
      </c>
      <c r="O10" s="1">
        <f>IF(OPOHvT[[#This Row],[Model 1
(eis M1 t/m M27)]]="","",OPOHvT[[#This Row],[Zw/w p/m]]*OPOHvT[[#This Row],[Aantal maanden]])</f>
        <v>314064</v>
      </c>
      <c r="P10" s="1">
        <f>IF(OPOHvT[[#This Row],[Model 1
(eis M1 t/m M27)]]="","",OPOHvT[[#This Row],[kleur p/m]]*OPOHvT[[#This Row],[Aantal maanden]])</f>
        <v>108192</v>
      </c>
      <c r="Q10" s="1" t="str">
        <f>IF(OPOHvT[[#This Row],[Model 2
(eis M1 t/m M27)]]="","",OPOHvT[[#This Row],[Zw/w p/m]]*OPOHvT[[#This Row],[Aantal maanden]])</f>
        <v/>
      </c>
      <c r="R10" s="1" t="str">
        <f>IF(OPOHvT[[#This Row],[Model 2
(eis M1 t/m M27)]]="","",OPOHvT[[#This Row],[kleur p/m]]*OPOHvT[[#This Row],[Aantal maanden]])</f>
        <v/>
      </c>
      <c r="S10" s="1">
        <f>IF(OPOHvT[[#This Row],[Model 1
(eis M1 t/m M27)]]="","",OPOHvT[[#This Row],[Zw/w p/j]])</f>
        <v>78516</v>
      </c>
      <c r="T10" s="1">
        <f>IF(OPOHvT[[#This Row],[Model 1
(eis M1 t/m M27)]]="","",OPOHvT[[#This Row],[Kleur p/j]])</f>
        <v>27048</v>
      </c>
      <c r="U10" s="1" t="str">
        <f>IF(OPOHvT[[#This Row],[Model 2
(eis M1 t/m M27)]]="","",OPOHvT[[#This Row],[Zw/w p/j]])</f>
        <v/>
      </c>
      <c r="V10" s="1" t="str">
        <f>IF(OPOHvT[[#This Row],[Model 2
(eis M1 t/m M27)]]="","",OPOHvT[[#This Row],[Kleur p/j]])</f>
        <v/>
      </c>
    </row>
    <row r="11" spans="1:22" x14ac:dyDescent="0.3">
      <c r="A11" t="s">
        <v>173</v>
      </c>
      <c r="B11" s="1" t="s">
        <v>176</v>
      </c>
      <c r="C11" t="s">
        <v>174</v>
      </c>
      <c r="D11" t="s">
        <v>66</v>
      </c>
      <c r="E11" t="s">
        <v>61</v>
      </c>
      <c r="F11" t="s">
        <v>175</v>
      </c>
      <c r="G11" s="26">
        <f>IF((OPOHvT[[#This Row],[Zw/w p/j]]+OPOHvT[[#This Row],[Kleur p/j]])&lt;SKOLO!$H$1,1,IF((OPOHvT[[#This Row],[Zw/w p/j]]+OPOHvT[[#This Row],[Kleur p/j]])&gt;SKOLO!$G$1,2,""))</f>
        <v>1</v>
      </c>
      <c r="H11" s="26" t="str">
        <f>IF(AND(OPOHvT[[#This Row],[Zw/w p/j]]+OPOHvT[[#This Row],[Kleur p/j]]&gt;=SKOLO!$H$1,OPOHvT[[#This Row],[Zw/w p/j]]+OPOHvT[[#This Row],[Kleur p/j]]&lt;SKOLO!$G$1),1,"")</f>
        <v/>
      </c>
      <c r="I11" s="4">
        <v>44562</v>
      </c>
      <c r="J11" s="1">
        <f>OPOHvT[[#This Row],[Zw/w p/m]]*12</f>
        <v>18984</v>
      </c>
      <c r="K11" s="1">
        <f>OPOHvT[[#This Row],[kleur p/m]]*12</f>
        <v>9936</v>
      </c>
      <c r="L11" s="1">
        <v>1582</v>
      </c>
      <c r="M11" s="1">
        <v>828</v>
      </c>
      <c r="N11" s="1">
        <v>48</v>
      </c>
      <c r="O11" s="1">
        <f>IF(OPOHvT[[#This Row],[Model 1
(eis M1 t/m M27)]]="","",OPOHvT[[#This Row],[Zw/w p/m]]*OPOHvT[[#This Row],[Aantal maanden]])</f>
        <v>75936</v>
      </c>
      <c r="P11" s="1">
        <f>IF(OPOHvT[[#This Row],[Model 1
(eis M1 t/m M27)]]="","",OPOHvT[[#This Row],[kleur p/m]]*OPOHvT[[#This Row],[Aantal maanden]])</f>
        <v>39744</v>
      </c>
      <c r="Q11" s="1" t="str">
        <f>IF(OPOHvT[[#This Row],[Model 2
(eis M1 t/m M27)]]="","",OPOHvT[[#This Row],[Zw/w p/m]]*OPOHvT[[#This Row],[Aantal maanden]])</f>
        <v/>
      </c>
      <c r="R11" s="1" t="str">
        <f>IF(OPOHvT[[#This Row],[Model 2
(eis M1 t/m M27)]]="","",OPOHvT[[#This Row],[kleur p/m]]*OPOHvT[[#This Row],[Aantal maanden]])</f>
        <v/>
      </c>
      <c r="S11" s="1">
        <f>IF(OPOHvT[[#This Row],[Model 1
(eis M1 t/m M27)]]="","",OPOHvT[[#This Row],[Zw/w p/j]])</f>
        <v>18984</v>
      </c>
      <c r="T11" s="1">
        <f>IF(OPOHvT[[#This Row],[Model 1
(eis M1 t/m M27)]]="","",OPOHvT[[#This Row],[Kleur p/j]])</f>
        <v>9936</v>
      </c>
      <c r="U11" s="1" t="str">
        <f>IF(OPOHvT[[#This Row],[Model 2
(eis M1 t/m M27)]]="","",OPOHvT[[#This Row],[Zw/w p/j]])</f>
        <v/>
      </c>
      <c r="V11" s="1" t="str">
        <f>IF(OPOHvT[[#This Row],[Model 2
(eis M1 t/m M27)]]="","",OPOHvT[[#This Row],[Kleur p/j]])</f>
        <v/>
      </c>
    </row>
    <row r="12" spans="1:22" x14ac:dyDescent="0.3">
      <c r="A12" t="s">
        <v>33</v>
      </c>
      <c r="G12" s="111">
        <f>SUBTOTAL(109,OPOHvT[Model 1
(eis M1 t/m M27)])</f>
        <v>10</v>
      </c>
      <c r="H12" s="111">
        <f>SUBTOTAL(109,OPOHvT[Model 2
(eis M1 t/m M27)])</f>
        <v>0</v>
      </c>
      <c r="J12" s="3">
        <f>SUM(OPOHvT[Zw/w p/j])</f>
        <v>712716</v>
      </c>
      <c r="K12" s="3">
        <f>SUM(OPOHvT[Kleur p/j])</f>
        <v>136560</v>
      </c>
      <c r="L12" s="3">
        <f>SUBTOTAL(109,OPOHvT[Zw/w p/m])</f>
        <v>59393</v>
      </c>
      <c r="M12" s="3">
        <f>SUBTOTAL(109,OPOHvT[kleur p/m])</f>
        <v>11380</v>
      </c>
      <c r="N12" s="3">
        <f>SUM(OPOHvT[Aantal maanden])</f>
        <v>480</v>
      </c>
      <c r="O12" s="3">
        <f>SUM(OPOHvT['# zw/w afdrukken eerste 48 mnd M1])</f>
        <v>2850864</v>
      </c>
      <c r="P12" s="3">
        <f>SUM(OPOHvT['# kleur afdrukken eerste 48 mnd M1])</f>
        <v>546240</v>
      </c>
      <c r="Q12" s="3">
        <f>SUM(OPOHvT['# zw/w afdrukken eerste 48 mnd M2])</f>
        <v>0</v>
      </c>
      <c r="R12" s="3">
        <f>SUM(OPOHvT['# kleur afdrukken eerste 48 mnd M2])</f>
        <v>0</v>
      </c>
      <c r="S12" s="3">
        <f>SUM(OPOHvT[Aantal zw/w afdrukken per optiejaar M1])</f>
        <v>712716</v>
      </c>
      <c r="T12" s="3">
        <f>SUM(OPOHvT[Aantal kleur afdrukken per optiejaar M1])</f>
        <v>136560</v>
      </c>
      <c r="U12" s="3">
        <f>SUM(OPOHvT[Aantal zw/w afdrukken per optiejaar M2])</f>
        <v>0</v>
      </c>
      <c r="V12" s="3">
        <f>SUM(OPOHvT[Aantal kleur afdrukken per optiejaar M2])</f>
        <v>0</v>
      </c>
    </row>
    <row r="14" spans="1:22" x14ac:dyDescent="0.3">
      <c r="G14" s="3"/>
      <c r="H14" s="3"/>
      <c r="J14" s="3"/>
      <c r="K14" s="3"/>
      <c r="L14" s="2"/>
      <c r="M14" s="2"/>
      <c r="N14" s="3"/>
    </row>
    <row r="15" spans="1:22" x14ac:dyDescent="0.3">
      <c r="F15" s="24" t="s">
        <v>399</v>
      </c>
      <c r="G15" s="45" t="s">
        <v>330</v>
      </c>
      <c r="H15" s="44" t="s">
        <v>328</v>
      </c>
      <c r="I15" s="44" t="s">
        <v>329</v>
      </c>
    </row>
    <row r="16" spans="1:22" ht="16.2" x14ac:dyDescent="0.3">
      <c r="C16" s="33"/>
      <c r="D16" s="33"/>
      <c r="E16" s="33"/>
      <c r="F16" s="42" t="s">
        <v>353</v>
      </c>
      <c r="G16" s="47">
        <v>0</v>
      </c>
      <c r="H16" s="47">
        <v>0</v>
      </c>
      <c r="I16" s="48">
        <v>0</v>
      </c>
      <c r="K16" s="104" t="s">
        <v>338</v>
      </c>
      <c r="L16" s="104" t="s">
        <v>338</v>
      </c>
      <c r="M16" s="94" t="s">
        <v>338</v>
      </c>
      <c r="N16" s="94" t="s">
        <v>338</v>
      </c>
    </row>
    <row r="17" spans="3:14" ht="16.2" x14ac:dyDescent="0.3">
      <c r="D17" s="33"/>
      <c r="E17" s="108"/>
      <c r="F17" s="109" t="s">
        <v>352</v>
      </c>
      <c r="G17" s="105"/>
      <c r="H17" s="105"/>
      <c r="I17" s="105"/>
      <c r="K17" s="95" t="s">
        <v>392</v>
      </c>
      <c r="L17" s="96" t="s">
        <v>360</v>
      </c>
      <c r="M17" s="95" t="s">
        <v>339</v>
      </c>
      <c r="N17" s="97" t="s">
        <v>361</v>
      </c>
    </row>
    <row r="18" spans="3:14" x14ac:dyDescent="0.3">
      <c r="G18" s="6"/>
      <c r="H18" s="6"/>
      <c r="I18" s="6"/>
      <c r="K18" s="29">
        <f>MROUND(OPOHvT[[#Totals],['# zw/w afdrukken eerste 48 mnd M1]]+OPOHvT[[#Totals],['# zw/w afdrukken eerste 48 mnd M2]],1000)</f>
        <v>2851000</v>
      </c>
      <c r="L18" s="29">
        <f>MROUND(OPOHvT[[#Totals],[Aantal zw/w afdrukken per optiejaar M1]]+OPOHvT[[#Totals],[Aantal zw/w afdrukken per optiejaar M2]],1000)</f>
        <v>713000</v>
      </c>
      <c r="M18" s="29">
        <f>MROUND(OPOHvT[[#Totals],['# kleur afdrukken eerste 48 mnd M1]]+OPOHvT[[#Totals],['# kleur afdrukken eerste 48 mnd M2]],1000)</f>
        <v>546000</v>
      </c>
      <c r="N18" s="29">
        <f>MROUND(OPOHvT[[#Totals],[Aantal kleur afdrukken per optiejaar M1]]+OPOHvT[[#Totals],[Aantal kleur afdrukken per optiejaar M2]],1000)</f>
        <v>137000</v>
      </c>
    </row>
    <row r="19" spans="3:14" x14ac:dyDescent="0.3">
      <c r="F19" s="24" t="s">
        <v>398</v>
      </c>
      <c r="G19" s="6"/>
      <c r="H19" s="6"/>
      <c r="I19" s="6"/>
      <c r="K19" s="102"/>
      <c r="L19" s="102"/>
      <c r="M19" s="102"/>
      <c r="N19" s="102"/>
    </row>
    <row r="20" spans="3:14" x14ac:dyDescent="0.3">
      <c r="D20" s="32"/>
      <c r="F20" s="23" t="s">
        <v>331</v>
      </c>
      <c r="G20" s="49">
        <v>0</v>
      </c>
      <c r="H20" s="49">
        <v>0</v>
      </c>
      <c r="I20" s="49">
        <v>0</v>
      </c>
    </row>
    <row r="21" spans="3:14" x14ac:dyDescent="0.3">
      <c r="D21" s="31"/>
      <c r="E21" s="31"/>
      <c r="F21" s="23" t="s">
        <v>314</v>
      </c>
      <c r="G21" s="49">
        <v>0</v>
      </c>
      <c r="H21" s="49">
        <v>0</v>
      </c>
      <c r="I21" s="49">
        <v>0</v>
      </c>
    </row>
    <row r="22" spans="3:14" x14ac:dyDescent="0.3">
      <c r="C22" s="23"/>
      <c r="D22" s="23"/>
      <c r="E22" s="23"/>
      <c r="F22" s="23"/>
      <c r="G22" s="6"/>
      <c r="H22" s="6"/>
      <c r="I22" s="6"/>
    </row>
    <row r="23" spans="3:14" x14ac:dyDescent="0.3">
      <c r="C23" s="23"/>
      <c r="D23" s="23"/>
      <c r="E23" s="23"/>
      <c r="F23" s="24" t="s">
        <v>396</v>
      </c>
      <c r="G23" s="6"/>
      <c r="H23" s="6"/>
      <c r="I23" s="6"/>
    </row>
    <row r="24" spans="3:14" x14ac:dyDescent="0.3">
      <c r="C24" s="23"/>
      <c r="D24" s="23"/>
      <c r="E24" s="23"/>
      <c r="F24" s="23" t="s">
        <v>362</v>
      </c>
      <c r="G24" s="50">
        <v>0</v>
      </c>
      <c r="H24" s="50">
        <v>0</v>
      </c>
      <c r="I24" s="50">
        <v>0</v>
      </c>
      <c r="L24" s="25"/>
    </row>
    <row r="25" spans="3:14" x14ac:dyDescent="0.3">
      <c r="C25" s="23"/>
      <c r="D25" s="23"/>
      <c r="E25" s="23"/>
      <c r="F25" s="23"/>
      <c r="G25" s="25"/>
      <c r="H25" s="25"/>
      <c r="I25" s="25"/>
      <c r="L25" s="25"/>
    </row>
    <row r="26" spans="3:14" x14ac:dyDescent="0.3">
      <c r="C26" s="23"/>
      <c r="D26" s="23"/>
      <c r="E26" s="23"/>
      <c r="F26" s="83" t="s">
        <v>393</v>
      </c>
      <c r="G26" s="25"/>
      <c r="H26" s="25"/>
      <c r="I26" s="25"/>
      <c r="L26" s="25"/>
    </row>
    <row r="27" spans="3:14" x14ac:dyDescent="0.3">
      <c r="C27" s="120" t="s">
        <v>394</v>
      </c>
      <c r="D27" s="120"/>
      <c r="E27" s="120"/>
      <c r="F27" s="120"/>
      <c r="G27" s="51"/>
      <c r="H27" s="11" t="s">
        <v>426</v>
      </c>
      <c r="I27" s="25"/>
    </row>
    <row r="28" spans="3:14" x14ac:dyDescent="0.3">
      <c r="C28" s="120" t="s">
        <v>395</v>
      </c>
      <c r="D28" s="120"/>
      <c r="E28" s="120"/>
      <c r="F28" s="120"/>
      <c r="G28" s="51"/>
      <c r="H28" s="11" t="s">
        <v>426</v>
      </c>
      <c r="I28" s="25"/>
    </row>
    <row r="29" spans="3:14" s="86" customFormat="1" x14ac:dyDescent="0.3">
      <c r="C29" s="101"/>
      <c r="D29" s="101"/>
      <c r="E29" s="101"/>
      <c r="F29" s="101"/>
      <c r="G29" s="87"/>
      <c r="H29" s="11"/>
      <c r="I29" s="25"/>
    </row>
    <row r="30" spans="3:14" s="86" customFormat="1" x14ac:dyDescent="0.3">
      <c r="C30" s="101"/>
      <c r="D30" s="101"/>
      <c r="E30" s="101"/>
      <c r="F30" s="83" t="s">
        <v>424</v>
      </c>
      <c r="G30" s="44" t="s">
        <v>363</v>
      </c>
      <c r="H30" s="44" t="s">
        <v>364</v>
      </c>
      <c r="I30" s="44" t="s">
        <v>365</v>
      </c>
      <c r="J30" s="44" t="s">
        <v>366</v>
      </c>
      <c r="K30" s="44" t="s">
        <v>367</v>
      </c>
      <c r="L30" s="44" t="s">
        <v>368</v>
      </c>
      <c r="M30" s="44" t="s">
        <v>369</v>
      </c>
      <c r="N30" s="44" t="s">
        <v>370</v>
      </c>
    </row>
    <row r="31" spans="3:14" x14ac:dyDescent="0.3">
      <c r="C31" s="42"/>
      <c r="D31" s="42"/>
      <c r="E31" s="46"/>
      <c r="F31" s="42" t="s">
        <v>425</v>
      </c>
      <c r="G31" s="63"/>
      <c r="H31" s="63"/>
      <c r="I31" s="63"/>
      <c r="J31" s="63"/>
      <c r="K31" s="63"/>
      <c r="L31" s="63"/>
      <c r="M31" s="63"/>
      <c r="N31" s="63"/>
    </row>
    <row r="32" spans="3:14" x14ac:dyDescent="0.3">
      <c r="C32" s="42"/>
      <c r="D32" s="42"/>
      <c r="E32" s="42"/>
      <c r="F32" s="42" t="s">
        <v>373</v>
      </c>
      <c r="G32" s="63"/>
      <c r="H32" s="63"/>
      <c r="I32" s="63"/>
      <c r="J32" s="63"/>
      <c r="K32" s="63"/>
      <c r="L32" s="63"/>
      <c r="M32" s="63"/>
      <c r="N32" s="63"/>
    </row>
    <row r="33" spans="3:14" x14ac:dyDescent="0.3">
      <c r="C33" s="42"/>
      <c r="D33" s="42"/>
      <c r="E33" s="42"/>
      <c r="F33" s="42" t="s">
        <v>333</v>
      </c>
      <c r="G33" s="63"/>
      <c r="H33" s="63"/>
      <c r="I33" s="63"/>
      <c r="J33" s="63"/>
      <c r="K33" s="63"/>
      <c r="L33" s="63"/>
      <c r="M33" s="63"/>
      <c r="N33" s="63"/>
    </row>
    <row r="34" spans="3:14" x14ac:dyDescent="0.3">
      <c r="C34" s="42"/>
      <c r="D34" s="42"/>
      <c r="E34" s="42"/>
      <c r="F34" s="42" t="s">
        <v>334</v>
      </c>
      <c r="G34" s="63"/>
      <c r="H34" s="63"/>
      <c r="I34" s="63"/>
      <c r="J34" s="63"/>
      <c r="K34" s="63"/>
      <c r="L34" s="63"/>
      <c r="M34" s="63"/>
      <c r="N34" s="63"/>
    </row>
    <row r="35" spans="3:14" x14ac:dyDescent="0.3">
      <c r="C35" s="42"/>
      <c r="D35" s="42"/>
      <c r="E35" s="42"/>
      <c r="F35" s="42" t="s">
        <v>335</v>
      </c>
      <c r="G35" s="63"/>
      <c r="H35" s="63"/>
      <c r="I35" s="63"/>
      <c r="J35" s="63"/>
      <c r="K35" s="63"/>
      <c r="L35" s="63"/>
      <c r="M35" s="63"/>
      <c r="N35" s="63"/>
    </row>
    <row r="36" spans="3:14" x14ac:dyDescent="0.3">
      <c r="C36" s="42"/>
      <c r="D36" s="42"/>
      <c r="E36" s="42"/>
      <c r="F36" s="42" t="s">
        <v>336</v>
      </c>
      <c r="G36" s="63"/>
      <c r="H36" s="84"/>
      <c r="I36" s="63"/>
      <c r="J36" s="63"/>
      <c r="K36" s="63"/>
      <c r="L36" s="63"/>
      <c r="M36" s="63"/>
      <c r="N36" s="63"/>
    </row>
    <row r="37" spans="3:14" x14ac:dyDescent="0.3">
      <c r="C37" s="42"/>
      <c r="D37" s="42"/>
      <c r="E37" s="42"/>
      <c r="F37" s="42" t="s">
        <v>371</v>
      </c>
      <c r="G37" s="63"/>
      <c r="H37" s="63"/>
      <c r="I37" s="63"/>
      <c r="J37" s="63"/>
      <c r="K37" s="63"/>
      <c r="L37" s="63"/>
      <c r="M37" s="63"/>
      <c r="N37" s="63"/>
    </row>
    <row r="38" spans="3:14" x14ac:dyDescent="0.3">
      <c r="C38" s="42"/>
      <c r="D38" s="42"/>
      <c r="E38" s="42"/>
      <c r="F38" s="42" t="s">
        <v>337</v>
      </c>
      <c r="G38" s="63"/>
      <c r="H38" s="63"/>
      <c r="I38" s="63"/>
      <c r="J38" s="63"/>
      <c r="K38" s="63"/>
      <c r="L38" s="63"/>
      <c r="M38" s="63"/>
      <c r="N38" s="63"/>
    </row>
    <row r="39" spans="3:14" x14ac:dyDescent="0.3">
      <c r="C39" s="42"/>
      <c r="D39" s="42"/>
      <c r="E39" s="42"/>
      <c r="F39" s="42" t="s">
        <v>372</v>
      </c>
      <c r="G39" s="63"/>
      <c r="H39" s="63"/>
      <c r="I39" s="63"/>
      <c r="J39" s="63"/>
      <c r="K39" s="63"/>
      <c r="L39" s="63"/>
      <c r="M39" s="63"/>
      <c r="N39" s="63"/>
    </row>
    <row r="40" spans="3:14" x14ac:dyDescent="0.3">
      <c r="C40" s="23"/>
      <c r="D40" s="23"/>
      <c r="E40" s="23"/>
      <c r="F40" s="24" t="s">
        <v>375</v>
      </c>
      <c r="G40" s="51">
        <v>1</v>
      </c>
      <c r="H40" s="51">
        <v>0</v>
      </c>
      <c r="I40" s="51">
        <v>0</v>
      </c>
      <c r="J40" s="51">
        <v>0</v>
      </c>
      <c r="K40" s="51">
        <v>0</v>
      </c>
      <c r="L40" s="51">
        <v>0</v>
      </c>
      <c r="M40" s="51">
        <v>0</v>
      </c>
      <c r="N40" s="51">
        <v>0</v>
      </c>
    </row>
    <row r="41" spans="3:14" x14ac:dyDescent="0.3">
      <c r="C41" s="23"/>
      <c r="D41" s="23"/>
      <c r="E41" s="23"/>
      <c r="F41" s="24" t="s">
        <v>374</v>
      </c>
      <c r="G41" s="51">
        <v>1</v>
      </c>
      <c r="H41" s="51">
        <v>0</v>
      </c>
      <c r="I41" s="51">
        <v>0</v>
      </c>
      <c r="J41" s="51">
        <v>0</v>
      </c>
      <c r="K41" s="51">
        <v>0</v>
      </c>
      <c r="L41" s="51">
        <v>0</v>
      </c>
      <c r="M41" s="51">
        <v>0</v>
      </c>
      <c r="N41" s="51">
        <v>0</v>
      </c>
    </row>
    <row r="42" spans="3:14" x14ac:dyDescent="0.3">
      <c r="C42" s="23"/>
      <c r="D42" s="23"/>
      <c r="E42" s="23"/>
      <c r="F42" s="23"/>
      <c r="G42" s="25"/>
      <c r="H42" s="25"/>
      <c r="I42" s="25"/>
    </row>
    <row r="43" spans="3:14" x14ac:dyDescent="0.3">
      <c r="C43" s="23"/>
      <c r="D43" s="23"/>
      <c r="E43" s="23"/>
      <c r="F43" s="23"/>
      <c r="G43" s="45" t="s">
        <v>330</v>
      </c>
      <c r="H43" s="44" t="s">
        <v>328</v>
      </c>
      <c r="I43" s="44" t="s">
        <v>329</v>
      </c>
    </row>
    <row r="44" spans="3:14" x14ac:dyDescent="0.3">
      <c r="C44" s="120" t="s">
        <v>401</v>
      </c>
      <c r="D44" s="120"/>
      <c r="E44" s="120"/>
      <c r="F44" s="120"/>
      <c r="G44" s="64">
        <v>0</v>
      </c>
      <c r="J44" s="12" t="s">
        <v>317</v>
      </c>
    </row>
    <row r="45" spans="3:14" x14ac:dyDescent="0.3">
      <c r="C45" s="120" t="s">
        <v>376</v>
      </c>
      <c r="D45" s="120"/>
      <c r="E45" s="120"/>
      <c r="F45" s="120"/>
      <c r="G45" s="65">
        <v>0</v>
      </c>
      <c r="H45" s="65">
        <v>0</v>
      </c>
      <c r="I45" s="65">
        <v>0</v>
      </c>
      <c r="J45" s="12" t="s">
        <v>317</v>
      </c>
    </row>
    <row r="46" spans="3:14" x14ac:dyDescent="0.3">
      <c r="C46" s="120" t="s">
        <v>377</v>
      </c>
      <c r="D46" s="120"/>
      <c r="E46" s="120"/>
      <c r="F46" s="120"/>
      <c r="G46" s="65">
        <v>0</v>
      </c>
      <c r="H46" s="65">
        <v>0</v>
      </c>
      <c r="I46" s="65">
        <v>0</v>
      </c>
      <c r="J46" s="12" t="s">
        <v>317</v>
      </c>
    </row>
    <row r="47" spans="3:14" x14ac:dyDescent="0.3">
      <c r="C47" s="120" t="s">
        <v>378</v>
      </c>
      <c r="D47" s="120"/>
      <c r="E47" s="120"/>
      <c r="F47" s="120"/>
      <c r="G47" s="65">
        <v>0</v>
      </c>
      <c r="H47" s="65">
        <v>0</v>
      </c>
      <c r="I47" s="65">
        <v>0</v>
      </c>
      <c r="J47" s="12" t="s">
        <v>317</v>
      </c>
    </row>
    <row r="48" spans="3:14" x14ac:dyDescent="0.3">
      <c r="C48" s="120" t="s">
        <v>379</v>
      </c>
      <c r="D48" s="120"/>
      <c r="E48" s="120"/>
      <c r="F48" s="120"/>
      <c r="G48" s="65">
        <v>0</v>
      </c>
      <c r="H48" s="65">
        <v>0</v>
      </c>
      <c r="I48" s="65">
        <v>0</v>
      </c>
      <c r="J48" s="12" t="s">
        <v>317</v>
      </c>
    </row>
    <row r="49" spans="3:11" ht="16.2" x14ac:dyDescent="0.3">
      <c r="C49" s="120" t="s">
        <v>382</v>
      </c>
      <c r="D49" s="120"/>
      <c r="E49" s="120" t="s">
        <v>318</v>
      </c>
      <c r="F49" s="120"/>
      <c r="G49" s="65">
        <v>0</v>
      </c>
      <c r="H49" s="65">
        <v>0</v>
      </c>
      <c r="I49" s="65">
        <v>0</v>
      </c>
      <c r="J49" s="12" t="s">
        <v>317</v>
      </c>
    </row>
    <row r="50" spans="3:11" ht="16.2" x14ac:dyDescent="0.3">
      <c r="C50" s="120" t="s">
        <v>383</v>
      </c>
      <c r="D50" s="120"/>
      <c r="E50" s="120" t="s">
        <v>318</v>
      </c>
      <c r="F50" s="120"/>
      <c r="G50" s="65">
        <v>0</v>
      </c>
      <c r="H50" s="65">
        <v>0</v>
      </c>
      <c r="I50" s="65">
        <v>0</v>
      </c>
      <c r="J50" s="12" t="s">
        <v>317</v>
      </c>
    </row>
    <row r="51" spans="3:11" ht="16.2" x14ac:dyDescent="0.3">
      <c r="C51" s="120" t="s">
        <v>380</v>
      </c>
      <c r="D51" s="120"/>
      <c r="E51" s="120" t="s">
        <v>318</v>
      </c>
      <c r="F51" s="120"/>
      <c r="G51" s="65">
        <v>0</v>
      </c>
      <c r="H51" s="65">
        <v>0</v>
      </c>
      <c r="I51" s="65">
        <v>0</v>
      </c>
      <c r="J51" s="12" t="s">
        <v>317</v>
      </c>
    </row>
    <row r="52" spans="3:11" ht="16.2" x14ac:dyDescent="0.3">
      <c r="C52" s="120" t="s">
        <v>381</v>
      </c>
      <c r="D52" s="120"/>
      <c r="E52" s="120" t="s">
        <v>318</v>
      </c>
      <c r="F52" s="120"/>
      <c r="G52" s="65">
        <v>0</v>
      </c>
      <c r="H52" s="65">
        <v>0</v>
      </c>
      <c r="I52" s="65">
        <v>0</v>
      </c>
      <c r="J52" s="12" t="s">
        <v>317</v>
      </c>
    </row>
    <row r="53" spans="3:11" ht="15" thickBot="1" x14ac:dyDescent="0.35">
      <c r="C53" s="23"/>
      <c r="D53" s="23"/>
      <c r="E53" s="23"/>
      <c r="F53" s="23"/>
      <c r="G53" s="28"/>
      <c r="H53" s="28"/>
      <c r="I53" s="28"/>
      <c r="J53" s="12"/>
    </row>
    <row r="54" spans="3:11" x14ac:dyDescent="0.3">
      <c r="D54" s="66"/>
      <c r="E54" s="67"/>
      <c r="F54" s="68" t="s">
        <v>359</v>
      </c>
      <c r="G54" s="69" t="s">
        <v>330</v>
      </c>
      <c r="H54" s="70" t="s">
        <v>328</v>
      </c>
      <c r="I54" s="70" t="s">
        <v>329</v>
      </c>
      <c r="J54" s="71" t="s">
        <v>358</v>
      </c>
    </row>
    <row r="55" spans="3:11" x14ac:dyDescent="0.3">
      <c r="C55" s="31"/>
      <c r="D55" s="72"/>
      <c r="E55" s="53"/>
      <c r="F55" s="54" t="s">
        <v>355</v>
      </c>
      <c r="G55" s="55">
        <f>G16*OPOHvT[[#Totals],[Model 1
(eis M1 t/m M27)]]*48</f>
        <v>0</v>
      </c>
      <c r="H55" s="55">
        <f>H16*OPOHvT[[#Totals],[Model 1
(eis M1 t/m M27)]]*12</f>
        <v>0</v>
      </c>
      <c r="I55" s="55">
        <f>I16*OPOHvT[[#Totals],[Model 1
(eis M1 t/m M27)]]*12</f>
        <v>0</v>
      </c>
      <c r="J55" s="73">
        <f>SUM(G55:I55)</f>
        <v>0</v>
      </c>
    </row>
    <row r="56" spans="3:11" x14ac:dyDescent="0.3">
      <c r="C56" s="31"/>
      <c r="D56" s="74"/>
      <c r="E56" s="56"/>
      <c r="F56" s="57" t="s">
        <v>354</v>
      </c>
      <c r="G56" s="106"/>
      <c r="H56" s="106"/>
      <c r="I56" s="106"/>
      <c r="J56" s="107"/>
    </row>
    <row r="57" spans="3:11" x14ac:dyDescent="0.3">
      <c r="C57" s="31"/>
      <c r="D57" s="72"/>
      <c r="E57" s="53"/>
      <c r="F57" s="54" t="s">
        <v>356</v>
      </c>
      <c r="G57" s="55">
        <f>G20*K18</f>
        <v>0</v>
      </c>
      <c r="H57" s="55">
        <f>H20*L18</f>
        <v>0</v>
      </c>
      <c r="I57" s="55">
        <f>I20*L18</f>
        <v>0</v>
      </c>
      <c r="J57" s="73">
        <f>SUM(G57:I57)</f>
        <v>0</v>
      </c>
    </row>
    <row r="58" spans="3:11" x14ac:dyDescent="0.3">
      <c r="C58" s="31"/>
      <c r="D58" s="74"/>
      <c r="E58" s="56"/>
      <c r="F58" s="57" t="s">
        <v>357</v>
      </c>
      <c r="G58" s="58">
        <f>G21*M18</f>
        <v>0</v>
      </c>
      <c r="H58" s="58">
        <f>H21*N18</f>
        <v>0</v>
      </c>
      <c r="I58" s="58">
        <f>I21*N18</f>
        <v>0</v>
      </c>
      <c r="J58" s="75">
        <f>SUM(G58:I58)</f>
        <v>0</v>
      </c>
    </row>
    <row r="59" spans="3:11" x14ac:dyDescent="0.3">
      <c r="C59" s="41"/>
      <c r="D59" s="76"/>
      <c r="E59" s="59"/>
      <c r="F59" s="54" t="s">
        <v>327</v>
      </c>
      <c r="G59" s="55">
        <f>G24*(OPOHvT[[#Totals],[Model 1
(eis M1 t/m M27)]]+OPOHvT[[#Totals],[Model 2
(eis M1 t/m M27)]])*48</f>
        <v>0</v>
      </c>
      <c r="H59" s="55">
        <f>H24*(OPOHvT[[#Totals],[Model 1
(eis M1 t/m M27)]]+OPOHvT[[#Totals],[Model 2
(eis M1 t/m M27)]])*12</f>
        <v>0</v>
      </c>
      <c r="I59" s="55">
        <f>I24*(OPOHvT[[#Totals],[Model 1
(eis M1 t/m M27)]]+OPOHvT[[#Totals],[Model 2
(eis M1 t/m M27)]])*12</f>
        <v>0</v>
      </c>
      <c r="J59" s="73">
        <f>SUM(G59:I59)</f>
        <v>0</v>
      </c>
      <c r="K59" s="39"/>
    </row>
    <row r="60" spans="3:11" x14ac:dyDescent="0.3">
      <c r="C60" s="41"/>
      <c r="D60" s="77"/>
      <c r="E60" s="60"/>
      <c r="F60" s="57" t="s">
        <v>332</v>
      </c>
      <c r="G60" s="58">
        <f>SUM(G40:N40)*48*(OPOHvT[[#Totals],[Model 1
(eis M1 t/m M27)]]+OPOHvT[[#Totals],[Model 2
(eis M1 t/m M27)]])</f>
        <v>480</v>
      </c>
      <c r="H60" s="58">
        <f>SUM(G41:N41)*12*(OPOHvT[[#Totals],[Model 1
(eis M1 t/m M27)]]+OPOHvT[[#Totals],[Model 2
(eis M1 t/m M27)]])</f>
        <v>120</v>
      </c>
      <c r="I60" s="58">
        <f>SUM(G41:N41)*12*(OPOHvT[[#Totals],[Model 1
(eis M1 t/m M27)]]+OPOHvT[[#Totals],[Model 2
(eis M1 t/m M27)]])</f>
        <v>120</v>
      </c>
      <c r="J60" s="75">
        <f>SUM(G60:I60)</f>
        <v>720</v>
      </c>
      <c r="K60" s="39"/>
    </row>
    <row r="61" spans="3:11" x14ac:dyDescent="0.3">
      <c r="C61" s="41"/>
      <c r="D61" s="76"/>
      <c r="E61" s="59"/>
      <c r="F61" s="61" t="s">
        <v>315</v>
      </c>
      <c r="G61" s="91"/>
      <c r="H61" s="91"/>
      <c r="I61" s="91"/>
      <c r="J61" s="73">
        <f>G27</f>
        <v>0</v>
      </c>
      <c r="K61" s="39"/>
    </row>
    <row r="62" spans="3:11" ht="15" thickBot="1" x14ac:dyDescent="0.35">
      <c r="C62" s="40"/>
      <c r="D62" s="78"/>
      <c r="E62" s="79"/>
      <c r="F62" s="80" t="s">
        <v>316</v>
      </c>
      <c r="G62" s="92"/>
      <c r="H62" s="92"/>
      <c r="I62" s="92"/>
      <c r="J62" s="81">
        <f>G28</f>
        <v>0</v>
      </c>
    </row>
    <row r="63" spans="3:11" ht="24" thickBot="1" x14ac:dyDescent="0.5">
      <c r="C63" s="15"/>
      <c r="D63" s="15"/>
      <c r="E63" s="16"/>
      <c r="G63" s="14"/>
      <c r="H63" s="14"/>
      <c r="I63" s="14"/>
    </row>
    <row r="64" spans="3:11" ht="24" thickBot="1" x14ac:dyDescent="0.5">
      <c r="G64" s="17"/>
      <c r="H64" s="93" t="s">
        <v>319</v>
      </c>
      <c r="I64" s="118">
        <f>SUM(J55:J63)</f>
        <v>720</v>
      </c>
      <c r="J64" s="119"/>
    </row>
    <row r="66" spans="5:11" ht="15" x14ac:dyDescent="0.3">
      <c r="E66" s="90" t="s">
        <v>387</v>
      </c>
      <c r="K66" s="43"/>
    </row>
    <row r="67" spans="5:11" ht="15" x14ac:dyDescent="0.3">
      <c r="E67" s="90" t="s">
        <v>388</v>
      </c>
      <c r="F67" s="43"/>
      <c r="G67" s="43"/>
      <c r="H67" s="43"/>
      <c r="I67" s="43"/>
      <c r="J67" s="43"/>
      <c r="K67" s="43"/>
    </row>
    <row r="68" spans="5:11" ht="15" x14ac:dyDescent="0.3">
      <c r="E68" s="89" t="s">
        <v>389</v>
      </c>
      <c r="F68" s="43"/>
      <c r="G68" s="43"/>
      <c r="H68" s="43"/>
      <c r="I68" s="43"/>
      <c r="J68" s="43"/>
      <c r="K68" s="13"/>
    </row>
    <row r="69" spans="5:11" x14ac:dyDescent="0.3">
      <c r="F69" s="13"/>
      <c r="G69" s="13"/>
      <c r="H69" s="13"/>
      <c r="I69" s="13"/>
      <c r="J69" s="13"/>
    </row>
  </sheetData>
  <mergeCells count="12">
    <mergeCell ref="C51:F51"/>
    <mergeCell ref="C52:F52"/>
    <mergeCell ref="I64:J64"/>
    <mergeCell ref="C44:F44"/>
    <mergeCell ref="C45:F45"/>
    <mergeCell ref="C46:F46"/>
    <mergeCell ref="C47:F47"/>
    <mergeCell ref="C27:F27"/>
    <mergeCell ref="C28:F28"/>
    <mergeCell ref="C48:F48"/>
    <mergeCell ref="C49:F49"/>
    <mergeCell ref="C50:F50"/>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8DD5F-7FFA-4BB6-B243-F5E7D50AAFA4}">
  <dimension ref="A1:V78"/>
  <sheetViews>
    <sheetView showGridLines="0" zoomScale="90" zoomScaleNormal="90" workbookViewId="0">
      <pane ySplit="1" topLeftCell="A14" activePane="bottomLeft" state="frozen"/>
      <selection activeCell="E1" sqref="E1"/>
      <selection pane="bottomLeft" activeCell="H36" sqref="H36:H37"/>
    </sheetView>
  </sheetViews>
  <sheetFormatPr defaultRowHeight="14.4" x14ac:dyDescent="0.3"/>
  <cols>
    <col min="1" max="1" width="15.77734375" customWidth="1"/>
    <col min="2" max="3" width="25.77734375" customWidth="1"/>
    <col min="4" max="22" width="20.77734375" customWidth="1"/>
  </cols>
  <sheetData>
    <row r="1" spans="1:22" s="37" customFormat="1" ht="27.6" x14ac:dyDescent="0.3">
      <c r="A1" s="10" t="s">
        <v>26</v>
      </c>
      <c r="B1" s="10" t="s">
        <v>27</v>
      </c>
      <c r="C1" s="10" t="s">
        <v>28</v>
      </c>
      <c r="D1" s="10" t="s">
        <v>29</v>
      </c>
      <c r="E1" s="10" t="s">
        <v>30</v>
      </c>
      <c r="F1" s="10" t="s">
        <v>31</v>
      </c>
      <c r="G1" s="10" t="s">
        <v>340</v>
      </c>
      <c r="H1" s="10" t="s">
        <v>341</v>
      </c>
      <c r="I1" s="10" t="s">
        <v>310</v>
      </c>
      <c r="J1" s="10" t="s">
        <v>311</v>
      </c>
      <c r="K1" s="10" t="s">
        <v>312</v>
      </c>
      <c r="L1" s="10" t="s">
        <v>308</v>
      </c>
      <c r="M1" s="10" t="s">
        <v>309</v>
      </c>
      <c r="N1" s="10" t="s">
        <v>313</v>
      </c>
      <c r="O1" s="10" t="s">
        <v>347</v>
      </c>
      <c r="P1" s="10" t="s">
        <v>348</v>
      </c>
      <c r="Q1" s="10" t="s">
        <v>349</v>
      </c>
      <c r="R1" s="10" t="s">
        <v>346</v>
      </c>
      <c r="S1" s="10" t="s">
        <v>342</v>
      </c>
      <c r="T1" s="10" t="s">
        <v>343</v>
      </c>
      <c r="U1" s="10" t="s">
        <v>344</v>
      </c>
      <c r="V1" s="10" t="s">
        <v>345</v>
      </c>
    </row>
    <row r="2" spans="1:22" x14ac:dyDescent="0.3">
      <c r="A2" t="s">
        <v>34</v>
      </c>
      <c r="B2" s="8" t="s">
        <v>35</v>
      </c>
      <c r="C2" t="s">
        <v>36</v>
      </c>
      <c r="D2" t="s">
        <v>37</v>
      </c>
      <c r="E2" t="s">
        <v>38</v>
      </c>
      <c r="F2" t="s">
        <v>39</v>
      </c>
      <c r="G2" s="26">
        <f>IF((Keender[[#This Row],[Zw/w p/j]]+Keender[[#This Row],[Kleur p/j]])&lt;SKOLO!$H$1,1,IF((Keender[[#This Row],[Zw/w p/j]]+Keender[[#This Row],[Kleur p/j]])&gt;SKOLO!$G$1,2,""))</f>
        <v>1</v>
      </c>
      <c r="H2" s="26" t="str">
        <f>IF(AND(Keender[[#This Row],[Zw/w p/j]]+Keender[[#This Row],[Kleur p/j]]&gt;=SKOLO!$H$1,Keender[[#This Row],[Zw/w p/j]]+Keender[[#This Row],[Kleur p/j]]&lt;SKOLO!$G$1),1,"")</f>
        <v/>
      </c>
      <c r="I2" s="4">
        <v>44562</v>
      </c>
      <c r="J2" s="1">
        <f>Keender[[#This Row],[Zw/w p/m]]*12</f>
        <v>122400</v>
      </c>
      <c r="K2" s="1">
        <f>Keender[[#This Row],[kleur p/m]]*12</f>
        <v>23064</v>
      </c>
      <c r="L2" s="2">
        <v>10200</v>
      </c>
      <c r="M2" s="2">
        <v>1922</v>
      </c>
      <c r="N2" s="2">
        <v>48</v>
      </c>
      <c r="O2" s="2">
        <f>IF(Keender[[#This Row],[Model 1
(eis M1 t/m M27)]]="","",Keender[[#This Row],[Zw/w p/m]]*Keender[[#This Row],[Aantal maanden]])</f>
        <v>489600</v>
      </c>
      <c r="P2" s="2">
        <f>IF(Keender[[#This Row],[Model 1
(eis M1 t/m M27)]]="","",Keender[[#This Row],[kleur p/m]]*Keender[[#This Row],[Aantal maanden]])</f>
        <v>92256</v>
      </c>
      <c r="Q2" s="2" t="str">
        <f>IF(Keender[[#This Row],[Model 2
(eis M1 t/m M27)]]="","",Keender[[#This Row],[Zw/w p/m]]*Keender[[#This Row],[Aantal maanden]])</f>
        <v/>
      </c>
      <c r="R2" s="2" t="str">
        <f>IF(Keender[[#This Row],[Model 2
(eis M1 t/m M27)]]="","",Keender[[#This Row],[kleur p/m]]*Keender[[#This Row],[Aantal maanden]])</f>
        <v/>
      </c>
      <c r="S2" s="8">
        <f>IF(Keender[[#This Row],[Model 1
(eis M1 t/m M27)]]="","",Keender[[#This Row],[Zw/w p/j]])</f>
        <v>122400</v>
      </c>
      <c r="T2" s="8">
        <f>IF(Keender[[#This Row],[Model 1
(eis M1 t/m M27)]]="","",Keender[[#This Row],[Kleur p/j]])</f>
        <v>23064</v>
      </c>
      <c r="U2" s="8" t="str">
        <f>IF(Keender[[#This Row],[Model 2
(eis M1 t/m M27)]]="","",Keender[[#This Row],[Zw/w p/j]])</f>
        <v/>
      </c>
      <c r="V2" s="8" t="str">
        <f>IF(Keender[[#This Row],[Model 2
(eis M1 t/m M27)]]="","",Keender[[#This Row],[Kleur p/j]])</f>
        <v/>
      </c>
    </row>
    <row r="3" spans="1:22" x14ac:dyDescent="0.3">
      <c r="A3" t="s">
        <v>40</v>
      </c>
      <c r="B3" s="8" t="s">
        <v>41</v>
      </c>
      <c r="C3" t="s">
        <v>42</v>
      </c>
      <c r="D3" t="s">
        <v>43</v>
      </c>
      <c r="E3" t="s">
        <v>44</v>
      </c>
      <c r="F3" t="s">
        <v>45</v>
      </c>
      <c r="G3" s="26">
        <f>IF((Keender[[#This Row],[Zw/w p/j]]+Keender[[#This Row],[Kleur p/j]])&lt;SKOLO!$H$1,1,IF((Keender[[#This Row],[Zw/w p/j]]+Keender[[#This Row],[Kleur p/j]])&gt;SKOLO!$G$1,2,""))</f>
        <v>1</v>
      </c>
      <c r="H3" s="26" t="str">
        <f>IF(AND(Keender[[#This Row],[Zw/w p/j]]+Keender[[#This Row],[Kleur p/j]]&gt;=SKOLO!$H$1,Keender[[#This Row],[Zw/w p/j]]+Keender[[#This Row],[Kleur p/j]]&lt;SKOLO!$G$1),1,"")</f>
        <v/>
      </c>
      <c r="I3" s="4">
        <v>44562</v>
      </c>
      <c r="J3" s="1">
        <f>Keender[[#This Row],[Zw/w p/m]]*12</f>
        <v>60000</v>
      </c>
      <c r="K3" s="1">
        <f>Keender[[#This Row],[kleur p/m]]*12</f>
        <v>15000</v>
      </c>
      <c r="L3" s="2">
        <v>5000</v>
      </c>
      <c r="M3" s="2">
        <v>1250</v>
      </c>
      <c r="N3" s="2">
        <v>48</v>
      </c>
      <c r="O3" s="2">
        <f>IF(Keender[[#This Row],[Model 1
(eis M1 t/m M27)]]="","",Keender[[#This Row],[Zw/w p/m]]*Keender[[#This Row],[Aantal maanden]])</f>
        <v>240000</v>
      </c>
      <c r="P3" s="2">
        <f>IF(Keender[[#This Row],[Model 1
(eis M1 t/m M27)]]="","",Keender[[#This Row],[kleur p/m]]*Keender[[#This Row],[Aantal maanden]])</f>
        <v>60000</v>
      </c>
      <c r="Q3" s="2" t="str">
        <f>IF(Keender[[#This Row],[Model 2
(eis M1 t/m M27)]]="","",Keender[[#This Row],[Zw/w p/m]]*Keender[[#This Row],[Aantal maanden]])</f>
        <v/>
      </c>
      <c r="R3" s="2" t="str">
        <f>IF(Keender[[#This Row],[Model 2
(eis M1 t/m M27)]]="","",Keender[[#This Row],[kleur p/m]]*Keender[[#This Row],[Aantal maanden]])</f>
        <v/>
      </c>
      <c r="S3" s="8">
        <f>IF(Keender[[#This Row],[Model 1
(eis M1 t/m M27)]]="","",Keender[[#This Row],[Zw/w p/j]])</f>
        <v>60000</v>
      </c>
      <c r="T3" s="8">
        <f>IF(Keender[[#This Row],[Model 1
(eis M1 t/m M27)]]="","",Keender[[#This Row],[Kleur p/j]])</f>
        <v>15000</v>
      </c>
      <c r="U3" s="8" t="str">
        <f>IF(Keender[[#This Row],[Model 2
(eis M1 t/m M27)]]="","",Keender[[#This Row],[Zw/w p/j]])</f>
        <v/>
      </c>
      <c r="V3" s="8" t="str">
        <f>IF(Keender[[#This Row],[Model 2
(eis M1 t/m M27)]]="","",Keender[[#This Row],[Kleur p/j]])</f>
        <v/>
      </c>
    </row>
    <row r="4" spans="1:22" x14ac:dyDescent="0.3">
      <c r="A4" t="s">
        <v>46</v>
      </c>
      <c r="B4" s="8" t="s">
        <v>47</v>
      </c>
      <c r="C4" t="s">
        <v>48</v>
      </c>
      <c r="D4" t="s">
        <v>49</v>
      </c>
      <c r="E4" t="s">
        <v>44</v>
      </c>
      <c r="F4" t="s">
        <v>50</v>
      </c>
      <c r="G4" s="26">
        <f>IF((Keender[[#This Row],[Zw/w p/j]]+Keender[[#This Row],[Kleur p/j]])&lt;SKOLO!$H$1,1,IF((Keender[[#This Row],[Zw/w p/j]]+Keender[[#This Row],[Kleur p/j]])&gt;SKOLO!$G$1,2,""))</f>
        <v>1</v>
      </c>
      <c r="H4" s="26" t="str">
        <f>IF(AND(Keender[[#This Row],[Zw/w p/j]]+Keender[[#This Row],[Kleur p/j]]&gt;=SKOLO!$H$1,Keender[[#This Row],[Zw/w p/j]]+Keender[[#This Row],[Kleur p/j]]&lt;SKOLO!$G$1),1,"")</f>
        <v/>
      </c>
      <c r="I4" s="4">
        <v>44562</v>
      </c>
      <c r="J4" s="1">
        <f>Keender[[#This Row],[Zw/w p/m]]*12</f>
        <v>135684</v>
      </c>
      <c r="K4" s="1">
        <f>Keender[[#This Row],[kleur p/m]]*12</f>
        <v>38628</v>
      </c>
      <c r="L4" s="2">
        <v>11307</v>
      </c>
      <c r="M4" s="2">
        <v>3219</v>
      </c>
      <c r="N4" s="2">
        <v>48</v>
      </c>
      <c r="O4" s="2">
        <f>IF(Keender[[#This Row],[Model 1
(eis M1 t/m M27)]]="","",Keender[[#This Row],[Zw/w p/m]]*Keender[[#This Row],[Aantal maanden]])</f>
        <v>542736</v>
      </c>
      <c r="P4" s="2">
        <f>IF(Keender[[#This Row],[Model 1
(eis M1 t/m M27)]]="","",Keender[[#This Row],[kleur p/m]]*Keender[[#This Row],[Aantal maanden]])</f>
        <v>154512</v>
      </c>
      <c r="Q4" s="2" t="str">
        <f>IF(Keender[[#This Row],[Model 2
(eis M1 t/m M27)]]="","",Keender[[#This Row],[Zw/w p/m]]*Keender[[#This Row],[Aantal maanden]])</f>
        <v/>
      </c>
      <c r="R4" s="2" t="str">
        <f>IF(Keender[[#This Row],[Model 2
(eis M1 t/m M27)]]="","",Keender[[#This Row],[kleur p/m]]*Keender[[#This Row],[Aantal maanden]])</f>
        <v/>
      </c>
      <c r="S4" s="8">
        <f>IF(Keender[[#This Row],[Model 1
(eis M1 t/m M27)]]="","",Keender[[#This Row],[Zw/w p/j]])</f>
        <v>135684</v>
      </c>
      <c r="T4" s="8">
        <f>IF(Keender[[#This Row],[Model 1
(eis M1 t/m M27)]]="","",Keender[[#This Row],[Kleur p/j]])</f>
        <v>38628</v>
      </c>
      <c r="U4" s="8" t="str">
        <f>IF(Keender[[#This Row],[Model 2
(eis M1 t/m M27)]]="","",Keender[[#This Row],[Zw/w p/j]])</f>
        <v/>
      </c>
      <c r="V4" s="8" t="str">
        <f>IF(Keender[[#This Row],[Model 2
(eis M1 t/m M27)]]="","",Keender[[#This Row],[Kleur p/j]])</f>
        <v/>
      </c>
    </row>
    <row r="5" spans="1:22" x14ac:dyDescent="0.3">
      <c r="A5" t="s">
        <v>51</v>
      </c>
      <c r="B5" s="8" t="s">
        <v>52</v>
      </c>
      <c r="C5" t="s">
        <v>53</v>
      </c>
      <c r="D5" t="s">
        <v>54</v>
      </c>
      <c r="E5" t="s">
        <v>55</v>
      </c>
      <c r="F5" t="s">
        <v>56</v>
      </c>
      <c r="G5" s="26" t="str">
        <f>IF((Keender[[#This Row],[Zw/w p/j]]+Keender[[#This Row],[Kleur p/j]])&lt;SKOLO!$H$1,1,IF((Keender[[#This Row],[Zw/w p/j]]+Keender[[#This Row],[Kleur p/j]])&gt;SKOLO!$G$1,2,""))</f>
        <v/>
      </c>
      <c r="H5" s="26">
        <f>IF(AND(Keender[[#This Row],[Zw/w p/j]]+Keender[[#This Row],[Kleur p/j]]&gt;=SKOLO!$H$1,Keender[[#This Row],[Zw/w p/j]]+Keender[[#This Row],[Kleur p/j]]&lt;SKOLO!$G$1),1,"")</f>
        <v>1</v>
      </c>
      <c r="I5" s="4">
        <v>44562</v>
      </c>
      <c r="J5" s="1">
        <f>Keender[[#This Row],[Zw/w p/m]]*12</f>
        <v>289992</v>
      </c>
      <c r="K5" s="1">
        <f>Keender[[#This Row],[kleur p/m]]*12</f>
        <v>48000</v>
      </c>
      <c r="L5" s="2">
        <v>24166</v>
      </c>
      <c r="M5" s="2">
        <v>4000</v>
      </c>
      <c r="N5" s="2">
        <v>48</v>
      </c>
      <c r="O5" s="2" t="str">
        <f>IF(Keender[[#This Row],[Model 1
(eis M1 t/m M27)]]="","",Keender[[#This Row],[Zw/w p/m]]*Keender[[#This Row],[Aantal maanden]])</f>
        <v/>
      </c>
      <c r="P5" s="2" t="str">
        <f>IF(Keender[[#This Row],[Model 1
(eis M1 t/m M27)]]="","",Keender[[#This Row],[kleur p/m]]*Keender[[#This Row],[Aantal maanden]])</f>
        <v/>
      </c>
      <c r="Q5" s="2">
        <f>IF(Keender[[#This Row],[Model 2
(eis M1 t/m M27)]]="","",Keender[[#This Row],[Zw/w p/m]]*Keender[[#This Row],[Aantal maanden]])</f>
        <v>1159968</v>
      </c>
      <c r="R5" s="2">
        <f>IF(Keender[[#This Row],[Model 2
(eis M1 t/m M27)]]="","",Keender[[#This Row],[kleur p/m]]*Keender[[#This Row],[Aantal maanden]])</f>
        <v>192000</v>
      </c>
      <c r="S5" s="8" t="str">
        <f>IF(Keender[[#This Row],[Model 1
(eis M1 t/m M27)]]="","",Keender[[#This Row],[Zw/w p/j]])</f>
        <v/>
      </c>
      <c r="T5" s="8" t="str">
        <f>IF(Keender[[#This Row],[Model 1
(eis M1 t/m M27)]]="","",Keender[[#This Row],[Kleur p/j]])</f>
        <v/>
      </c>
      <c r="U5" s="8">
        <f>IF(Keender[[#This Row],[Model 2
(eis M1 t/m M27)]]="","",Keender[[#This Row],[Zw/w p/j]])</f>
        <v>289992</v>
      </c>
      <c r="V5" s="8">
        <f>IF(Keender[[#This Row],[Model 2
(eis M1 t/m M27)]]="","",Keender[[#This Row],[Kleur p/j]])</f>
        <v>48000</v>
      </c>
    </row>
    <row r="6" spans="1:22" x14ac:dyDescent="0.3">
      <c r="A6" t="s">
        <v>57</v>
      </c>
      <c r="B6" s="8" t="s">
        <v>58</v>
      </c>
      <c r="C6" t="s">
        <v>59</v>
      </c>
      <c r="D6" t="s">
        <v>60</v>
      </c>
      <c r="E6" t="s">
        <v>61</v>
      </c>
      <c r="F6" t="s">
        <v>62</v>
      </c>
      <c r="G6" s="26" t="str">
        <f>IF((Keender[[#This Row],[Zw/w p/j]]+Keender[[#This Row],[Kleur p/j]])&lt;SKOLO!$H$1,1,IF((Keender[[#This Row],[Zw/w p/j]]+Keender[[#This Row],[Kleur p/j]])&gt;SKOLO!$G$1,2,""))</f>
        <v/>
      </c>
      <c r="H6" s="26">
        <f>IF(AND(Keender[[#This Row],[Zw/w p/j]]+Keender[[#This Row],[Kleur p/j]]&gt;=SKOLO!$H$1,Keender[[#This Row],[Zw/w p/j]]+Keender[[#This Row],[Kleur p/j]]&lt;SKOLO!$G$1),1,"")</f>
        <v>1</v>
      </c>
      <c r="I6" s="4">
        <v>44562</v>
      </c>
      <c r="J6" s="1">
        <f>Keender[[#This Row],[Zw/w p/m]]*12</f>
        <v>248100</v>
      </c>
      <c r="K6" s="1">
        <f>Keender[[#This Row],[kleur p/m]]*12</f>
        <v>28248</v>
      </c>
      <c r="L6" s="2">
        <v>20675</v>
      </c>
      <c r="M6" s="2">
        <v>2354</v>
      </c>
      <c r="N6" s="2">
        <v>48</v>
      </c>
      <c r="O6" s="2" t="str">
        <f>IF(Keender[[#This Row],[Model 1
(eis M1 t/m M27)]]="","",Keender[[#This Row],[Zw/w p/m]]*Keender[[#This Row],[Aantal maanden]])</f>
        <v/>
      </c>
      <c r="P6" s="2" t="str">
        <f>IF(Keender[[#This Row],[Model 1
(eis M1 t/m M27)]]="","",Keender[[#This Row],[kleur p/m]]*Keender[[#This Row],[Aantal maanden]])</f>
        <v/>
      </c>
      <c r="Q6" s="2">
        <f>IF(Keender[[#This Row],[Model 2
(eis M1 t/m M27)]]="","",Keender[[#This Row],[Zw/w p/m]]*Keender[[#This Row],[Aantal maanden]])</f>
        <v>992400</v>
      </c>
      <c r="R6" s="2">
        <f>IF(Keender[[#This Row],[Model 2
(eis M1 t/m M27)]]="","",Keender[[#This Row],[kleur p/m]]*Keender[[#This Row],[Aantal maanden]])</f>
        <v>112992</v>
      </c>
      <c r="S6" s="8" t="str">
        <f>IF(Keender[[#This Row],[Model 1
(eis M1 t/m M27)]]="","",Keender[[#This Row],[Zw/w p/j]])</f>
        <v/>
      </c>
      <c r="T6" s="8" t="str">
        <f>IF(Keender[[#This Row],[Model 1
(eis M1 t/m M27)]]="","",Keender[[#This Row],[Kleur p/j]])</f>
        <v/>
      </c>
      <c r="U6" s="8">
        <f>IF(Keender[[#This Row],[Model 2
(eis M1 t/m M27)]]="","",Keender[[#This Row],[Zw/w p/j]])</f>
        <v>248100</v>
      </c>
      <c r="V6" s="8">
        <f>IF(Keender[[#This Row],[Model 2
(eis M1 t/m M27)]]="","",Keender[[#This Row],[Kleur p/j]])</f>
        <v>28248</v>
      </c>
    </row>
    <row r="7" spans="1:22" x14ac:dyDescent="0.3">
      <c r="A7" t="s">
        <v>63</v>
      </c>
      <c r="B7" s="8" t="s">
        <v>64</v>
      </c>
      <c r="C7" t="s">
        <v>65</v>
      </c>
      <c r="D7" t="s">
        <v>66</v>
      </c>
      <c r="E7" t="s">
        <v>61</v>
      </c>
      <c r="F7" t="s">
        <v>67</v>
      </c>
      <c r="G7" s="26">
        <f>IF((Keender[[#This Row],[Zw/w p/j]]+Keender[[#This Row],[Kleur p/j]])&lt;SKOLO!$H$1,1,IF((Keender[[#This Row],[Zw/w p/j]]+Keender[[#This Row],[Kleur p/j]])&gt;SKOLO!$G$1,2,""))</f>
        <v>1</v>
      </c>
      <c r="H7" s="26" t="str">
        <f>IF(AND(Keender[[#This Row],[Zw/w p/j]]+Keender[[#This Row],[Kleur p/j]]&gt;=SKOLO!$H$1,Keender[[#This Row],[Zw/w p/j]]+Keender[[#This Row],[Kleur p/j]]&lt;SKOLO!$G$1),1,"")</f>
        <v/>
      </c>
      <c r="I7" s="4">
        <v>44562</v>
      </c>
      <c r="J7" s="1">
        <f>Keender[[#This Row],[Zw/w p/m]]*12</f>
        <v>155460</v>
      </c>
      <c r="K7" s="1">
        <f>Keender[[#This Row],[kleur p/m]]*12</f>
        <v>13188</v>
      </c>
      <c r="L7" s="2">
        <v>12955</v>
      </c>
      <c r="M7" s="2">
        <v>1099</v>
      </c>
      <c r="N7" s="2">
        <v>48</v>
      </c>
      <c r="O7" s="2">
        <f>IF(Keender[[#This Row],[Model 1
(eis M1 t/m M27)]]="","",Keender[[#This Row],[Zw/w p/m]]*Keender[[#This Row],[Aantal maanden]])</f>
        <v>621840</v>
      </c>
      <c r="P7" s="2">
        <f>IF(Keender[[#This Row],[Model 1
(eis M1 t/m M27)]]="","",Keender[[#This Row],[kleur p/m]]*Keender[[#This Row],[Aantal maanden]])</f>
        <v>52752</v>
      </c>
      <c r="Q7" s="2" t="str">
        <f>IF(Keender[[#This Row],[Model 2
(eis M1 t/m M27)]]="","",Keender[[#This Row],[Zw/w p/m]]*Keender[[#This Row],[Aantal maanden]])</f>
        <v/>
      </c>
      <c r="R7" s="2" t="str">
        <f>IF(Keender[[#This Row],[Model 2
(eis M1 t/m M27)]]="","",Keender[[#This Row],[kleur p/m]]*Keender[[#This Row],[Aantal maanden]])</f>
        <v/>
      </c>
      <c r="S7" s="8">
        <f>IF(Keender[[#This Row],[Model 1
(eis M1 t/m M27)]]="","",Keender[[#This Row],[Zw/w p/j]])</f>
        <v>155460</v>
      </c>
      <c r="T7" s="8">
        <f>IF(Keender[[#This Row],[Model 1
(eis M1 t/m M27)]]="","",Keender[[#This Row],[Kleur p/j]])</f>
        <v>13188</v>
      </c>
      <c r="U7" s="8" t="str">
        <f>IF(Keender[[#This Row],[Model 2
(eis M1 t/m M27)]]="","",Keender[[#This Row],[Zw/w p/j]])</f>
        <v/>
      </c>
      <c r="V7" s="8" t="str">
        <f>IF(Keender[[#This Row],[Model 2
(eis M1 t/m M27)]]="","",Keender[[#This Row],[Kleur p/j]])</f>
        <v/>
      </c>
    </row>
    <row r="8" spans="1:22" x14ac:dyDescent="0.3">
      <c r="A8" t="s">
        <v>68</v>
      </c>
      <c r="B8" s="2" t="s">
        <v>128</v>
      </c>
      <c r="C8" t="s">
        <v>69</v>
      </c>
      <c r="D8" t="s">
        <v>70</v>
      </c>
      <c r="E8" t="s">
        <v>71</v>
      </c>
      <c r="F8" t="s">
        <v>72</v>
      </c>
      <c r="G8" s="26" t="str">
        <f>IF((Keender[[#This Row],[Zw/w p/j]]+Keender[[#This Row],[Kleur p/j]])&lt;SKOLO!$H$1,1,IF((Keender[[#This Row],[Zw/w p/j]]+Keender[[#This Row],[Kleur p/j]])&gt;SKOLO!$G$1,2,""))</f>
        <v/>
      </c>
      <c r="H8" s="26">
        <f>IF(AND(Keender[[#This Row],[Zw/w p/j]]+Keender[[#This Row],[Kleur p/j]]&gt;=SKOLO!$H$1,Keender[[#This Row],[Zw/w p/j]]+Keender[[#This Row],[Kleur p/j]]&lt;SKOLO!$G$1),1,"")</f>
        <v>1</v>
      </c>
      <c r="I8" s="4">
        <v>44562</v>
      </c>
      <c r="J8" s="1">
        <f>Keender[[#This Row],[Zw/w p/m]]*12</f>
        <v>184296</v>
      </c>
      <c r="K8" s="1">
        <f>Keender[[#This Row],[kleur p/m]]*12</f>
        <v>47040</v>
      </c>
      <c r="L8" s="2">
        <v>15358</v>
      </c>
      <c r="M8" s="2">
        <v>3920</v>
      </c>
      <c r="N8" s="2">
        <v>48</v>
      </c>
      <c r="O8" s="2" t="str">
        <f>IF(Keender[[#This Row],[Model 1
(eis M1 t/m M27)]]="","",Keender[[#This Row],[Zw/w p/m]]*Keender[[#This Row],[Aantal maanden]])</f>
        <v/>
      </c>
      <c r="P8" s="2" t="str">
        <f>IF(Keender[[#This Row],[Model 1
(eis M1 t/m M27)]]="","",Keender[[#This Row],[kleur p/m]]*Keender[[#This Row],[Aantal maanden]])</f>
        <v/>
      </c>
      <c r="Q8" s="2">
        <f>IF(Keender[[#This Row],[Model 2
(eis M1 t/m M27)]]="","",Keender[[#This Row],[Zw/w p/m]]*Keender[[#This Row],[Aantal maanden]])</f>
        <v>737184</v>
      </c>
      <c r="R8" s="2">
        <f>IF(Keender[[#This Row],[Model 2
(eis M1 t/m M27)]]="","",Keender[[#This Row],[kleur p/m]]*Keender[[#This Row],[Aantal maanden]])</f>
        <v>188160</v>
      </c>
      <c r="S8" s="2" t="str">
        <f>IF(Keender[[#This Row],[Model 1
(eis M1 t/m M27)]]="","",Keender[[#This Row],[Zw/w p/j]])</f>
        <v/>
      </c>
      <c r="T8" s="2" t="str">
        <f>IF(Keender[[#This Row],[Model 1
(eis M1 t/m M27)]]="","",Keender[[#This Row],[Kleur p/j]])</f>
        <v/>
      </c>
      <c r="U8" s="2">
        <f>IF(Keender[[#This Row],[Model 2
(eis M1 t/m M27)]]="","",Keender[[#This Row],[Zw/w p/j]])</f>
        <v>184296</v>
      </c>
      <c r="V8" s="2">
        <f>IF(Keender[[#This Row],[Model 2
(eis M1 t/m M27)]]="","",Keender[[#This Row],[Kleur p/j]])</f>
        <v>47040</v>
      </c>
    </row>
    <row r="9" spans="1:22" x14ac:dyDescent="0.3">
      <c r="A9" t="s">
        <v>73</v>
      </c>
      <c r="B9" s="2" t="s">
        <v>74</v>
      </c>
      <c r="C9" t="s">
        <v>75</v>
      </c>
      <c r="D9" t="s">
        <v>76</v>
      </c>
      <c r="E9" t="s">
        <v>71</v>
      </c>
      <c r="F9" t="s">
        <v>77</v>
      </c>
      <c r="G9" s="26">
        <f>IF((Keender[[#This Row],[Zw/w p/j]]+Keender[[#This Row],[Kleur p/j]])&lt;SKOLO!$H$1,1,IF((Keender[[#This Row],[Zw/w p/j]]+Keender[[#This Row],[Kleur p/j]])&gt;SKOLO!$G$1,2,""))</f>
        <v>1</v>
      </c>
      <c r="H9" s="26" t="str">
        <f>IF(AND(Keender[[#This Row],[Zw/w p/j]]+Keender[[#This Row],[Kleur p/j]]&gt;=SKOLO!$H$1,Keender[[#This Row],[Zw/w p/j]]+Keender[[#This Row],[Kleur p/j]]&lt;SKOLO!$G$1),1,"")</f>
        <v/>
      </c>
      <c r="I9" s="4">
        <v>44562</v>
      </c>
      <c r="J9" s="1">
        <f>Keender[[#This Row],[Zw/w p/m]]*12</f>
        <v>112317.33333333333</v>
      </c>
      <c r="K9" s="1">
        <f>Keender[[#This Row],[kleur p/m]]*12</f>
        <v>24366.666666666668</v>
      </c>
      <c r="L9" s="2">
        <v>9359.7777777777774</v>
      </c>
      <c r="M9" s="2">
        <v>2030.5555555555557</v>
      </c>
      <c r="N9" s="2">
        <v>48</v>
      </c>
      <c r="O9" s="2">
        <f>IF(Keender[[#This Row],[Model 1
(eis M1 t/m M27)]]="","",Keender[[#This Row],[Zw/w p/m]]*Keender[[#This Row],[Aantal maanden]])</f>
        <v>449269.33333333331</v>
      </c>
      <c r="P9" s="2">
        <f>IF(Keender[[#This Row],[Model 1
(eis M1 t/m M27)]]="","",Keender[[#This Row],[kleur p/m]]*Keender[[#This Row],[Aantal maanden]])</f>
        <v>97466.666666666672</v>
      </c>
      <c r="Q9" s="2" t="str">
        <f>IF(Keender[[#This Row],[Model 2
(eis M1 t/m M27)]]="","",Keender[[#This Row],[Zw/w p/m]]*Keender[[#This Row],[Aantal maanden]])</f>
        <v/>
      </c>
      <c r="R9" s="2" t="str">
        <f>IF(Keender[[#This Row],[Model 2
(eis M1 t/m M27)]]="","",Keender[[#This Row],[kleur p/m]]*Keender[[#This Row],[Aantal maanden]])</f>
        <v/>
      </c>
      <c r="S9" s="2">
        <f>IF(Keender[[#This Row],[Model 1
(eis M1 t/m M27)]]="","",Keender[[#This Row],[Zw/w p/j]])</f>
        <v>112317.33333333333</v>
      </c>
      <c r="T9" s="2">
        <f>IF(Keender[[#This Row],[Model 1
(eis M1 t/m M27)]]="","",Keender[[#This Row],[Kleur p/j]])</f>
        <v>24366.666666666668</v>
      </c>
      <c r="U9" s="2" t="str">
        <f>IF(Keender[[#This Row],[Model 2
(eis M1 t/m M27)]]="","",Keender[[#This Row],[Zw/w p/j]])</f>
        <v/>
      </c>
      <c r="V9" s="2" t="str">
        <f>IF(Keender[[#This Row],[Model 2
(eis M1 t/m M27)]]="","",Keender[[#This Row],[Kleur p/j]])</f>
        <v/>
      </c>
    </row>
    <row r="10" spans="1:22" x14ac:dyDescent="0.3">
      <c r="A10" t="s">
        <v>78</v>
      </c>
      <c r="B10" s="2" t="s">
        <v>79</v>
      </c>
      <c r="C10" t="s">
        <v>80</v>
      </c>
      <c r="D10" t="s">
        <v>81</v>
      </c>
      <c r="E10" t="s">
        <v>71</v>
      </c>
      <c r="F10" t="s">
        <v>82</v>
      </c>
      <c r="G10" s="26">
        <f>IF((Keender[[#This Row],[Zw/w p/j]]+Keender[[#This Row],[Kleur p/j]])&lt;SKOLO!$H$1,1,IF((Keender[[#This Row],[Zw/w p/j]]+Keender[[#This Row],[Kleur p/j]])&gt;SKOLO!$G$1,2,""))</f>
        <v>1</v>
      </c>
      <c r="H10" s="26" t="str">
        <f>IF(AND(Keender[[#This Row],[Zw/w p/j]]+Keender[[#This Row],[Kleur p/j]]&gt;=SKOLO!$H$1,Keender[[#This Row],[Zw/w p/j]]+Keender[[#This Row],[Kleur p/j]]&lt;SKOLO!$G$1),1,"")</f>
        <v/>
      </c>
      <c r="I10" s="4">
        <v>44562</v>
      </c>
      <c r="J10" s="1">
        <f>Keender[[#This Row],[Zw/w p/m]]*12</f>
        <v>67200</v>
      </c>
      <c r="K10" s="1">
        <f>Keender[[#This Row],[kleur p/m]]*12</f>
        <v>20400</v>
      </c>
      <c r="L10" s="2">
        <v>5600</v>
      </c>
      <c r="M10" s="2">
        <v>1700</v>
      </c>
      <c r="N10" s="2">
        <v>48</v>
      </c>
      <c r="O10" s="2">
        <f>IF(Keender[[#This Row],[Model 1
(eis M1 t/m M27)]]="","",Keender[[#This Row],[Zw/w p/m]]*Keender[[#This Row],[Aantal maanden]])</f>
        <v>268800</v>
      </c>
      <c r="P10" s="2">
        <f>IF(Keender[[#This Row],[Model 1
(eis M1 t/m M27)]]="","",Keender[[#This Row],[kleur p/m]]*Keender[[#This Row],[Aantal maanden]])</f>
        <v>81600</v>
      </c>
      <c r="Q10" s="2" t="str">
        <f>IF(Keender[[#This Row],[Model 2
(eis M1 t/m M27)]]="","",Keender[[#This Row],[Zw/w p/m]]*Keender[[#This Row],[Aantal maanden]])</f>
        <v/>
      </c>
      <c r="R10" s="2" t="str">
        <f>IF(Keender[[#This Row],[Model 2
(eis M1 t/m M27)]]="","",Keender[[#This Row],[kleur p/m]]*Keender[[#This Row],[Aantal maanden]])</f>
        <v/>
      </c>
      <c r="S10" s="2">
        <f>IF(Keender[[#This Row],[Model 1
(eis M1 t/m M27)]]="","",Keender[[#This Row],[Zw/w p/j]])</f>
        <v>67200</v>
      </c>
      <c r="T10" s="2">
        <f>IF(Keender[[#This Row],[Model 1
(eis M1 t/m M27)]]="","",Keender[[#This Row],[Kleur p/j]])</f>
        <v>20400</v>
      </c>
      <c r="U10" s="2" t="str">
        <f>IF(Keender[[#This Row],[Model 2
(eis M1 t/m M27)]]="","",Keender[[#This Row],[Zw/w p/j]])</f>
        <v/>
      </c>
      <c r="V10" s="2" t="str">
        <f>IF(Keender[[#This Row],[Model 2
(eis M1 t/m M27)]]="","",Keender[[#This Row],[Kleur p/j]])</f>
        <v/>
      </c>
    </row>
    <row r="11" spans="1:22" x14ac:dyDescent="0.3">
      <c r="A11" t="s">
        <v>83</v>
      </c>
      <c r="B11" s="2" t="s">
        <v>84</v>
      </c>
      <c r="C11" t="s">
        <v>85</v>
      </c>
      <c r="D11" t="s">
        <v>86</v>
      </c>
      <c r="E11" t="s">
        <v>84</v>
      </c>
      <c r="F11" t="s">
        <v>87</v>
      </c>
      <c r="G11" s="26">
        <f>IF((Keender[[#This Row],[Zw/w p/j]]+Keender[[#This Row],[Kleur p/j]])&lt;SKOLO!$H$1,1,IF((Keender[[#This Row],[Zw/w p/j]]+Keender[[#This Row],[Kleur p/j]])&gt;SKOLO!$G$1,2,""))</f>
        <v>1</v>
      </c>
      <c r="H11" s="26" t="str">
        <f>IF(AND(Keender[[#This Row],[Zw/w p/j]]+Keender[[#This Row],[Kleur p/j]]&gt;=SKOLO!$H$1,Keender[[#This Row],[Zw/w p/j]]+Keender[[#This Row],[Kleur p/j]]&lt;SKOLO!$G$1),1,"")</f>
        <v/>
      </c>
      <c r="I11" s="4">
        <v>44562</v>
      </c>
      <c r="J11" s="1">
        <f>Keender[[#This Row],[Zw/w p/m]]*12</f>
        <v>105408</v>
      </c>
      <c r="K11" s="1">
        <f>Keender[[#This Row],[kleur p/m]]*12</f>
        <v>29616</v>
      </c>
      <c r="L11" s="2">
        <v>8784</v>
      </c>
      <c r="M11" s="2">
        <v>2468</v>
      </c>
      <c r="N11" s="2">
        <v>48</v>
      </c>
      <c r="O11" s="2">
        <f>IF(Keender[[#This Row],[Model 1
(eis M1 t/m M27)]]="","",Keender[[#This Row],[Zw/w p/m]]*Keender[[#This Row],[Aantal maanden]])</f>
        <v>421632</v>
      </c>
      <c r="P11" s="2">
        <f>IF(Keender[[#This Row],[Model 1
(eis M1 t/m M27)]]="","",Keender[[#This Row],[kleur p/m]]*Keender[[#This Row],[Aantal maanden]])</f>
        <v>118464</v>
      </c>
      <c r="Q11" s="2" t="str">
        <f>IF(Keender[[#This Row],[Model 2
(eis M1 t/m M27)]]="","",Keender[[#This Row],[Zw/w p/m]]*Keender[[#This Row],[Aantal maanden]])</f>
        <v/>
      </c>
      <c r="R11" s="2" t="str">
        <f>IF(Keender[[#This Row],[Model 2
(eis M1 t/m M27)]]="","",Keender[[#This Row],[kleur p/m]]*Keender[[#This Row],[Aantal maanden]])</f>
        <v/>
      </c>
      <c r="S11" s="2">
        <f>IF(Keender[[#This Row],[Model 1
(eis M1 t/m M27)]]="","",Keender[[#This Row],[Zw/w p/j]])</f>
        <v>105408</v>
      </c>
      <c r="T11" s="2">
        <f>IF(Keender[[#This Row],[Model 1
(eis M1 t/m M27)]]="","",Keender[[#This Row],[Kleur p/j]])</f>
        <v>29616</v>
      </c>
      <c r="U11" s="2" t="str">
        <f>IF(Keender[[#This Row],[Model 2
(eis M1 t/m M27)]]="","",Keender[[#This Row],[Zw/w p/j]])</f>
        <v/>
      </c>
      <c r="V11" s="2" t="str">
        <f>IF(Keender[[#This Row],[Model 2
(eis M1 t/m M27)]]="","",Keender[[#This Row],[Kleur p/j]])</f>
        <v/>
      </c>
    </row>
    <row r="12" spans="1:22" x14ac:dyDescent="0.3">
      <c r="A12" t="s">
        <v>88</v>
      </c>
      <c r="B12" s="2" t="s">
        <v>89</v>
      </c>
      <c r="C12" t="s">
        <v>90</v>
      </c>
      <c r="D12" t="s">
        <v>91</v>
      </c>
      <c r="E12" t="s">
        <v>71</v>
      </c>
      <c r="F12" t="s">
        <v>92</v>
      </c>
      <c r="G12" s="26">
        <f>IF((Keender[[#This Row],[Zw/w p/j]]+Keender[[#This Row],[Kleur p/j]])&lt;SKOLO!$H$1,1,IF((Keender[[#This Row],[Zw/w p/j]]+Keender[[#This Row],[Kleur p/j]])&gt;SKOLO!$G$1,2,""))</f>
        <v>1</v>
      </c>
      <c r="H12" s="26" t="str">
        <f>IF(AND(Keender[[#This Row],[Zw/w p/j]]+Keender[[#This Row],[Kleur p/j]]&gt;=SKOLO!$H$1,Keender[[#This Row],[Zw/w p/j]]+Keender[[#This Row],[Kleur p/j]]&lt;SKOLO!$G$1),1,"")</f>
        <v/>
      </c>
      <c r="I12" s="4">
        <v>44562</v>
      </c>
      <c r="J12" s="1">
        <f>Keender[[#This Row],[Zw/w p/m]]*12</f>
        <v>86400</v>
      </c>
      <c r="K12" s="1">
        <f>Keender[[#This Row],[kleur p/m]]*12</f>
        <v>21660</v>
      </c>
      <c r="L12" s="2">
        <v>7200</v>
      </c>
      <c r="M12" s="2">
        <v>1805</v>
      </c>
      <c r="N12" s="2">
        <v>48</v>
      </c>
      <c r="O12" s="2">
        <f>IF(Keender[[#This Row],[Model 1
(eis M1 t/m M27)]]="","",Keender[[#This Row],[Zw/w p/m]]*Keender[[#This Row],[Aantal maanden]])</f>
        <v>345600</v>
      </c>
      <c r="P12" s="2">
        <f>IF(Keender[[#This Row],[Model 1
(eis M1 t/m M27)]]="","",Keender[[#This Row],[kleur p/m]]*Keender[[#This Row],[Aantal maanden]])</f>
        <v>86640</v>
      </c>
      <c r="Q12" s="2" t="str">
        <f>IF(Keender[[#This Row],[Model 2
(eis M1 t/m M27)]]="","",Keender[[#This Row],[Zw/w p/m]]*Keender[[#This Row],[Aantal maanden]])</f>
        <v/>
      </c>
      <c r="R12" s="2" t="str">
        <f>IF(Keender[[#This Row],[Model 2
(eis M1 t/m M27)]]="","",Keender[[#This Row],[kleur p/m]]*Keender[[#This Row],[Aantal maanden]])</f>
        <v/>
      </c>
      <c r="S12" s="2">
        <f>IF(Keender[[#This Row],[Model 1
(eis M1 t/m M27)]]="","",Keender[[#This Row],[Zw/w p/j]])</f>
        <v>86400</v>
      </c>
      <c r="T12" s="2">
        <f>IF(Keender[[#This Row],[Model 1
(eis M1 t/m M27)]]="","",Keender[[#This Row],[Kleur p/j]])</f>
        <v>21660</v>
      </c>
      <c r="U12" s="2" t="str">
        <f>IF(Keender[[#This Row],[Model 2
(eis M1 t/m M27)]]="","",Keender[[#This Row],[Zw/w p/j]])</f>
        <v/>
      </c>
      <c r="V12" s="2" t="str">
        <f>IF(Keender[[#This Row],[Model 2
(eis M1 t/m M27)]]="","",Keender[[#This Row],[Kleur p/j]])</f>
        <v/>
      </c>
    </row>
    <row r="13" spans="1:22" x14ac:dyDescent="0.3">
      <c r="A13" t="s">
        <v>93</v>
      </c>
      <c r="B13" s="2" t="s">
        <v>94</v>
      </c>
      <c r="C13" t="s">
        <v>95</v>
      </c>
      <c r="D13" t="s">
        <v>96</v>
      </c>
      <c r="E13" t="s">
        <v>71</v>
      </c>
      <c r="F13" t="s">
        <v>97</v>
      </c>
      <c r="G13" s="26" t="str">
        <f>IF((Keender[[#This Row],[Zw/w p/j]]+Keender[[#This Row],[Kleur p/j]])&lt;SKOLO!$H$1,1,IF((Keender[[#This Row],[Zw/w p/j]]+Keender[[#This Row],[Kleur p/j]])&gt;SKOLO!$G$1,2,""))</f>
        <v/>
      </c>
      <c r="H13" s="26">
        <f>IF(AND(Keender[[#This Row],[Zw/w p/j]]+Keender[[#This Row],[Kleur p/j]]&gt;=SKOLO!$H$1,Keender[[#This Row],[Zw/w p/j]]+Keender[[#This Row],[Kleur p/j]]&lt;SKOLO!$G$1),1,"")</f>
        <v>1</v>
      </c>
      <c r="I13" s="4">
        <v>44562</v>
      </c>
      <c r="J13" s="1">
        <f>Keender[[#This Row],[Zw/w p/m]]*12</f>
        <v>238296</v>
      </c>
      <c r="K13" s="1">
        <f>Keender[[#This Row],[kleur p/m]]*12</f>
        <v>37956</v>
      </c>
      <c r="L13" s="2">
        <v>19858</v>
      </c>
      <c r="M13" s="2">
        <v>3163</v>
      </c>
      <c r="N13" s="2">
        <v>48</v>
      </c>
      <c r="O13" s="2" t="str">
        <f>IF(Keender[[#This Row],[Model 1
(eis M1 t/m M27)]]="","",Keender[[#This Row],[Zw/w p/m]]*Keender[[#This Row],[Aantal maanden]])</f>
        <v/>
      </c>
      <c r="P13" s="2" t="str">
        <f>IF(Keender[[#This Row],[Model 1
(eis M1 t/m M27)]]="","",Keender[[#This Row],[kleur p/m]]*Keender[[#This Row],[Aantal maanden]])</f>
        <v/>
      </c>
      <c r="Q13" s="2">
        <f>IF(Keender[[#This Row],[Model 2
(eis M1 t/m M27)]]="","",Keender[[#This Row],[Zw/w p/m]]*Keender[[#This Row],[Aantal maanden]])</f>
        <v>953184</v>
      </c>
      <c r="R13" s="2">
        <f>IF(Keender[[#This Row],[Model 2
(eis M1 t/m M27)]]="","",Keender[[#This Row],[kleur p/m]]*Keender[[#This Row],[Aantal maanden]])</f>
        <v>151824</v>
      </c>
      <c r="S13" s="2" t="str">
        <f>IF(Keender[[#This Row],[Model 1
(eis M1 t/m M27)]]="","",Keender[[#This Row],[Zw/w p/j]])</f>
        <v/>
      </c>
      <c r="T13" s="2" t="str">
        <f>IF(Keender[[#This Row],[Model 1
(eis M1 t/m M27)]]="","",Keender[[#This Row],[Kleur p/j]])</f>
        <v/>
      </c>
      <c r="U13" s="2">
        <f>IF(Keender[[#This Row],[Model 2
(eis M1 t/m M27)]]="","",Keender[[#This Row],[Zw/w p/j]])</f>
        <v>238296</v>
      </c>
      <c r="V13" s="2">
        <f>IF(Keender[[#This Row],[Model 2
(eis M1 t/m M27)]]="","",Keender[[#This Row],[Kleur p/j]])</f>
        <v>37956</v>
      </c>
    </row>
    <row r="14" spans="1:22" x14ac:dyDescent="0.3">
      <c r="A14" t="s">
        <v>98</v>
      </c>
      <c r="B14" s="2" t="s">
        <v>99</v>
      </c>
      <c r="C14" t="s">
        <v>100</v>
      </c>
      <c r="D14" t="s">
        <v>101</v>
      </c>
      <c r="E14" t="s">
        <v>102</v>
      </c>
      <c r="F14" t="s">
        <v>103</v>
      </c>
      <c r="G14" s="26">
        <f>IF((Keender[[#This Row],[Zw/w p/j]]+Keender[[#This Row],[Kleur p/j]])&lt;SKOLO!$H$1,1,IF((Keender[[#This Row],[Zw/w p/j]]+Keender[[#This Row],[Kleur p/j]])&gt;SKOLO!$G$1,2,""))</f>
        <v>1</v>
      </c>
      <c r="H14" s="26" t="str">
        <f>IF(AND(Keender[[#This Row],[Zw/w p/j]]+Keender[[#This Row],[Kleur p/j]]&gt;=SKOLO!$H$1,Keender[[#This Row],[Zw/w p/j]]+Keender[[#This Row],[Kleur p/j]]&lt;SKOLO!$G$1),1,"")</f>
        <v/>
      </c>
      <c r="I14" s="4">
        <v>44562</v>
      </c>
      <c r="J14" s="1">
        <f>Keender[[#This Row],[Zw/w p/m]]*12</f>
        <v>83988</v>
      </c>
      <c r="K14" s="1">
        <f>Keender[[#This Row],[kleur p/m]]*12</f>
        <v>34992</v>
      </c>
      <c r="L14" s="2">
        <v>6999</v>
      </c>
      <c r="M14" s="2">
        <v>2916</v>
      </c>
      <c r="N14" s="2">
        <v>48</v>
      </c>
      <c r="O14" s="2">
        <f>IF(Keender[[#This Row],[Model 1
(eis M1 t/m M27)]]="","",Keender[[#This Row],[Zw/w p/m]]*Keender[[#This Row],[Aantal maanden]])</f>
        <v>335952</v>
      </c>
      <c r="P14" s="2">
        <f>IF(Keender[[#This Row],[Model 1
(eis M1 t/m M27)]]="","",Keender[[#This Row],[kleur p/m]]*Keender[[#This Row],[Aantal maanden]])</f>
        <v>139968</v>
      </c>
      <c r="Q14" s="2" t="str">
        <f>IF(Keender[[#This Row],[Model 2
(eis M1 t/m M27)]]="","",Keender[[#This Row],[Zw/w p/m]]*Keender[[#This Row],[Aantal maanden]])</f>
        <v/>
      </c>
      <c r="R14" s="2" t="str">
        <f>IF(Keender[[#This Row],[Model 2
(eis M1 t/m M27)]]="","",Keender[[#This Row],[kleur p/m]]*Keender[[#This Row],[Aantal maanden]])</f>
        <v/>
      </c>
      <c r="S14" s="2">
        <f>IF(Keender[[#This Row],[Model 1
(eis M1 t/m M27)]]="","",Keender[[#This Row],[Zw/w p/j]])</f>
        <v>83988</v>
      </c>
      <c r="T14" s="2">
        <f>IF(Keender[[#This Row],[Model 1
(eis M1 t/m M27)]]="","",Keender[[#This Row],[Kleur p/j]])</f>
        <v>34992</v>
      </c>
      <c r="U14" s="2" t="str">
        <f>IF(Keender[[#This Row],[Model 2
(eis M1 t/m M27)]]="","",Keender[[#This Row],[Zw/w p/j]])</f>
        <v/>
      </c>
      <c r="V14" s="2" t="str">
        <f>IF(Keender[[#This Row],[Model 2
(eis M1 t/m M27)]]="","",Keender[[#This Row],[Kleur p/j]])</f>
        <v/>
      </c>
    </row>
    <row r="15" spans="1:22" x14ac:dyDescent="0.3">
      <c r="A15" t="s">
        <v>104</v>
      </c>
      <c r="B15" s="2" t="s">
        <v>105</v>
      </c>
      <c r="C15" t="s">
        <v>106</v>
      </c>
      <c r="D15" t="s">
        <v>107</v>
      </c>
      <c r="E15" t="s">
        <v>71</v>
      </c>
      <c r="F15" t="s">
        <v>108</v>
      </c>
      <c r="G15" s="26">
        <f>IF((Keender[[#This Row],[Zw/w p/j]]+Keender[[#This Row],[Kleur p/j]])&lt;SKOLO!$H$1,1,IF((Keender[[#This Row],[Zw/w p/j]]+Keender[[#This Row],[Kleur p/j]])&gt;SKOLO!$G$1,2,""))</f>
        <v>1</v>
      </c>
      <c r="H15" s="26" t="str">
        <f>IF(AND(Keender[[#This Row],[Zw/w p/j]]+Keender[[#This Row],[Kleur p/j]]&gt;=SKOLO!$H$1,Keender[[#This Row],[Zw/w p/j]]+Keender[[#This Row],[Kleur p/j]]&lt;SKOLO!$G$1),1,"")</f>
        <v/>
      </c>
      <c r="I15" s="4">
        <v>44562</v>
      </c>
      <c r="J15" s="1">
        <f>Keender[[#This Row],[Zw/w p/m]]*12</f>
        <v>125916</v>
      </c>
      <c r="K15" s="1">
        <f>Keender[[#This Row],[kleur p/m]]*12</f>
        <v>9444</v>
      </c>
      <c r="L15" s="2">
        <v>10493</v>
      </c>
      <c r="M15" s="2">
        <v>787</v>
      </c>
      <c r="N15" s="2">
        <v>48</v>
      </c>
      <c r="O15" s="2">
        <f>IF(Keender[[#This Row],[Model 1
(eis M1 t/m M27)]]="","",Keender[[#This Row],[Zw/w p/m]]*Keender[[#This Row],[Aantal maanden]])</f>
        <v>503664</v>
      </c>
      <c r="P15" s="2">
        <f>IF(Keender[[#This Row],[Model 1
(eis M1 t/m M27)]]="","",Keender[[#This Row],[kleur p/m]]*Keender[[#This Row],[Aantal maanden]])</f>
        <v>37776</v>
      </c>
      <c r="Q15" s="2" t="str">
        <f>IF(Keender[[#This Row],[Model 2
(eis M1 t/m M27)]]="","",Keender[[#This Row],[Zw/w p/m]]*Keender[[#This Row],[Aantal maanden]])</f>
        <v/>
      </c>
      <c r="R15" s="2" t="str">
        <f>IF(Keender[[#This Row],[Model 2
(eis M1 t/m M27)]]="","",Keender[[#This Row],[kleur p/m]]*Keender[[#This Row],[Aantal maanden]])</f>
        <v/>
      </c>
      <c r="S15" s="2">
        <f>IF(Keender[[#This Row],[Model 1
(eis M1 t/m M27)]]="","",Keender[[#This Row],[Zw/w p/j]])</f>
        <v>125916</v>
      </c>
      <c r="T15" s="2">
        <f>IF(Keender[[#This Row],[Model 1
(eis M1 t/m M27)]]="","",Keender[[#This Row],[Kleur p/j]])</f>
        <v>9444</v>
      </c>
      <c r="U15" s="2" t="str">
        <f>IF(Keender[[#This Row],[Model 2
(eis M1 t/m M27)]]="","",Keender[[#This Row],[Zw/w p/j]])</f>
        <v/>
      </c>
      <c r="V15" s="2" t="str">
        <f>IF(Keender[[#This Row],[Model 2
(eis M1 t/m M27)]]="","",Keender[[#This Row],[Kleur p/j]])</f>
        <v/>
      </c>
    </row>
    <row r="16" spans="1:22" x14ac:dyDescent="0.3">
      <c r="A16" t="s">
        <v>109</v>
      </c>
      <c r="B16" s="2" t="s">
        <v>110</v>
      </c>
      <c r="C16" t="s">
        <v>111</v>
      </c>
      <c r="D16" t="s">
        <v>112</v>
      </c>
      <c r="E16" t="s">
        <v>71</v>
      </c>
      <c r="F16" t="s">
        <v>113</v>
      </c>
      <c r="G16" s="26">
        <f>IF((Keender[[#This Row],[Zw/w p/j]]+Keender[[#This Row],[Kleur p/j]])&lt;SKOLO!$H$1,1,IF((Keender[[#This Row],[Zw/w p/j]]+Keender[[#This Row],[Kleur p/j]])&gt;SKOLO!$G$1,2,""))</f>
        <v>1</v>
      </c>
      <c r="H16" s="26" t="str">
        <f>IF(AND(Keender[[#This Row],[Zw/w p/j]]+Keender[[#This Row],[Kleur p/j]]&gt;=SKOLO!$H$1,Keender[[#This Row],[Zw/w p/j]]+Keender[[#This Row],[Kleur p/j]]&lt;SKOLO!$G$1),1,"")</f>
        <v/>
      </c>
      <c r="I16" s="4">
        <v>44562</v>
      </c>
      <c r="J16" s="1">
        <f>Keender[[#This Row],[Zw/w p/m]]*12</f>
        <v>108864</v>
      </c>
      <c r="K16" s="1">
        <f>Keender[[#This Row],[kleur p/m]]*12</f>
        <v>19920</v>
      </c>
      <c r="L16" s="2">
        <v>9072</v>
      </c>
      <c r="M16" s="2">
        <v>1660</v>
      </c>
      <c r="N16" s="2">
        <v>48</v>
      </c>
      <c r="O16" s="2">
        <f>IF(Keender[[#This Row],[Model 1
(eis M1 t/m M27)]]="","",Keender[[#This Row],[Zw/w p/m]]*Keender[[#This Row],[Aantal maanden]])</f>
        <v>435456</v>
      </c>
      <c r="P16" s="2">
        <f>IF(Keender[[#This Row],[Model 1
(eis M1 t/m M27)]]="","",Keender[[#This Row],[kleur p/m]]*Keender[[#This Row],[Aantal maanden]])</f>
        <v>79680</v>
      </c>
      <c r="Q16" s="2" t="str">
        <f>IF(Keender[[#This Row],[Model 2
(eis M1 t/m M27)]]="","",Keender[[#This Row],[Zw/w p/m]]*Keender[[#This Row],[Aantal maanden]])</f>
        <v/>
      </c>
      <c r="R16" s="2" t="str">
        <f>IF(Keender[[#This Row],[Model 2
(eis M1 t/m M27)]]="","",Keender[[#This Row],[kleur p/m]]*Keender[[#This Row],[Aantal maanden]])</f>
        <v/>
      </c>
      <c r="S16" s="2">
        <f>IF(Keender[[#This Row],[Model 1
(eis M1 t/m M27)]]="","",Keender[[#This Row],[Zw/w p/j]])</f>
        <v>108864</v>
      </c>
      <c r="T16" s="2">
        <f>IF(Keender[[#This Row],[Model 1
(eis M1 t/m M27)]]="","",Keender[[#This Row],[Kleur p/j]])</f>
        <v>19920</v>
      </c>
      <c r="U16" s="2" t="str">
        <f>IF(Keender[[#This Row],[Model 2
(eis M1 t/m M27)]]="","",Keender[[#This Row],[Zw/w p/j]])</f>
        <v/>
      </c>
      <c r="V16" s="2" t="str">
        <f>IF(Keender[[#This Row],[Model 2
(eis M1 t/m M27)]]="","",Keender[[#This Row],[Kleur p/j]])</f>
        <v/>
      </c>
    </row>
    <row r="17" spans="1:22" x14ac:dyDescent="0.3">
      <c r="A17" t="s">
        <v>114</v>
      </c>
      <c r="B17" s="2" t="s">
        <v>115</v>
      </c>
      <c r="C17" t="s">
        <v>116</v>
      </c>
      <c r="D17" t="s">
        <v>117</v>
      </c>
      <c r="E17" t="s">
        <v>71</v>
      </c>
      <c r="F17" t="s">
        <v>118</v>
      </c>
      <c r="G17" s="26">
        <f>IF((Keender[[#This Row],[Zw/w p/j]]+Keender[[#This Row],[Kleur p/j]])&lt;SKOLO!$H$1,1,IF((Keender[[#This Row],[Zw/w p/j]]+Keender[[#This Row],[Kleur p/j]])&gt;SKOLO!$G$1,2,""))</f>
        <v>1</v>
      </c>
      <c r="H17" s="26" t="str">
        <f>IF(AND(Keender[[#This Row],[Zw/w p/j]]+Keender[[#This Row],[Kleur p/j]]&gt;=SKOLO!$H$1,Keender[[#This Row],[Zw/w p/j]]+Keender[[#This Row],[Kleur p/j]]&lt;SKOLO!$G$1),1,"")</f>
        <v/>
      </c>
      <c r="I17" s="4">
        <v>44562</v>
      </c>
      <c r="J17" s="1">
        <f>Keender[[#This Row],[Zw/w p/m]]*12</f>
        <v>81720</v>
      </c>
      <c r="K17" s="1">
        <f>Keender[[#This Row],[kleur p/m]]*12</f>
        <v>7752</v>
      </c>
      <c r="L17" s="2">
        <v>6810</v>
      </c>
      <c r="M17" s="2">
        <v>646</v>
      </c>
      <c r="N17" s="2">
        <v>48</v>
      </c>
      <c r="O17" s="2">
        <f>IF(Keender[[#This Row],[Model 1
(eis M1 t/m M27)]]="","",Keender[[#This Row],[Zw/w p/m]]*Keender[[#This Row],[Aantal maanden]])</f>
        <v>326880</v>
      </c>
      <c r="P17" s="2">
        <f>IF(Keender[[#This Row],[Model 1
(eis M1 t/m M27)]]="","",Keender[[#This Row],[kleur p/m]]*Keender[[#This Row],[Aantal maanden]])</f>
        <v>31008</v>
      </c>
      <c r="Q17" s="2" t="str">
        <f>IF(Keender[[#This Row],[Model 2
(eis M1 t/m M27)]]="","",Keender[[#This Row],[Zw/w p/m]]*Keender[[#This Row],[Aantal maanden]])</f>
        <v/>
      </c>
      <c r="R17" s="2" t="str">
        <f>IF(Keender[[#This Row],[Model 2
(eis M1 t/m M27)]]="","",Keender[[#This Row],[kleur p/m]]*Keender[[#This Row],[Aantal maanden]])</f>
        <v/>
      </c>
      <c r="S17" s="2">
        <f>IF(Keender[[#This Row],[Model 1
(eis M1 t/m M27)]]="","",Keender[[#This Row],[Zw/w p/j]])</f>
        <v>81720</v>
      </c>
      <c r="T17" s="2">
        <f>IF(Keender[[#This Row],[Model 1
(eis M1 t/m M27)]]="","",Keender[[#This Row],[Kleur p/j]])</f>
        <v>7752</v>
      </c>
      <c r="U17" s="2" t="str">
        <f>IF(Keender[[#This Row],[Model 2
(eis M1 t/m M27)]]="","",Keender[[#This Row],[Zw/w p/j]])</f>
        <v/>
      </c>
      <c r="V17" s="2" t="str">
        <f>IF(Keender[[#This Row],[Model 2
(eis M1 t/m M27)]]="","",Keender[[#This Row],[Kleur p/j]])</f>
        <v/>
      </c>
    </row>
    <row r="18" spans="1:22" x14ac:dyDescent="0.3">
      <c r="A18" t="s">
        <v>114</v>
      </c>
      <c r="B18" s="2" t="s">
        <v>115</v>
      </c>
      <c r="C18" t="s">
        <v>116</v>
      </c>
      <c r="D18" t="s">
        <v>406</v>
      </c>
      <c r="E18" t="s">
        <v>71</v>
      </c>
      <c r="F18" t="s">
        <v>118</v>
      </c>
      <c r="G18" s="26">
        <f>IF((Keender[[#This Row],[Zw/w p/j]]+Keender[[#This Row],[Kleur p/j]])&lt;SKOLO!$H$1,1,IF((Keender[[#This Row],[Zw/w p/j]]+Keender[[#This Row],[Kleur p/j]])&gt;SKOLO!$G$1,2,""))</f>
        <v>1</v>
      </c>
      <c r="H18" s="26" t="str">
        <f>IF(AND(Keender[[#This Row],[Zw/w p/j]]+Keender[[#This Row],[Kleur p/j]]&gt;=SKOLO!$H$1,Keender[[#This Row],[Zw/w p/j]]+Keender[[#This Row],[Kleur p/j]]&lt;SKOLO!$G$1),1,"")</f>
        <v/>
      </c>
      <c r="I18" s="4">
        <v>44562</v>
      </c>
      <c r="J18" s="1">
        <f>Keender[[#This Row],[Zw/w p/m]]*12</f>
        <v>176772</v>
      </c>
      <c r="K18" s="1">
        <f>Keender[[#This Row],[kleur p/m]]*12</f>
        <v>9312</v>
      </c>
      <c r="L18" s="2">
        <v>14731</v>
      </c>
      <c r="M18" s="2">
        <v>776</v>
      </c>
      <c r="N18" s="2">
        <v>48</v>
      </c>
      <c r="O18" s="2">
        <f>IF(Keender[[#This Row],[Model 1
(eis M1 t/m M27)]]="","",Keender[[#This Row],[Zw/w p/m]]*Keender[[#This Row],[Aantal maanden]])</f>
        <v>707088</v>
      </c>
      <c r="P18" s="2">
        <f>IF(Keender[[#This Row],[Model 1
(eis M1 t/m M27)]]="","",Keender[[#This Row],[kleur p/m]]*Keender[[#This Row],[Aantal maanden]])</f>
        <v>37248</v>
      </c>
      <c r="Q18" s="2" t="str">
        <f>IF(Keender[[#This Row],[Model 2
(eis M1 t/m M27)]]="","",Keender[[#This Row],[Zw/w p/m]]*Keender[[#This Row],[Aantal maanden]])</f>
        <v/>
      </c>
      <c r="R18" s="2" t="str">
        <f>IF(Keender[[#This Row],[Model 2
(eis M1 t/m M27)]]="","",Keender[[#This Row],[kleur p/m]]*Keender[[#This Row],[Aantal maanden]])</f>
        <v/>
      </c>
      <c r="S18" s="2">
        <f>IF(Keender[[#This Row],[Model 1
(eis M1 t/m M27)]]="","",Keender[[#This Row],[Zw/w p/j]])</f>
        <v>176772</v>
      </c>
      <c r="T18" s="2">
        <f>IF(Keender[[#This Row],[Model 1
(eis M1 t/m M27)]]="","",Keender[[#This Row],[Kleur p/j]])</f>
        <v>9312</v>
      </c>
      <c r="U18" s="2" t="str">
        <f>IF(Keender[[#This Row],[Model 2
(eis M1 t/m M27)]]="","",Keender[[#This Row],[Zw/w p/j]])</f>
        <v/>
      </c>
      <c r="V18" s="2" t="str">
        <f>IF(Keender[[#This Row],[Model 2
(eis M1 t/m M27)]]="","",Keender[[#This Row],[Kleur p/j]])</f>
        <v/>
      </c>
    </row>
    <row r="19" spans="1:22" x14ac:dyDescent="0.3">
      <c r="A19" t="s">
        <v>119</v>
      </c>
      <c r="B19" s="2" t="s">
        <v>120</v>
      </c>
      <c r="C19" t="s">
        <v>121</v>
      </c>
      <c r="D19" t="s">
        <v>122</v>
      </c>
      <c r="E19" t="s">
        <v>123</v>
      </c>
      <c r="F19" t="s">
        <v>124</v>
      </c>
      <c r="G19" s="26" t="str">
        <f>IF((Keender[[#This Row],[Zw/w p/j]]+Keender[[#This Row],[Kleur p/j]])&lt;SKOLO!$H$1,1,IF((Keender[[#This Row],[Zw/w p/j]]+Keender[[#This Row],[Kleur p/j]])&gt;SKOLO!$G$1,2,""))</f>
        <v/>
      </c>
      <c r="H19" s="26">
        <f>IF(AND(Keender[[#This Row],[Zw/w p/j]]+Keender[[#This Row],[Kleur p/j]]&gt;=SKOLO!$H$1,Keender[[#This Row],[Zw/w p/j]]+Keender[[#This Row],[Kleur p/j]]&lt;SKOLO!$G$1),1,"")</f>
        <v>1</v>
      </c>
      <c r="I19" s="4">
        <v>44562</v>
      </c>
      <c r="J19" s="1">
        <f>Keender[[#This Row],[Zw/w p/m]]*12</f>
        <v>212614</v>
      </c>
      <c r="K19" s="1">
        <f>Keender[[#This Row],[kleur p/m]]*12</f>
        <v>57400</v>
      </c>
      <c r="L19" s="2">
        <v>17717.833333333332</v>
      </c>
      <c r="M19" s="2">
        <v>4783.333333333333</v>
      </c>
      <c r="N19" s="2">
        <v>48</v>
      </c>
      <c r="O19" s="2" t="str">
        <f>IF(Keender[[#This Row],[Model 1
(eis M1 t/m M27)]]="","",Keender[[#This Row],[Zw/w p/m]]*Keender[[#This Row],[Aantal maanden]])</f>
        <v/>
      </c>
      <c r="P19" s="2" t="str">
        <f>IF(Keender[[#This Row],[Model 1
(eis M1 t/m M27)]]="","",Keender[[#This Row],[kleur p/m]]*Keender[[#This Row],[Aantal maanden]])</f>
        <v/>
      </c>
      <c r="Q19" s="2">
        <f>IF(Keender[[#This Row],[Model 2
(eis M1 t/m M27)]]="","",Keender[[#This Row],[Zw/w p/m]]*Keender[[#This Row],[Aantal maanden]])</f>
        <v>850456</v>
      </c>
      <c r="R19" s="2">
        <f>IF(Keender[[#This Row],[Model 2
(eis M1 t/m M27)]]="","",Keender[[#This Row],[kleur p/m]]*Keender[[#This Row],[Aantal maanden]])</f>
        <v>229600</v>
      </c>
      <c r="S19" s="2" t="str">
        <f>IF(Keender[[#This Row],[Model 1
(eis M1 t/m M27)]]="","",Keender[[#This Row],[Zw/w p/j]])</f>
        <v/>
      </c>
      <c r="T19" s="2" t="str">
        <f>IF(Keender[[#This Row],[Model 1
(eis M1 t/m M27)]]="","",Keender[[#This Row],[Kleur p/j]])</f>
        <v/>
      </c>
      <c r="U19" s="2">
        <f>IF(Keender[[#This Row],[Model 2
(eis M1 t/m M27)]]="","",Keender[[#This Row],[Zw/w p/j]])</f>
        <v>212614</v>
      </c>
      <c r="V19" s="2">
        <f>IF(Keender[[#This Row],[Model 2
(eis M1 t/m M27)]]="","",Keender[[#This Row],[Kleur p/j]])</f>
        <v>57400</v>
      </c>
    </row>
    <row r="20" spans="1:22" x14ac:dyDescent="0.3">
      <c r="A20" t="s">
        <v>125</v>
      </c>
      <c r="B20" s="2" t="s">
        <v>129</v>
      </c>
      <c r="C20" t="s">
        <v>126</v>
      </c>
      <c r="D20" t="s">
        <v>96</v>
      </c>
      <c r="E20" t="s">
        <v>71</v>
      </c>
      <c r="F20" t="s">
        <v>127</v>
      </c>
      <c r="G20" s="26">
        <f>IF((Keender[[#This Row],[Zw/w p/j]]+Keender[[#This Row],[Kleur p/j]])&lt;SKOLO!$H$1,1,IF((Keender[[#This Row],[Zw/w p/j]]+Keender[[#This Row],[Kleur p/j]])&gt;SKOLO!$G$1,2,""))</f>
        <v>1</v>
      </c>
      <c r="H20" s="26" t="str">
        <f>IF(AND(Keender[[#This Row],[Zw/w p/j]]+Keender[[#This Row],[Kleur p/j]]&gt;=SKOLO!$H$1,Keender[[#This Row],[Zw/w p/j]]+Keender[[#This Row],[Kleur p/j]]&lt;SKOLO!$G$1),1,"")</f>
        <v/>
      </c>
      <c r="I20" s="4">
        <v>44562</v>
      </c>
      <c r="J20" s="1">
        <f>Keender[[#This Row],[Zw/w p/m]]*12</f>
        <v>22620</v>
      </c>
      <c r="K20" s="1">
        <f>Keender[[#This Row],[kleur p/m]]*12</f>
        <v>15180</v>
      </c>
      <c r="L20" s="2">
        <v>1885</v>
      </c>
      <c r="M20" s="2">
        <v>1265</v>
      </c>
      <c r="N20" s="2">
        <v>48</v>
      </c>
      <c r="O20" s="2">
        <f>IF(Keender[[#This Row],[Model 1
(eis M1 t/m M27)]]="","",Keender[[#This Row],[Zw/w p/m]]*Keender[[#This Row],[Aantal maanden]])</f>
        <v>90480</v>
      </c>
      <c r="P20" s="2">
        <f>IF(Keender[[#This Row],[Model 1
(eis M1 t/m M27)]]="","",Keender[[#This Row],[kleur p/m]]*Keender[[#This Row],[Aantal maanden]])</f>
        <v>60720</v>
      </c>
      <c r="Q20" s="2" t="str">
        <f>IF(Keender[[#This Row],[Model 2
(eis M1 t/m M27)]]="","",Keender[[#This Row],[Zw/w p/m]]*Keender[[#This Row],[Aantal maanden]])</f>
        <v/>
      </c>
      <c r="R20" s="2" t="str">
        <f>IF(Keender[[#This Row],[Model 2
(eis M1 t/m M27)]]="","",Keender[[#This Row],[kleur p/m]]*Keender[[#This Row],[Aantal maanden]])</f>
        <v/>
      </c>
      <c r="S20" s="2">
        <f>IF(Keender[[#This Row],[Model 1
(eis M1 t/m M27)]]="","",Keender[[#This Row],[Zw/w p/j]])</f>
        <v>22620</v>
      </c>
      <c r="T20" s="2">
        <f>IF(Keender[[#This Row],[Model 1
(eis M1 t/m M27)]]="","",Keender[[#This Row],[Kleur p/j]])</f>
        <v>15180</v>
      </c>
      <c r="U20" s="2" t="str">
        <f>IF(Keender[[#This Row],[Model 2
(eis M1 t/m M27)]]="","",Keender[[#This Row],[Zw/w p/j]])</f>
        <v/>
      </c>
      <c r="V20" s="2" t="str">
        <f>IF(Keender[[#This Row],[Model 2
(eis M1 t/m M27)]]="","",Keender[[#This Row],[Kleur p/j]])</f>
        <v/>
      </c>
    </row>
    <row r="21" spans="1:22" x14ac:dyDescent="0.3">
      <c r="A21" t="s">
        <v>33</v>
      </c>
      <c r="G21" s="110">
        <f>SUBTOTAL(109,Keender[Model 1
(eis M1 t/m M27)])</f>
        <v>14</v>
      </c>
      <c r="H21" s="111">
        <f>SUBTOTAL(109,Keender[Model 2
(eis M1 t/m M27)])</f>
        <v>5</v>
      </c>
      <c r="J21" s="3">
        <f>SUM(Keender[Zw/w p/j])</f>
        <v>2618047.333333333</v>
      </c>
      <c r="K21" s="3">
        <f>SUM(Keender[Kleur p/j])</f>
        <v>501166.66666666663</v>
      </c>
      <c r="L21" s="2">
        <f>SUBTOTAL(109,Keender[Zw/w p/m])</f>
        <v>218170.61111111112</v>
      </c>
      <c r="M21" s="5">
        <f>ROUNDUP(SUBTOTAL(109,Keender[kleur p/m]),0)</f>
        <v>41764</v>
      </c>
      <c r="N21" s="2">
        <f>SUM(Keender[Aantal maanden])</f>
        <v>912</v>
      </c>
      <c r="O21" s="2">
        <f>SUM(Keender['# zw/w afdrukken eerste 48 mnd M1])</f>
        <v>5778997.333333334</v>
      </c>
      <c r="P21" s="2">
        <f>SUM(Keender['# kleur afdrukken eerste 48 mnd M1])</f>
        <v>1130090.6666666667</v>
      </c>
      <c r="Q21" s="2">
        <f>SUM(Keender['# zw/w afdrukken eerste 48 mnd M2])</f>
        <v>4693192</v>
      </c>
      <c r="R21" s="2">
        <f>SUM(Keender['# kleur afdrukken eerste 48 mnd M2])</f>
        <v>874576</v>
      </c>
      <c r="S21" s="3">
        <f>SUM(Keender[Aantal zw/w afdrukken per optiejaar M1])</f>
        <v>1444749.3333333335</v>
      </c>
      <c r="T21" s="3">
        <f>SUM(Keender[Aantal kleur afdrukken per optiejaar M1])</f>
        <v>282522.66666666669</v>
      </c>
      <c r="U21" s="3">
        <f>SUM(Keender[Aantal zw/w afdrukken per optiejaar M2])</f>
        <v>1173298</v>
      </c>
      <c r="V21" s="3">
        <f>SUM(Keender[Aantal kleur afdrukken per optiejaar M2])</f>
        <v>218644</v>
      </c>
    </row>
    <row r="22" spans="1:22" x14ac:dyDescent="0.3">
      <c r="G22" s="38"/>
      <c r="H22" s="30"/>
      <c r="J22" s="3"/>
      <c r="K22" s="3"/>
      <c r="L22" s="2"/>
      <c r="M22" s="5"/>
      <c r="N22" s="2"/>
      <c r="O22" s="2"/>
      <c r="P22" s="2"/>
      <c r="Q22" s="2"/>
      <c r="R22" s="2"/>
      <c r="S22" s="3"/>
      <c r="T22" s="3"/>
      <c r="U22" s="3"/>
      <c r="V22" s="3"/>
    </row>
    <row r="24" spans="1:22" x14ac:dyDescent="0.3">
      <c r="F24" s="24" t="s">
        <v>399</v>
      </c>
      <c r="G24" s="45" t="s">
        <v>330</v>
      </c>
      <c r="H24" s="44" t="s">
        <v>328</v>
      </c>
      <c r="I24" s="44" t="s">
        <v>329</v>
      </c>
    </row>
    <row r="25" spans="1:22" ht="16.2" x14ac:dyDescent="0.3">
      <c r="C25" s="33"/>
      <c r="D25" s="33"/>
      <c r="E25" s="33"/>
      <c r="F25" s="42" t="s">
        <v>353</v>
      </c>
      <c r="G25" s="47">
        <v>0</v>
      </c>
      <c r="H25" s="47">
        <v>0</v>
      </c>
      <c r="I25" s="48">
        <v>0</v>
      </c>
      <c r="K25" s="94" t="s">
        <v>338</v>
      </c>
      <c r="L25" s="94" t="s">
        <v>338</v>
      </c>
      <c r="M25" s="94" t="s">
        <v>338</v>
      </c>
      <c r="N25" s="94" t="s">
        <v>338</v>
      </c>
    </row>
    <row r="26" spans="1:22" ht="16.2" x14ac:dyDescent="0.3">
      <c r="D26" s="33"/>
      <c r="E26" s="33"/>
      <c r="F26" s="42" t="s">
        <v>352</v>
      </c>
      <c r="G26" s="47">
        <v>0</v>
      </c>
      <c r="H26" s="47">
        <v>0</v>
      </c>
      <c r="I26" s="47">
        <v>0</v>
      </c>
      <c r="K26" s="95" t="s">
        <v>392</v>
      </c>
      <c r="L26" s="96" t="s">
        <v>360</v>
      </c>
      <c r="M26" s="95" t="s">
        <v>339</v>
      </c>
      <c r="N26" s="97" t="s">
        <v>361</v>
      </c>
    </row>
    <row r="27" spans="1:22" x14ac:dyDescent="0.3">
      <c r="G27" s="6"/>
      <c r="H27" s="6"/>
      <c r="I27" s="6"/>
      <c r="K27" s="29">
        <f>MROUND(Keender[[#Totals],['# zw/w afdrukken eerste 48 mnd M1]]+Keender[[#Totals],['# zw/w afdrukken eerste 48 mnd M2]],1000)</f>
        <v>10472000</v>
      </c>
      <c r="L27" s="29">
        <f>MROUND(Keender[[#Totals],[Aantal zw/w afdrukken per optiejaar M1]]+Keender[[#Totals],[Aantal zw/w afdrukken per optiejaar M2]],1000)</f>
        <v>2618000</v>
      </c>
      <c r="M27" s="29">
        <f>MROUND(Keender[[#Totals],['# kleur afdrukken eerste 48 mnd M1]]+Keender[[#Totals],['# kleur afdrukken eerste 48 mnd M2]],1000)</f>
        <v>2005000</v>
      </c>
      <c r="N27" s="29">
        <f>MROUND(Keender[[#Totals],[Aantal kleur afdrukken per optiejaar M1]]+Keender[[#Totals],[Aantal kleur afdrukken per optiejaar M2]],1000)</f>
        <v>501000</v>
      </c>
    </row>
    <row r="28" spans="1:22" x14ac:dyDescent="0.3">
      <c r="F28" s="24" t="s">
        <v>398</v>
      </c>
      <c r="G28" s="6"/>
      <c r="H28" s="6"/>
      <c r="I28" s="6"/>
      <c r="K28" s="102"/>
      <c r="L28" s="102"/>
      <c r="M28" s="102"/>
      <c r="N28" s="102"/>
    </row>
    <row r="29" spans="1:22" x14ac:dyDescent="0.3">
      <c r="D29" s="32"/>
      <c r="F29" s="23" t="s">
        <v>331</v>
      </c>
      <c r="G29" s="49">
        <v>0</v>
      </c>
      <c r="H29" s="49">
        <v>0</v>
      </c>
      <c r="I29" s="49">
        <v>0</v>
      </c>
    </row>
    <row r="30" spans="1:22" x14ac:dyDescent="0.3">
      <c r="D30" s="31"/>
      <c r="E30" s="31"/>
      <c r="F30" s="23" t="s">
        <v>314</v>
      </c>
      <c r="G30" s="49">
        <v>0</v>
      </c>
      <c r="H30" s="49">
        <v>0</v>
      </c>
      <c r="I30" s="49">
        <v>0</v>
      </c>
    </row>
    <row r="31" spans="1:22" x14ac:dyDescent="0.3">
      <c r="D31" s="31"/>
      <c r="E31" s="31"/>
      <c r="F31" s="23"/>
      <c r="G31" s="103"/>
      <c r="H31" s="103"/>
      <c r="I31" s="103"/>
      <c r="J31" s="85"/>
    </row>
    <row r="32" spans="1:22" x14ac:dyDescent="0.3">
      <c r="C32" s="23"/>
      <c r="D32" s="23"/>
      <c r="E32" s="23"/>
      <c r="F32" s="24" t="s">
        <v>396</v>
      </c>
      <c r="G32" s="6"/>
      <c r="H32" s="6"/>
      <c r="I32" s="6"/>
    </row>
    <row r="33" spans="3:14" x14ac:dyDescent="0.3">
      <c r="C33" s="23"/>
      <c r="D33" s="23"/>
      <c r="E33" s="23"/>
      <c r="F33" s="23" t="s">
        <v>362</v>
      </c>
      <c r="G33" s="50">
        <v>0</v>
      </c>
      <c r="H33" s="50">
        <v>0</v>
      </c>
      <c r="I33" s="50">
        <v>0</v>
      </c>
      <c r="L33" s="25"/>
    </row>
    <row r="34" spans="3:14" x14ac:dyDescent="0.3">
      <c r="C34" s="23"/>
      <c r="D34" s="23"/>
      <c r="E34" s="23"/>
      <c r="F34" s="100"/>
      <c r="G34" s="25"/>
      <c r="H34" s="25"/>
      <c r="I34" s="25"/>
      <c r="J34" s="85"/>
      <c r="L34" s="25"/>
    </row>
    <row r="35" spans="3:14" x14ac:dyDescent="0.3">
      <c r="C35" s="23"/>
      <c r="D35" s="23"/>
      <c r="E35" s="23"/>
      <c r="F35" s="83" t="s">
        <v>393</v>
      </c>
      <c r="G35" s="25"/>
      <c r="H35" s="25"/>
      <c r="I35" s="25"/>
      <c r="L35" s="25"/>
    </row>
    <row r="36" spans="3:14" x14ac:dyDescent="0.3">
      <c r="C36" s="120" t="s">
        <v>394</v>
      </c>
      <c r="D36" s="120"/>
      <c r="E36" s="120"/>
      <c r="F36" s="120"/>
      <c r="G36" s="51">
        <v>0</v>
      </c>
      <c r="H36" s="11" t="s">
        <v>426</v>
      </c>
      <c r="I36" s="25"/>
    </row>
    <row r="37" spans="3:14" x14ac:dyDescent="0.3">
      <c r="C37" s="120" t="s">
        <v>395</v>
      </c>
      <c r="D37" s="120"/>
      <c r="E37" s="120"/>
      <c r="F37" s="120"/>
      <c r="G37" s="51">
        <v>0</v>
      </c>
      <c r="H37" s="11" t="s">
        <v>426</v>
      </c>
      <c r="I37" s="25"/>
    </row>
    <row r="38" spans="3:14" x14ac:dyDescent="0.3">
      <c r="C38" s="23"/>
      <c r="D38" s="23"/>
      <c r="E38" s="23"/>
      <c r="F38" s="23"/>
      <c r="G38" s="85"/>
      <c r="H38" s="85"/>
      <c r="I38" s="85"/>
    </row>
    <row r="39" spans="3:14" x14ac:dyDescent="0.3">
      <c r="C39" s="115"/>
      <c r="D39" s="115"/>
      <c r="E39" s="115"/>
      <c r="F39" s="83" t="s">
        <v>424</v>
      </c>
      <c r="G39" s="44" t="s">
        <v>363</v>
      </c>
      <c r="H39" s="44" t="s">
        <v>364</v>
      </c>
      <c r="I39" s="44" t="s">
        <v>365</v>
      </c>
      <c r="J39" s="44" t="s">
        <v>366</v>
      </c>
      <c r="K39" s="44" t="s">
        <v>367</v>
      </c>
      <c r="L39" s="44" t="s">
        <v>368</v>
      </c>
      <c r="M39" s="44" t="s">
        <v>369</v>
      </c>
      <c r="N39" s="44" t="s">
        <v>370</v>
      </c>
    </row>
    <row r="40" spans="3:14" x14ac:dyDescent="0.3">
      <c r="C40" s="42"/>
      <c r="D40" s="42"/>
      <c r="E40" s="46"/>
      <c r="F40" s="42" t="s">
        <v>425</v>
      </c>
      <c r="G40" s="63"/>
      <c r="H40" s="63"/>
      <c r="I40" s="63"/>
      <c r="J40" s="63"/>
      <c r="K40" s="63"/>
      <c r="L40" s="63"/>
      <c r="M40" s="63"/>
      <c r="N40" s="63"/>
    </row>
    <row r="41" spans="3:14" x14ac:dyDescent="0.3">
      <c r="C41" s="42"/>
      <c r="D41" s="42"/>
      <c r="E41" s="42"/>
      <c r="F41" s="42" t="s">
        <v>373</v>
      </c>
      <c r="G41" s="63"/>
      <c r="H41" s="63"/>
      <c r="I41" s="63"/>
      <c r="J41" s="63"/>
      <c r="K41" s="63"/>
      <c r="L41" s="63"/>
      <c r="M41" s="63"/>
      <c r="N41" s="63"/>
    </row>
    <row r="42" spans="3:14" x14ac:dyDescent="0.3">
      <c r="C42" s="42"/>
      <c r="D42" s="42"/>
      <c r="E42" s="42"/>
      <c r="F42" s="42" t="s">
        <v>333</v>
      </c>
      <c r="G42" s="63"/>
      <c r="H42" s="63"/>
      <c r="I42" s="63"/>
      <c r="J42" s="63"/>
      <c r="K42" s="63"/>
      <c r="L42" s="63"/>
      <c r="M42" s="63"/>
      <c r="N42" s="63"/>
    </row>
    <row r="43" spans="3:14" x14ac:dyDescent="0.3">
      <c r="C43" s="42"/>
      <c r="D43" s="42"/>
      <c r="E43" s="42"/>
      <c r="F43" s="42" t="s">
        <v>334</v>
      </c>
      <c r="G43" s="63"/>
      <c r="H43" s="63"/>
      <c r="I43" s="63"/>
      <c r="J43" s="63"/>
      <c r="K43" s="63"/>
      <c r="L43" s="63"/>
      <c r="M43" s="63"/>
      <c r="N43" s="63"/>
    </row>
    <row r="44" spans="3:14" x14ac:dyDescent="0.3">
      <c r="C44" s="42"/>
      <c r="D44" s="42"/>
      <c r="E44" s="42"/>
      <c r="F44" s="42" t="s">
        <v>335</v>
      </c>
      <c r="G44" s="63"/>
      <c r="H44" s="63"/>
      <c r="I44" s="63"/>
      <c r="J44" s="63"/>
      <c r="K44" s="63"/>
      <c r="L44" s="63"/>
      <c r="M44" s="63"/>
      <c r="N44" s="63"/>
    </row>
    <row r="45" spans="3:14" x14ac:dyDescent="0.3">
      <c r="C45" s="42"/>
      <c r="D45" s="42"/>
      <c r="E45" s="42"/>
      <c r="F45" s="42" t="s">
        <v>336</v>
      </c>
      <c r="G45" s="63"/>
      <c r="H45" s="84"/>
      <c r="I45" s="63"/>
      <c r="J45" s="63"/>
      <c r="K45" s="63"/>
      <c r="L45" s="63"/>
      <c r="M45" s="63"/>
      <c r="N45" s="63"/>
    </row>
    <row r="46" spans="3:14" x14ac:dyDescent="0.3">
      <c r="C46" s="42"/>
      <c r="D46" s="42"/>
      <c r="E46" s="42"/>
      <c r="F46" s="42" t="s">
        <v>371</v>
      </c>
      <c r="G46" s="63"/>
      <c r="H46" s="63"/>
      <c r="I46" s="63"/>
      <c r="J46" s="63"/>
      <c r="K46" s="63"/>
      <c r="L46" s="63"/>
      <c r="M46" s="63"/>
      <c r="N46" s="63"/>
    </row>
    <row r="47" spans="3:14" x14ac:dyDescent="0.3">
      <c r="C47" s="42"/>
      <c r="D47" s="42"/>
      <c r="E47" s="42"/>
      <c r="F47" s="42" t="s">
        <v>337</v>
      </c>
      <c r="G47" s="63"/>
      <c r="H47" s="63"/>
      <c r="I47" s="63"/>
      <c r="J47" s="63"/>
      <c r="K47" s="63"/>
      <c r="L47" s="63"/>
      <c r="M47" s="63"/>
      <c r="N47" s="63"/>
    </row>
    <row r="48" spans="3:14" x14ac:dyDescent="0.3">
      <c r="C48" s="42"/>
      <c r="D48" s="42"/>
      <c r="E48" s="42"/>
      <c r="F48" s="42" t="s">
        <v>372</v>
      </c>
      <c r="G48" s="63"/>
      <c r="H48" s="63"/>
      <c r="I48" s="63"/>
      <c r="J48" s="63"/>
      <c r="K48" s="63"/>
      <c r="L48" s="63"/>
      <c r="M48" s="63"/>
      <c r="N48" s="63"/>
    </row>
    <row r="49" spans="3:14" x14ac:dyDescent="0.3">
      <c r="C49" s="23"/>
      <c r="D49" s="23"/>
      <c r="E49" s="23"/>
      <c r="F49" s="24" t="s">
        <v>375</v>
      </c>
      <c r="G49" s="51">
        <v>0</v>
      </c>
      <c r="H49" s="51">
        <v>0</v>
      </c>
      <c r="I49" s="51">
        <v>0</v>
      </c>
      <c r="J49" s="51">
        <v>0</v>
      </c>
      <c r="K49" s="51">
        <v>0</v>
      </c>
      <c r="L49" s="51">
        <v>0</v>
      </c>
      <c r="M49" s="51">
        <v>0</v>
      </c>
      <c r="N49" s="51">
        <v>0</v>
      </c>
    </row>
    <row r="50" spans="3:14" x14ac:dyDescent="0.3">
      <c r="C50" s="23"/>
      <c r="D50" s="23"/>
      <c r="E50" s="23"/>
      <c r="F50" s="24" t="s">
        <v>374</v>
      </c>
      <c r="G50" s="51">
        <v>0</v>
      </c>
      <c r="H50" s="51">
        <v>0</v>
      </c>
      <c r="I50" s="51">
        <v>0</v>
      </c>
      <c r="J50" s="51">
        <v>0</v>
      </c>
      <c r="K50" s="51">
        <v>0</v>
      </c>
      <c r="L50" s="51">
        <v>0</v>
      </c>
      <c r="M50" s="51">
        <v>0</v>
      </c>
      <c r="N50" s="51">
        <v>0</v>
      </c>
    </row>
    <row r="51" spans="3:14" x14ac:dyDescent="0.3">
      <c r="C51" s="23"/>
      <c r="D51" s="23"/>
      <c r="E51" s="23"/>
      <c r="F51" s="23"/>
      <c r="G51" s="25"/>
      <c r="H51" s="25"/>
      <c r="I51" s="25"/>
    </row>
    <row r="52" spans="3:14" x14ac:dyDescent="0.3">
      <c r="C52" s="23"/>
      <c r="D52" s="23"/>
      <c r="E52" s="23"/>
      <c r="F52" s="23"/>
      <c r="G52" s="45" t="s">
        <v>330</v>
      </c>
      <c r="H52" s="44" t="s">
        <v>328</v>
      </c>
      <c r="I52" s="44" t="s">
        <v>329</v>
      </c>
    </row>
    <row r="53" spans="3:14" x14ac:dyDescent="0.3">
      <c r="C53" s="120" t="s">
        <v>401</v>
      </c>
      <c r="D53" s="120"/>
      <c r="E53" s="120"/>
      <c r="F53" s="120"/>
      <c r="G53" s="64">
        <v>0</v>
      </c>
      <c r="J53" s="12" t="s">
        <v>317</v>
      </c>
    </row>
    <row r="54" spans="3:14" x14ac:dyDescent="0.3">
      <c r="C54" s="120" t="s">
        <v>376</v>
      </c>
      <c r="D54" s="120"/>
      <c r="E54" s="120"/>
      <c r="F54" s="120"/>
      <c r="G54" s="65">
        <v>0</v>
      </c>
      <c r="H54" s="65">
        <v>0</v>
      </c>
      <c r="I54" s="65">
        <v>0</v>
      </c>
      <c r="J54" s="12" t="s">
        <v>317</v>
      </c>
    </row>
    <row r="55" spans="3:14" x14ac:dyDescent="0.3">
      <c r="C55" s="120" t="s">
        <v>377</v>
      </c>
      <c r="D55" s="120"/>
      <c r="E55" s="120"/>
      <c r="F55" s="120"/>
      <c r="G55" s="65">
        <v>0</v>
      </c>
      <c r="H55" s="65">
        <v>0</v>
      </c>
      <c r="I55" s="65">
        <v>0</v>
      </c>
      <c r="J55" s="12" t="s">
        <v>317</v>
      </c>
    </row>
    <row r="56" spans="3:14" x14ac:dyDescent="0.3">
      <c r="C56" s="120" t="s">
        <v>378</v>
      </c>
      <c r="D56" s="120"/>
      <c r="E56" s="120"/>
      <c r="F56" s="120"/>
      <c r="G56" s="65">
        <v>0</v>
      </c>
      <c r="H56" s="65">
        <v>0</v>
      </c>
      <c r="I56" s="65">
        <v>0</v>
      </c>
      <c r="J56" s="12" t="s">
        <v>317</v>
      </c>
    </row>
    <row r="57" spans="3:14" x14ac:dyDescent="0.3">
      <c r="C57" s="120" t="s">
        <v>379</v>
      </c>
      <c r="D57" s="120"/>
      <c r="E57" s="120"/>
      <c r="F57" s="120"/>
      <c r="G57" s="65">
        <v>0</v>
      </c>
      <c r="H57" s="65">
        <v>0</v>
      </c>
      <c r="I57" s="65">
        <v>0</v>
      </c>
      <c r="J57" s="12" t="s">
        <v>317</v>
      </c>
    </row>
    <row r="58" spans="3:14" ht="16.2" x14ac:dyDescent="0.3">
      <c r="C58" s="120" t="s">
        <v>382</v>
      </c>
      <c r="D58" s="120"/>
      <c r="E58" s="120" t="s">
        <v>318</v>
      </c>
      <c r="F58" s="120"/>
      <c r="G58" s="65">
        <v>0</v>
      </c>
      <c r="H58" s="65">
        <v>0</v>
      </c>
      <c r="I58" s="65">
        <v>0</v>
      </c>
      <c r="J58" s="12" t="s">
        <v>317</v>
      </c>
    </row>
    <row r="59" spans="3:14" ht="16.2" x14ac:dyDescent="0.3">
      <c r="C59" s="120" t="s">
        <v>383</v>
      </c>
      <c r="D59" s="120"/>
      <c r="E59" s="120" t="s">
        <v>318</v>
      </c>
      <c r="F59" s="120"/>
      <c r="G59" s="65">
        <v>0</v>
      </c>
      <c r="H59" s="65">
        <v>0</v>
      </c>
      <c r="I59" s="65">
        <v>0</v>
      </c>
      <c r="J59" s="12" t="s">
        <v>317</v>
      </c>
    </row>
    <row r="60" spans="3:14" ht="16.2" x14ac:dyDescent="0.3">
      <c r="C60" s="120" t="s">
        <v>380</v>
      </c>
      <c r="D60" s="120"/>
      <c r="E60" s="120" t="s">
        <v>318</v>
      </c>
      <c r="F60" s="120"/>
      <c r="G60" s="65">
        <v>0</v>
      </c>
      <c r="H60" s="65">
        <v>0</v>
      </c>
      <c r="I60" s="65">
        <v>0</v>
      </c>
      <c r="J60" s="12" t="s">
        <v>317</v>
      </c>
    </row>
    <row r="61" spans="3:14" ht="16.2" x14ac:dyDescent="0.3">
      <c r="C61" s="120" t="s">
        <v>381</v>
      </c>
      <c r="D61" s="120"/>
      <c r="E61" s="120" t="s">
        <v>318</v>
      </c>
      <c r="F61" s="120"/>
      <c r="G61" s="65">
        <v>0</v>
      </c>
      <c r="H61" s="65">
        <v>0</v>
      </c>
      <c r="I61" s="65">
        <v>0</v>
      </c>
      <c r="J61" s="12" t="s">
        <v>317</v>
      </c>
    </row>
    <row r="62" spans="3:14" ht="15" thickBot="1" x14ac:dyDescent="0.35">
      <c r="C62" s="23"/>
      <c r="D62" s="23"/>
      <c r="E62" s="23"/>
      <c r="F62" s="23"/>
      <c r="G62" s="28"/>
      <c r="H62" s="28"/>
      <c r="I62" s="28"/>
      <c r="J62" s="12"/>
    </row>
    <row r="63" spans="3:14" x14ac:dyDescent="0.3">
      <c r="D63" s="66"/>
      <c r="E63" s="67"/>
      <c r="F63" s="68" t="s">
        <v>359</v>
      </c>
      <c r="G63" s="69" t="s">
        <v>330</v>
      </c>
      <c r="H63" s="70" t="s">
        <v>328</v>
      </c>
      <c r="I63" s="70" t="s">
        <v>329</v>
      </c>
      <c r="J63" s="71" t="s">
        <v>358</v>
      </c>
    </row>
    <row r="64" spans="3:14" x14ac:dyDescent="0.3">
      <c r="C64" s="31"/>
      <c r="D64" s="72"/>
      <c r="E64" s="53"/>
      <c r="F64" s="54" t="s">
        <v>355</v>
      </c>
      <c r="G64" s="55">
        <f>G25*Keender[[#Totals],[Model 1
(eis M1 t/m M27)]]*48</f>
        <v>0</v>
      </c>
      <c r="H64" s="55">
        <f>H25*Keender[[#Totals],[Model 1
(eis M1 t/m M27)]]*12</f>
        <v>0</v>
      </c>
      <c r="I64" s="55">
        <f>I25*Keender[[#Totals],[Model 1
(eis M1 t/m M27)]]*12</f>
        <v>0</v>
      </c>
      <c r="J64" s="73">
        <f t="shared" ref="J64:J68" si="0">SUM(G64:I64)</f>
        <v>0</v>
      </c>
    </row>
    <row r="65" spans="3:11" x14ac:dyDescent="0.3">
      <c r="C65" s="31"/>
      <c r="D65" s="74"/>
      <c r="E65" s="56"/>
      <c r="F65" s="57" t="s">
        <v>354</v>
      </c>
      <c r="G65" s="58">
        <f>G26*Keender[[#Totals],[Model 2
(eis M1 t/m M27)]]*48</f>
        <v>0</v>
      </c>
      <c r="H65" s="58">
        <f>H26*Keender[[#Totals],[Model 2
(eis M1 t/m M27)]]*12</f>
        <v>0</v>
      </c>
      <c r="I65" s="58">
        <f>I26*Keender[[#Totals],[Model 2
(eis M1 t/m M27)]]*12</f>
        <v>0</v>
      </c>
      <c r="J65" s="75">
        <f t="shared" si="0"/>
        <v>0</v>
      </c>
    </row>
    <row r="66" spans="3:11" x14ac:dyDescent="0.3">
      <c r="C66" s="31"/>
      <c r="D66" s="72"/>
      <c r="E66" s="53"/>
      <c r="F66" s="54" t="s">
        <v>356</v>
      </c>
      <c r="G66" s="55">
        <f>G29*K27</f>
        <v>0</v>
      </c>
      <c r="H66" s="55">
        <f>H29*L27</f>
        <v>0</v>
      </c>
      <c r="I66" s="55">
        <f>I29*L27</f>
        <v>0</v>
      </c>
      <c r="J66" s="73">
        <f t="shared" si="0"/>
        <v>0</v>
      </c>
    </row>
    <row r="67" spans="3:11" x14ac:dyDescent="0.3">
      <c r="C67" s="31"/>
      <c r="D67" s="74"/>
      <c r="E67" s="56"/>
      <c r="F67" s="57" t="s">
        <v>357</v>
      </c>
      <c r="G67" s="58">
        <f>G30*M27</f>
        <v>0</v>
      </c>
      <c r="H67" s="58">
        <f>H30*N27</f>
        <v>0</v>
      </c>
      <c r="I67" s="58">
        <f>I30*N27</f>
        <v>0</v>
      </c>
      <c r="J67" s="75">
        <f t="shared" si="0"/>
        <v>0</v>
      </c>
    </row>
    <row r="68" spans="3:11" x14ac:dyDescent="0.3">
      <c r="C68" s="41"/>
      <c r="D68" s="76"/>
      <c r="E68" s="59"/>
      <c r="F68" s="54" t="s">
        <v>327</v>
      </c>
      <c r="G68" s="55">
        <f>G33*(Keender[[#Totals],[Model 1
(eis M1 t/m M27)]]+Keender[[#Totals],[Model 2
(eis M1 t/m M27)]])*48</f>
        <v>0</v>
      </c>
      <c r="H68" s="55">
        <f>H33*(Keender[[#Totals],[Model 1
(eis M1 t/m M27)]]+Keender[[#Totals],[Model 2
(eis M1 t/m M27)]])*12</f>
        <v>0</v>
      </c>
      <c r="I68" s="55">
        <f>I33*(Keender[[#Totals],[Model 1
(eis M1 t/m M27)]]+Keender[[#Totals],[Model 2
(eis M1 t/m M27)]])*12</f>
        <v>0</v>
      </c>
      <c r="J68" s="73">
        <f t="shared" si="0"/>
        <v>0</v>
      </c>
      <c r="K68" s="39"/>
    </row>
    <row r="69" spans="3:11" x14ac:dyDescent="0.3">
      <c r="C69" s="41"/>
      <c r="D69" s="77"/>
      <c r="E69" s="60"/>
      <c r="F69" s="57" t="s">
        <v>332</v>
      </c>
      <c r="G69" s="58">
        <f>SUM(G49:N49)*48*(Keender[[#Totals],[Model 1
(eis M1 t/m M27)]]+Keender[[#Totals],[Model 2
(eis M1 t/m M27)]])</f>
        <v>0</v>
      </c>
      <c r="H69" s="58">
        <f>SUM(G50:N50)*12*(Keender[[#Totals],[Model 1
(eis M1 t/m M27)]]+Keender[[#Totals],[Model 2
(eis M1 t/m M27)]])</f>
        <v>0</v>
      </c>
      <c r="I69" s="58">
        <f>SUM(G50:N50)*12*(Keender[[#Totals],[Model 1
(eis M1 t/m M27)]]+Keender[[#Totals],[Model 2
(eis M1 t/m M27)]])</f>
        <v>0</v>
      </c>
      <c r="J69" s="75">
        <f>SUM(G69:I69)</f>
        <v>0</v>
      </c>
      <c r="K69" s="39"/>
    </row>
    <row r="70" spans="3:11" x14ac:dyDescent="0.3">
      <c r="C70" s="41"/>
      <c r="D70" s="76"/>
      <c r="E70" s="59"/>
      <c r="F70" s="61" t="s">
        <v>315</v>
      </c>
      <c r="G70" s="91"/>
      <c r="H70" s="91"/>
      <c r="I70" s="91"/>
      <c r="J70" s="73">
        <f>G36</f>
        <v>0</v>
      </c>
      <c r="K70" s="39"/>
    </row>
    <row r="71" spans="3:11" ht="15" thickBot="1" x14ac:dyDescent="0.35">
      <c r="C71" s="40"/>
      <c r="D71" s="78"/>
      <c r="E71" s="79"/>
      <c r="F71" s="80" t="s">
        <v>316</v>
      </c>
      <c r="G71" s="92"/>
      <c r="H71" s="92"/>
      <c r="I71" s="92"/>
      <c r="J71" s="81">
        <f>G37</f>
        <v>0</v>
      </c>
    </row>
    <row r="72" spans="3:11" ht="24" thickBot="1" x14ac:dyDescent="0.5">
      <c r="C72" s="15"/>
      <c r="D72" s="15"/>
      <c r="E72" s="16"/>
      <c r="G72" s="14"/>
      <c r="H72" s="14"/>
      <c r="I72" s="14"/>
    </row>
    <row r="73" spans="3:11" ht="24" thickBot="1" x14ac:dyDescent="0.5">
      <c r="G73" s="17"/>
      <c r="H73" s="93" t="s">
        <v>319</v>
      </c>
      <c r="I73" s="118">
        <f>SUM(J64:J72)</f>
        <v>0</v>
      </c>
      <c r="J73" s="119"/>
    </row>
    <row r="75" spans="3:11" ht="15" x14ac:dyDescent="0.3">
      <c r="E75" s="90" t="s">
        <v>387</v>
      </c>
      <c r="K75" s="43"/>
    </row>
    <row r="76" spans="3:11" ht="15" x14ac:dyDescent="0.3">
      <c r="E76" s="90" t="s">
        <v>388</v>
      </c>
      <c r="F76" s="43"/>
      <c r="G76" s="43"/>
      <c r="H76" s="43"/>
      <c r="I76" s="43"/>
      <c r="J76" s="43"/>
      <c r="K76" s="43"/>
    </row>
    <row r="77" spans="3:11" ht="15" x14ac:dyDescent="0.3">
      <c r="E77" s="89" t="s">
        <v>389</v>
      </c>
      <c r="F77" s="43"/>
      <c r="G77" s="43"/>
      <c r="H77" s="43"/>
      <c r="I77" s="43"/>
      <c r="J77" s="43"/>
      <c r="K77" s="13"/>
    </row>
    <row r="78" spans="3:11" x14ac:dyDescent="0.3">
      <c r="F78" s="13"/>
      <c r="G78" s="13"/>
      <c r="H78" s="13"/>
      <c r="I78" s="13"/>
      <c r="J78" s="13"/>
    </row>
  </sheetData>
  <mergeCells count="12">
    <mergeCell ref="I73:J73"/>
    <mergeCell ref="C36:F36"/>
    <mergeCell ref="C37:F37"/>
    <mergeCell ref="C53:F53"/>
    <mergeCell ref="C54:F54"/>
    <mergeCell ref="C55:F55"/>
    <mergeCell ref="C56:F56"/>
    <mergeCell ref="C57:F57"/>
    <mergeCell ref="C58:F58"/>
    <mergeCell ref="C59:F59"/>
    <mergeCell ref="C60:F60"/>
    <mergeCell ref="C61:F61"/>
  </mergeCells>
  <phoneticPr fontId="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B11C1CA-7F25-4FB7-8D67-39A9787A9E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20184C-8485-46AB-A319-BCDB39101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SKOLO</vt:lpstr>
      <vt:lpstr>KONOT</vt:lpstr>
      <vt:lpstr>OPOHvT</vt:lpstr>
      <vt:lpstr>Keender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Sharon Stoeten</cp:lastModifiedBy>
  <dcterms:created xsi:type="dcterms:W3CDTF">2021-01-05T14:14:03Z</dcterms:created>
  <dcterms:modified xsi:type="dcterms:W3CDTF">2021-03-29T08:09:59Z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