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T:\Hans\2021-4062 Dommelrode\3 aanbestedingsstukken\"/>
    </mc:Choice>
  </mc:AlternateContent>
  <xr:revisionPtr revIDLastSave="0" documentId="13_ncr:1_{F4F0B184-A5BF-48F3-B76E-43DE922CED7F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2" l="1"/>
  <c r="Q5" i="2"/>
  <c r="Q4" i="2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AB36" i="1" l="1"/>
  <c r="AC36" i="1" s="1"/>
  <c r="AD36" i="1" s="1"/>
  <c r="AE36" i="1" s="1"/>
  <c r="AF36" i="1" s="1"/>
  <c r="AG36" i="1" s="1"/>
  <c r="AH36" i="1" s="1"/>
  <c r="AI36" i="1" s="1"/>
  <c r="AJ36" i="1" s="1"/>
  <c r="O44" i="1"/>
  <c r="O40" i="1"/>
  <c r="AE44" i="1" l="1"/>
  <c r="AH44" i="1"/>
  <c r="AB44" i="1"/>
  <c r="AC44" i="1"/>
  <c r="AF44" i="1"/>
  <c r="AI44" i="1"/>
  <c r="AD44" i="1"/>
  <c r="AG44" i="1"/>
  <c r="AJ44" i="1"/>
  <c r="AH40" i="1"/>
  <c r="AC40" i="1"/>
  <c r="AF40" i="1"/>
  <c r="AJ40" i="1"/>
  <c r="AE40" i="1"/>
  <c r="AB40" i="1"/>
  <c r="AI40" i="1"/>
  <c r="AD40" i="1"/>
  <c r="AG40" i="1"/>
  <c r="U44" i="1"/>
  <c r="V44" i="1" s="1"/>
  <c r="U40" i="1"/>
  <c r="V40" i="1" s="1"/>
  <c r="L5" i="2"/>
  <c r="L4" i="2"/>
  <c r="L8" i="2" s="1"/>
  <c r="AB50" i="1"/>
  <c r="AC50" i="1"/>
  <c r="AD50" i="1"/>
  <c r="AE50" i="1"/>
  <c r="AS50" i="1"/>
  <c r="AT50" i="1"/>
  <c r="AU50" i="1"/>
  <c r="AV50" i="1"/>
  <c r="AW50" i="1"/>
  <c r="AX50" i="1"/>
  <c r="AY50" i="1"/>
  <c r="AZ50" i="1"/>
  <c r="BA50" i="1"/>
  <c r="BB50" i="1"/>
  <c r="L6" i="2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O50" i="1"/>
  <c r="AL44" i="1" l="1"/>
  <c r="R44" i="1" s="1"/>
  <c r="AL40" i="1"/>
  <c r="R40" i="1" s="1"/>
  <c r="L9" i="2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BD50" i="1"/>
  <c r="R50" i="1" s="1"/>
  <c r="U50" i="1"/>
  <c r="V50" i="1" s="1"/>
  <c r="O86" i="1" l="1"/>
  <c r="O87" i="1"/>
  <c r="O37" i="1"/>
  <c r="AB37" i="1" s="1"/>
  <c r="O31" i="1"/>
  <c r="O26" i="1"/>
  <c r="AE26" i="1" s="1"/>
  <c r="O21" i="1"/>
  <c r="AD37" i="1" l="1"/>
  <c r="AG37" i="1"/>
  <c r="AJ37" i="1"/>
  <c r="AE37" i="1"/>
  <c r="AH37" i="1"/>
  <c r="AC37" i="1"/>
  <c r="AF37" i="1"/>
  <c r="AI37" i="1"/>
  <c r="AE21" i="1"/>
  <c r="AD21" i="1"/>
  <c r="AE31" i="1"/>
  <c r="U21" i="1"/>
  <c r="V21" i="1" s="1"/>
  <c r="U37" i="1"/>
  <c r="V37" i="1" s="1"/>
  <c r="U26" i="1"/>
  <c r="V26" i="1" s="1"/>
  <c r="AD31" i="1"/>
  <c r="AD26" i="1"/>
  <c r="AI26" i="1" s="1"/>
  <c r="R26" i="1" s="1"/>
  <c r="U31" i="1"/>
  <c r="V31" i="1" s="1"/>
  <c r="AL37" i="1" l="1"/>
  <c r="R37" i="1" s="1"/>
  <c r="AI21" i="1"/>
  <c r="R21" i="1" s="1"/>
  <c r="AI31" i="1"/>
  <c r="R31" i="1" s="1"/>
  <c r="D2" i="3"/>
  <c r="B2" i="3"/>
  <c r="O56" i="1" l="1"/>
  <c r="R56" i="1" s="1"/>
  <c r="R88" i="1" s="1"/>
  <c r="O59" i="1"/>
  <c r="R59" i="1" s="1"/>
  <c r="O67" i="1"/>
  <c r="O69" i="1"/>
  <c r="O72" i="1"/>
  <c r="AJ72" i="1" s="1"/>
  <c r="O77" i="1"/>
  <c r="O79" i="1"/>
  <c r="O82" i="1"/>
  <c r="AM82" i="1" s="1"/>
  <c r="AJ55" i="1" l="1"/>
  <c r="AI55" i="1"/>
  <c r="AJ82" i="1"/>
  <c r="AL82" i="1"/>
  <c r="AI82" i="1"/>
  <c r="AK82" i="1"/>
  <c r="AI72" i="1"/>
  <c r="AM72" i="1"/>
  <c r="AK72" i="1"/>
  <c r="AL72" i="1"/>
  <c r="R77" i="1" l="1"/>
  <c r="R67" i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U59" i="1"/>
  <c r="V59" i="1" s="1"/>
  <c r="Q14" i="3"/>
  <c r="Q16" i="3" s="1"/>
  <c r="P14" i="3"/>
  <c r="P16" i="3" s="1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G12" i="3"/>
  <c r="F12" i="3"/>
  <c r="E12" i="3"/>
  <c r="D12" i="3"/>
  <c r="C12" i="3"/>
  <c r="N7" i="3"/>
  <c r="AM79" i="1"/>
  <c r="AL79" i="1"/>
  <c r="AK79" i="1"/>
  <c r="AJ79" i="1"/>
  <c r="AI79" i="1"/>
  <c r="H5" i="2"/>
  <c r="H4" i="2"/>
  <c r="S12" i="3" l="1"/>
  <c r="I13" i="3"/>
  <c r="S13" i="3"/>
  <c r="U67" i="1"/>
  <c r="V67" i="1" s="1"/>
  <c r="U77" i="1"/>
  <c r="V77" i="1" s="1"/>
  <c r="D7" i="3"/>
  <c r="U56" i="1"/>
  <c r="V56" i="1" s="1"/>
  <c r="U72" i="1"/>
  <c r="V72" i="1" s="1"/>
  <c r="D16" i="3"/>
  <c r="I12" i="3"/>
  <c r="I14" i="3"/>
  <c r="C16" i="3"/>
  <c r="S14" i="3"/>
  <c r="AN72" i="1"/>
  <c r="R72" i="1" s="1"/>
  <c r="U82" i="1"/>
  <c r="V82" i="1" s="1"/>
  <c r="S16" i="3" l="1"/>
  <c r="T16" i="3" s="1"/>
  <c r="U90" i="1"/>
  <c r="I16" i="3"/>
  <c r="J16" i="3" s="1"/>
  <c r="AN82" i="1"/>
  <c r="R82" i="1" s="1"/>
  <c r="H8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6" i="2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AM55" i="1"/>
  <c r="AL55" i="1"/>
  <c r="AK55" i="1"/>
  <c r="R92" i="1" l="1"/>
  <c r="O12" i="1"/>
  <c r="Q95" i="1" l="1"/>
  <c r="R90" i="1"/>
  <c r="O7" i="1"/>
  <c r="N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7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79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81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<sst xmlns="http://schemas.openxmlformats.org/spreadsheetml/2006/main" count="244" uniqueCount="145">
  <si>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</si>
  <si>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</si>
  <si>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</si>
  <si>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</si>
  <si>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</si>
  <si>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</si>
  <si>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</si>
  <si>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</si>
  <si>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</si>
  <si>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</si>
  <si>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</si>
  <si>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</si>
  <si>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</si>
  <si>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</si>
  <si>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</si>
  <si>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</si>
  <si>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</si>
  <si>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</si>
  <si>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</si>
  <si>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</si>
  <si>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</si>
  <si>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</si>
  <si>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</si>
  <si>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</si>
  <si>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</si>
  <si>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</si>
  <si>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</si>
  <si>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</si>
  <si>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</si>
  <si>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</si>
  <si>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</si>
  <si>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</si>
  <si>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</si>
  <si>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</si>
  <si>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</si>
  <si>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</si>
  <si>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</si>
  <si>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</si>
  <si>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</si>
  <si>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</si>
  <si>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</si>
  <si>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</si>
  <si>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</si>
  <si>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</si>
  <si>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</si>
  <si>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</si>
  <si>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</si>
  <si>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Deze voertuigen zijn (deels)  van de klasse Euro 5</t>
  </si>
  <si>
    <t>Deze voertuigen zijn (deels)  van de klasse Euro 6</t>
  </si>
  <si>
    <t>Voertuigen</t>
  </si>
  <si>
    <t>Materieel</t>
  </si>
  <si>
    <t>%</t>
  </si>
  <si>
    <t>verdichting</t>
  </si>
  <si>
    <t>Minimaal toe te kennen punten</t>
  </si>
  <si>
    <t>behaalde punten</t>
  </si>
  <si>
    <t>max korting</t>
  </si>
  <si>
    <t>behaalde korting</t>
  </si>
  <si>
    <t>Inschrijver realiseert voor menggranulaat een verdichting van :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</si>
  <si>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</si>
  <si>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</si>
  <si>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</si>
  <si>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</si>
  <si>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</si>
  <si>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</si>
  <si>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</si>
  <si>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</si>
  <si>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</si>
  <si>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</si>
  <si>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</si>
  <si>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</si>
  <si>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</si>
  <si>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</si>
  <si>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</si>
  <si>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</si>
  <si>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</si>
  <si>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</si>
  <si>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</si>
  <si>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</si>
  <si>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</si>
  <si>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</si>
  <si>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</si>
  <si>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</si>
  <si>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</si>
  <si>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</si>
  <si>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</si>
  <si>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</si>
  <si>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</si>
  <si>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</si>
  <si>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</si>
  <si>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</si>
  <si>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</si>
  <si>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</si>
  <si>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</si>
  <si>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</si>
  <si>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</si>
  <si>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</si>
  <si>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</si>
  <si>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</si>
  <si>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</si>
  <si>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Wanneer u aan hogere verdichtingseisen kunt voldoen dan is geëist in het bestek, wat zegt u dan toe te gaan realiseren?</t>
  </si>
  <si>
    <t>Inschrijver realiseert voor zand voor zandbed een verdichting van :</t>
  </si>
  <si>
    <t>meng</t>
  </si>
  <si>
    <t>zand</t>
  </si>
  <si>
    <t>Deze categorie is minimaal gewenst en wordt derhalve niet gewaardeerd of bestraft</t>
  </si>
  <si>
    <t>ja = vermindering met 75 punten, nee = 0 punten</t>
  </si>
  <si>
    <t>Dit materieel is (Deels) van 2012 of ouder is</t>
  </si>
  <si>
    <t xml:space="preserve">Dit materieel is (Deels) van de periode 2013 tot en met 2017 is </t>
  </si>
  <si>
    <t>Dit materieel is (Deels) vanaf 2018  is</t>
  </si>
  <si>
    <t>ja = vermindering met 100 punten, nee = 0 punten</t>
  </si>
  <si>
    <t>Geeft u invulling aan de minimaal gestelde eis van 5% in te zetten Social Return?</t>
  </si>
  <si>
    <t>Afwijking XYZ</t>
  </si>
  <si>
    <t>afwijking</t>
  </si>
  <si>
    <t>Wanneer u de riolering met een grotere nauwkeurigheid kunt leggen dan is geëist in het bestek, wat zegt u dan te kunnen garanderen?</t>
  </si>
  <si>
    <t>De inschrijver legt de buizen met een nauwkeurigheid in het afschot van :</t>
  </si>
  <si>
    <t>keuze</t>
  </si>
  <si>
    <t xml:space="preserve">tot </t>
  </si>
  <si>
    <t>30-15</t>
  </si>
  <si>
    <t>15-0</t>
  </si>
  <si>
    <t>De inschrijver legt de buizen met een nauwkeurigheid in de richting van :</t>
  </si>
  <si>
    <t>20-10</t>
  </si>
  <si>
    <t>10-0</t>
  </si>
  <si>
    <t>De inschrijver stelt de putten met een nauwkeurigheid in de richting van :</t>
  </si>
  <si>
    <t>Verdichting</t>
  </si>
  <si>
    <t>Wanneer u de bestrating met een grotere vlakheid kunt leggen dan is geëist in het bestek, wat zegt u dan te kunnen garanderen?</t>
  </si>
  <si>
    <t>vlakheid straatwerk</t>
  </si>
  <si>
    <t>Doorlooptijd</t>
  </si>
  <si>
    <t>datum</t>
  </si>
  <si>
    <t>Wanneer u ons een eerdere opleverdatum toe kunt zeggen dan 1 december 2022, welke datum is dat?</t>
  </si>
  <si>
    <t>vr</t>
  </si>
  <si>
    <t>za</t>
  </si>
  <si>
    <t>zo</t>
  </si>
  <si>
    <t>ma</t>
  </si>
  <si>
    <t>di</t>
  </si>
  <si>
    <t>wo</t>
  </si>
  <si>
    <t>do</t>
  </si>
  <si>
    <t xml:space="preserve">Oplevderdatum </t>
  </si>
  <si>
    <t>zaterdag</t>
  </si>
  <si>
    <t>zondag</t>
  </si>
  <si>
    <t>nauwkeurigheid</t>
  </si>
  <si>
    <t>Bestek 2021-4062</t>
  </si>
  <si>
    <t>Sint-Oedenrode Zuid, klimaatrobuust</t>
  </si>
  <si>
    <t>Afwijking van het dwarsprofiel</t>
  </si>
  <si>
    <t>Afwijking van het lengteprofiel</t>
  </si>
  <si>
    <t>Afwijking van de elementen onderling</t>
  </si>
  <si>
    <t>vlakheid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</si>
</sst>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d/m;@"/>
    <numFmt numFmtId="168" formatCode="[$-F800]dddd\,\ mmmm\ dd\,\ yyyy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" fontId="4" fillId="0" borderId="4" xfId="0" applyNumberFormat="1" applyFont="1" applyBorder="1" applyAlignment="1" applyProtection="1">
      <alignment vertical="top"/>
    </xf>
    <xf numFmtId="0" fontId="4" fillId="4" borderId="0" xfId="0" applyFont="1" applyFill="1" applyAlignment="1" applyProtection="1">
      <alignment horizontal="left" vertical="top"/>
    </xf>
    <xf numFmtId="0" fontId="5" fillId="4" borderId="0" xfId="0" applyFont="1" applyFill="1" applyAlignment="1" applyProtection="1">
      <alignment vertical="top"/>
    </xf>
    <xf numFmtId="0" fontId="4" fillId="0" borderId="0" xfId="0" quotePrefix="1" applyFont="1" applyBorder="1" applyAlignment="1" applyProtection="1"/>
    <xf numFmtId="2" fontId="5" fillId="0" borderId="0" xfId="0" applyNumberFormat="1" applyFont="1" applyBorder="1" applyAlignment="1" applyProtection="1">
      <alignment vertical="top"/>
    </xf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2" fontId="0" fillId="0" borderId="0" xfId="0" applyNumberFormat="1"/>
    <xf numFmtId="1" fontId="5" fillId="0" borderId="0" xfId="0" applyNumberFormat="1" applyFont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/>
      <protection locked="0"/>
    </xf>
    <xf numFmtId="0" fontId="4" fillId="0" borderId="0" xfId="0" quotePrefix="1" applyFont="1" applyFill="1" applyAlignment="1" applyProtection="1">
      <alignment vertical="top"/>
    </xf>
    <xf numFmtId="0" fontId="4" fillId="0" borderId="4" xfId="0" applyFont="1" applyBorder="1" applyAlignment="1" applyProtection="1">
      <alignment vertical="top" wrapText="1"/>
    </xf>
    <xf numFmtId="167" fontId="5" fillId="0" borderId="0" xfId="0" applyNumberFormat="1" applyFont="1" applyBorder="1" applyAlignment="1" applyProtection="1">
      <alignment vertical="top"/>
    </xf>
    <xf numFmtId="14" fontId="4" fillId="3" borderId="0" xfId="0" applyNumberFormat="1" applyFont="1" applyFill="1" applyBorder="1" applyAlignment="1" applyProtection="1">
      <alignment vertical="top"/>
      <protection locked="0"/>
    </xf>
    <xf numFmtId="0" fontId="4" fillId="0" borderId="31" xfId="0" applyFont="1" applyBorder="1" applyProtection="1"/>
    <xf numFmtId="167" fontId="4" fillId="0" borderId="0" xfId="0" applyNumberFormat="1" applyFont="1" applyProtection="1"/>
    <xf numFmtId="14" fontId="0" fillId="0" borderId="0" xfId="0" applyNumberFormat="1"/>
    <xf numFmtId="168" fontId="0" fillId="0" borderId="0" xfId="0" applyNumberFormat="1"/>
    <xf numFmtId="164" fontId="5" fillId="0" borderId="0" xfId="0" applyNumberFormat="1" applyFont="1" applyBorder="1" applyAlignment="1" applyProtection="1">
      <alignment vertical="top"/>
    </xf>
    <xf numFmtId="1" fontId="4" fillId="0" borderId="0" xfId="0" applyNumberFormat="1" applyFont="1" applyFill="1" applyAlignment="1" applyProtection="1">
      <alignment vertical="top"/>
    </xf>
    <xf numFmtId="164" fontId="4" fillId="0" borderId="0" xfId="0" applyNumberFormat="1" applyFont="1" applyFill="1" applyAlignment="1" applyProtection="1">
      <alignment vertical="top"/>
    </xf>
    <xf numFmtId="9" fontId="4" fillId="0" borderId="0" xfId="3" applyFont="1" applyProtection="1"/>
    <xf numFmtId="9" fontId="4" fillId="0" borderId="0" xfId="0" applyNumberFormat="1" applyFont="1" applyFill="1" applyAlignment="1" applyProtection="1">
      <alignment vertical="top"/>
    </xf>
    <xf numFmtId="9" fontId="4" fillId="0" borderId="0" xfId="0" applyNumberFormat="1" applyFont="1" applyFill="1" applyProtection="1"/>
    <xf numFmtId="1" fontId="0" fillId="0" borderId="0" xfId="0" applyNumberFormat="1"/>
    <xf numFmtId="0" fontId="4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vertical="top" wrapText="1"/>
    </xf>
    <xf numFmtId="0" fontId="4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0" borderId="0" xfId="0" quotePrefix="1" applyFo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4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4" fillId="0" borderId="2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vertical="top" wrapText="1"/>
    </xf>
    <xf numFmtId="0" fontId="4" fillId="0" borderId="18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top"/>
    </xf>
    <xf numFmtId="0" fontId="4" fillId="0" borderId="0" xfId="0" quotePrefix="1" applyFont="1" applyBorder="1" applyAlignment="1" applyProtection="1">
      <alignment horizontal="left" vertical="top" wrapText="1"/>
    </xf>
    <xf numFmtId="0" fontId="4" fillId="0" borderId="18" xfId="0" quotePrefix="1" applyFont="1" applyBorder="1" applyAlignment="1" applyProtection="1">
      <alignment horizontal="left" vertical="top" wrapText="1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ns/0%20afgeronde%20trajecten/2021-4034%20MVHerinrichting%20Boskantseweg/3%20aanbestedingsstukken/Bijlage%206%20EMVI-beoordelingsmatrix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VI-vragenlijst"/>
      <sheetName val="Voertuigen en materieel"/>
      <sheetName val="Invulwaarden"/>
    </sheetNames>
    <sheetDataSet>
      <sheetData sheetId="0">
        <row r="49">
          <cell r="F49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D110"/>
  <sheetViews>
    <sheetView tabSelected="1" topLeftCell="A40" zoomScale="85" zoomScaleNormal="85" workbookViewId="0">
      <selection activeCell="N59" sqref="N59"/>
    </sheetView>
  </sheetViews>
  <sheetFormatPr defaultRowHeight="12.75" x14ac:dyDescent="0.2"/>
  <cols>
    <col min="1" max="1" width="9.140625" style="24"/>
    <col min="2" max="2" width="12.85546875" style="24" bestFit="1" customWidth="1"/>
    <col min="3" max="3" width="1.140625" style="24" customWidth="1"/>
    <col min="4" max="4" width="3.140625" style="24" customWidth="1"/>
    <col min="5" max="5" width="10.7109375" style="24" customWidth="1"/>
    <col min="6" max="6" width="11.28515625" style="24" customWidth="1"/>
    <col min="7" max="7" width="9.140625" style="24"/>
    <col min="8" max="8" width="47.7109375" style="24" customWidth="1"/>
    <col min="9" max="9" width="7.7109375" style="24" customWidth="1"/>
    <col min="10" max="10" width="6.5703125" style="24" bestFit="1" customWidth="1"/>
    <col min="11" max="11" width="3.140625" style="24" bestFit="1" customWidth="1"/>
    <col min="12" max="12" width="6" style="64" customWidth="1"/>
    <col min="13" max="13" width="3.140625" style="24" customWidth="1"/>
    <col min="14" max="14" width="10.5703125" style="24" bestFit="1" customWidth="1"/>
    <col min="15" max="15" width="10.42578125" style="24" customWidth="1"/>
    <col min="16" max="16" width="9.42578125" style="24" customWidth="1"/>
    <col min="17" max="17" width="15.140625" style="24" customWidth="1"/>
    <col min="18" max="18" width="10.140625" style="24" customWidth="1"/>
    <col min="19" max="19" width="18.7109375" style="24" customWidth="1"/>
    <col min="20" max="21" width="10.85546875" style="24" customWidth="1"/>
    <col min="22" max="22" width="15.28515625" style="24" customWidth="1"/>
    <col min="23" max="23" width="3.85546875" style="24" customWidth="1"/>
    <col min="24" max="24" width="2.42578125" style="24" bestFit="1" customWidth="1"/>
    <col min="25" max="25" width="15.42578125" style="24" customWidth="1"/>
    <col min="26" max="26" width="3.140625" style="24" customWidth="1"/>
    <col min="27" max="27" width="16.140625" style="24" customWidth="1"/>
    <col min="28" max="28" width="5.85546875" style="24" bestFit="1" customWidth="1"/>
    <col min="29" max="34" width="6.140625" style="24" bestFit="1" customWidth="1"/>
    <col min="35" max="35" width="6" style="24" bestFit="1" customWidth="1"/>
    <col min="36" max="36" width="7.85546875" style="24" bestFit="1" customWidth="1"/>
    <col min="37" max="40" width="6.140625" style="24" bestFit="1" customWidth="1"/>
    <col min="41" max="54" width="5.85546875" style="24" bestFit="1" customWidth="1"/>
    <col min="55" max="16384" width="9.140625" style="24"/>
  </cols>
  <sheetData>
    <row r="1" spans="2:33" x14ac:dyDescent="0.2"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2:33" x14ac:dyDescent="0.2">
      <c r="B2" s="65" t="s">
        <v>139</v>
      </c>
      <c r="C2" s="65"/>
      <c r="E2" s="65" t="s">
        <v>140</v>
      </c>
      <c r="F2" s="65"/>
      <c r="G2" s="8"/>
      <c r="H2" s="8"/>
      <c r="I2" s="8"/>
      <c r="J2" s="8"/>
      <c r="K2" s="8"/>
      <c r="L2" s="66"/>
      <c r="M2" s="8"/>
      <c r="N2" s="8"/>
      <c r="O2" s="8"/>
      <c r="P2" s="8"/>
      <c r="Q2" s="8"/>
      <c r="R2" s="8"/>
      <c r="S2" s="13"/>
      <c r="T2" s="13"/>
      <c r="U2" s="13"/>
      <c r="V2" s="13"/>
      <c r="W2" s="13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2:33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66"/>
      <c r="M3" s="8"/>
      <c r="N3" s="8"/>
      <c r="O3" s="8"/>
      <c r="P3" s="8"/>
      <c r="Q3" s="8"/>
      <c r="R3" s="8"/>
      <c r="S3" s="13"/>
      <c r="T3" s="13"/>
      <c r="U3" s="13"/>
      <c r="V3" s="13"/>
      <c r="W3" s="13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2:33" x14ac:dyDescent="0.2">
      <c r="B4" s="8"/>
      <c r="C4" s="8"/>
      <c r="D4" s="8"/>
      <c r="E4" s="162"/>
      <c r="F4" s="162"/>
      <c r="G4" s="162"/>
      <c r="H4" s="162"/>
      <c r="I4" s="8"/>
      <c r="J4" s="8"/>
      <c r="K4" s="8"/>
      <c r="L4" s="66"/>
      <c r="M4" s="8"/>
      <c r="N4" s="8"/>
      <c r="O4" s="8"/>
      <c r="P4" s="8"/>
      <c r="Q4" s="8"/>
      <c r="R4" s="8"/>
      <c r="S4" s="13"/>
      <c r="T4" s="13"/>
      <c r="U4" s="13"/>
      <c r="V4" s="13"/>
      <c r="W4" s="13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2:33" ht="13.5" thickBot="1" x14ac:dyDescent="0.25">
      <c r="B5" s="8" t="s">
        <v>0</v>
      </c>
      <c r="C5" s="8"/>
      <c r="D5" s="8"/>
      <c r="E5" s="157"/>
      <c r="F5" s="157"/>
      <c r="G5" s="157"/>
      <c r="H5" s="157"/>
      <c r="I5" s="8"/>
      <c r="J5" s="8"/>
      <c r="K5" s="8"/>
      <c r="L5" s="66"/>
      <c r="M5" s="8"/>
      <c r="N5" s="8"/>
      <c r="O5" s="8"/>
      <c r="P5" s="8"/>
      <c r="Q5" s="8"/>
      <c r="R5" s="8"/>
      <c r="S5" s="13"/>
      <c r="T5" s="13"/>
      <c r="U5" s="13"/>
      <c r="V5" s="13"/>
      <c r="W5" s="13"/>
      <c r="X5" s="21"/>
      <c r="Y5" s="21" t="s">
        <v>33</v>
      </c>
      <c r="Z5" s="21"/>
      <c r="AA5" s="21"/>
      <c r="AB5" s="21"/>
      <c r="AC5" s="21"/>
      <c r="AD5" s="21"/>
      <c r="AE5" s="21"/>
      <c r="AF5" s="21"/>
      <c r="AG5" s="21"/>
    </row>
    <row r="6" spans="2:33" ht="13.5" thickBot="1" x14ac:dyDescent="0.25">
      <c r="B6" s="67" t="s">
        <v>3</v>
      </c>
      <c r="C6" s="68"/>
      <c r="D6" s="68"/>
      <c r="E6" s="164" t="s">
        <v>31</v>
      </c>
      <c r="F6" s="164"/>
      <c r="G6" s="164"/>
      <c r="H6" s="164"/>
      <c r="I6" s="68" t="s">
        <v>30</v>
      </c>
      <c r="J6" s="68"/>
      <c r="K6" s="68"/>
      <c r="L6" s="69"/>
      <c r="M6" s="67"/>
      <c r="N6" s="68" t="s">
        <v>32</v>
      </c>
      <c r="O6" s="68"/>
      <c r="P6" s="68"/>
      <c r="Q6" s="68"/>
      <c r="R6" s="68"/>
      <c r="S6" s="70"/>
      <c r="T6" s="70"/>
      <c r="U6" s="70"/>
      <c r="V6" s="7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2:33" ht="12.75" customHeight="1" x14ac:dyDescent="0.2">
      <c r="B7" s="67" t="s">
        <v>10</v>
      </c>
      <c r="C7" s="68" t="s">
        <v>1</v>
      </c>
      <c r="D7" s="68"/>
      <c r="E7" s="164" t="s">
        <v>9</v>
      </c>
      <c r="F7" s="164"/>
      <c r="G7" s="164"/>
      <c r="H7" s="164"/>
      <c r="I7" s="70" t="s">
        <v>5</v>
      </c>
      <c r="J7" s="70"/>
      <c r="K7" s="70"/>
      <c r="L7" s="72"/>
      <c r="M7" s="73"/>
      <c r="N7" s="2"/>
      <c r="O7" s="70">
        <f>IF(N7="Ja",1,0)</f>
        <v>0</v>
      </c>
      <c r="P7" s="70"/>
      <c r="Q7" s="70"/>
      <c r="R7" s="70"/>
      <c r="S7" s="166" t="s">
        <v>8</v>
      </c>
      <c r="T7" s="166"/>
      <c r="U7" s="166"/>
      <c r="V7" s="167"/>
      <c r="X7" s="21"/>
      <c r="Y7" s="173" t="s">
        <v>34</v>
      </c>
      <c r="Z7" s="173"/>
      <c r="AA7" s="173"/>
      <c r="AB7" s="173"/>
      <c r="AC7" s="173"/>
      <c r="AD7" s="173"/>
      <c r="AE7" s="173"/>
      <c r="AF7" s="173"/>
      <c r="AG7" s="173"/>
    </row>
    <row r="8" spans="2:33" x14ac:dyDescent="0.2">
      <c r="B8" s="7"/>
      <c r="C8" s="8"/>
      <c r="D8" s="8"/>
      <c r="E8" s="162"/>
      <c r="F8" s="162"/>
      <c r="G8" s="162"/>
      <c r="H8" s="162"/>
      <c r="I8" s="13"/>
      <c r="J8" s="13"/>
      <c r="K8" s="13"/>
      <c r="L8" s="15"/>
      <c r="M8" s="74"/>
      <c r="N8" s="13"/>
      <c r="O8" s="13"/>
      <c r="P8" s="13"/>
      <c r="Q8" s="158"/>
      <c r="R8" s="158"/>
      <c r="S8" s="168"/>
      <c r="T8" s="168"/>
      <c r="U8" s="168"/>
      <c r="V8" s="169"/>
      <c r="X8" s="21"/>
      <c r="Y8" s="173"/>
      <c r="Z8" s="173"/>
      <c r="AA8" s="173"/>
      <c r="AB8" s="173"/>
      <c r="AC8" s="173"/>
      <c r="AD8" s="173"/>
      <c r="AE8" s="173"/>
      <c r="AF8" s="173"/>
      <c r="AG8" s="173"/>
    </row>
    <row r="9" spans="2:33" x14ac:dyDescent="0.2">
      <c r="B9" s="7"/>
      <c r="C9" s="8"/>
      <c r="D9" s="8"/>
      <c r="E9" s="157"/>
      <c r="F9" s="157"/>
      <c r="G9" s="157"/>
      <c r="H9" s="157"/>
      <c r="I9" s="13"/>
      <c r="J9" s="13"/>
      <c r="K9" s="13"/>
      <c r="L9" s="15"/>
      <c r="M9" s="74"/>
      <c r="N9" s="13"/>
      <c r="O9" s="13"/>
      <c r="P9" s="13"/>
      <c r="Q9" s="158"/>
      <c r="R9" s="158"/>
      <c r="S9" s="168"/>
      <c r="T9" s="168"/>
      <c r="U9" s="168"/>
      <c r="V9" s="169"/>
      <c r="X9" s="21"/>
      <c r="Y9" s="174" t="s">
        <v>35</v>
      </c>
      <c r="Z9" s="174"/>
      <c r="AA9" s="174"/>
      <c r="AB9" s="174"/>
      <c r="AC9" s="174"/>
      <c r="AD9" s="174"/>
      <c r="AE9" s="174"/>
      <c r="AF9" s="174"/>
      <c r="AG9" s="174"/>
    </row>
    <row r="10" spans="2:33" x14ac:dyDescent="0.2">
      <c r="B10" s="7"/>
      <c r="C10" s="8"/>
      <c r="D10" s="8"/>
      <c r="E10" s="157"/>
      <c r="F10" s="157"/>
      <c r="G10" s="157"/>
      <c r="H10" s="157"/>
      <c r="I10" s="13"/>
      <c r="J10" s="13"/>
      <c r="K10" s="13"/>
      <c r="L10" s="15"/>
      <c r="M10" s="74"/>
      <c r="N10" s="13"/>
      <c r="O10" s="13"/>
      <c r="P10" s="13"/>
      <c r="Q10" s="158"/>
      <c r="R10" s="158"/>
      <c r="S10" s="168"/>
      <c r="T10" s="168"/>
      <c r="U10" s="168"/>
      <c r="V10" s="169"/>
      <c r="X10" s="21"/>
      <c r="Y10" s="174"/>
      <c r="Z10" s="174"/>
      <c r="AA10" s="174"/>
      <c r="AB10" s="174"/>
      <c r="AC10" s="174"/>
      <c r="AD10" s="174"/>
      <c r="AE10" s="174"/>
      <c r="AF10" s="174"/>
      <c r="AG10" s="174"/>
    </row>
    <row r="11" spans="2:33" x14ac:dyDescent="0.2">
      <c r="B11" s="7"/>
      <c r="C11" s="8"/>
      <c r="D11" s="8"/>
      <c r="E11" s="157"/>
      <c r="F11" s="157"/>
      <c r="G11" s="157"/>
      <c r="H11" s="157"/>
      <c r="I11" s="13"/>
      <c r="J11" s="13"/>
      <c r="K11" s="13"/>
      <c r="L11" s="15"/>
      <c r="M11" s="74"/>
      <c r="N11" s="13"/>
      <c r="O11" s="13"/>
      <c r="P11" s="13"/>
      <c r="Q11" s="158"/>
      <c r="R11" s="158"/>
      <c r="S11" s="168"/>
      <c r="T11" s="168"/>
      <c r="U11" s="168"/>
      <c r="V11" s="169"/>
      <c r="X11" s="21"/>
      <c r="Y11" s="160"/>
      <c r="Z11" s="160"/>
      <c r="AA11" s="160"/>
      <c r="AB11" s="160"/>
      <c r="AC11" s="160"/>
      <c r="AD11" s="160"/>
      <c r="AE11" s="160"/>
      <c r="AF11" s="160"/>
      <c r="AG11" s="160"/>
    </row>
    <row r="12" spans="2:33" ht="13.5" thickBot="1" x14ac:dyDescent="0.25">
      <c r="B12" s="75" t="s">
        <v>4</v>
      </c>
      <c r="C12" s="76" t="s">
        <v>1</v>
      </c>
      <c r="D12" s="76"/>
      <c r="E12" s="165" t="s">
        <v>109</v>
      </c>
      <c r="F12" s="165"/>
      <c r="G12" s="165"/>
      <c r="H12" s="165"/>
      <c r="I12" s="77" t="s">
        <v>5</v>
      </c>
      <c r="J12" s="77"/>
      <c r="K12" s="77"/>
      <c r="L12" s="78"/>
      <c r="M12" s="79"/>
      <c r="N12" s="4"/>
      <c r="O12" s="77">
        <f t="shared" ref="O12" si="0">IF(N12="Ja",1,0)</f>
        <v>0</v>
      </c>
      <c r="P12" s="77"/>
      <c r="Q12" s="80"/>
      <c r="R12" s="80"/>
      <c r="S12" s="170"/>
      <c r="T12" s="170"/>
      <c r="U12" s="170"/>
      <c r="V12" s="171"/>
      <c r="X12" s="21"/>
      <c r="Y12" s="175" t="s">
        <v>36</v>
      </c>
      <c r="Z12" s="175"/>
      <c r="AA12" s="175"/>
      <c r="AB12" s="175"/>
      <c r="AC12" s="175"/>
      <c r="AD12" s="175"/>
      <c r="AE12" s="175"/>
      <c r="AF12" s="175"/>
      <c r="AG12" s="175"/>
    </row>
    <row r="13" spans="2:33" x14ac:dyDescent="0.2">
      <c r="B13" s="7"/>
      <c r="C13" s="8"/>
      <c r="D13" s="8"/>
      <c r="E13" s="162"/>
      <c r="F13" s="162"/>
      <c r="G13" s="162"/>
      <c r="H13" s="162"/>
      <c r="I13" s="13"/>
      <c r="J13" s="13"/>
      <c r="K13" s="13"/>
      <c r="L13" s="15"/>
      <c r="M13" s="74"/>
      <c r="N13" s="13"/>
      <c r="O13" s="13"/>
      <c r="P13" s="13"/>
      <c r="Q13" s="158"/>
      <c r="R13" s="158"/>
      <c r="S13" s="158"/>
      <c r="T13" s="158"/>
      <c r="U13" s="158"/>
      <c r="V13" s="81"/>
      <c r="X13" s="21"/>
      <c r="Y13" s="175"/>
      <c r="Z13" s="175"/>
      <c r="AA13" s="175"/>
      <c r="AB13" s="175"/>
      <c r="AC13" s="175"/>
      <c r="AD13" s="175"/>
      <c r="AE13" s="175"/>
      <c r="AF13" s="175"/>
      <c r="AG13" s="175"/>
    </row>
    <row r="14" spans="2:33" ht="13.5" thickBot="1" x14ac:dyDescent="0.25">
      <c r="B14" s="75"/>
      <c r="C14" s="76"/>
      <c r="D14" s="76"/>
      <c r="E14" s="165"/>
      <c r="F14" s="165"/>
      <c r="G14" s="165"/>
      <c r="H14" s="165"/>
      <c r="I14" s="77"/>
      <c r="J14" s="77"/>
      <c r="K14" s="77"/>
      <c r="L14" s="78"/>
      <c r="M14" s="79"/>
      <c r="N14" s="185" t="str">
        <f>IF(SUM(O7:O12)=COUNTA(E7:H13),"Uw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O14" s="185"/>
      <c r="P14" s="185"/>
      <c r="Q14" s="185"/>
      <c r="R14" s="185"/>
      <c r="S14" s="185"/>
      <c r="T14" s="185"/>
      <c r="U14" s="77"/>
      <c r="V14" s="82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2:33" x14ac:dyDescent="0.2">
      <c r="E15" s="176"/>
      <c r="F15" s="176"/>
      <c r="G15" s="176"/>
      <c r="H15" s="176"/>
      <c r="I15" s="21"/>
      <c r="J15" s="21"/>
      <c r="K15" s="21"/>
      <c r="L15" s="83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2:33" ht="13.5" thickBot="1" x14ac:dyDescent="0.25">
      <c r="B16" s="24" t="s">
        <v>2</v>
      </c>
      <c r="I16" s="21"/>
      <c r="J16" s="21"/>
      <c r="K16" s="21"/>
      <c r="L16" s="83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2:39" ht="53.25" customHeight="1" thickBot="1" x14ac:dyDescent="0.25">
      <c r="B17" s="84" t="s">
        <v>3</v>
      </c>
      <c r="C17" s="85"/>
      <c r="D17" s="85"/>
      <c r="E17" s="85" t="s">
        <v>31</v>
      </c>
      <c r="F17" s="85"/>
      <c r="G17" s="85"/>
      <c r="H17" s="85"/>
      <c r="I17" s="86" t="s">
        <v>30</v>
      </c>
      <c r="J17" s="85"/>
      <c r="K17" s="85"/>
      <c r="L17" s="87"/>
      <c r="M17" s="84"/>
      <c r="N17" s="85"/>
      <c r="O17" s="88" t="s">
        <v>60</v>
      </c>
      <c r="P17" s="88" t="s">
        <v>53</v>
      </c>
      <c r="Q17" s="88" t="s">
        <v>26</v>
      </c>
      <c r="R17" s="89" t="s">
        <v>28</v>
      </c>
      <c r="S17" s="88" t="s">
        <v>27</v>
      </c>
      <c r="T17" s="90" t="s">
        <v>24</v>
      </c>
      <c r="U17" s="88"/>
      <c r="V17" s="91" t="s">
        <v>25</v>
      </c>
      <c r="W17" s="13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2:39" x14ac:dyDescent="0.2">
      <c r="B18" s="92"/>
      <c r="C18" s="93"/>
      <c r="D18" s="172"/>
      <c r="E18" s="172"/>
      <c r="F18" s="172"/>
      <c r="G18" s="172"/>
      <c r="H18" s="172"/>
      <c r="I18" s="94"/>
      <c r="J18" s="95"/>
      <c r="K18" s="95"/>
      <c r="L18" s="96"/>
      <c r="M18" s="97"/>
      <c r="N18" s="95"/>
      <c r="O18" s="95"/>
      <c r="P18" s="95"/>
      <c r="Q18" s="98"/>
      <c r="R18" s="99"/>
      <c r="S18" s="98"/>
      <c r="T18" s="100"/>
      <c r="U18" s="98"/>
      <c r="V18" s="101"/>
      <c r="W18" s="6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I18" s="24" t="s">
        <v>12</v>
      </c>
      <c r="AJ18" s="24" t="s">
        <v>13</v>
      </c>
      <c r="AK18" s="24" t="s">
        <v>14</v>
      </c>
      <c r="AL18" s="24" t="s">
        <v>15</v>
      </c>
      <c r="AM18" s="24" t="s">
        <v>16</v>
      </c>
    </row>
    <row r="19" spans="2:39" ht="12.75" customHeight="1" x14ac:dyDescent="0.2">
      <c r="B19" s="74" t="s">
        <v>110</v>
      </c>
      <c r="C19" s="8"/>
      <c r="D19" s="102"/>
      <c r="E19" s="107"/>
      <c r="F19" s="102"/>
      <c r="G19" s="102"/>
      <c r="H19" s="102"/>
      <c r="I19" s="19"/>
      <c r="J19" s="108"/>
      <c r="K19" s="13"/>
      <c r="L19" s="60"/>
      <c r="M19" s="104"/>
      <c r="N19" s="8"/>
      <c r="O19" s="8"/>
      <c r="P19" s="12"/>
      <c r="Q19" s="16"/>
      <c r="R19" s="17"/>
      <c r="S19" s="62"/>
      <c r="T19" s="13"/>
      <c r="U19" s="13"/>
      <c r="V19" s="20"/>
      <c r="W19" s="8"/>
      <c r="X19" s="21"/>
      <c r="Y19" s="27"/>
      <c r="Z19" s="27"/>
      <c r="AA19" s="27" t="s">
        <v>111</v>
      </c>
      <c r="AB19" s="27"/>
      <c r="AC19" s="27"/>
      <c r="AD19" s="27"/>
      <c r="AE19" s="27"/>
      <c r="AF19" s="27"/>
      <c r="AG19" s="27"/>
      <c r="AH19" s="103"/>
      <c r="AI19" s="25"/>
      <c r="AJ19" s="25"/>
      <c r="AK19" s="25"/>
      <c r="AL19" s="25"/>
      <c r="AM19" s="25"/>
    </row>
    <row r="20" spans="2:39" ht="27.75" customHeight="1" x14ac:dyDescent="0.2">
      <c r="B20" s="74"/>
      <c r="C20" s="8"/>
      <c r="D20" s="180" t="s">
        <v>112</v>
      </c>
      <c r="E20" s="180"/>
      <c r="F20" s="180"/>
      <c r="G20" s="180"/>
      <c r="H20" s="181"/>
      <c r="I20" s="19"/>
      <c r="J20" s="108"/>
      <c r="K20" s="13"/>
      <c r="L20" s="60"/>
      <c r="M20" s="104"/>
      <c r="N20" s="8"/>
      <c r="O20" s="8"/>
      <c r="P20" s="12"/>
      <c r="Q20" s="16"/>
      <c r="R20" s="17"/>
      <c r="S20" s="62"/>
      <c r="T20" s="13"/>
      <c r="U20" s="13"/>
      <c r="V20" s="20"/>
      <c r="W20" s="8"/>
      <c r="X20" s="21"/>
      <c r="Y20" s="27"/>
      <c r="Z20" s="27"/>
      <c r="AA20" s="27"/>
      <c r="AB20" s="27"/>
      <c r="AC20" s="27"/>
      <c r="AD20" s="27">
        <v>1</v>
      </c>
      <c r="AE20" s="27">
        <v>2</v>
      </c>
      <c r="AF20" s="27"/>
      <c r="AG20" s="27"/>
      <c r="AH20" s="103"/>
      <c r="AI20" s="25"/>
      <c r="AJ20" s="25"/>
      <c r="AK20" s="25"/>
      <c r="AL20" s="25"/>
      <c r="AM20" s="25"/>
    </row>
    <row r="21" spans="2:39" x14ac:dyDescent="0.2">
      <c r="B21" s="74"/>
      <c r="C21" s="8"/>
      <c r="D21" s="102"/>
      <c r="E21" s="107" t="s">
        <v>113</v>
      </c>
      <c r="F21" s="102"/>
      <c r="G21" s="102"/>
      <c r="H21" s="102"/>
      <c r="I21" s="19" t="s">
        <v>114</v>
      </c>
      <c r="J21" s="139">
        <v>1</v>
      </c>
      <c r="K21" s="13" t="s">
        <v>115</v>
      </c>
      <c r="L21" s="60">
        <v>2</v>
      </c>
      <c r="M21" s="104"/>
      <c r="N21" s="3"/>
      <c r="O21" s="13">
        <f>IF(OR(N21="",0),0,N21)</f>
        <v>0</v>
      </c>
      <c r="P21" s="12">
        <v>0</v>
      </c>
      <c r="Q21" s="16">
        <v>25</v>
      </c>
      <c r="R21" s="17">
        <f>+AI21</f>
        <v>0</v>
      </c>
      <c r="S21" s="62">
        <v>2500</v>
      </c>
      <c r="T21" s="140">
        <v>1</v>
      </c>
      <c r="U21" s="13">
        <f>IF(O21=0,1,T21)</f>
        <v>1</v>
      </c>
      <c r="V21" s="20">
        <f>IF(O21=0,0,+U21*S21)</f>
        <v>0</v>
      </c>
      <c r="W21" s="8"/>
      <c r="X21" s="21"/>
      <c r="Y21" s="27"/>
      <c r="Z21" s="27"/>
      <c r="AA21" s="27"/>
      <c r="AB21" s="27"/>
      <c r="AC21" s="27"/>
      <c r="AD21" s="27">
        <f>IF($O$21=AD20,AD22/100*$Q$21,0)</f>
        <v>0</v>
      </c>
      <c r="AE21" s="27">
        <f>IF($O$21=AE20,AE22/100*$Q$21,0)</f>
        <v>0</v>
      </c>
      <c r="AF21" s="27"/>
      <c r="AG21" s="27"/>
      <c r="AH21" s="103"/>
      <c r="AI21" s="25">
        <f>SUM(AC21:AF21)</f>
        <v>0</v>
      </c>
      <c r="AJ21" s="25"/>
      <c r="AK21" s="25"/>
      <c r="AL21" s="25"/>
      <c r="AM21" s="25"/>
    </row>
    <row r="22" spans="2:39" x14ac:dyDescent="0.2">
      <c r="B22" s="74"/>
      <c r="C22" s="8"/>
      <c r="D22" s="102"/>
      <c r="E22" s="107"/>
      <c r="F22" s="102"/>
      <c r="G22" s="102"/>
      <c r="H22" s="102"/>
      <c r="I22" s="19" t="s">
        <v>38</v>
      </c>
      <c r="J22" s="139">
        <v>1</v>
      </c>
      <c r="K22" s="13"/>
      <c r="L22" s="60"/>
      <c r="M22" s="104"/>
      <c r="N22" s="8"/>
      <c r="O22" s="13"/>
      <c r="P22" s="12"/>
      <c r="Q22" s="16"/>
      <c r="R22" s="17"/>
      <c r="S22" s="62"/>
      <c r="T22" s="13"/>
      <c r="U22" s="13"/>
      <c r="V22" s="20"/>
      <c r="W22" s="8"/>
      <c r="X22" s="21"/>
      <c r="Y22" s="27"/>
      <c r="Z22" s="27"/>
      <c r="AA22" s="27"/>
      <c r="AB22" s="27"/>
      <c r="AC22" s="27"/>
      <c r="AD22" s="27">
        <v>40</v>
      </c>
      <c r="AE22" s="27">
        <v>100</v>
      </c>
      <c r="AF22" s="27"/>
      <c r="AG22" s="27"/>
      <c r="AH22" s="103"/>
      <c r="AI22" s="25"/>
      <c r="AJ22" s="25"/>
      <c r="AK22" s="25"/>
      <c r="AL22" s="25"/>
      <c r="AM22" s="25"/>
    </row>
    <row r="23" spans="2:39" x14ac:dyDescent="0.2">
      <c r="B23" s="74"/>
      <c r="C23" s="8"/>
      <c r="D23" s="102"/>
      <c r="E23" s="107"/>
      <c r="F23" s="102"/>
      <c r="G23" s="102"/>
      <c r="H23" s="102"/>
      <c r="I23" s="19"/>
      <c r="J23" s="139"/>
      <c r="K23" s="13"/>
      <c r="L23" s="60"/>
      <c r="M23" s="104"/>
      <c r="N23" s="8"/>
      <c r="O23" s="13"/>
      <c r="P23" s="12"/>
      <c r="Q23" s="16"/>
      <c r="R23" s="17"/>
      <c r="S23" s="62"/>
      <c r="T23" s="13"/>
      <c r="U23" s="13"/>
      <c r="V23" s="20"/>
      <c r="W23" s="8"/>
      <c r="X23" s="21"/>
      <c r="Y23" s="27"/>
      <c r="Z23" s="27"/>
      <c r="AA23" s="27"/>
      <c r="AB23" s="27"/>
      <c r="AC23" s="27"/>
      <c r="AD23" s="27"/>
      <c r="AE23" s="27"/>
      <c r="AF23" s="27"/>
      <c r="AG23" s="27"/>
      <c r="AH23" s="103"/>
      <c r="AI23" s="25"/>
      <c r="AJ23" s="25"/>
      <c r="AK23" s="25"/>
      <c r="AL23" s="25"/>
      <c r="AM23" s="25"/>
    </row>
    <row r="24" spans="2:39" x14ac:dyDescent="0.2">
      <c r="B24" s="74"/>
      <c r="C24" s="8"/>
      <c r="D24" s="102"/>
      <c r="E24" s="107"/>
      <c r="F24" s="102"/>
      <c r="G24" s="102"/>
      <c r="H24" s="102"/>
      <c r="I24" s="19"/>
      <c r="J24" s="139"/>
      <c r="K24" s="13"/>
      <c r="L24" s="60"/>
      <c r="M24" s="104"/>
      <c r="N24" s="8"/>
      <c r="O24" s="13"/>
      <c r="P24" s="12"/>
      <c r="Q24" s="16"/>
      <c r="R24" s="17"/>
      <c r="S24" s="62"/>
      <c r="T24" s="13"/>
      <c r="U24" s="13"/>
      <c r="V24" s="20"/>
      <c r="W24" s="8"/>
      <c r="X24" s="21"/>
      <c r="Y24" s="27"/>
      <c r="Z24" s="27"/>
      <c r="AA24" s="27"/>
      <c r="AB24" s="27"/>
      <c r="AC24" s="27"/>
      <c r="AD24" s="27" t="s">
        <v>116</v>
      </c>
      <c r="AE24" s="27" t="s">
        <v>117</v>
      </c>
      <c r="AF24" s="27"/>
      <c r="AG24" s="27"/>
      <c r="AH24" s="103"/>
      <c r="AI24" s="25"/>
      <c r="AJ24" s="25"/>
      <c r="AK24" s="25"/>
      <c r="AL24" s="25"/>
      <c r="AM24" s="25"/>
    </row>
    <row r="25" spans="2:39" x14ac:dyDescent="0.2">
      <c r="B25" s="74"/>
      <c r="C25" s="8"/>
      <c r="D25" s="102"/>
      <c r="E25" s="107"/>
      <c r="F25" s="102"/>
      <c r="G25" s="102"/>
      <c r="H25" s="102"/>
      <c r="I25" s="19"/>
      <c r="J25" s="139"/>
      <c r="K25" s="13"/>
      <c r="L25" s="60"/>
      <c r="M25" s="104"/>
      <c r="N25" s="8"/>
      <c r="O25" s="13"/>
      <c r="P25" s="12"/>
      <c r="Q25" s="16"/>
      <c r="R25" s="17"/>
      <c r="S25" s="62"/>
      <c r="T25" s="13"/>
      <c r="U25" s="13"/>
      <c r="V25" s="20"/>
      <c r="W25" s="8"/>
      <c r="X25" s="21"/>
      <c r="Y25" s="27"/>
      <c r="Z25" s="27"/>
      <c r="AA25" s="27"/>
      <c r="AB25" s="27"/>
      <c r="AC25" s="27"/>
      <c r="AD25" s="27">
        <v>1</v>
      </c>
      <c r="AE25" s="27">
        <v>2</v>
      </c>
      <c r="AF25" s="27"/>
      <c r="AG25" s="27"/>
      <c r="AH25" s="103"/>
      <c r="AI25" s="25"/>
      <c r="AJ25" s="25"/>
      <c r="AK25" s="25"/>
      <c r="AL25" s="25"/>
      <c r="AM25" s="25"/>
    </row>
    <row r="26" spans="2:39" x14ac:dyDescent="0.2">
      <c r="B26" s="74"/>
      <c r="C26" s="8"/>
      <c r="D26" s="102"/>
      <c r="E26" s="107" t="s">
        <v>118</v>
      </c>
      <c r="F26" s="102"/>
      <c r="G26" s="102"/>
      <c r="H26" s="102"/>
      <c r="I26" s="19" t="s">
        <v>114</v>
      </c>
      <c r="J26" s="139">
        <v>1</v>
      </c>
      <c r="K26" s="13" t="s">
        <v>115</v>
      </c>
      <c r="L26" s="60">
        <v>2</v>
      </c>
      <c r="M26" s="104"/>
      <c r="N26" s="3"/>
      <c r="O26" s="13">
        <f>IF(OR(N26="",0),0,N26)</f>
        <v>0</v>
      </c>
      <c r="P26" s="12">
        <v>0</v>
      </c>
      <c r="Q26" s="16">
        <v>40</v>
      </c>
      <c r="R26" s="17">
        <f>+AI26</f>
        <v>0</v>
      </c>
      <c r="S26" s="62">
        <v>1650</v>
      </c>
      <c r="T26" s="140">
        <v>1</v>
      </c>
      <c r="U26" s="13">
        <f>IF(O26=0,1,T26)</f>
        <v>1</v>
      </c>
      <c r="V26" s="20">
        <f>IF(O26=0,0,+U26*S26)</f>
        <v>0</v>
      </c>
      <c r="W26" s="8"/>
      <c r="X26" s="21"/>
      <c r="Y26" s="27"/>
      <c r="Z26" s="27"/>
      <c r="AA26" s="27"/>
      <c r="AB26" s="27"/>
      <c r="AC26" s="27"/>
      <c r="AD26" s="27">
        <f>IF($O$26=AD25,AD27/100*$Q$26,0)</f>
        <v>0</v>
      </c>
      <c r="AE26" s="27">
        <f>IF($O$26=AE25,AE27/100*$Q$26,0)</f>
        <v>0</v>
      </c>
      <c r="AF26" s="27"/>
      <c r="AG26" s="27"/>
      <c r="AH26" s="103"/>
      <c r="AI26" s="25">
        <f>SUM(AC26:AF26)</f>
        <v>0</v>
      </c>
      <c r="AJ26" s="25"/>
      <c r="AK26" s="25"/>
      <c r="AL26" s="25"/>
      <c r="AM26" s="25"/>
    </row>
    <row r="27" spans="2:39" x14ac:dyDescent="0.2">
      <c r="B27" s="74"/>
      <c r="C27" s="8"/>
      <c r="D27" s="102"/>
      <c r="E27" s="107"/>
      <c r="F27" s="102"/>
      <c r="G27" s="102"/>
      <c r="H27" s="102"/>
      <c r="I27" s="19" t="s">
        <v>38</v>
      </c>
      <c r="J27" s="139">
        <v>1</v>
      </c>
      <c r="K27" s="13"/>
      <c r="L27" s="60"/>
      <c r="M27" s="104"/>
      <c r="N27" s="8"/>
      <c r="O27" s="13"/>
      <c r="P27" s="12"/>
      <c r="Q27" s="16"/>
      <c r="R27" s="17"/>
      <c r="S27" s="62"/>
      <c r="T27" s="13"/>
      <c r="U27" s="13"/>
      <c r="V27" s="20"/>
      <c r="W27" s="8"/>
      <c r="X27" s="21"/>
      <c r="Y27" s="27"/>
      <c r="Z27" s="27"/>
      <c r="AA27" s="27"/>
      <c r="AB27" s="27"/>
      <c r="AC27" s="27"/>
      <c r="AD27" s="27">
        <v>40</v>
      </c>
      <c r="AE27" s="27">
        <v>100</v>
      </c>
      <c r="AF27" s="27"/>
      <c r="AG27" s="27"/>
      <c r="AH27" s="103"/>
      <c r="AI27" s="25"/>
      <c r="AJ27" s="25"/>
      <c r="AK27" s="25"/>
      <c r="AL27" s="25"/>
      <c r="AM27" s="25"/>
    </row>
    <row r="28" spans="2:39" x14ac:dyDescent="0.2">
      <c r="B28" s="74"/>
      <c r="C28" s="8"/>
      <c r="D28" s="102"/>
      <c r="E28" s="107"/>
      <c r="F28" s="102"/>
      <c r="G28" s="102"/>
      <c r="H28" s="102"/>
      <c r="I28" s="19"/>
      <c r="J28" s="139"/>
      <c r="K28" s="13"/>
      <c r="L28" s="60"/>
      <c r="M28" s="104"/>
      <c r="N28" s="8"/>
      <c r="O28" s="13"/>
      <c r="P28" s="12"/>
      <c r="Q28" s="16"/>
      <c r="R28" s="17"/>
      <c r="S28" s="62"/>
      <c r="T28" s="13"/>
      <c r="U28" s="13"/>
      <c r="V28" s="20"/>
      <c r="W28" s="8"/>
      <c r="X28" s="21"/>
      <c r="Y28" s="27"/>
      <c r="Z28" s="27"/>
      <c r="AA28" s="27"/>
      <c r="AB28" s="27"/>
      <c r="AC28" s="27"/>
      <c r="AD28" s="27"/>
      <c r="AE28" s="27"/>
      <c r="AF28" s="27"/>
      <c r="AG28" s="27"/>
      <c r="AH28" s="103"/>
      <c r="AI28" s="25"/>
      <c r="AJ28" s="25"/>
      <c r="AK28" s="25"/>
      <c r="AL28" s="25"/>
      <c r="AM28" s="25"/>
    </row>
    <row r="29" spans="2:39" x14ac:dyDescent="0.2">
      <c r="B29" s="74"/>
      <c r="C29" s="8"/>
      <c r="D29" s="102"/>
      <c r="E29" s="107"/>
      <c r="F29" s="102"/>
      <c r="G29" s="102"/>
      <c r="H29" s="102"/>
      <c r="I29" s="19"/>
      <c r="J29" s="139"/>
      <c r="K29" s="13"/>
      <c r="L29" s="60"/>
      <c r="M29" s="104"/>
      <c r="N29" s="8"/>
      <c r="O29" s="13"/>
      <c r="P29" s="12"/>
      <c r="Q29" s="16"/>
      <c r="R29" s="17"/>
      <c r="S29" s="62"/>
      <c r="T29" s="13"/>
      <c r="U29" s="13"/>
      <c r="V29" s="20"/>
      <c r="W29" s="8"/>
      <c r="X29" s="21"/>
      <c r="Y29" s="27"/>
      <c r="Z29" s="27"/>
      <c r="AA29" s="27"/>
      <c r="AB29" s="27"/>
      <c r="AC29" s="27"/>
      <c r="AD29" s="141" t="s">
        <v>119</v>
      </c>
      <c r="AE29" s="27" t="s">
        <v>120</v>
      </c>
      <c r="AF29" s="27"/>
      <c r="AG29" s="27"/>
      <c r="AH29" s="103"/>
      <c r="AI29" s="25"/>
      <c r="AJ29" s="25"/>
      <c r="AK29" s="25"/>
      <c r="AL29" s="25"/>
      <c r="AM29" s="25"/>
    </row>
    <row r="30" spans="2:39" x14ac:dyDescent="0.2">
      <c r="B30" s="74"/>
      <c r="C30" s="8"/>
      <c r="D30" s="102"/>
      <c r="E30" s="107"/>
      <c r="F30" s="102"/>
      <c r="G30" s="102"/>
      <c r="H30" s="102"/>
      <c r="I30" s="19"/>
      <c r="J30" s="139"/>
      <c r="K30" s="13"/>
      <c r="L30" s="60"/>
      <c r="M30" s="104"/>
      <c r="N30" s="8"/>
      <c r="O30" s="13"/>
      <c r="P30" s="12"/>
      <c r="Q30" s="16"/>
      <c r="R30" s="17"/>
      <c r="S30" s="62"/>
      <c r="T30" s="13"/>
      <c r="U30" s="13"/>
      <c r="V30" s="20"/>
      <c r="W30" s="8"/>
      <c r="X30" s="21"/>
      <c r="Y30" s="27"/>
      <c r="Z30" s="27"/>
      <c r="AA30" s="27"/>
      <c r="AB30" s="27"/>
      <c r="AC30" s="27"/>
      <c r="AD30" s="27">
        <v>1</v>
      </c>
      <c r="AE30" s="27">
        <v>2</v>
      </c>
      <c r="AF30" s="27"/>
      <c r="AG30" s="27"/>
      <c r="AH30" s="103"/>
      <c r="AI30" s="25"/>
      <c r="AJ30" s="25"/>
      <c r="AK30" s="25"/>
      <c r="AL30" s="25"/>
      <c r="AM30" s="25"/>
    </row>
    <row r="31" spans="2:39" x14ac:dyDescent="0.2">
      <c r="B31" s="74"/>
      <c r="C31" s="8"/>
      <c r="D31" s="102"/>
      <c r="E31" s="107" t="s">
        <v>121</v>
      </c>
      <c r="F31" s="102"/>
      <c r="G31" s="102"/>
      <c r="H31" s="102"/>
      <c r="I31" s="19" t="s">
        <v>114</v>
      </c>
      <c r="J31" s="139">
        <v>1</v>
      </c>
      <c r="K31" s="13" t="s">
        <v>115</v>
      </c>
      <c r="L31" s="60">
        <v>2</v>
      </c>
      <c r="M31" s="104"/>
      <c r="N31" s="3"/>
      <c r="O31" s="13">
        <f>IF(OR(N31="",0),0,N31)</f>
        <v>0</v>
      </c>
      <c r="P31" s="12">
        <v>0</v>
      </c>
      <c r="Q31" s="16">
        <v>50</v>
      </c>
      <c r="R31" s="17">
        <f>+AI31</f>
        <v>0</v>
      </c>
      <c r="S31" s="62">
        <v>2500</v>
      </c>
      <c r="T31" s="140">
        <v>1</v>
      </c>
      <c r="U31" s="13">
        <f>IF(O31=0,1,T31)</f>
        <v>1</v>
      </c>
      <c r="V31" s="20">
        <f>IF(O31=0,0,+U31*S31)</f>
        <v>0</v>
      </c>
      <c r="W31" s="8"/>
      <c r="X31" s="21"/>
      <c r="Y31" s="27"/>
      <c r="Z31" s="27"/>
      <c r="AA31" s="27"/>
      <c r="AB31" s="27"/>
      <c r="AC31" s="27"/>
      <c r="AD31" s="27">
        <f>IF($O$26=AD30,AD32/100*$Q$31,0)</f>
        <v>0</v>
      </c>
      <c r="AE31" s="27">
        <f>IF($O$31=AE30,AE32/100*$Q$31,0)</f>
        <v>0</v>
      </c>
      <c r="AF31" s="27"/>
      <c r="AG31" s="27"/>
      <c r="AH31" s="103"/>
      <c r="AI31" s="25">
        <f>SUM(AC31:AF31)</f>
        <v>0</v>
      </c>
      <c r="AJ31" s="25"/>
      <c r="AK31" s="25"/>
      <c r="AL31" s="25"/>
      <c r="AM31" s="25"/>
    </row>
    <row r="32" spans="2:39" x14ac:dyDescent="0.2">
      <c r="B32" s="74"/>
      <c r="C32" s="8"/>
      <c r="D32" s="102"/>
      <c r="E32" s="107"/>
      <c r="F32" s="102"/>
      <c r="G32" s="102"/>
      <c r="H32" s="102"/>
      <c r="I32" s="19" t="s">
        <v>38</v>
      </c>
      <c r="J32" s="139">
        <v>1</v>
      </c>
      <c r="K32" s="13"/>
      <c r="L32" s="60"/>
      <c r="M32" s="104"/>
      <c r="N32" s="8"/>
      <c r="O32" s="13"/>
      <c r="P32" s="12"/>
      <c r="Q32" s="16"/>
      <c r="R32" s="17"/>
      <c r="S32" s="62"/>
      <c r="T32" s="13"/>
      <c r="U32" s="13"/>
      <c r="V32" s="20"/>
      <c r="W32" s="8"/>
      <c r="X32" s="21"/>
      <c r="Y32" s="27"/>
      <c r="Z32" s="27"/>
      <c r="AA32" s="27"/>
      <c r="AB32" s="27"/>
      <c r="AC32" s="27"/>
      <c r="AD32" s="27">
        <v>40</v>
      </c>
      <c r="AE32" s="27">
        <v>100</v>
      </c>
      <c r="AF32" s="27"/>
      <c r="AG32" s="27"/>
      <c r="AH32" s="103"/>
      <c r="AI32" s="25"/>
      <c r="AJ32" s="25"/>
      <c r="AK32" s="25"/>
      <c r="AL32" s="25"/>
      <c r="AM32" s="25"/>
    </row>
    <row r="33" spans="2:54" x14ac:dyDescent="0.2">
      <c r="B33" s="74"/>
      <c r="C33" s="8"/>
      <c r="D33" s="102"/>
      <c r="E33" s="107"/>
      <c r="F33" s="102"/>
      <c r="G33" s="102"/>
      <c r="H33" s="102"/>
      <c r="I33" s="19"/>
      <c r="J33" s="139"/>
      <c r="K33" s="13"/>
      <c r="L33" s="60"/>
      <c r="M33" s="104"/>
      <c r="N33" s="8"/>
      <c r="O33" s="13"/>
      <c r="P33" s="12"/>
      <c r="Q33" s="16"/>
      <c r="R33" s="17"/>
      <c r="S33" s="18"/>
      <c r="T33" s="13"/>
      <c r="U33" s="13"/>
      <c r="V33" s="20"/>
      <c r="W33" s="8"/>
      <c r="X33" s="21"/>
      <c r="Y33" s="27"/>
      <c r="Z33" s="27"/>
      <c r="AA33" s="27"/>
      <c r="AB33" s="27"/>
      <c r="AC33" s="27"/>
      <c r="AD33" s="27"/>
      <c r="AE33" s="27"/>
      <c r="AF33" s="27"/>
      <c r="AG33" s="27"/>
      <c r="AH33" s="103"/>
      <c r="AI33" s="25"/>
      <c r="AJ33" s="25"/>
      <c r="AK33" s="25"/>
      <c r="AL33" s="25"/>
      <c r="AM33" s="25"/>
    </row>
    <row r="34" spans="2:54" x14ac:dyDescent="0.2">
      <c r="B34" s="7"/>
      <c r="C34" s="8"/>
      <c r="D34" s="102"/>
      <c r="E34" s="102"/>
      <c r="F34" s="102"/>
      <c r="G34" s="102"/>
      <c r="H34" s="102"/>
      <c r="I34" s="19"/>
      <c r="J34" s="13"/>
      <c r="K34" s="13"/>
      <c r="L34" s="61"/>
      <c r="M34" s="74"/>
      <c r="N34" s="13"/>
      <c r="O34" s="13"/>
      <c r="P34" s="13"/>
      <c r="Q34" s="13"/>
      <c r="R34" s="17"/>
      <c r="S34" s="13"/>
      <c r="T34" s="19"/>
      <c r="U34" s="13"/>
      <c r="V34" s="26"/>
      <c r="W34" s="8"/>
      <c r="X34" s="21"/>
      <c r="Y34" s="27"/>
      <c r="Z34" s="27"/>
      <c r="AA34" s="27"/>
      <c r="AB34" s="27"/>
      <c r="AC34" s="27"/>
      <c r="AD34" s="141" t="s">
        <v>119</v>
      </c>
      <c r="AE34" s="27" t="s">
        <v>120</v>
      </c>
      <c r="AF34" s="27"/>
      <c r="AG34" s="27"/>
      <c r="AH34" s="103"/>
      <c r="AI34" s="25"/>
      <c r="AJ34" s="25"/>
      <c r="AK34" s="25"/>
      <c r="AL34" s="25"/>
      <c r="AM34" s="25"/>
    </row>
    <row r="35" spans="2:54" ht="25.5" x14ac:dyDescent="0.2">
      <c r="B35" s="142" t="s">
        <v>124</v>
      </c>
      <c r="C35" s="8"/>
      <c r="D35" s="182" t="s">
        <v>123</v>
      </c>
      <c r="E35" s="182"/>
      <c r="F35" s="182"/>
      <c r="G35" s="182"/>
      <c r="H35" s="183"/>
      <c r="I35" s="19"/>
      <c r="J35" s="13"/>
      <c r="K35" s="13"/>
      <c r="L35" s="61"/>
      <c r="M35" s="74"/>
      <c r="N35" s="13"/>
      <c r="O35" s="13"/>
      <c r="P35" s="13"/>
      <c r="Q35" s="13"/>
      <c r="R35" s="17"/>
      <c r="S35" s="13"/>
      <c r="T35" s="19"/>
      <c r="U35" s="13"/>
      <c r="V35" s="26"/>
      <c r="W35" s="8"/>
      <c r="X35" s="21"/>
      <c r="Y35" s="27"/>
      <c r="Z35" s="27"/>
      <c r="AA35" s="27"/>
      <c r="AB35" s="27"/>
      <c r="AC35" s="27"/>
      <c r="AD35" s="27">
        <v>1</v>
      </c>
      <c r="AE35" s="27">
        <v>2</v>
      </c>
      <c r="AF35" s="27"/>
      <c r="AG35" s="27"/>
      <c r="AH35" s="103"/>
      <c r="AI35" s="25"/>
      <c r="AJ35" s="25"/>
      <c r="AK35" s="25"/>
      <c r="AL35" s="25"/>
      <c r="AM35" s="25"/>
    </row>
    <row r="36" spans="2:54" x14ac:dyDescent="0.2">
      <c r="B36" s="142"/>
      <c r="C36" s="8"/>
      <c r="D36" s="156"/>
      <c r="E36" s="156"/>
      <c r="F36" s="156"/>
      <c r="G36" s="156"/>
      <c r="H36" s="156"/>
      <c r="I36" s="19"/>
      <c r="J36" s="13"/>
      <c r="K36" s="13"/>
      <c r="L36" s="61"/>
      <c r="M36" s="74"/>
      <c r="N36" s="13"/>
      <c r="O36" s="13"/>
      <c r="P36" s="13"/>
      <c r="Q36" s="13"/>
      <c r="R36" s="17"/>
      <c r="S36" s="13"/>
      <c r="T36" s="13"/>
      <c r="U36" s="13"/>
      <c r="V36" s="26"/>
      <c r="W36" s="8"/>
      <c r="X36" s="21"/>
      <c r="Y36" s="27"/>
      <c r="Z36" s="27"/>
      <c r="AA36" s="27"/>
      <c r="AB36" s="150">
        <f>+J37</f>
        <v>80</v>
      </c>
      <c r="AC36" s="151">
        <f>+$J$38+AB36</f>
        <v>82.5</v>
      </c>
      <c r="AD36" s="151">
        <f t="shared" ref="AD36:AI36" si="1">+$J$38+AC36</f>
        <v>85</v>
      </c>
      <c r="AE36" s="151">
        <f t="shared" si="1"/>
        <v>87.5</v>
      </c>
      <c r="AF36" s="151">
        <f t="shared" si="1"/>
        <v>90</v>
      </c>
      <c r="AG36" s="151">
        <f t="shared" si="1"/>
        <v>92.5</v>
      </c>
      <c r="AH36" s="151">
        <f t="shared" si="1"/>
        <v>95</v>
      </c>
      <c r="AI36" s="151">
        <f t="shared" si="1"/>
        <v>97.5</v>
      </c>
      <c r="AJ36" s="151">
        <f>+$J$38+AI36</f>
        <v>100</v>
      </c>
      <c r="AK36" s="25"/>
      <c r="AL36" s="25"/>
      <c r="AM36" s="25"/>
    </row>
    <row r="37" spans="2:54" x14ac:dyDescent="0.2">
      <c r="B37" s="7"/>
      <c r="E37" s="24" t="s">
        <v>141</v>
      </c>
      <c r="I37" s="19" t="s">
        <v>51</v>
      </c>
      <c r="J37" s="139">
        <v>80</v>
      </c>
      <c r="K37" s="13" t="s">
        <v>115</v>
      </c>
      <c r="L37" s="60">
        <v>100</v>
      </c>
      <c r="M37" s="74"/>
      <c r="N37" s="3"/>
      <c r="O37" s="13">
        <f>IF(OR(N37="",0),0,N37)</f>
        <v>0</v>
      </c>
      <c r="P37" s="12">
        <v>0</v>
      </c>
      <c r="Q37" s="16">
        <v>70</v>
      </c>
      <c r="R37" s="17">
        <f>+AL37</f>
        <v>0</v>
      </c>
      <c r="S37" s="62">
        <v>1000</v>
      </c>
      <c r="T37" s="140">
        <v>1</v>
      </c>
      <c r="U37" s="13">
        <f>IF(O37=0,1,T37)</f>
        <v>1</v>
      </c>
      <c r="V37" s="20">
        <f>IF(O37=0,0,+U37*S37)</f>
        <v>0</v>
      </c>
      <c r="W37" s="8"/>
      <c r="X37" s="21"/>
      <c r="Y37" s="27"/>
      <c r="Z37" s="27"/>
      <c r="AA37" s="27"/>
      <c r="AB37" s="27">
        <f>IF($O$37=AB$36,AB$45*$Q$37,0)</f>
        <v>0</v>
      </c>
      <c r="AC37" s="27">
        <f t="shared" ref="AC37:AJ37" si="2">IF($O$37=AC$36,AC$45*$Q$37,0)</f>
        <v>0</v>
      </c>
      <c r="AD37" s="27">
        <f t="shared" si="2"/>
        <v>0</v>
      </c>
      <c r="AE37" s="27">
        <f t="shared" si="2"/>
        <v>0</v>
      </c>
      <c r="AF37" s="27">
        <f t="shared" si="2"/>
        <v>0</v>
      </c>
      <c r="AG37" s="27">
        <f t="shared" si="2"/>
        <v>0</v>
      </c>
      <c r="AH37" s="27">
        <f t="shared" si="2"/>
        <v>0</v>
      </c>
      <c r="AI37" s="27">
        <f t="shared" si="2"/>
        <v>0</v>
      </c>
      <c r="AJ37" s="27">
        <f t="shared" si="2"/>
        <v>0</v>
      </c>
      <c r="AK37" s="25"/>
      <c r="AL37" s="25">
        <f>SUM(AB37:AJ37)</f>
        <v>0</v>
      </c>
      <c r="AM37" s="25"/>
    </row>
    <row r="38" spans="2:54" x14ac:dyDescent="0.2">
      <c r="B38" s="7"/>
      <c r="C38" s="8"/>
      <c r="D38" s="102"/>
      <c r="E38" s="102"/>
      <c r="F38" s="102"/>
      <c r="G38" s="102"/>
      <c r="H38" s="102"/>
      <c r="I38" s="19" t="s">
        <v>38</v>
      </c>
      <c r="J38" s="149">
        <v>2.5</v>
      </c>
      <c r="K38" s="13"/>
      <c r="L38" s="60"/>
      <c r="M38" s="74"/>
      <c r="N38" s="13"/>
      <c r="O38" s="13"/>
      <c r="P38" s="13"/>
      <c r="Q38" s="13"/>
      <c r="R38" s="17"/>
      <c r="S38" s="13"/>
      <c r="T38" s="19"/>
      <c r="U38" s="13"/>
      <c r="V38" s="26"/>
      <c r="W38" s="8"/>
      <c r="X38" s="21"/>
      <c r="Y38" s="27"/>
      <c r="Z38" s="27"/>
      <c r="AA38" s="27"/>
      <c r="AK38" s="25"/>
      <c r="AL38" s="25"/>
      <c r="AM38" s="25"/>
    </row>
    <row r="39" spans="2:54" x14ac:dyDescent="0.2">
      <c r="B39" s="7"/>
      <c r="C39" s="8"/>
      <c r="D39" s="102"/>
      <c r="E39" s="102"/>
      <c r="F39" s="102"/>
      <c r="G39" s="102"/>
      <c r="H39" s="102"/>
      <c r="I39" s="19"/>
      <c r="J39" s="139"/>
      <c r="K39" s="13"/>
      <c r="L39" s="60"/>
      <c r="M39" s="74"/>
      <c r="N39" s="13"/>
      <c r="O39" s="13"/>
      <c r="P39" s="13"/>
      <c r="Q39" s="13"/>
      <c r="R39" s="17"/>
      <c r="S39" s="13"/>
      <c r="T39" s="19"/>
      <c r="U39" s="13"/>
      <c r="V39" s="26"/>
      <c r="W39" s="8"/>
      <c r="X39" s="21"/>
      <c r="Y39" s="27"/>
      <c r="Z39" s="27"/>
      <c r="AA39" s="27"/>
      <c r="AB39" s="27"/>
      <c r="AC39" s="27"/>
      <c r="AD39" s="27"/>
      <c r="AE39" s="27"/>
      <c r="AF39" s="27"/>
      <c r="AG39" s="27"/>
      <c r="AH39" s="103"/>
      <c r="AI39" s="25"/>
      <c r="AJ39" s="25"/>
      <c r="AK39" s="25"/>
      <c r="AL39" s="25"/>
      <c r="AM39" s="25"/>
    </row>
    <row r="40" spans="2:54" x14ac:dyDescent="0.2">
      <c r="B40" s="7"/>
      <c r="C40" s="8"/>
      <c r="D40" s="102"/>
      <c r="E40" s="24" t="s">
        <v>142</v>
      </c>
      <c r="I40" s="19" t="s">
        <v>51</v>
      </c>
      <c r="J40" s="139">
        <v>80</v>
      </c>
      <c r="K40" s="13" t="s">
        <v>115</v>
      </c>
      <c r="L40" s="60">
        <v>100</v>
      </c>
      <c r="M40" s="74"/>
      <c r="N40" s="3"/>
      <c r="O40" s="13">
        <f>IF(OR(N40="",0),0,N40)</f>
        <v>0</v>
      </c>
      <c r="P40" s="12">
        <v>0</v>
      </c>
      <c r="Q40" s="16">
        <v>70</v>
      </c>
      <c r="R40" s="17">
        <f>+AL40</f>
        <v>0</v>
      </c>
      <c r="S40" s="62">
        <v>1000</v>
      </c>
      <c r="T40" s="140">
        <v>1</v>
      </c>
      <c r="U40" s="13">
        <f>IF(O40=0,1,T40)</f>
        <v>1</v>
      </c>
      <c r="V40" s="20">
        <f>IF(O40=0,0,+U40*S40)</f>
        <v>0</v>
      </c>
      <c r="W40" s="8"/>
      <c r="X40" s="21"/>
      <c r="Y40" s="27"/>
      <c r="Z40" s="27"/>
      <c r="AA40" s="27"/>
      <c r="AB40" s="27">
        <f>IF($O$40=AB$36,AB$45*$Q$40,0)</f>
        <v>0</v>
      </c>
      <c r="AC40" s="27">
        <f t="shared" ref="AC40:AJ40" si="3">IF($O$40=AC$36,AC$45*$Q$40,0)</f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>IF($O$40=AH$36,AH$45*$Q$40,0)</f>
        <v>0</v>
      </c>
      <c r="AI40" s="27">
        <f t="shared" si="3"/>
        <v>0</v>
      </c>
      <c r="AJ40" s="27">
        <f t="shared" si="3"/>
        <v>0</v>
      </c>
      <c r="AK40" s="25"/>
      <c r="AL40" s="25">
        <f>SUM(AB40:AJ40)</f>
        <v>0</v>
      </c>
      <c r="AM40" s="25"/>
    </row>
    <row r="41" spans="2:54" x14ac:dyDescent="0.2">
      <c r="B41" s="7"/>
      <c r="C41" s="8"/>
      <c r="D41" s="102"/>
      <c r="E41" s="102"/>
      <c r="F41" s="102"/>
      <c r="G41" s="102"/>
      <c r="H41" s="102"/>
      <c r="I41" s="19" t="s">
        <v>38</v>
      </c>
      <c r="J41" s="149">
        <v>2.5</v>
      </c>
      <c r="K41" s="13"/>
      <c r="L41" s="60"/>
      <c r="M41" s="74"/>
      <c r="N41" s="13"/>
      <c r="O41" s="13"/>
      <c r="P41" s="13"/>
      <c r="Q41" s="13"/>
      <c r="R41" s="17"/>
      <c r="S41" s="13"/>
      <c r="T41" s="19"/>
      <c r="U41" s="13"/>
      <c r="V41" s="26"/>
      <c r="W41" s="8"/>
      <c r="X41" s="21"/>
      <c r="Y41" s="27"/>
      <c r="Z41" s="27"/>
      <c r="AA41" s="27"/>
      <c r="AB41" s="27"/>
      <c r="AC41" s="27"/>
      <c r="AD41" s="27"/>
      <c r="AE41" s="27"/>
      <c r="AF41" s="27"/>
      <c r="AG41" s="27"/>
      <c r="AH41" s="103"/>
      <c r="AI41" s="25"/>
      <c r="AJ41" s="25"/>
      <c r="AK41" s="25"/>
      <c r="AL41" s="25"/>
      <c r="AM41" s="25"/>
    </row>
    <row r="42" spans="2:54" x14ac:dyDescent="0.2">
      <c r="B42" s="7"/>
      <c r="C42" s="8"/>
      <c r="D42" s="102"/>
      <c r="E42" s="102"/>
      <c r="F42" s="102"/>
      <c r="G42" s="102"/>
      <c r="H42" s="102"/>
      <c r="I42" s="19"/>
      <c r="J42" s="139"/>
      <c r="K42" s="13"/>
      <c r="L42" s="60"/>
      <c r="M42" s="74"/>
      <c r="N42" s="13"/>
      <c r="O42" s="13"/>
      <c r="P42" s="13"/>
      <c r="Q42" s="13"/>
      <c r="R42" s="17"/>
      <c r="S42" s="13"/>
      <c r="T42" s="19"/>
      <c r="U42" s="13"/>
      <c r="V42" s="26"/>
      <c r="W42" s="8"/>
      <c r="X42" s="21"/>
      <c r="Y42" s="27"/>
      <c r="Z42" s="27"/>
      <c r="AA42" s="27"/>
      <c r="AB42" s="27"/>
      <c r="AC42" s="27"/>
      <c r="AD42" s="27"/>
      <c r="AE42" s="27"/>
      <c r="AF42" s="27"/>
      <c r="AG42" s="27"/>
      <c r="AH42" s="103"/>
      <c r="AI42" s="25"/>
      <c r="AJ42" s="25"/>
      <c r="AK42" s="25"/>
      <c r="AL42" s="25"/>
      <c r="AM42" s="25"/>
    </row>
    <row r="43" spans="2:54" x14ac:dyDescent="0.2">
      <c r="B43" s="7"/>
      <c r="C43" s="8"/>
      <c r="D43" s="102"/>
      <c r="E43" s="102"/>
      <c r="F43" s="102"/>
      <c r="G43" s="102"/>
      <c r="H43" s="102"/>
      <c r="I43" s="19"/>
      <c r="J43" s="139"/>
      <c r="K43" s="13"/>
      <c r="L43" s="60"/>
      <c r="M43" s="74"/>
      <c r="N43" s="13"/>
      <c r="O43" s="13"/>
      <c r="P43" s="13"/>
      <c r="Q43" s="13"/>
      <c r="R43" s="17"/>
      <c r="S43" s="13"/>
      <c r="T43" s="19"/>
      <c r="U43" s="13"/>
      <c r="V43" s="26"/>
      <c r="W43" s="8"/>
      <c r="X43" s="21"/>
      <c r="Y43" s="27"/>
      <c r="Z43" s="27"/>
      <c r="AA43" s="27"/>
      <c r="AB43" s="27"/>
      <c r="AC43" s="27"/>
      <c r="AD43" s="27"/>
      <c r="AE43" s="27"/>
      <c r="AF43" s="27"/>
      <c r="AG43" s="27"/>
      <c r="AH43" s="103"/>
      <c r="AI43" s="25"/>
      <c r="AJ43" s="25"/>
      <c r="AK43" s="25"/>
      <c r="AL43" s="25"/>
      <c r="AM43" s="25"/>
    </row>
    <row r="44" spans="2:54" x14ac:dyDescent="0.2">
      <c r="B44" s="7"/>
      <c r="C44" s="8"/>
      <c r="D44" s="102"/>
      <c r="E44" s="24" t="s">
        <v>143</v>
      </c>
      <c r="I44" s="19" t="s">
        <v>51</v>
      </c>
      <c r="J44" s="139">
        <v>80</v>
      </c>
      <c r="K44" s="13" t="s">
        <v>115</v>
      </c>
      <c r="L44" s="60">
        <v>100</v>
      </c>
      <c r="M44" s="74"/>
      <c r="N44" s="3"/>
      <c r="O44" s="13">
        <f>IF(OR(N44="",0),0,N44)</f>
        <v>0</v>
      </c>
      <c r="P44" s="12">
        <v>0</v>
      </c>
      <c r="Q44" s="16">
        <v>70</v>
      </c>
      <c r="R44" s="17">
        <f>+AL44</f>
        <v>0</v>
      </c>
      <c r="S44" s="62">
        <v>1000</v>
      </c>
      <c r="T44" s="140">
        <v>1</v>
      </c>
      <c r="U44" s="13">
        <f>IF(O44=0,1,T44)</f>
        <v>1</v>
      </c>
      <c r="V44" s="20">
        <f>IF(O44=0,0,+U44*S44)</f>
        <v>0</v>
      </c>
      <c r="W44" s="8"/>
      <c r="X44" s="21"/>
      <c r="Y44" s="27"/>
      <c r="Z44" s="27"/>
      <c r="AA44" s="27"/>
      <c r="AB44" s="27">
        <f>IF($O$44=AB$36,AB$45*$Q$44,0)</f>
        <v>0</v>
      </c>
      <c r="AC44" s="27">
        <f t="shared" ref="AC44:AJ44" si="4">IF($O$44=AC$36,AC$45*$Q$44,0)</f>
        <v>0</v>
      </c>
      <c r="AD44" s="27">
        <f t="shared" si="4"/>
        <v>0</v>
      </c>
      <c r="AE44" s="27">
        <f t="shared" si="4"/>
        <v>0</v>
      </c>
      <c r="AF44" s="27">
        <f t="shared" si="4"/>
        <v>0</v>
      </c>
      <c r="AG44" s="27">
        <f t="shared" si="4"/>
        <v>0</v>
      </c>
      <c r="AH44" s="27">
        <f t="shared" si="4"/>
        <v>0</v>
      </c>
      <c r="AI44" s="27">
        <f t="shared" si="4"/>
        <v>0</v>
      </c>
      <c r="AJ44" s="27">
        <f t="shared" si="4"/>
        <v>0</v>
      </c>
      <c r="AK44" s="25"/>
      <c r="AL44" s="25">
        <f>SUM(AB44:AJ44)</f>
        <v>0</v>
      </c>
      <c r="AM44" s="25"/>
    </row>
    <row r="45" spans="2:54" x14ac:dyDescent="0.2">
      <c r="B45" s="7"/>
      <c r="C45" s="8"/>
      <c r="D45" s="102"/>
      <c r="E45" s="102"/>
      <c r="F45" s="102"/>
      <c r="G45" s="102"/>
      <c r="H45" s="102"/>
      <c r="I45" s="19" t="s">
        <v>38</v>
      </c>
      <c r="J45" s="149">
        <v>2.5</v>
      </c>
      <c r="K45" s="13"/>
      <c r="L45" s="60"/>
      <c r="M45" s="74"/>
      <c r="N45" s="13"/>
      <c r="O45" s="13"/>
      <c r="P45" s="13"/>
      <c r="Q45" s="13"/>
      <c r="R45" s="17"/>
      <c r="S45" s="13"/>
      <c r="T45" s="19"/>
      <c r="U45" s="13"/>
      <c r="V45" s="26"/>
      <c r="W45" s="8"/>
      <c r="X45" s="21"/>
      <c r="Y45" s="27"/>
      <c r="Z45" s="27"/>
      <c r="AA45" s="27"/>
      <c r="AB45" s="27">
        <v>0</v>
      </c>
      <c r="AC45" s="153">
        <v>0.05</v>
      </c>
      <c r="AD45" s="153">
        <v>0.2</v>
      </c>
      <c r="AE45" s="153">
        <v>0.4</v>
      </c>
      <c r="AF45" s="153">
        <v>0.6</v>
      </c>
      <c r="AG45" s="153">
        <v>0.8</v>
      </c>
      <c r="AH45" s="154">
        <v>0.9</v>
      </c>
      <c r="AI45" s="152">
        <v>0.95</v>
      </c>
      <c r="AJ45" s="152">
        <v>1</v>
      </c>
      <c r="AK45" s="25"/>
      <c r="AL45" s="25"/>
      <c r="AM45" s="25"/>
    </row>
    <row r="46" spans="2:54" x14ac:dyDescent="0.2">
      <c r="B46" s="7"/>
      <c r="C46" s="8"/>
      <c r="D46" s="102"/>
      <c r="E46" s="102"/>
      <c r="F46" s="102"/>
      <c r="G46" s="102"/>
      <c r="H46" s="102"/>
      <c r="I46" s="19"/>
      <c r="J46" s="139"/>
      <c r="K46" s="13"/>
      <c r="L46" s="60"/>
      <c r="M46" s="74"/>
      <c r="N46" s="13"/>
      <c r="O46" s="13"/>
      <c r="P46" s="13"/>
      <c r="Q46" s="13"/>
      <c r="R46" s="17"/>
      <c r="S46" s="13"/>
      <c r="T46" s="19"/>
      <c r="U46" s="13"/>
      <c r="V46" s="26"/>
      <c r="W46" s="8"/>
      <c r="X46" s="21"/>
      <c r="Y46" s="27"/>
      <c r="Z46" s="27"/>
      <c r="AA46" s="27"/>
      <c r="AB46" s="27"/>
      <c r="AC46" s="27"/>
      <c r="AD46" s="27"/>
      <c r="AE46" s="27"/>
      <c r="AF46" s="27"/>
      <c r="AG46" s="27"/>
      <c r="AH46" s="103"/>
      <c r="AI46" s="25"/>
      <c r="AJ46" s="25"/>
      <c r="AK46" s="25"/>
      <c r="AL46" s="25"/>
      <c r="AM46" s="25"/>
    </row>
    <row r="47" spans="2:54" x14ac:dyDescent="0.2">
      <c r="B47" s="7"/>
      <c r="C47" s="8"/>
      <c r="D47" s="102"/>
      <c r="E47" s="102"/>
      <c r="F47" s="102"/>
      <c r="G47" s="102"/>
      <c r="H47" s="102"/>
      <c r="I47" s="19"/>
      <c r="J47" s="139"/>
      <c r="K47" s="13"/>
      <c r="L47" s="60"/>
      <c r="M47" s="74"/>
      <c r="N47" s="13"/>
      <c r="O47" s="13"/>
      <c r="P47" s="13"/>
      <c r="Q47" s="13"/>
      <c r="R47" s="17"/>
      <c r="S47" s="13"/>
      <c r="T47" s="19"/>
      <c r="U47" s="13"/>
      <c r="V47" s="26"/>
      <c r="W47" s="8"/>
      <c r="X47" s="21"/>
      <c r="Y47" s="27"/>
      <c r="Z47" s="27"/>
      <c r="AA47" s="27"/>
      <c r="AB47" s="27"/>
      <c r="AC47" s="27"/>
      <c r="AD47" s="27"/>
      <c r="AE47" s="27"/>
      <c r="AF47" s="27"/>
      <c r="AG47" s="27"/>
      <c r="AH47" s="103"/>
      <c r="AI47" s="25"/>
      <c r="AJ47" s="25"/>
      <c r="AK47" s="25"/>
      <c r="AL47" s="25"/>
      <c r="AM47" s="25"/>
    </row>
    <row r="48" spans="2:54" x14ac:dyDescent="0.2">
      <c r="B48" s="7"/>
      <c r="C48" s="8"/>
      <c r="D48" s="102"/>
      <c r="E48" s="102"/>
      <c r="F48" s="102"/>
      <c r="G48" s="102"/>
      <c r="H48" s="102"/>
      <c r="I48" s="19"/>
      <c r="J48" s="139"/>
      <c r="K48" s="13"/>
      <c r="L48" s="60"/>
      <c r="M48" s="74"/>
      <c r="N48" s="13"/>
      <c r="O48" s="13"/>
      <c r="P48" s="13"/>
      <c r="Q48" s="13"/>
      <c r="R48" s="17"/>
      <c r="S48" s="13"/>
      <c r="T48" s="19"/>
      <c r="U48" s="13"/>
      <c r="V48" s="26"/>
      <c r="W48" s="8"/>
      <c r="X48" s="21"/>
      <c r="Y48" s="27"/>
      <c r="Z48" s="27"/>
      <c r="AA48" s="27"/>
      <c r="AB48" s="24" t="s">
        <v>128</v>
      </c>
      <c r="AC48" s="24" t="s">
        <v>129</v>
      </c>
      <c r="AD48" s="24" t="s">
        <v>130</v>
      </c>
      <c r="AE48" s="24" t="s">
        <v>131</v>
      </c>
      <c r="AF48" s="24" t="s">
        <v>132</v>
      </c>
      <c r="AG48" s="24" t="s">
        <v>133</v>
      </c>
      <c r="AH48" s="24" t="s">
        <v>134</v>
      </c>
      <c r="AI48" s="24" t="s">
        <v>128</v>
      </c>
      <c r="AJ48" s="24" t="s">
        <v>129</v>
      </c>
      <c r="AK48" s="24" t="s">
        <v>130</v>
      </c>
      <c r="AL48" s="24" t="s">
        <v>131</v>
      </c>
      <c r="AM48" s="24" t="s">
        <v>132</v>
      </c>
      <c r="AN48" s="24" t="s">
        <v>133</v>
      </c>
      <c r="AO48" s="24" t="s">
        <v>134</v>
      </c>
      <c r="AP48" s="24" t="s">
        <v>128</v>
      </c>
      <c r="AQ48" s="24" t="s">
        <v>129</v>
      </c>
      <c r="AR48" s="24" t="s">
        <v>130</v>
      </c>
      <c r="AS48" s="24" t="s">
        <v>131</v>
      </c>
      <c r="AT48" s="24" t="s">
        <v>132</v>
      </c>
      <c r="AU48" s="24" t="s">
        <v>133</v>
      </c>
      <c r="AV48" s="24" t="s">
        <v>134</v>
      </c>
      <c r="AW48" s="24" t="s">
        <v>128</v>
      </c>
      <c r="AX48" s="24" t="s">
        <v>129</v>
      </c>
      <c r="AY48" s="24" t="s">
        <v>130</v>
      </c>
      <c r="AZ48" s="24" t="s">
        <v>131</v>
      </c>
      <c r="BA48" s="24" t="s">
        <v>132</v>
      </c>
      <c r="BB48" s="24" t="s">
        <v>133</v>
      </c>
    </row>
    <row r="49" spans="2:56" x14ac:dyDescent="0.2">
      <c r="B49" s="7"/>
      <c r="C49" s="8"/>
      <c r="D49" s="102"/>
      <c r="E49" s="102"/>
      <c r="F49" s="102"/>
      <c r="G49" s="102"/>
      <c r="H49" s="102"/>
      <c r="I49" s="19"/>
      <c r="J49" s="13"/>
      <c r="K49" s="13"/>
      <c r="L49" s="61"/>
      <c r="M49" s="74"/>
      <c r="N49" s="13"/>
      <c r="O49" s="13"/>
      <c r="P49" s="13"/>
      <c r="Q49" s="13"/>
      <c r="R49" s="17"/>
      <c r="S49" s="13"/>
      <c r="T49" s="19"/>
      <c r="U49" s="13"/>
      <c r="V49" s="26"/>
      <c r="W49" s="8"/>
      <c r="X49" s="21"/>
      <c r="Y49" s="27"/>
      <c r="Z49" s="27"/>
      <c r="AA49" s="27"/>
      <c r="AB49" s="146">
        <v>44869</v>
      </c>
      <c r="AC49" s="146">
        <v>44870</v>
      </c>
      <c r="AD49" s="146">
        <v>44871</v>
      </c>
      <c r="AE49" s="146">
        <v>44872</v>
      </c>
      <c r="AF49" s="146">
        <v>44873</v>
      </c>
      <c r="AG49" s="146">
        <v>44874</v>
      </c>
      <c r="AH49" s="146">
        <v>44875</v>
      </c>
      <c r="AI49" s="146">
        <v>44876</v>
      </c>
      <c r="AJ49" s="146">
        <v>44877</v>
      </c>
      <c r="AK49" s="146">
        <v>44878</v>
      </c>
      <c r="AL49" s="146">
        <v>44879</v>
      </c>
      <c r="AM49" s="146">
        <v>44880</v>
      </c>
      <c r="AN49" s="146">
        <v>44881</v>
      </c>
      <c r="AO49" s="146">
        <v>44882</v>
      </c>
      <c r="AP49" s="146">
        <v>44883</v>
      </c>
      <c r="AQ49" s="146">
        <v>44884</v>
      </c>
      <c r="AR49" s="146">
        <v>44885</v>
      </c>
      <c r="AS49" s="146">
        <v>44886</v>
      </c>
      <c r="AT49" s="146">
        <v>44887</v>
      </c>
      <c r="AU49" s="146">
        <v>44888</v>
      </c>
      <c r="AV49" s="146">
        <v>44889</v>
      </c>
      <c r="AW49" s="146">
        <v>44890</v>
      </c>
      <c r="AX49" s="146">
        <v>44891</v>
      </c>
      <c r="AY49" s="146">
        <v>44892</v>
      </c>
      <c r="AZ49" s="146">
        <v>44893</v>
      </c>
      <c r="BA49" s="146">
        <v>44894</v>
      </c>
      <c r="BB49" s="146">
        <v>44895</v>
      </c>
    </row>
    <row r="50" spans="2:56" x14ac:dyDescent="0.2">
      <c r="B50" s="74" t="s">
        <v>125</v>
      </c>
      <c r="C50" s="8"/>
      <c r="D50" s="102" t="s">
        <v>127</v>
      </c>
      <c r="E50" s="107"/>
      <c r="F50" s="102"/>
      <c r="G50" s="102"/>
      <c r="H50" s="102"/>
      <c r="I50" s="19" t="s">
        <v>126</v>
      </c>
      <c r="J50" s="143">
        <v>44869</v>
      </c>
      <c r="K50" s="13"/>
      <c r="L50" s="143">
        <v>44895</v>
      </c>
      <c r="M50" s="104"/>
      <c r="N50" s="144"/>
      <c r="O50" s="8">
        <f>IF(N50="",0,1)</f>
        <v>0</v>
      </c>
      <c r="P50" s="12">
        <v>0</v>
      </c>
      <c r="Q50" s="16">
        <v>100</v>
      </c>
      <c r="R50" s="17">
        <f>+BD50</f>
        <v>0</v>
      </c>
      <c r="S50" s="62">
        <v>500</v>
      </c>
      <c r="T50" s="140">
        <v>1</v>
      </c>
      <c r="U50" s="13">
        <f>IF(O50=0,1,T50)</f>
        <v>1</v>
      </c>
      <c r="V50" s="20">
        <f>IF(O50=0,0,+U50*S50)</f>
        <v>0</v>
      </c>
      <c r="W50" s="8"/>
      <c r="X50" s="21"/>
      <c r="Y50" s="27"/>
      <c r="Z50" s="27"/>
      <c r="AA50" s="27"/>
      <c r="AB50" s="27">
        <f t="shared" ref="AB50" si="5">IF(AB49=$N$50,TRUNC(+$Q$50*AB51/100),0)</f>
        <v>0</v>
      </c>
      <c r="AC50" s="27">
        <f t="shared" ref="AC50" si="6">IF(AC49=$N$50,TRUNC(+$Q$50*AC51/100),0)</f>
        <v>0</v>
      </c>
      <c r="AD50" s="27">
        <f t="shared" ref="AD50" si="7">IF(AD49=$N$50,TRUNC(+$Q$50*AD51/100),0)</f>
        <v>0</v>
      </c>
      <c r="AE50" s="27">
        <f t="shared" ref="AE50" si="8">IF(AE49=$N$50,TRUNC(+$Q$50*AE51/100),0)</f>
        <v>0</v>
      </c>
      <c r="AF50" s="27">
        <f t="shared" ref="AF50:AR50" si="9">IF(AF49=$N$50,TRUNC(+$Q$50*AF51/100),0)</f>
        <v>0</v>
      </c>
      <c r="AG50" s="27">
        <f t="shared" si="9"/>
        <v>0</v>
      </c>
      <c r="AH50" s="27">
        <f t="shared" si="9"/>
        <v>0</v>
      </c>
      <c r="AI50" s="27">
        <f t="shared" si="9"/>
        <v>0</v>
      </c>
      <c r="AJ50" s="27">
        <f t="shared" si="9"/>
        <v>0</v>
      </c>
      <c r="AK50" s="27">
        <f t="shared" si="9"/>
        <v>0</v>
      </c>
      <c r="AL50" s="27">
        <f t="shared" si="9"/>
        <v>0</v>
      </c>
      <c r="AM50" s="27">
        <f t="shared" si="9"/>
        <v>0</v>
      </c>
      <c r="AN50" s="27">
        <f t="shared" si="9"/>
        <v>0</v>
      </c>
      <c r="AO50" s="27">
        <f t="shared" si="9"/>
        <v>0</v>
      </c>
      <c r="AP50" s="27">
        <f t="shared" si="9"/>
        <v>0</v>
      </c>
      <c r="AQ50" s="27">
        <f t="shared" si="9"/>
        <v>0</v>
      </c>
      <c r="AR50" s="27">
        <f t="shared" si="9"/>
        <v>0</v>
      </c>
      <c r="AS50" s="27">
        <f t="shared" ref="AS50" si="10">IF(AS49=$N$50,TRUNC(+$Q$50*AS51/100),0)</f>
        <v>0</v>
      </c>
      <c r="AT50" s="27">
        <f t="shared" ref="AT50" si="11">IF(AT49=$N$50,TRUNC(+$Q$50*AT51/100),0)</f>
        <v>0</v>
      </c>
      <c r="AU50" s="27">
        <f t="shared" ref="AU50" si="12">IF(AU49=$N$50,TRUNC(+$Q$50*AU51/100),0)</f>
        <v>0</v>
      </c>
      <c r="AV50" s="27">
        <f t="shared" ref="AV50" si="13">IF(AV49=$N$50,TRUNC(+$Q$50*AV51/100),0)</f>
        <v>0</v>
      </c>
      <c r="AW50" s="27">
        <f t="shared" ref="AW50" si="14">IF(AW49=$N$50,TRUNC(+$Q$50*AW51/100),0)</f>
        <v>0</v>
      </c>
      <c r="AX50" s="27">
        <f t="shared" ref="AX50" si="15">IF(AX49=$N$50,TRUNC(+$Q$50*AX51/100),0)</f>
        <v>0</v>
      </c>
      <c r="AY50" s="27">
        <f t="shared" ref="AY50" si="16">IF(AY49=$N$50,TRUNC(+$Q$50*AY51/100),0)</f>
        <v>0</v>
      </c>
      <c r="AZ50" s="27">
        <f t="shared" ref="AZ50" si="17">IF(AZ49=$N$50,TRUNC(+$Q$50*AZ51/100),0)</f>
        <v>0</v>
      </c>
      <c r="BA50" s="27">
        <f t="shared" ref="BA50" si="18">IF(BA49=$N$50,TRUNC(+$Q$50*BA51/100),0)</f>
        <v>0</v>
      </c>
      <c r="BB50" s="27">
        <f t="shared" ref="BB50" si="19">IF(BB49=$N$50,TRUNC(+$Q$50*BB51/100),0)</f>
        <v>0</v>
      </c>
      <c r="BD50" s="24">
        <f>SUM(AB50:BB50)</f>
        <v>0</v>
      </c>
    </row>
    <row r="51" spans="2:56" x14ac:dyDescent="0.2">
      <c r="B51" s="74"/>
      <c r="C51" s="8"/>
      <c r="D51" s="102"/>
      <c r="E51" s="107"/>
      <c r="F51" s="102"/>
      <c r="G51" s="102"/>
      <c r="H51" s="102"/>
      <c r="I51" s="19"/>
      <c r="J51" s="139">
        <v>1</v>
      </c>
      <c r="K51" s="13"/>
      <c r="L51" s="60"/>
      <c r="M51" s="104"/>
      <c r="N51" s="8"/>
      <c r="O51" s="8"/>
      <c r="P51" s="12"/>
      <c r="Q51" s="16"/>
      <c r="R51" s="17"/>
      <c r="S51" s="145"/>
      <c r="U51" s="13"/>
      <c r="V51" s="20"/>
      <c r="W51" s="8"/>
      <c r="X51" s="21"/>
      <c r="Y51" s="27"/>
      <c r="Z51" s="27"/>
      <c r="AA51" s="27"/>
      <c r="AB51" s="27">
        <v>100</v>
      </c>
      <c r="AC51" s="27">
        <v>95</v>
      </c>
      <c r="AD51" s="27">
        <v>95</v>
      </c>
      <c r="AE51" s="27">
        <v>95</v>
      </c>
      <c r="AF51" s="27">
        <v>90</v>
      </c>
      <c r="AG51" s="27">
        <v>85</v>
      </c>
      <c r="AH51" s="27">
        <v>80</v>
      </c>
      <c r="AI51" s="27">
        <v>75</v>
      </c>
      <c r="AJ51" s="27">
        <v>70</v>
      </c>
      <c r="AK51" s="103">
        <v>70</v>
      </c>
      <c r="AL51" s="25">
        <v>70</v>
      </c>
      <c r="AM51" s="25">
        <v>65</v>
      </c>
      <c r="AN51" s="25">
        <v>60</v>
      </c>
      <c r="AO51" s="25">
        <v>55</v>
      </c>
      <c r="AP51" s="25">
        <v>50</v>
      </c>
      <c r="AQ51" s="161">
        <v>45</v>
      </c>
      <c r="AR51" s="24">
        <v>45</v>
      </c>
      <c r="AS51" s="24">
        <v>45</v>
      </c>
      <c r="AT51" s="24">
        <v>40</v>
      </c>
      <c r="AU51" s="24">
        <v>35</v>
      </c>
      <c r="AV51" s="24">
        <v>30</v>
      </c>
      <c r="AW51" s="24">
        <v>25</v>
      </c>
      <c r="AX51" s="24">
        <v>20</v>
      </c>
      <c r="AY51" s="24">
        <v>20</v>
      </c>
      <c r="AZ51" s="24">
        <v>20</v>
      </c>
      <c r="BA51" s="24">
        <v>10</v>
      </c>
      <c r="BB51" s="24">
        <v>5</v>
      </c>
    </row>
    <row r="52" spans="2:56" x14ac:dyDescent="0.2">
      <c r="B52" s="74"/>
      <c r="C52" s="8"/>
      <c r="D52" s="102"/>
      <c r="E52" s="162"/>
      <c r="F52" s="162"/>
      <c r="G52" s="162"/>
      <c r="H52" s="162"/>
      <c r="I52" s="11"/>
      <c r="J52" s="109"/>
      <c r="K52" s="110"/>
      <c r="L52" s="111"/>
      <c r="M52" s="112"/>
      <c r="N52" s="6"/>
      <c r="O52" s="8"/>
      <c r="P52" s="6"/>
      <c r="Q52" s="16"/>
      <c r="R52" s="113"/>
      <c r="S52" s="145"/>
      <c r="U52" s="13"/>
      <c r="V52" s="59"/>
      <c r="W52" s="8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103"/>
      <c r="AI52" s="103"/>
      <c r="AJ52" s="103"/>
    </row>
    <row r="53" spans="2:56" x14ac:dyDescent="0.2">
      <c r="B53" s="7"/>
      <c r="C53" s="8"/>
      <c r="D53" s="102"/>
      <c r="E53" s="102"/>
      <c r="F53" s="102"/>
      <c r="G53" s="102"/>
      <c r="H53" s="102"/>
      <c r="I53" s="19"/>
      <c r="J53" s="13"/>
      <c r="K53" s="13"/>
      <c r="L53" s="61"/>
      <c r="M53" s="74"/>
      <c r="N53" s="13"/>
      <c r="O53" s="13"/>
      <c r="P53" s="13"/>
      <c r="Q53" s="13"/>
      <c r="R53" s="17"/>
      <c r="S53" s="13"/>
      <c r="T53" s="19"/>
      <c r="U53" s="13"/>
      <c r="V53" s="26"/>
      <c r="W53" s="8"/>
      <c r="X53" s="21"/>
      <c r="Y53" s="27"/>
      <c r="Z53" s="27"/>
      <c r="AA53" s="27"/>
      <c r="AB53" s="27"/>
      <c r="AC53" s="27"/>
      <c r="AD53" s="27"/>
      <c r="AE53" s="27"/>
      <c r="AF53" s="27"/>
      <c r="AG53" s="27"/>
      <c r="AH53" s="103"/>
      <c r="AI53" s="103"/>
      <c r="AJ53" s="103"/>
    </row>
    <row r="54" spans="2:56" x14ac:dyDescent="0.2">
      <c r="B54" s="7"/>
      <c r="C54" s="8"/>
      <c r="D54" s="102"/>
      <c r="E54" s="102"/>
      <c r="F54" s="102"/>
      <c r="G54" s="102"/>
      <c r="H54" s="102"/>
      <c r="I54" s="19"/>
      <c r="J54" s="13"/>
      <c r="K54" s="13"/>
      <c r="L54" s="61"/>
      <c r="M54" s="74"/>
      <c r="N54" s="13"/>
      <c r="O54" s="13"/>
      <c r="P54" s="13"/>
      <c r="Q54" s="13"/>
      <c r="R54" s="17"/>
      <c r="S54" s="13"/>
      <c r="T54" s="19"/>
      <c r="U54" s="13"/>
      <c r="V54" s="26"/>
      <c r="W54" s="8"/>
      <c r="X54" s="21"/>
      <c r="Y54" s="27"/>
      <c r="Z54" s="27"/>
      <c r="AA54" s="27"/>
      <c r="AB54" s="27"/>
      <c r="AC54" s="27"/>
      <c r="AD54" s="27"/>
      <c r="AE54" s="27"/>
      <c r="AF54" s="27"/>
      <c r="AG54" s="27"/>
      <c r="AH54" s="103"/>
      <c r="AI54" s="103"/>
      <c r="AJ54" s="103"/>
    </row>
    <row r="55" spans="2:56" ht="25.5" customHeight="1" x14ac:dyDescent="0.2">
      <c r="B55" s="74" t="s">
        <v>122</v>
      </c>
      <c r="C55" s="8"/>
      <c r="D55" s="182" t="s">
        <v>99</v>
      </c>
      <c r="E55" s="182"/>
      <c r="F55" s="182"/>
      <c r="G55" s="182"/>
      <c r="H55" s="183"/>
      <c r="I55" s="19"/>
      <c r="J55" s="13"/>
      <c r="K55" s="13"/>
      <c r="L55" s="61"/>
      <c r="M55" s="104"/>
      <c r="N55" s="13"/>
      <c r="O55" s="8"/>
      <c r="P55" s="13"/>
      <c r="Q55" s="13"/>
      <c r="R55" s="17"/>
      <c r="S55" s="13"/>
      <c r="T55" s="19"/>
      <c r="U55" s="13"/>
      <c r="V55" s="26"/>
      <c r="W55" s="8"/>
      <c r="X55" s="21"/>
      <c r="Y55" s="27"/>
      <c r="Z55" s="27"/>
      <c r="AA55" s="27"/>
      <c r="AB55" s="27"/>
      <c r="AC55" s="27"/>
      <c r="AD55" s="27"/>
      <c r="AE55" s="27"/>
      <c r="AF55" s="27"/>
      <c r="AG55" s="27"/>
      <c r="AH55" s="103"/>
      <c r="AI55" s="25">
        <f>IF($O56&lt;=1,O56/5*Q56,O56/5*Q56)</f>
        <v>0</v>
      </c>
      <c r="AJ55" s="25">
        <f>IF($NO56&lt;=2,O56/4*Q56,0)</f>
        <v>0</v>
      </c>
      <c r="AK55" s="25">
        <f>IF($N55=3,AE55*Q55,0)</f>
        <v>0</v>
      </c>
      <c r="AL55" s="25">
        <f>IF($N55=4,AF55*Q55,0)</f>
        <v>0</v>
      </c>
      <c r="AM55" s="25">
        <f>IF($N55=5,AG55*Q55,0)</f>
        <v>0</v>
      </c>
    </row>
    <row r="56" spans="2:56" ht="12.75" customHeight="1" x14ac:dyDescent="0.2">
      <c r="B56" s="7"/>
      <c r="C56" s="8"/>
      <c r="D56" s="102"/>
      <c r="E56" s="186" t="s">
        <v>57</v>
      </c>
      <c r="F56" s="186"/>
      <c r="G56" s="186"/>
      <c r="H56" s="187"/>
      <c r="I56" s="19" t="s">
        <v>51</v>
      </c>
      <c r="J56" s="12">
        <v>100</v>
      </c>
      <c r="K56" s="13" t="s">
        <v>17</v>
      </c>
      <c r="L56" s="60">
        <v>103</v>
      </c>
      <c r="M56" s="104"/>
      <c r="N56" s="3"/>
      <c r="O56" s="13">
        <f>IF(N56="",0,+N56-J56)</f>
        <v>0</v>
      </c>
      <c r="P56" s="12">
        <v>0</v>
      </c>
      <c r="Q56" s="16">
        <v>200</v>
      </c>
      <c r="R56" s="17">
        <f>IF(N56="",0,IF(O56&lt;=1,(O56-0)*30,IF(O56&lt;=2,(O56-1)*110+30,IF(O56&lt;=3,(O56-2)*110+110+30,(O56-3)*100+160+100+40)))/250)*Q56</f>
        <v>0</v>
      </c>
      <c r="S56" s="18">
        <v>1650</v>
      </c>
      <c r="T56" s="140">
        <v>1</v>
      </c>
      <c r="U56" s="13">
        <f>IF(O56=0,1,T56)</f>
        <v>1</v>
      </c>
      <c r="V56" s="20">
        <f>IF(O56=0,0,+U56*S56)</f>
        <v>0</v>
      </c>
      <c r="W56" s="8"/>
      <c r="X56" s="21"/>
      <c r="Y56" s="22"/>
      <c r="Z56" s="105"/>
      <c r="AA56" s="22"/>
      <c r="AB56" s="106"/>
      <c r="AC56" s="23"/>
      <c r="AD56" s="23"/>
      <c r="AE56" s="23"/>
      <c r="AF56" s="23"/>
      <c r="AG56" s="22"/>
      <c r="AH56" s="103"/>
      <c r="AI56" s="25"/>
      <c r="AJ56" s="25"/>
      <c r="AK56" s="25"/>
      <c r="AL56" s="25"/>
      <c r="AM56" s="25"/>
    </row>
    <row r="57" spans="2:56" x14ac:dyDescent="0.2">
      <c r="B57" s="7"/>
      <c r="C57" s="8"/>
      <c r="D57" s="102"/>
      <c r="E57" s="107"/>
      <c r="F57" s="102"/>
      <c r="G57" s="102"/>
      <c r="H57" s="102"/>
      <c r="I57" s="19" t="s">
        <v>38</v>
      </c>
      <c r="J57" s="108">
        <v>0.25</v>
      </c>
      <c r="K57" s="13"/>
      <c r="L57" s="60"/>
      <c r="M57" s="104"/>
      <c r="N57" s="8"/>
      <c r="O57" s="8"/>
      <c r="P57" s="12"/>
      <c r="Q57" s="16"/>
      <c r="R57" s="17"/>
      <c r="S57" s="18"/>
      <c r="T57" s="11"/>
      <c r="U57" s="13"/>
      <c r="V57" s="20"/>
      <c r="W57" s="8"/>
      <c r="X57" s="21"/>
      <c r="Y57" s="22"/>
      <c r="Z57" s="105"/>
      <c r="AA57" s="22"/>
      <c r="AB57" s="106"/>
      <c r="AC57" s="23"/>
      <c r="AD57" s="23"/>
      <c r="AE57" s="23"/>
      <c r="AF57" s="23"/>
      <c r="AG57" s="22"/>
      <c r="AH57" s="103"/>
      <c r="AI57" s="25"/>
      <c r="AJ57" s="25"/>
      <c r="AK57" s="25"/>
      <c r="AL57" s="25"/>
      <c r="AM57" s="25"/>
    </row>
    <row r="58" spans="2:56" x14ac:dyDescent="0.2">
      <c r="B58" s="7"/>
      <c r="C58" s="8"/>
      <c r="D58" s="102"/>
      <c r="E58" s="107"/>
      <c r="F58" s="102"/>
      <c r="G58" s="102"/>
      <c r="H58" s="102"/>
      <c r="I58" s="19"/>
      <c r="J58" s="108"/>
      <c r="K58" s="13"/>
      <c r="L58" s="60"/>
      <c r="M58" s="104"/>
      <c r="N58" s="8"/>
      <c r="O58" s="8"/>
      <c r="P58" s="12"/>
      <c r="Q58" s="16"/>
      <c r="R58" s="17"/>
      <c r="S58" s="18"/>
      <c r="T58" s="11"/>
      <c r="U58" s="13"/>
      <c r="V58" s="20"/>
      <c r="W58" s="8"/>
      <c r="X58" s="21"/>
      <c r="Y58" s="22"/>
      <c r="Z58" s="105"/>
      <c r="AA58" s="22"/>
      <c r="AB58" s="106"/>
      <c r="AC58" s="23"/>
      <c r="AD58" s="23"/>
      <c r="AE58" s="23"/>
      <c r="AF58" s="23"/>
      <c r="AG58" s="22"/>
      <c r="AH58" s="103"/>
      <c r="AI58" s="25"/>
      <c r="AJ58" s="25"/>
      <c r="AK58" s="25"/>
      <c r="AL58" s="25"/>
      <c r="AM58" s="25"/>
    </row>
    <row r="59" spans="2:56" x14ac:dyDescent="0.2">
      <c r="B59" s="7"/>
      <c r="C59" s="8"/>
      <c r="D59" s="102"/>
      <c r="E59" s="186" t="s">
        <v>100</v>
      </c>
      <c r="F59" s="186"/>
      <c r="G59" s="186"/>
      <c r="H59" s="187"/>
      <c r="I59" s="19" t="s">
        <v>51</v>
      </c>
      <c r="J59" s="12">
        <v>100</v>
      </c>
      <c r="K59" s="13" t="s">
        <v>17</v>
      </c>
      <c r="L59" s="60">
        <v>103</v>
      </c>
      <c r="M59" s="104"/>
      <c r="N59" s="3"/>
      <c r="O59" s="13">
        <f>IF(N59="",0,+N59-J59)</f>
        <v>0</v>
      </c>
      <c r="P59" s="12">
        <v>0</v>
      </c>
      <c r="Q59" s="16">
        <v>200</v>
      </c>
      <c r="R59" s="17">
        <f>IF(N59="",0,IF(O59&lt;=1,(O59-0)*30,IF(O59&lt;=2,(O59-1)*110+30,IF(O59&lt;=3,(O59-2)*110+110+30,(O59-3)*100+160+100+40)))/250)*Q59</f>
        <v>0</v>
      </c>
      <c r="S59" s="18">
        <v>1650</v>
      </c>
      <c r="T59" s="5">
        <v>1</v>
      </c>
      <c r="U59" s="13">
        <f>IF(O59=0,1,T59)</f>
        <v>1</v>
      </c>
      <c r="V59" s="20">
        <f>IF(O59=0,0,+U59*S59)</f>
        <v>0</v>
      </c>
      <c r="W59" s="8"/>
      <c r="X59" s="21"/>
      <c r="Y59" s="22"/>
      <c r="Z59" s="105"/>
      <c r="AA59" s="22"/>
      <c r="AB59" s="106"/>
      <c r="AC59" s="23"/>
      <c r="AD59" s="23"/>
      <c r="AE59" s="23"/>
      <c r="AF59" s="23"/>
      <c r="AG59" s="22"/>
      <c r="AH59" s="103"/>
      <c r="AI59" s="25"/>
      <c r="AJ59" s="25"/>
      <c r="AK59" s="25"/>
      <c r="AL59" s="25"/>
      <c r="AM59" s="25"/>
    </row>
    <row r="60" spans="2:56" x14ac:dyDescent="0.2">
      <c r="B60" s="7"/>
      <c r="C60" s="8"/>
      <c r="D60" s="102"/>
      <c r="E60" s="107"/>
      <c r="F60" s="102"/>
      <c r="G60" s="102"/>
      <c r="H60" s="102"/>
      <c r="I60" s="19" t="s">
        <v>38</v>
      </c>
      <c r="J60" s="108">
        <v>0.25</v>
      </c>
      <c r="K60" s="13"/>
      <c r="L60" s="60"/>
      <c r="M60" s="104"/>
      <c r="N60" s="8"/>
      <c r="O60" s="8"/>
      <c r="P60" s="12"/>
      <c r="Q60" s="16"/>
      <c r="R60" s="17"/>
      <c r="S60" s="18"/>
      <c r="T60" s="11"/>
      <c r="U60" s="13"/>
      <c r="V60" s="20"/>
      <c r="W60" s="8"/>
      <c r="X60" s="21"/>
      <c r="Y60" s="22"/>
      <c r="Z60" s="105"/>
      <c r="AA60" s="22"/>
      <c r="AB60" s="106"/>
      <c r="AC60" s="23"/>
      <c r="AD60" s="23"/>
      <c r="AE60" s="23"/>
      <c r="AF60" s="23"/>
      <c r="AG60" s="22"/>
      <c r="AH60" s="103"/>
      <c r="AI60" s="25"/>
      <c r="AJ60" s="25"/>
      <c r="AK60" s="25"/>
      <c r="AL60" s="25"/>
      <c r="AM60" s="25"/>
    </row>
    <row r="61" spans="2:56" x14ac:dyDescent="0.2">
      <c r="B61" s="7"/>
      <c r="C61" s="8"/>
      <c r="D61" s="102"/>
      <c r="E61" s="107"/>
      <c r="F61" s="102"/>
      <c r="G61" s="102"/>
      <c r="H61" s="102"/>
      <c r="I61" s="19"/>
      <c r="J61" s="108"/>
      <c r="K61" s="13"/>
      <c r="L61" s="60"/>
      <c r="M61" s="104"/>
      <c r="N61" s="8"/>
      <c r="O61" s="8"/>
      <c r="P61" s="12"/>
      <c r="Q61" s="16"/>
      <c r="R61" s="17"/>
      <c r="S61" s="18"/>
      <c r="T61" s="11"/>
      <c r="U61" s="13"/>
      <c r="V61" s="20"/>
      <c r="W61" s="8"/>
      <c r="X61" s="21"/>
      <c r="Y61" s="22"/>
      <c r="Z61" s="105"/>
      <c r="AA61" s="22"/>
      <c r="AB61" s="106"/>
      <c r="AC61" s="23"/>
      <c r="AD61" s="23"/>
      <c r="AE61" s="23"/>
      <c r="AF61" s="23"/>
      <c r="AG61" s="22"/>
      <c r="AH61" s="103"/>
      <c r="AI61" s="25"/>
      <c r="AJ61" s="25"/>
      <c r="AK61" s="25"/>
      <c r="AL61" s="25"/>
      <c r="AM61" s="25"/>
    </row>
    <row r="62" spans="2:56" x14ac:dyDescent="0.2">
      <c r="B62" s="7"/>
      <c r="C62" s="8"/>
      <c r="D62" s="102"/>
      <c r="E62" s="107"/>
      <c r="F62" s="102"/>
      <c r="G62" s="102"/>
      <c r="H62" s="102"/>
      <c r="I62" s="19"/>
      <c r="J62" s="108"/>
      <c r="K62" s="13"/>
      <c r="L62" s="60"/>
      <c r="M62" s="104"/>
      <c r="N62" s="8"/>
      <c r="O62" s="8"/>
      <c r="P62" s="12"/>
      <c r="Q62" s="16"/>
      <c r="R62" s="17"/>
      <c r="S62" s="18"/>
      <c r="T62" s="11"/>
      <c r="U62" s="13"/>
      <c r="V62" s="20"/>
      <c r="W62" s="8"/>
      <c r="X62" s="21"/>
      <c r="Y62" s="22"/>
      <c r="Z62" s="105"/>
      <c r="AA62" s="22"/>
      <c r="AB62" s="106"/>
      <c r="AC62" s="23"/>
      <c r="AD62" s="23"/>
      <c r="AE62" s="23"/>
      <c r="AF62" s="23"/>
      <c r="AG62" s="22"/>
      <c r="AH62" s="103"/>
      <c r="AI62" s="25"/>
      <c r="AJ62" s="25"/>
      <c r="AK62" s="25"/>
      <c r="AL62" s="25"/>
      <c r="AM62" s="25"/>
    </row>
    <row r="63" spans="2:56" x14ac:dyDescent="0.2">
      <c r="B63" s="7"/>
      <c r="C63" s="8"/>
      <c r="D63" s="102"/>
      <c r="E63" s="162"/>
      <c r="F63" s="162"/>
      <c r="G63" s="162"/>
      <c r="H63" s="162"/>
      <c r="I63" s="11"/>
      <c r="J63" s="109"/>
      <c r="K63" s="110"/>
      <c r="L63" s="111"/>
      <c r="M63" s="112"/>
      <c r="N63" s="6"/>
      <c r="O63" s="8"/>
      <c r="P63" s="6"/>
      <c r="Q63" s="16"/>
      <c r="R63" s="113"/>
      <c r="S63" s="18"/>
      <c r="T63" s="11"/>
      <c r="U63" s="13"/>
      <c r="V63" s="59"/>
      <c r="W63" s="8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103"/>
      <c r="AI63" s="103"/>
      <c r="AJ63" s="103"/>
    </row>
    <row r="64" spans="2:56" x14ac:dyDescent="0.2">
      <c r="B64" s="7" t="s">
        <v>49</v>
      </c>
      <c r="C64" s="8"/>
      <c r="D64" s="8"/>
      <c r="E64" s="114"/>
      <c r="F64" s="10"/>
      <c r="G64" s="10"/>
      <c r="H64" s="10"/>
      <c r="I64" s="19"/>
      <c r="J64" s="12"/>
      <c r="K64" s="13"/>
      <c r="L64" s="60"/>
      <c r="M64" s="74"/>
      <c r="N64" s="6"/>
      <c r="O64" s="8"/>
      <c r="P64" s="13"/>
      <c r="Q64" s="16"/>
      <c r="R64" s="17"/>
      <c r="S64" s="17"/>
      <c r="T64" s="18"/>
      <c r="U64" s="13"/>
      <c r="V64" s="20"/>
      <c r="W64" s="8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I64" s="25"/>
      <c r="AJ64" s="25"/>
      <c r="AK64" s="25"/>
      <c r="AL64" s="25"/>
      <c r="AM64" s="25"/>
    </row>
    <row r="65" spans="2:45" x14ac:dyDescent="0.2">
      <c r="B65" s="7"/>
      <c r="C65" s="8"/>
      <c r="D65" s="8" t="s">
        <v>43</v>
      </c>
      <c r="E65" s="9"/>
      <c r="F65" s="10"/>
      <c r="G65" s="10"/>
      <c r="H65" s="10"/>
      <c r="I65" s="19"/>
      <c r="J65" s="12"/>
      <c r="K65" s="13"/>
      <c r="L65" s="60"/>
      <c r="M65" s="74"/>
      <c r="N65" s="6"/>
      <c r="O65" s="8"/>
      <c r="P65" s="13"/>
      <c r="Q65" s="16"/>
      <c r="R65" s="17"/>
      <c r="S65" s="17"/>
      <c r="T65" s="18"/>
      <c r="U65" s="13"/>
      <c r="V65" s="20"/>
      <c r="W65" s="8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I65" s="25"/>
      <c r="AJ65" s="25"/>
      <c r="AK65" s="25"/>
      <c r="AL65" s="25"/>
      <c r="AM65" s="25"/>
    </row>
    <row r="66" spans="2:45" x14ac:dyDescent="0.2">
      <c r="B66" s="7"/>
      <c r="C66" s="8"/>
      <c r="D66" s="8"/>
      <c r="E66" s="9"/>
      <c r="F66" s="10"/>
      <c r="G66" s="10"/>
      <c r="H66" s="10"/>
      <c r="I66" s="19"/>
      <c r="J66" s="12"/>
      <c r="K66" s="13"/>
      <c r="L66" s="60"/>
      <c r="M66" s="74"/>
      <c r="N66" s="6"/>
      <c r="O66" s="8"/>
      <c r="P66" s="13"/>
      <c r="Q66" s="16"/>
      <c r="R66" s="17"/>
      <c r="S66" s="17"/>
      <c r="T66" s="18"/>
      <c r="U66" s="13"/>
      <c r="V66" s="20"/>
      <c r="W66" s="8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I66" s="25"/>
      <c r="AJ66" s="25"/>
      <c r="AK66" s="25"/>
      <c r="AL66" s="25"/>
      <c r="AM66" s="25"/>
    </row>
    <row r="67" spans="2:45" x14ac:dyDescent="0.2">
      <c r="B67" s="7"/>
      <c r="C67" s="8"/>
      <c r="D67" s="8"/>
      <c r="E67" s="31" t="s">
        <v>44</v>
      </c>
      <c r="F67" s="10"/>
      <c r="G67" s="10"/>
      <c r="H67" s="10"/>
      <c r="I67" s="19" t="s">
        <v>5</v>
      </c>
      <c r="J67" s="13"/>
      <c r="K67" s="13"/>
      <c r="L67" s="61"/>
      <c r="M67" s="74"/>
      <c r="N67" s="3"/>
      <c r="O67" s="8">
        <f>+N67</f>
        <v>0</v>
      </c>
      <c r="P67" s="12">
        <v>-50</v>
      </c>
      <c r="Q67" s="16">
        <v>0</v>
      </c>
      <c r="R67" s="17">
        <f>IF(N67= "",+P67,IF(N67= "ja", P67, SUM(AI67:AM67)))</f>
        <v>-50</v>
      </c>
      <c r="S67" s="18">
        <v>1650</v>
      </c>
      <c r="T67" s="5">
        <v>1</v>
      </c>
      <c r="U67" s="13">
        <f>IF(O67="ja",1,T67)</f>
        <v>1</v>
      </c>
      <c r="V67" s="20">
        <f>IF(N67="",0,IF(O67="ja",0,+U67*S67))</f>
        <v>0</v>
      </c>
      <c r="W67" s="8"/>
      <c r="X67" s="21"/>
      <c r="Y67" s="22" t="s">
        <v>104</v>
      </c>
      <c r="Z67" s="22"/>
      <c r="AA67" s="22"/>
      <c r="AB67" s="22"/>
      <c r="AC67" s="22"/>
      <c r="AD67" s="22"/>
      <c r="AE67" s="22"/>
      <c r="AF67" s="22"/>
      <c r="AG67" s="22"/>
      <c r="AI67" s="25"/>
      <c r="AJ67" s="25"/>
      <c r="AK67" s="25"/>
      <c r="AL67" s="25"/>
      <c r="AM67" s="25"/>
    </row>
    <row r="68" spans="2:45" x14ac:dyDescent="0.2">
      <c r="B68" s="7"/>
      <c r="C68" s="8"/>
      <c r="D68" s="8"/>
      <c r="E68" s="9"/>
      <c r="F68" s="10"/>
      <c r="G68" s="10"/>
      <c r="H68" s="10"/>
      <c r="I68" s="19"/>
      <c r="J68" s="13"/>
      <c r="K68" s="13"/>
      <c r="L68" s="61"/>
      <c r="M68" s="74"/>
      <c r="N68" s="6"/>
      <c r="O68" s="8"/>
      <c r="P68" s="13"/>
      <c r="Q68" s="16"/>
      <c r="R68" s="17"/>
      <c r="S68" s="17"/>
      <c r="T68" s="18"/>
      <c r="U68" s="13"/>
      <c r="V68" s="20"/>
      <c r="W68" s="8"/>
      <c r="X68" s="21"/>
      <c r="AI68" s="25"/>
      <c r="AJ68" s="25"/>
      <c r="AK68" s="25"/>
      <c r="AL68" s="25"/>
      <c r="AM68" s="25"/>
    </row>
    <row r="69" spans="2:45" x14ac:dyDescent="0.2">
      <c r="B69" s="7"/>
      <c r="C69" s="8"/>
      <c r="D69" s="8"/>
      <c r="E69" s="31" t="s">
        <v>47</v>
      </c>
      <c r="F69" s="10"/>
      <c r="G69" s="10"/>
      <c r="H69" s="10"/>
      <c r="I69" s="19" t="s">
        <v>5</v>
      </c>
      <c r="J69" s="13"/>
      <c r="K69" s="13"/>
      <c r="L69" s="61"/>
      <c r="M69" s="74"/>
      <c r="N69" s="3"/>
      <c r="O69" s="8">
        <f>+N69</f>
        <v>0</v>
      </c>
      <c r="P69" s="12">
        <v>0</v>
      </c>
      <c r="Q69" s="28">
        <v>0</v>
      </c>
      <c r="R69" s="17"/>
      <c r="S69" s="17"/>
      <c r="T69" s="18"/>
      <c r="U69" s="13"/>
      <c r="V69" s="20"/>
      <c r="W69" s="8"/>
      <c r="X69" s="21"/>
      <c r="Y69" s="22" t="s">
        <v>58</v>
      </c>
      <c r="Z69" s="22"/>
      <c r="AA69" s="22"/>
      <c r="AB69" s="22"/>
      <c r="AC69" s="22"/>
      <c r="AD69" s="22"/>
      <c r="AE69" s="22"/>
      <c r="AF69" s="22"/>
      <c r="AG69" s="22"/>
      <c r="AI69" s="25"/>
      <c r="AJ69" s="25"/>
      <c r="AK69" s="25"/>
      <c r="AL69" s="25"/>
      <c r="AM69" s="25"/>
    </row>
    <row r="70" spans="2:45" x14ac:dyDescent="0.2">
      <c r="B70" s="7"/>
      <c r="C70" s="8"/>
      <c r="D70" s="8"/>
      <c r="E70" s="31"/>
      <c r="F70" s="10"/>
      <c r="G70" s="10"/>
      <c r="H70" s="10"/>
      <c r="I70" s="19"/>
      <c r="J70" s="13"/>
      <c r="K70" s="13"/>
      <c r="L70" s="61"/>
      <c r="M70" s="74"/>
      <c r="N70" s="12"/>
      <c r="O70" s="8"/>
      <c r="P70" s="12"/>
      <c r="Q70" s="28"/>
      <c r="R70" s="17"/>
      <c r="S70" s="17"/>
      <c r="T70" s="18"/>
      <c r="U70" s="13"/>
      <c r="V70" s="20"/>
      <c r="W70" s="8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I70" s="25"/>
      <c r="AJ70" s="25"/>
      <c r="AK70" s="25"/>
      <c r="AL70" s="25"/>
      <c r="AM70" s="25"/>
    </row>
    <row r="71" spans="2:45" x14ac:dyDescent="0.2">
      <c r="B71" s="7"/>
      <c r="C71" s="8"/>
      <c r="D71" s="8"/>
      <c r="E71" s="31" t="s">
        <v>48</v>
      </c>
      <c r="F71" s="10"/>
      <c r="G71" s="10"/>
      <c r="H71" s="10"/>
      <c r="I71" s="19" t="s">
        <v>37</v>
      </c>
      <c r="J71" s="12">
        <v>0</v>
      </c>
      <c r="K71" s="13" t="s">
        <v>17</v>
      </c>
      <c r="L71" s="60">
        <v>100</v>
      </c>
      <c r="M71" s="74"/>
      <c r="N71" s="3"/>
      <c r="O71" s="8"/>
      <c r="P71" s="8"/>
      <c r="Q71" s="8"/>
      <c r="R71" s="8"/>
      <c r="S71" s="115"/>
      <c r="T71" s="18"/>
      <c r="U71" s="13"/>
      <c r="V71" s="20"/>
    </row>
    <row r="72" spans="2:45" x14ac:dyDescent="0.2">
      <c r="B72" s="7"/>
      <c r="C72" s="8"/>
      <c r="D72" s="8"/>
      <c r="E72" s="9"/>
      <c r="F72" s="10"/>
      <c r="G72" s="10"/>
      <c r="H72" s="10"/>
      <c r="I72" s="19" t="s">
        <v>38</v>
      </c>
      <c r="J72" s="12">
        <v>25</v>
      </c>
      <c r="K72" s="13"/>
      <c r="L72" s="60"/>
      <c r="M72" s="74"/>
      <c r="N72" s="13"/>
      <c r="O72" s="13">
        <f>IF(OR(N69="ja",N69=""),IF(N71&gt;75,75,N71),IF(OR(N67="ja",N67=""),IF(N71&gt;75,75,N71),+N71))</f>
        <v>0</v>
      </c>
      <c r="P72" s="12">
        <v>0</v>
      </c>
      <c r="Q72" s="16">
        <v>75</v>
      </c>
      <c r="R72" s="29">
        <f>+AN72</f>
        <v>0</v>
      </c>
      <c r="S72" s="62">
        <v>1650</v>
      </c>
      <c r="T72" s="5">
        <v>1</v>
      </c>
      <c r="U72" s="13">
        <f>IF(O72=0,1,T72)</f>
        <v>1</v>
      </c>
      <c r="V72" s="20">
        <f>IF(O72=0,0,+U72*S72)</f>
        <v>0</v>
      </c>
      <c r="W72" s="8"/>
      <c r="X72" s="21"/>
      <c r="Y72" s="22"/>
      <c r="Z72" s="22"/>
      <c r="AA72" s="22"/>
      <c r="AB72" s="22"/>
      <c r="AC72" s="23">
        <v>0</v>
      </c>
      <c r="AD72" s="23">
        <v>0.15</v>
      </c>
      <c r="AE72" s="23">
        <v>0.4</v>
      </c>
      <c r="AF72" s="23">
        <v>0.75</v>
      </c>
      <c r="AG72" s="23">
        <v>1</v>
      </c>
      <c r="AI72" s="25">
        <f>IF($O72=0,AC72*Q72,0)</f>
        <v>0</v>
      </c>
      <c r="AJ72" s="25">
        <f>IF($O72=25,AD72*Q72,0)</f>
        <v>0</v>
      </c>
      <c r="AK72" s="25">
        <f>IF($O72=50,AE72*Q72,0)</f>
        <v>0</v>
      </c>
      <c r="AL72" s="25">
        <f>IF($O72=75,AF72*Q72,0)</f>
        <v>0</v>
      </c>
      <c r="AM72" s="25">
        <f>IF($O72=100,AG72*Q72,0)</f>
        <v>0</v>
      </c>
      <c r="AN72" s="25">
        <f>SUM(AI72:AM72)</f>
        <v>0</v>
      </c>
    </row>
    <row r="73" spans="2:45" s="116" customFormat="1" x14ac:dyDescent="0.2">
      <c r="B73" s="7" t="s">
        <v>50</v>
      </c>
      <c r="C73" s="8"/>
      <c r="D73" s="8"/>
      <c r="E73" s="9"/>
      <c r="F73" s="10"/>
      <c r="G73" s="10"/>
      <c r="H73" s="10"/>
      <c r="I73" s="11"/>
      <c r="J73" s="12"/>
      <c r="K73" s="13"/>
      <c r="L73" s="60"/>
      <c r="M73" s="74"/>
      <c r="N73" s="13"/>
      <c r="O73" s="6"/>
      <c r="P73" s="13"/>
      <c r="Q73" s="16"/>
      <c r="R73" s="29"/>
      <c r="S73" s="62"/>
      <c r="T73" s="19"/>
      <c r="U73" s="13"/>
      <c r="V73" s="20"/>
      <c r="W73" s="8"/>
      <c r="X73" s="21"/>
      <c r="Y73" s="22"/>
      <c r="Z73" s="22"/>
      <c r="AA73" s="22"/>
      <c r="AB73" s="22"/>
      <c r="AC73" s="23"/>
      <c r="AD73" s="23"/>
      <c r="AE73" s="23"/>
      <c r="AF73" s="23"/>
      <c r="AG73" s="23"/>
      <c r="AH73" s="24"/>
      <c r="AI73" s="25"/>
      <c r="AJ73" s="25"/>
      <c r="AK73" s="25"/>
      <c r="AL73" s="25"/>
      <c r="AM73" s="25"/>
    </row>
    <row r="74" spans="2:45" s="116" customFormat="1" x14ac:dyDescent="0.2">
      <c r="B74" s="7"/>
      <c r="C74" s="8"/>
      <c r="D74" s="8" t="s">
        <v>46</v>
      </c>
      <c r="E74" s="14"/>
      <c r="F74" s="8"/>
      <c r="G74" s="8"/>
      <c r="H74" s="8"/>
      <c r="I74" s="11"/>
      <c r="J74" s="13"/>
      <c r="K74" s="13"/>
      <c r="L74" s="61"/>
      <c r="M74" s="74"/>
      <c r="N74" s="13"/>
      <c r="O74" s="6"/>
      <c r="P74" s="13"/>
      <c r="Q74" s="13"/>
      <c r="R74" s="29"/>
      <c r="S74" s="63"/>
      <c r="T74" s="19"/>
      <c r="U74" s="13"/>
      <c r="V74" s="26"/>
      <c r="W74" s="8"/>
      <c r="X74" s="21"/>
      <c r="Y74" s="27"/>
      <c r="Z74" s="27"/>
      <c r="AA74" s="27"/>
      <c r="AB74" s="27"/>
      <c r="AC74" s="27"/>
      <c r="AD74" s="27"/>
      <c r="AE74" s="27"/>
      <c r="AF74" s="27"/>
      <c r="AG74" s="27"/>
      <c r="AH74" s="24"/>
      <c r="AI74" s="24"/>
      <c r="AJ74" s="24"/>
      <c r="AK74" s="24"/>
      <c r="AL74" s="24"/>
      <c r="AM74" s="24"/>
    </row>
    <row r="75" spans="2:45" s="116" customFormat="1" x14ac:dyDescent="0.2">
      <c r="B75" s="7"/>
      <c r="C75" s="8"/>
      <c r="D75" s="8"/>
      <c r="E75" s="14"/>
      <c r="F75" s="8"/>
      <c r="G75" s="8"/>
      <c r="H75" s="8"/>
      <c r="I75" s="11"/>
      <c r="J75" s="13"/>
      <c r="K75" s="13"/>
      <c r="L75" s="61"/>
      <c r="M75" s="74"/>
      <c r="N75" s="13"/>
      <c r="O75" s="6"/>
      <c r="P75" s="13"/>
      <c r="Q75" s="13"/>
      <c r="R75" s="29"/>
      <c r="S75" s="63"/>
      <c r="T75" s="19"/>
      <c r="U75" s="13"/>
      <c r="V75" s="26"/>
      <c r="W75" s="8"/>
      <c r="X75" s="21"/>
      <c r="Y75" s="27"/>
      <c r="Z75" s="27"/>
      <c r="AA75" s="27"/>
      <c r="AB75" s="27"/>
      <c r="AC75" s="27"/>
      <c r="AD75" s="27"/>
      <c r="AE75" s="27"/>
      <c r="AF75" s="27"/>
      <c r="AG75" s="27"/>
      <c r="AH75" s="24"/>
      <c r="AI75" s="24"/>
      <c r="AJ75" s="24"/>
      <c r="AK75" s="24"/>
      <c r="AL75" s="24"/>
      <c r="AM75" s="24"/>
    </row>
    <row r="76" spans="2:45" s="116" customFormat="1" x14ac:dyDescent="0.2">
      <c r="B76" s="7"/>
      <c r="C76" s="8"/>
      <c r="D76" s="8"/>
      <c r="E76" s="14"/>
      <c r="F76" s="8"/>
      <c r="G76" s="8"/>
      <c r="H76" s="8"/>
      <c r="I76" s="11"/>
      <c r="J76" s="13"/>
      <c r="K76" s="13"/>
      <c r="L76" s="61"/>
      <c r="M76" s="74"/>
      <c r="N76" s="13"/>
      <c r="O76" s="6"/>
      <c r="P76" s="13"/>
      <c r="Q76" s="13"/>
      <c r="R76" s="29"/>
      <c r="S76" s="63"/>
      <c r="T76" s="19"/>
      <c r="U76" s="13"/>
      <c r="V76" s="26"/>
      <c r="W76" s="8"/>
      <c r="X76" s="21"/>
      <c r="Y76" s="27"/>
      <c r="Z76" s="27"/>
      <c r="AA76" s="27"/>
      <c r="AB76" s="27"/>
      <c r="AC76" s="27"/>
      <c r="AD76" s="27"/>
      <c r="AE76" s="27"/>
      <c r="AF76" s="27"/>
      <c r="AG76" s="27"/>
      <c r="AH76" s="24"/>
      <c r="AI76" s="24"/>
      <c r="AJ76" s="24"/>
      <c r="AK76" s="24"/>
      <c r="AL76" s="24"/>
      <c r="AM76" s="24"/>
    </row>
    <row r="77" spans="2:45" s="116" customFormat="1" x14ac:dyDescent="0.2">
      <c r="B77" s="7"/>
      <c r="C77" s="8"/>
      <c r="D77" s="8"/>
      <c r="E77" s="31" t="s">
        <v>105</v>
      </c>
      <c r="F77" s="8"/>
      <c r="G77" s="8"/>
      <c r="H77" s="8"/>
      <c r="I77" s="11" t="s">
        <v>5</v>
      </c>
      <c r="J77" s="13"/>
      <c r="K77" s="13"/>
      <c r="L77" s="61"/>
      <c r="M77" s="74"/>
      <c r="N77" s="3"/>
      <c r="O77" s="6">
        <f>+N77</f>
        <v>0</v>
      </c>
      <c r="P77" s="12">
        <v>-75</v>
      </c>
      <c r="Q77" s="16"/>
      <c r="R77" s="17">
        <f>IF(N77= "",+P77,IF(N77= "ja", P77, SUM(AI77:AM77)))</f>
        <v>-75</v>
      </c>
      <c r="S77" s="62">
        <v>1650</v>
      </c>
      <c r="T77" s="5">
        <v>1</v>
      </c>
      <c r="U77" s="13">
        <f>IF(O77="ja",1,T77)</f>
        <v>1</v>
      </c>
      <c r="V77" s="20">
        <f>IF(N77="",0,IF(O77="ja",0,+U77*S77))</f>
        <v>0</v>
      </c>
      <c r="W77" s="8"/>
      <c r="X77" s="21"/>
      <c r="Y77" s="22" t="s">
        <v>108</v>
      </c>
      <c r="Z77" s="22"/>
      <c r="AA77" s="22"/>
      <c r="AB77" s="22"/>
      <c r="AC77" s="22"/>
      <c r="AD77" s="27"/>
      <c r="AE77" s="27"/>
      <c r="AF77" s="27"/>
      <c r="AG77" s="27"/>
      <c r="AH77" s="24"/>
      <c r="AI77" s="24"/>
      <c r="AJ77" s="24"/>
      <c r="AK77" s="24"/>
      <c r="AL77" s="24"/>
      <c r="AM77" s="24"/>
    </row>
    <row r="78" spans="2:45" s="65" customFormat="1" x14ac:dyDescent="0.2">
      <c r="B78" s="7"/>
      <c r="C78" s="8"/>
      <c r="D78" s="8"/>
      <c r="E78" s="32"/>
      <c r="F78" s="8"/>
      <c r="G78" s="8"/>
      <c r="H78" s="8"/>
      <c r="I78" s="11"/>
      <c r="J78" s="13"/>
      <c r="K78" s="13"/>
      <c r="L78" s="61"/>
      <c r="M78" s="74"/>
      <c r="N78" s="6"/>
      <c r="O78" s="6"/>
      <c r="P78" s="12"/>
      <c r="Q78" s="16"/>
      <c r="R78" s="29"/>
      <c r="S78" s="62"/>
      <c r="T78" s="19"/>
      <c r="U78" s="13"/>
      <c r="V78" s="20"/>
      <c r="W78" s="8"/>
      <c r="X78" s="21"/>
      <c r="Y78" s="22"/>
      <c r="Z78" s="22"/>
      <c r="AA78" s="22"/>
      <c r="AB78" s="22"/>
      <c r="AC78" s="22"/>
      <c r="AD78" s="27"/>
      <c r="AE78" s="27"/>
      <c r="AF78" s="27"/>
      <c r="AG78" s="27"/>
      <c r="AH78" s="24"/>
      <c r="AI78" s="24"/>
      <c r="AJ78" s="24"/>
      <c r="AK78" s="24"/>
      <c r="AL78" s="24"/>
      <c r="AM78" s="24"/>
      <c r="AN78" s="116"/>
      <c r="AO78" s="116"/>
      <c r="AP78" s="116"/>
      <c r="AQ78" s="116"/>
      <c r="AR78" s="116"/>
      <c r="AS78" s="116"/>
    </row>
    <row r="79" spans="2:45" x14ac:dyDescent="0.2">
      <c r="B79" s="7"/>
      <c r="C79" s="8"/>
      <c r="D79" s="8"/>
      <c r="E79" s="31" t="s">
        <v>106</v>
      </c>
      <c r="F79" s="8"/>
      <c r="G79" s="8"/>
      <c r="H79" s="8"/>
      <c r="I79" s="11" t="s">
        <v>5</v>
      </c>
      <c r="J79" s="13"/>
      <c r="K79" s="13"/>
      <c r="L79" s="61"/>
      <c r="M79" s="74"/>
      <c r="N79" s="3"/>
      <c r="O79" s="6">
        <f>+N79</f>
        <v>0</v>
      </c>
      <c r="P79" s="12">
        <v>0</v>
      </c>
      <c r="Q79" s="28">
        <v>0</v>
      </c>
      <c r="R79" s="29"/>
      <c r="S79" s="63"/>
      <c r="T79" s="19"/>
      <c r="U79" s="13"/>
      <c r="V79" s="26"/>
      <c r="W79" s="8"/>
      <c r="X79" s="21"/>
      <c r="Y79" s="22" t="s">
        <v>103</v>
      </c>
      <c r="Z79" s="22"/>
      <c r="AA79" s="22"/>
      <c r="AB79" s="22"/>
      <c r="AC79" s="22"/>
      <c r="AD79" s="22"/>
      <c r="AE79" s="22"/>
      <c r="AF79" s="22"/>
      <c r="AG79" s="22"/>
      <c r="AI79" s="25">
        <f>IF($N79=0,AC79*Q79,0)</f>
        <v>0</v>
      </c>
      <c r="AJ79" s="25">
        <f>IF($N79=25,AD79*Q79,0)</f>
        <v>0</v>
      </c>
      <c r="AK79" s="25">
        <f>IF($N79=50,AE79*Q79,0)</f>
        <v>0</v>
      </c>
      <c r="AL79" s="25">
        <f>IF($N79=75,AF79*Q79,0)</f>
        <v>0</v>
      </c>
      <c r="AM79" s="25">
        <f>IF($N79=100,AG79*Q79,0)</f>
        <v>0</v>
      </c>
      <c r="AN79" s="116"/>
      <c r="AO79" s="116"/>
      <c r="AP79" s="116"/>
      <c r="AQ79" s="116"/>
      <c r="AR79" s="116"/>
      <c r="AS79" s="116"/>
    </row>
    <row r="80" spans="2:45" x14ac:dyDescent="0.2">
      <c r="B80" s="7"/>
      <c r="C80" s="8"/>
      <c r="D80" s="8"/>
      <c r="E80" s="32"/>
      <c r="F80" s="8"/>
      <c r="G80" s="8"/>
      <c r="H80" s="8"/>
      <c r="I80" s="11"/>
      <c r="J80" s="13"/>
      <c r="K80" s="13"/>
      <c r="L80" s="61"/>
      <c r="M80" s="74"/>
      <c r="N80" s="6"/>
      <c r="O80" s="6"/>
      <c r="P80" s="12"/>
      <c r="Q80" s="28"/>
      <c r="R80" s="29"/>
      <c r="S80" s="63"/>
      <c r="T80" s="19"/>
      <c r="U80" s="13"/>
      <c r="V80" s="26"/>
      <c r="W80" s="8"/>
      <c r="X80" s="21"/>
      <c r="Y80" s="22"/>
      <c r="Z80" s="22"/>
      <c r="AA80" s="22"/>
      <c r="AB80" s="22"/>
      <c r="AC80" s="22"/>
      <c r="AD80" s="22"/>
      <c r="AE80" s="22"/>
      <c r="AF80" s="22"/>
      <c r="AG80" s="22"/>
      <c r="AI80" s="25"/>
      <c r="AJ80" s="25"/>
      <c r="AK80" s="25"/>
      <c r="AL80" s="25"/>
      <c r="AM80" s="25"/>
      <c r="AN80" s="116"/>
      <c r="AO80" s="116"/>
      <c r="AP80" s="116"/>
      <c r="AQ80" s="116"/>
      <c r="AR80" s="116"/>
      <c r="AS80" s="116"/>
    </row>
    <row r="81" spans="2:45" x14ac:dyDescent="0.2">
      <c r="B81" s="7"/>
      <c r="C81" s="8"/>
      <c r="D81" s="8"/>
      <c r="E81" s="31" t="s">
        <v>107</v>
      </c>
      <c r="F81" s="8"/>
      <c r="G81" s="8"/>
      <c r="H81" s="8"/>
      <c r="I81" s="11" t="s">
        <v>37</v>
      </c>
      <c r="J81" s="12">
        <v>0</v>
      </c>
      <c r="K81" s="13" t="s">
        <v>17</v>
      </c>
      <c r="L81" s="60">
        <v>100</v>
      </c>
      <c r="M81" s="74"/>
      <c r="N81" s="3"/>
      <c r="O81" s="6"/>
      <c r="P81" s="12"/>
      <c r="Q81" s="117"/>
      <c r="R81" s="117"/>
      <c r="S81" s="63"/>
      <c r="T81" s="19"/>
      <c r="U81" s="13"/>
      <c r="V81" s="2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</row>
    <row r="82" spans="2:45" x14ac:dyDescent="0.2">
      <c r="B82" s="7"/>
      <c r="C82" s="8"/>
      <c r="D82" s="8"/>
      <c r="E82" s="14"/>
      <c r="F82" s="8"/>
      <c r="G82" s="8"/>
      <c r="H82" s="8"/>
      <c r="I82" s="11" t="s">
        <v>38</v>
      </c>
      <c r="J82" s="12">
        <v>25</v>
      </c>
      <c r="K82" s="13"/>
      <c r="L82" s="60"/>
      <c r="M82" s="74"/>
      <c r="N82" s="13"/>
      <c r="O82" s="13">
        <f>IF(OR(N79="ja",N79=""),IF(N81&gt;75,75,N81),IF(OR(N77="ja",N77=""),IF(N81&gt;75,75,N81),+N81))</f>
        <v>0</v>
      </c>
      <c r="P82" s="13"/>
      <c r="Q82" s="16">
        <v>100</v>
      </c>
      <c r="R82" s="29">
        <f>+AN82</f>
        <v>0</v>
      </c>
      <c r="S82" s="62">
        <v>1650</v>
      </c>
      <c r="T82" s="5">
        <v>1</v>
      </c>
      <c r="U82" s="13">
        <f>IF(O82=0,1,T82)</f>
        <v>1</v>
      </c>
      <c r="V82" s="20">
        <f>IF(O82=0,0,+U82*S82)</f>
        <v>0</v>
      </c>
      <c r="W82" s="8"/>
      <c r="X82" s="21"/>
      <c r="Y82" s="22"/>
      <c r="Z82" s="22"/>
      <c r="AA82" s="22"/>
      <c r="AB82" s="22"/>
      <c r="AC82" s="23">
        <v>0</v>
      </c>
      <c r="AD82" s="23">
        <v>0.15</v>
      </c>
      <c r="AE82" s="23">
        <v>0.4</v>
      </c>
      <c r="AF82" s="23">
        <v>0.75</v>
      </c>
      <c r="AG82" s="23">
        <v>1</v>
      </c>
      <c r="AI82" s="25">
        <f>IF($O82=0,AC82*Q82,0)</f>
        <v>0</v>
      </c>
      <c r="AJ82" s="25">
        <f>IF($O82=25,AD82*Q82,0)</f>
        <v>0</v>
      </c>
      <c r="AK82" s="25">
        <f>IF($O82=50,AE82*Q82,0)</f>
        <v>0</v>
      </c>
      <c r="AL82" s="25">
        <f>IF($O82=75,AF82*Q82,0)</f>
        <v>0</v>
      </c>
      <c r="AM82" s="25">
        <f>IF($O82=100,AG82*Q82,0)</f>
        <v>0</v>
      </c>
      <c r="AN82" s="25">
        <f>SUM(AI82:AM82)</f>
        <v>0</v>
      </c>
      <c r="AO82" s="65"/>
      <c r="AP82" s="65"/>
      <c r="AQ82" s="65"/>
      <c r="AR82" s="65"/>
      <c r="AS82" s="65"/>
    </row>
    <row r="83" spans="2:45" x14ac:dyDescent="0.2">
      <c r="B83" s="7"/>
      <c r="C83" s="8"/>
      <c r="D83" s="8"/>
      <c r="E83" s="14"/>
      <c r="F83" s="8"/>
      <c r="G83" s="8"/>
      <c r="H83" s="8"/>
      <c r="I83" s="19"/>
      <c r="J83" s="12"/>
      <c r="K83" s="13"/>
      <c r="L83" s="60"/>
      <c r="M83" s="74"/>
      <c r="N83" s="13"/>
      <c r="O83" s="184"/>
      <c r="P83" s="184"/>
      <c r="Q83" s="184"/>
      <c r="R83" s="184"/>
      <c r="S83" s="62"/>
      <c r="T83" s="19"/>
      <c r="U83" s="13"/>
      <c r="V83" s="20"/>
      <c r="W83" s="8"/>
      <c r="X83" s="21"/>
      <c r="Y83" s="22"/>
      <c r="Z83" s="22"/>
      <c r="AA83" s="22"/>
      <c r="AB83" s="22"/>
      <c r="AC83" s="23"/>
      <c r="AD83" s="23"/>
      <c r="AE83" s="23"/>
      <c r="AF83" s="23"/>
      <c r="AG83" s="23"/>
      <c r="AI83" s="25"/>
      <c r="AJ83" s="25"/>
      <c r="AK83" s="25"/>
      <c r="AL83" s="25"/>
      <c r="AM83" s="25"/>
    </row>
    <row r="84" spans="2:45" ht="13.5" thickBot="1" x14ac:dyDescent="0.25">
      <c r="B84" s="7"/>
      <c r="C84" s="8"/>
      <c r="D84" s="8"/>
      <c r="E84" s="162"/>
      <c r="F84" s="162"/>
      <c r="G84" s="162"/>
      <c r="H84" s="162"/>
      <c r="I84" s="19"/>
      <c r="J84" s="13"/>
      <c r="L84" s="66"/>
      <c r="M84" s="79"/>
      <c r="N84" s="77"/>
      <c r="O84" s="77"/>
      <c r="P84" s="77"/>
      <c r="Q84" s="76"/>
      <c r="R84" s="118"/>
      <c r="S84" s="119"/>
      <c r="T84" s="120"/>
      <c r="U84" s="77"/>
      <c r="V84" s="82"/>
      <c r="X84" s="21"/>
      <c r="Y84" s="21" t="s">
        <v>18</v>
      </c>
      <c r="Z84" s="21"/>
      <c r="AA84" s="21"/>
      <c r="AB84" s="21"/>
      <c r="AC84" s="21"/>
      <c r="AD84" s="21"/>
      <c r="AE84" s="21"/>
      <c r="AF84" s="21"/>
      <c r="AG84" s="21"/>
    </row>
    <row r="85" spans="2:45" x14ac:dyDescent="0.2">
      <c r="B85" s="67"/>
      <c r="C85" s="68"/>
      <c r="D85" s="68"/>
      <c r="E85" s="164"/>
      <c r="F85" s="164"/>
      <c r="G85" s="164"/>
      <c r="H85" s="164"/>
      <c r="I85" s="121"/>
      <c r="J85" s="70"/>
      <c r="K85" s="70"/>
      <c r="L85" s="122"/>
      <c r="M85" s="70"/>
      <c r="N85" s="70"/>
      <c r="O85" s="70"/>
      <c r="P85" s="70"/>
      <c r="Q85" s="70"/>
      <c r="R85" s="123"/>
      <c r="S85" s="70"/>
      <c r="T85" s="121"/>
      <c r="U85" s="70"/>
      <c r="V85" s="71"/>
      <c r="X85" s="21"/>
      <c r="Y85" s="21"/>
      <c r="Z85" s="21"/>
      <c r="AA85" s="21"/>
      <c r="AB85" s="21"/>
      <c r="AC85" s="21"/>
      <c r="AD85" s="21"/>
      <c r="AE85" s="21"/>
      <c r="AF85" s="21"/>
      <c r="AG85" s="21"/>
    </row>
    <row r="86" spans="2:45" x14ac:dyDescent="0.2">
      <c r="B86" s="7"/>
      <c r="C86" s="8"/>
      <c r="D86" s="8"/>
      <c r="E86" s="162"/>
      <c r="F86" s="162"/>
      <c r="G86" s="162"/>
      <c r="H86" s="162"/>
      <c r="I86" s="19"/>
      <c r="J86" s="13" t="s">
        <v>45</v>
      </c>
      <c r="K86" s="13"/>
      <c r="L86" s="61"/>
      <c r="M86" s="13"/>
      <c r="N86" s="13"/>
      <c r="O86" s="13">
        <f>SUM(P19:P82)</f>
        <v>-125</v>
      </c>
      <c r="Q86" s="13"/>
      <c r="R86" s="29"/>
      <c r="S86" s="13"/>
      <c r="T86" s="19"/>
      <c r="U86" s="13"/>
      <c r="V86" s="26"/>
      <c r="X86" s="21"/>
      <c r="Y86" s="163" t="s">
        <v>19</v>
      </c>
      <c r="Z86" s="163"/>
      <c r="AA86" s="163"/>
      <c r="AB86" s="163"/>
      <c r="AC86" s="163"/>
      <c r="AD86" s="163"/>
      <c r="AE86" s="163"/>
      <c r="AF86" s="163"/>
      <c r="AG86" s="163"/>
    </row>
    <row r="87" spans="2:45" x14ac:dyDescent="0.2">
      <c r="B87" s="7"/>
      <c r="C87" s="8"/>
      <c r="D87" s="8"/>
      <c r="E87" s="162"/>
      <c r="F87" s="162"/>
      <c r="G87" s="162"/>
      <c r="H87" s="162"/>
      <c r="I87" s="19"/>
      <c r="J87" s="13" t="s">
        <v>21</v>
      </c>
      <c r="K87" s="13"/>
      <c r="L87" s="61"/>
      <c r="M87" s="13"/>
      <c r="N87" s="13"/>
      <c r="O87" s="13">
        <f>SUM(Q20:Q82)</f>
        <v>1000</v>
      </c>
      <c r="P87" s="13"/>
      <c r="R87" s="29"/>
      <c r="S87" s="13"/>
      <c r="T87" s="19"/>
      <c r="U87" s="13"/>
      <c r="V87" s="26"/>
      <c r="X87" s="21"/>
      <c r="Y87" s="159"/>
      <c r="Z87" s="159"/>
      <c r="AA87" s="159"/>
      <c r="AB87" s="159"/>
      <c r="AC87" s="159"/>
      <c r="AD87" s="159"/>
      <c r="AE87" s="159"/>
      <c r="AF87" s="159"/>
      <c r="AG87" s="159"/>
    </row>
    <row r="88" spans="2:45" x14ac:dyDescent="0.2">
      <c r="B88" s="7"/>
      <c r="C88" s="8"/>
      <c r="D88" s="8"/>
      <c r="E88" s="162"/>
      <c r="F88" s="162"/>
      <c r="G88" s="162"/>
      <c r="H88" s="162"/>
      <c r="I88" s="19"/>
      <c r="J88" s="13" t="s">
        <v>29</v>
      </c>
      <c r="L88" s="66"/>
      <c r="M88" s="13"/>
      <c r="N88" s="13"/>
      <c r="O88" s="13"/>
      <c r="P88" s="13"/>
      <c r="Q88" s="8"/>
      <c r="R88" s="29">
        <f>SUM(R21:R82)</f>
        <v>-125</v>
      </c>
      <c r="S88" s="13"/>
      <c r="T88" s="19"/>
      <c r="U88" s="13"/>
      <c r="V88" s="26" t="s">
        <v>11</v>
      </c>
      <c r="X88" s="21"/>
      <c r="Y88" s="159"/>
      <c r="Z88" s="159"/>
      <c r="AA88" s="159"/>
      <c r="AB88" s="159"/>
      <c r="AC88" s="159"/>
      <c r="AD88" s="159"/>
      <c r="AE88" s="159"/>
      <c r="AF88" s="159"/>
      <c r="AG88" s="159"/>
    </row>
    <row r="89" spans="2:45" x14ac:dyDescent="0.2">
      <c r="B89" s="7"/>
      <c r="C89" s="8"/>
      <c r="D89" s="8"/>
      <c r="E89" s="162"/>
      <c r="F89" s="162"/>
      <c r="G89" s="162"/>
      <c r="H89" s="162"/>
      <c r="I89" s="19"/>
      <c r="J89" s="13"/>
      <c r="K89" s="13"/>
      <c r="L89" s="61"/>
      <c r="M89" s="13"/>
      <c r="N89" s="13"/>
      <c r="O89" s="13"/>
      <c r="P89" s="13"/>
      <c r="Q89" s="13"/>
      <c r="R89" s="29"/>
      <c r="S89" s="13"/>
      <c r="T89" s="19"/>
      <c r="U89" s="13"/>
      <c r="V89" s="26"/>
      <c r="X89" s="21"/>
      <c r="Y89" s="159"/>
      <c r="Z89" s="159"/>
      <c r="AA89" s="159"/>
      <c r="AB89" s="159"/>
      <c r="AC89" s="159"/>
      <c r="AD89" s="159"/>
      <c r="AE89" s="159"/>
      <c r="AF89" s="159"/>
      <c r="AG89" s="159"/>
    </row>
    <row r="90" spans="2:45" ht="25.5" x14ac:dyDescent="0.2">
      <c r="B90" s="124"/>
      <c r="C90" s="125"/>
      <c r="D90" s="125"/>
      <c r="E90" s="179"/>
      <c r="F90" s="179"/>
      <c r="G90" s="179"/>
      <c r="H90" s="179"/>
      <c r="I90" s="126"/>
      <c r="J90" s="127"/>
      <c r="K90" s="127"/>
      <c r="L90" s="128"/>
      <c r="M90" s="127"/>
      <c r="N90" s="127"/>
      <c r="O90" s="127"/>
      <c r="P90" s="127"/>
      <c r="Q90" s="127"/>
      <c r="R90" s="129">
        <f>+R92-R88</f>
        <v>0</v>
      </c>
      <c r="S90" s="130" t="s">
        <v>22</v>
      </c>
      <c r="T90" s="131"/>
      <c r="U90" s="132">
        <f>ROUND(AVERAGE(U56:U84),2)</f>
        <v>1</v>
      </c>
      <c r="V90" s="133" t="s">
        <v>59</v>
      </c>
      <c r="X90" s="21"/>
      <c r="Y90" s="159"/>
      <c r="Z90" s="159"/>
      <c r="AA90" s="159"/>
      <c r="AB90" s="159"/>
      <c r="AC90" s="159"/>
      <c r="AD90" s="159"/>
      <c r="AE90" s="159"/>
      <c r="AF90" s="159"/>
      <c r="AG90" s="159"/>
    </row>
    <row r="91" spans="2:45" x14ac:dyDescent="0.2">
      <c r="B91" s="7"/>
      <c r="C91" s="8"/>
      <c r="D91" s="8"/>
      <c r="E91" s="162"/>
      <c r="F91" s="162"/>
      <c r="G91" s="162"/>
      <c r="H91" s="162"/>
      <c r="I91" s="19"/>
      <c r="J91" s="13"/>
      <c r="K91" s="13"/>
      <c r="L91" s="61"/>
      <c r="M91" s="13"/>
      <c r="N91" s="13"/>
      <c r="O91" s="13"/>
      <c r="P91" s="13"/>
      <c r="Q91" s="13"/>
      <c r="R91" s="29"/>
      <c r="S91" s="13"/>
      <c r="T91" s="13"/>
      <c r="U91" s="13"/>
      <c r="V91" s="26"/>
      <c r="X91" s="21"/>
      <c r="Y91" s="21"/>
      <c r="Z91" s="21"/>
      <c r="AA91" s="21"/>
      <c r="AB91" s="21"/>
      <c r="AC91" s="21"/>
      <c r="AD91" s="21"/>
      <c r="AE91" s="21"/>
      <c r="AF91" s="21"/>
      <c r="AG91" s="21"/>
    </row>
    <row r="92" spans="2:45" ht="13.5" thickBot="1" x14ac:dyDescent="0.25">
      <c r="B92" s="75"/>
      <c r="C92" s="76"/>
      <c r="D92" s="76"/>
      <c r="E92" s="165"/>
      <c r="F92" s="165"/>
      <c r="G92" s="165"/>
      <c r="H92" s="165"/>
      <c r="I92" s="120"/>
      <c r="J92" s="77"/>
      <c r="K92" s="77"/>
      <c r="L92" s="134"/>
      <c r="M92" s="77"/>
      <c r="N92" s="77"/>
      <c r="O92" s="77" t="s">
        <v>54</v>
      </c>
      <c r="P92" s="77"/>
      <c r="Q92" s="77"/>
      <c r="R92" s="118">
        <f>+U90*R88</f>
        <v>-125</v>
      </c>
      <c r="S92" s="77" t="s">
        <v>20</v>
      </c>
      <c r="T92" s="77"/>
      <c r="U92" s="77"/>
      <c r="V92" s="135"/>
      <c r="X92" s="21"/>
      <c r="Z92" s="21"/>
      <c r="AA92" s="21"/>
      <c r="AB92" s="21"/>
      <c r="AC92" s="21"/>
      <c r="AD92" s="21"/>
      <c r="AE92" s="21"/>
      <c r="AF92" s="21"/>
      <c r="AG92" s="21"/>
    </row>
    <row r="93" spans="2:45" x14ac:dyDescent="0.2">
      <c r="B93" s="8"/>
      <c r="C93" s="8"/>
      <c r="D93" s="8"/>
      <c r="E93" s="157"/>
      <c r="F93" s="157"/>
      <c r="G93" s="157"/>
      <c r="H93" s="157"/>
      <c r="I93" s="13"/>
      <c r="J93" s="13"/>
      <c r="K93" s="13"/>
      <c r="L93" s="61"/>
      <c r="M93" s="13"/>
      <c r="N93" s="13"/>
      <c r="O93" s="13"/>
      <c r="P93" s="13"/>
      <c r="Q93" s="13"/>
      <c r="R93" s="29"/>
      <c r="S93" s="13"/>
      <c r="T93" s="13"/>
      <c r="U93" s="13"/>
      <c r="V93" s="8"/>
      <c r="X93" s="21"/>
      <c r="Z93" s="21"/>
      <c r="AA93" s="21"/>
      <c r="AB93" s="21"/>
      <c r="AC93" s="21"/>
      <c r="AD93" s="21"/>
      <c r="AE93" s="21"/>
      <c r="AF93" s="21"/>
      <c r="AG93" s="21"/>
    </row>
    <row r="94" spans="2:45" x14ac:dyDescent="0.2">
      <c r="B94" s="8"/>
      <c r="C94" s="8"/>
      <c r="D94" s="8"/>
      <c r="E94" s="157"/>
      <c r="F94" s="157"/>
      <c r="G94" s="157"/>
      <c r="H94" s="157"/>
      <c r="I94" s="13"/>
      <c r="J94" s="13"/>
      <c r="K94" s="13"/>
      <c r="L94" s="61"/>
      <c r="M94" s="13"/>
      <c r="N94" s="13"/>
      <c r="O94" s="13" t="s">
        <v>55</v>
      </c>
      <c r="Q94" s="136">
        <v>900000</v>
      </c>
      <c r="R94" s="29"/>
      <c r="S94" s="13"/>
      <c r="T94" s="13"/>
      <c r="U94" s="13"/>
      <c r="V94" s="8"/>
      <c r="X94" s="21"/>
      <c r="Z94" s="21"/>
      <c r="AA94" s="21"/>
      <c r="AB94" s="21"/>
      <c r="AC94" s="21"/>
      <c r="AD94" s="21"/>
      <c r="AE94" s="21"/>
      <c r="AF94" s="21"/>
      <c r="AG94" s="21"/>
    </row>
    <row r="95" spans="2:45" x14ac:dyDescent="0.2">
      <c r="B95" s="8"/>
      <c r="C95" s="8"/>
      <c r="D95" s="8"/>
      <c r="E95" s="157"/>
      <c r="F95" s="157"/>
      <c r="G95" s="157"/>
      <c r="H95" s="157"/>
      <c r="I95" s="13"/>
      <c r="J95" s="13"/>
      <c r="K95" s="13"/>
      <c r="L95" s="61"/>
      <c r="M95" s="13"/>
      <c r="N95" s="13"/>
      <c r="O95" s="13" t="s">
        <v>56</v>
      </c>
      <c r="P95" s="13"/>
      <c r="Q95" s="136">
        <f>+R92/3000*Q94</f>
        <v>-37500</v>
      </c>
      <c r="R95" s="29"/>
      <c r="S95" s="13"/>
      <c r="T95" s="13"/>
      <c r="U95" s="13"/>
      <c r="V95" s="8"/>
      <c r="X95" s="21"/>
      <c r="Z95" s="21"/>
      <c r="AA95" s="21"/>
      <c r="AB95" s="21"/>
      <c r="AC95" s="21"/>
      <c r="AD95" s="21"/>
      <c r="AE95" s="21"/>
      <c r="AF95" s="21"/>
      <c r="AG95" s="21"/>
    </row>
    <row r="96" spans="2:45" x14ac:dyDescent="0.2">
      <c r="E96" s="176"/>
      <c r="F96" s="176"/>
      <c r="G96" s="176"/>
      <c r="H96" s="176"/>
    </row>
    <row r="97" spans="2:8" x14ac:dyDescent="0.2">
      <c r="E97" s="176"/>
      <c r="F97" s="176"/>
      <c r="G97" s="176"/>
      <c r="H97" s="176"/>
    </row>
    <row r="98" spans="2:8" x14ac:dyDescent="0.2">
      <c r="B98" s="65" t="s">
        <v>95</v>
      </c>
      <c r="C98" s="65" t="s">
        <v>1</v>
      </c>
      <c r="D98" s="65"/>
      <c r="E98" s="177"/>
      <c r="F98" s="177"/>
      <c r="G98" s="177"/>
      <c r="H98" s="177"/>
    </row>
    <row r="99" spans="2:8" x14ac:dyDescent="0.2">
      <c r="B99" s="65"/>
      <c r="C99" s="65"/>
      <c r="D99" s="65"/>
      <c r="E99" s="178"/>
      <c r="F99" s="178"/>
      <c r="G99" s="178"/>
      <c r="H99" s="178"/>
    </row>
    <row r="100" spans="2:8" x14ac:dyDescent="0.2">
      <c r="B100" s="65" t="s">
        <v>96</v>
      </c>
      <c r="C100" s="65" t="s">
        <v>1</v>
      </c>
      <c r="D100" s="65"/>
      <c r="E100" s="177"/>
      <c r="F100" s="177"/>
      <c r="G100" s="177"/>
      <c r="H100" s="177"/>
    </row>
    <row r="101" spans="2:8" x14ac:dyDescent="0.2">
      <c r="B101" s="65" t="s">
        <v>97</v>
      </c>
      <c r="C101" s="65" t="s">
        <v>1</v>
      </c>
      <c r="D101" s="65"/>
      <c r="E101" s="177"/>
      <c r="F101" s="177"/>
      <c r="G101" s="177"/>
      <c r="H101" s="177"/>
    </row>
    <row r="102" spans="2:8" x14ac:dyDescent="0.2">
      <c r="B102" s="65"/>
      <c r="C102" s="65"/>
      <c r="D102" s="65"/>
      <c r="E102" s="178"/>
      <c r="F102" s="178"/>
      <c r="G102" s="178"/>
      <c r="H102" s="178"/>
    </row>
    <row r="103" spans="2:8" x14ac:dyDescent="0.2">
      <c r="B103" s="65" t="s">
        <v>98</v>
      </c>
      <c r="C103" s="65" t="s">
        <v>1</v>
      </c>
      <c r="D103" s="65"/>
      <c r="E103" s="188"/>
      <c r="F103" s="188"/>
      <c r="G103" s="188"/>
      <c r="H103" s="188"/>
    </row>
    <row r="104" spans="2:8" x14ac:dyDescent="0.2">
      <c r="B104" s="65"/>
      <c r="C104" s="65"/>
      <c r="D104" s="65"/>
      <c r="E104" s="188"/>
      <c r="F104" s="188"/>
      <c r="G104" s="188"/>
      <c r="H104" s="188"/>
    </row>
    <row r="105" spans="2:8" x14ac:dyDescent="0.2">
      <c r="B105" s="65"/>
      <c r="C105" s="65"/>
      <c r="D105" s="65"/>
      <c r="E105" s="188"/>
      <c r="F105" s="188"/>
      <c r="G105" s="188"/>
      <c r="H105" s="188"/>
    </row>
    <row r="106" spans="2:8" x14ac:dyDescent="0.2">
      <c r="B106" s="65"/>
      <c r="C106" s="65"/>
      <c r="D106" s="65"/>
      <c r="E106" s="188"/>
      <c r="F106" s="188"/>
      <c r="G106" s="188"/>
      <c r="H106" s="188"/>
    </row>
    <row r="107" spans="2:8" x14ac:dyDescent="0.2">
      <c r="B107" s="65"/>
      <c r="C107" s="65"/>
      <c r="D107" s="65"/>
      <c r="E107" s="188"/>
      <c r="F107" s="188"/>
      <c r="G107" s="188"/>
      <c r="H107" s="188"/>
    </row>
    <row r="108" spans="2:8" x14ac:dyDescent="0.2">
      <c r="E108" s="176"/>
      <c r="F108" s="176"/>
      <c r="G108" s="176"/>
      <c r="H108" s="176"/>
    </row>
    <row r="109" spans="2:8" x14ac:dyDescent="0.2">
      <c r="E109" s="176"/>
      <c r="F109" s="176"/>
      <c r="G109" s="176"/>
      <c r="H109" s="176"/>
    </row>
    <row r="110" spans="2:8" x14ac:dyDescent="0.2">
      <c r="E110" s="176"/>
      <c r="F110" s="176"/>
      <c r="G110" s="176"/>
      <c r="H110" s="176"/>
    </row>
  </sheetData>
  <sheetProtection algorithmName="SHA-512" hashValue="5pRy/UF5bB//bFLzLclqAlomHgorM7HDSSoFSe+gK1uwwtKf2hI8e6kjX0JK0cdA48UGe5vcXEnzFAQjxdl7TA==" saltValue="tf9v8CJcRHdhWWGmqMocnw==" spinCount="100000" sheet="1" objects="1" scenarios="1"/>
  <mergeCells count="43">
    <mergeCell ref="O83:R83"/>
    <mergeCell ref="N14:T14"/>
    <mergeCell ref="E109:H109"/>
    <mergeCell ref="E110:H110"/>
    <mergeCell ref="E108:H108"/>
    <mergeCell ref="E14:H14"/>
    <mergeCell ref="D55:H55"/>
    <mergeCell ref="E56:H56"/>
    <mergeCell ref="E103:H107"/>
    <mergeCell ref="E59:H59"/>
    <mergeCell ref="E102:H102"/>
    <mergeCell ref="E86:H86"/>
    <mergeCell ref="E91:H91"/>
    <mergeCell ref="E92:H92"/>
    <mergeCell ref="E96:H96"/>
    <mergeCell ref="E97:H97"/>
    <mergeCell ref="E15:H15"/>
    <mergeCell ref="E98:H98"/>
    <mergeCell ref="E99:H99"/>
    <mergeCell ref="E100:H100"/>
    <mergeCell ref="E101:H101"/>
    <mergeCell ref="E88:H88"/>
    <mergeCell ref="E89:H89"/>
    <mergeCell ref="E90:H90"/>
    <mergeCell ref="D20:H20"/>
    <mergeCell ref="D35:H35"/>
    <mergeCell ref="E52:H52"/>
    <mergeCell ref="E13:H13"/>
    <mergeCell ref="E87:H87"/>
    <mergeCell ref="Y86:AG86"/>
    <mergeCell ref="E4:H4"/>
    <mergeCell ref="E7:H7"/>
    <mergeCell ref="E12:H12"/>
    <mergeCell ref="E8:H8"/>
    <mergeCell ref="E84:H84"/>
    <mergeCell ref="E85:H85"/>
    <mergeCell ref="E6:H6"/>
    <mergeCell ref="S7:V12"/>
    <mergeCell ref="D18:H18"/>
    <mergeCell ref="E63:H63"/>
    <mergeCell ref="Y7:AG8"/>
    <mergeCell ref="Y9:AG10"/>
    <mergeCell ref="Y12:AG13"/>
  </mergeCells>
  <conditionalFormatting sqref="N14">
    <cfRule type="containsText" dxfId="0" priority="1" operator="containsText" text="niet">
      <formula>NOT(ISERROR(SEARCH("niet",N14)))</formula>
    </cfRule>
  </conditionalFormatting>
  <dataValidations xWindow="800" yWindow="747" count="3">
    <dataValidation type="whole" allowBlank="1" showInputMessage="1" showErrorMessage="1" sqref="N68 N63:N66 N52" xr:uid="{00000000-0002-0000-0000-000000000000}">
      <formula1>J52</formula1>
      <formula2>L52</formula2>
    </dataValidation>
    <dataValidation type="list" allowBlank="1" showInputMessage="1" showErrorMessage="1" sqref="T63" xr:uid="{00000000-0002-0000-0000-000001000000}">
      <formula1>$C$10:$C$18</formula1>
    </dataValidation>
    <dataValidation type="whole" allowBlank="1" showInputMessage="1" showErrorMessage="1" sqref="K85:M85" xr:uid="{00000000-0002-0000-0000-000002000000}">
      <formula1>AQ9</formula1>
      <formula2>AQ56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9">
        <x14:dataValidation type="list" allowBlank="1" showInputMessage="1" showErrorMessage="1" xr:uid="{00000000-0002-0000-0000-000003000000}">
          <x14:formula1>
            <xm:f>Invulwaarden!$B$8:$B$9</xm:f>
          </x14:formula1>
          <xm:sqref>N12 N79 N67 N69 N77 N7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T67 T72 T77 T82 T57:T62</xm:sqref>
        </x14:dataValidation>
        <x14:dataValidation type="list" allowBlank="1" showInputMessage="1" showErrorMessage="1" xr:uid="{00000000-0002-0000-0000-000005000000}">
          <x14:formula1>
            <xm:f>Invulwaarden!$H$8:$H$20</xm:f>
          </x14:formula1>
          <xm:sqref>N56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N71 N81</xm:sqref>
        </x14:dataValidation>
        <x14:dataValidation type="list" allowBlank="1" showInputMessage="1" showErrorMessage="1" xr:uid="{00000000-0002-0000-0000-000007000000}">
          <x14:formula1>
            <xm:f>Invulwaarden!$J$8:$J$20</xm:f>
          </x14:formula1>
          <xm:sqref>N59</xm:sqref>
        </x14:dataValidation>
        <x14:dataValidation type="list" allowBlank="1" showInputMessage="1" showErrorMessage="1" xr:uid="{00000000-0002-0000-0000-000008000000}">
          <x14:formula1>
            <xm:f>'T:\Hans\0 afgeronde trajecten\2021-4034 MVHerinrichting Boskantseweg\3 aanbestedingsstukken\[Bijlage 6 EMVI-beoordelingsmatrix1.xlsx]Invulwaarden'!#REF!</xm:f>
          </x14:formula1>
          <xm:sqref>T21 T26 T31 T37 T50 T56 T40 T44</xm:sqref>
        </x14:dataValidation>
        <x14:dataValidation type="list" allowBlank="1" showInputMessage="1" showErrorMessage="1" xr:uid="{00000000-0002-0000-0000-000009000000}">
          <x14:formula1>
            <xm:f>Invulwaarden!$L$8:$L$34</xm:f>
          </x14:formula1>
          <xm:sqref>N50</xm:sqref>
        </x14:dataValidation>
        <x14:dataValidation type="list" allowBlank="1" showInputMessage="1" showErrorMessage="1" xr:uid="{00000000-0002-0000-0000-00000A000000}">
          <x14:formula1>
            <xm:f>Invulwaarden!$O$8:$O$9</xm:f>
          </x14:formula1>
          <xm:sqref>N21 N26 N31</xm:sqref>
        </x14:dataValidation>
        <x14:dataValidation type="list" allowBlank="1" showInputMessage="1" showErrorMessage="1" xr:uid="{00000000-0002-0000-0000-00000B000000}">
          <x14:formula1>
            <xm:f>Invulwaarden!$Q$8:$Q$16</xm:f>
          </x14:formula1>
          <xm:sqref>N37 N40 N44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K14" sqref="K14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5" t="str">
        <f>+'EMVI-vragenlijst'!B2</f>
        <v>Bestek 2021-4062</v>
      </c>
      <c r="C2" s="65"/>
      <c r="D2" s="65" t="str">
        <f>+'EMVI-vragenlijst'!E2</f>
        <v>Sint-Oedenrode Zuid, klimaatrobuust</v>
      </c>
    </row>
    <row r="3" spans="2:20" x14ac:dyDescent="0.2">
      <c r="B3" t="s">
        <v>91</v>
      </c>
    </row>
    <row r="5" spans="2:20" x14ac:dyDescent="0.2">
      <c r="B5" t="s">
        <v>61</v>
      </c>
      <c r="C5" s="33" t="s">
        <v>62</v>
      </c>
      <c r="D5" s="190"/>
      <c r="E5" s="190"/>
      <c r="F5" s="190"/>
      <c r="G5" s="190"/>
    </row>
    <row r="6" spans="2:20" x14ac:dyDescent="0.2">
      <c r="B6" t="s">
        <v>63</v>
      </c>
      <c r="C6" s="33" t="s">
        <v>62</v>
      </c>
      <c r="D6" t="s">
        <v>64</v>
      </c>
      <c r="E6" s="137"/>
      <c r="F6" t="s">
        <v>65</v>
      </c>
      <c r="G6" s="137"/>
      <c r="H6" s="34"/>
      <c r="I6" s="34"/>
    </row>
    <row r="7" spans="2:20" x14ac:dyDescent="0.2">
      <c r="B7" t="s">
        <v>66</v>
      </c>
      <c r="D7" s="35">
        <f>+'EMVI-vragenlijst'!O72/100</f>
        <v>0</v>
      </c>
      <c r="K7" t="s">
        <v>67</v>
      </c>
      <c r="N7" s="35">
        <f>+'EMVI-vragenlijst'!O82/100</f>
        <v>0</v>
      </c>
    </row>
    <row r="10" spans="2:20" ht="13.5" thickBot="1" x14ac:dyDescent="0.25"/>
    <row r="11" spans="2:20" ht="13.5" thickBot="1" x14ac:dyDescent="0.25">
      <c r="B11" s="36"/>
      <c r="C11" s="37" t="s">
        <v>64</v>
      </c>
      <c r="D11" s="37" t="s">
        <v>68</v>
      </c>
      <c r="E11" s="37" t="s">
        <v>69</v>
      </c>
      <c r="F11" s="37" t="s">
        <v>70</v>
      </c>
      <c r="G11" s="38" t="s">
        <v>71</v>
      </c>
      <c r="I11" s="39" t="s">
        <v>72</v>
      </c>
      <c r="L11" s="36"/>
      <c r="M11" s="37" t="s">
        <v>64</v>
      </c>
      <c r="N11" s="37" t="s">
        <v>68</v>
      </c>
      <c r="O11" s="37" t="s">
        <v>69</v>
      </c>
      <c r="P11" s="37" t="s">
        <v>70</v>
      </c>
      <c r="Q11" s="38" t="s">
        <v>71</v>
      </c>
      <c r="S11" s="39" t="s">
        <v>72</v>
      </c>
    </row>
    <row r="12" spans="2:20" x14ac:dyDescent="0.2">
      <c r="B12" s="40" t="s">
        <v>73</v>
      </c>
      <c r="C12" s="41" t="str">
        <f>IF(COUNTA(C20:C27)=0,"-",COUNTA(C20:C27))</f>
        <v>-</v>
      </c>
      <c r="D12" s="41" t="str">
        <f>IF(COUNTA(D20:D27)=0,"-",COUNTA(D20:D27))</f>
        <v>-</v>
      </c>
      <c r="E12" s="41" t="str">
        <f>IF(COUNTA(E20:E27)=0,"-",COUNTA(E20:E27))</f>
        <v>-</v>
      </c>
      <c r="F12" s="41" t="str">
        <f>IF(COUNTA(F20:F27)=0,"-",COUNTA(F20:F27))</f>
        <v>-</v>
      </c>
      <c r="G12" s="40" t="str">
        <f>IF(COUNTA(G20:G27)=0,"-",COUNTA(G20:G27))</f>
        <v>-</v>
      </c>
      <c r="I12" s="40">
        <f>SUM(C12:G12)</f>
        <v>0</v>
      </c>
      <c r="L12" s="40" t="s">
        <v>74</v>
      </c>
      <c r="M12" s="41" t="str">
        <f>IF(COUNTA(M20:M27)=0,"-",COUNTA(M20:M27))</f>
        <v>-</v>
      </c>
      <c r="N12" s="41" t="str">
        <f>IF(COUNTA(N20:N27)=0,"-",COUNTA(N20:N27))</f>
        <v>-</v>
      </c>
      <c r="O12" s="41" t="str">
        <f>IF(COUNTA(O20:O27)=0,"-",COUNTA(O20:O27))</f>
        <v>-</v>
      </c>
      <c r="P12" s="41" t="str">
        <f>IF(COUNTA(P20:P27)=0,"-",COUNTA(P20:P27))</f>
        <v>-</v>
      </c>
      <c r="Q12" s="40" t="str">
        <f>IF(COUNTA(Q20:Q27)=0,"-",COUNTA(Q20:Q27))</f>
        <v>-</v>
      </c>
      <c r="S12" s="40">
        <f>SUM(M12:Q12)</f>
        <v>0</v>
      </c>
    </row>
    <row r="13" spans="2:20" x14ac:dyDescent="0.2">
      <c r="B13" s="42" t="s">
        <v>75</v>
      </c>
      <c r="C13" s="43" t="str">
        <f>IF(COUNTA(C29:C40)=0,"-",COUNTA(C29:C40))</f>
        <v>-</v>
      </c>
      <c r="D13" s="44" t="str">
        <f>IF(COUNTA(D29:D40)=0,"-",COUNTA(D29:D40))</f>
        <v>-</v>
      </c>
      <c r="E13" s="44" t="str">
        <f>IF(COUNTA(E29:E40)=0,"-",COUNTA(E29:E40))</f>
        <v>-</v>
      </c>
      <c r="F13" s="44" t="str">
        <f>IF(COUNTA(F29:F40)=0,"-",COUNTA(F29:F40))</f>
        <v>-</v>
      </c>
      <c r="G13" s="42" t="str">
        <f>IF(COUNTA(G29:G40)=0,"-",COUNTA(G29:G40))</f>
        <v>-</v>
      </c>
      <c r="I13" s="42">
        <f t="shared" ref="I13:I14" si="0">SUM(C13:G13)</f>
        <v>0</v>
      </c>
      <c r="L13" s="42" t="s">
        <v>76</v>
      </c>
      <c r="M13" s="43" t="str">
        <f>IF(COUNTA(M29:M40)=0,"-",COUNTA(M29:M40))</f>
        <v>-</v>
      </c>
      <c r="N13" s="44" t="str">
        <f>IF(COUNTA(N29:N40)=0,"-",COUNTA(N29:N40))</f>
        <v>-</v>
      </c>
      <c r="O13" s="44" t="str">
        <f>IF(COUNTA(O29:O40)=0,"-",COUNTA(O29:O40))</f>
        <v>-</v>
      </c>
      <c r="P13" s="44" t="str">
        <f>IF(COUNTA(P29:P40)=0,"-",COUNTA(P29:P40))</f>
        <v>-</v>
      </c>
      <c r="Q13" s="42" t="str">
        <f>IF(COUNTA(Q29:Q40)=0,"-",COUNTA(Q29:Q40))</f>
        <v>-</v>
      </c>
      <c r="S13" s="42">
        <f t="shared" ref="S13:S14" si="1">SUM(M13:Q13)</f>
        <v>0</v>
      </c>
    </row>
    <row r="14" spans="2:20" ht="13.5" thickBot="1" x14ac:dyDescent="0.25">
      <c r="B14" s="45" t="s">
        <v>77</v>
      </c>
      <c r="C14" s="46" t="str">
        <f>IF(COUNTA(C42:C66)=0,"-",COUNTA(C42:C66))</f>
        <v>-</v>
      </c>
      <c r="D14" s="47" t="str">
        <f t="shared" ref="D14:G14" si="2">IF(COUNTA(D42:D66)=0,"-",COUNTA(D42:D66))</f>
        <v>-</v>
      </c>
      <c r="E14" s="47" t="str">
        <f t="shared" si="2"/>
        <v>-</v>
      </c>
      <c r="F14" s="47" t="str">
        <f t="shared" si="2"/>
        <v>-</v>
      </c>
      <c r="G14" s="45" t="str">
        <f t="shared" si="2"/>
        <v>-</v>
      </c>
      <c r="I14" s="45">
        <f t="shared" si="0"/>
        <v>0</v>
      </c>
      <c r="L14" s="45" t="s">
        <v>78</v>
      </c>
      <c r="M14" s="46" t="str">
        <f>IF(COUNTA(M42:M66)=0,"-",COUNTA(M42:M66))</f>
        <v>-</v>
      </c>
      <c r="N14" s="47" t="str">
        <f t="shared" ref="N14:Q14" si="3">IF(COUNTA(N42:N66)=0,"-",COUNTA(N42:N66))</f>
        <v>-</v>
      </c>
      <c r="O14" s="47" t="str">
        <f t="shared" si="3"/>
        <v>-</v>
      </c>
      <c r="P14" s="47" t="str">
        <f t="shared" si="3"/>
        <v>-</v>
      </c>
      <c r="Q14" s="45" t="str">
        <f t="shared" si="3"/>
        <v>-</v>
      </c>
      <c r="S14" s="45">
        <f t="shared" si="1"/>
        <v>0</v>
      </c>
    </row>
    <row r="15" spans="2:20" x14ac:dyDescent="0.2">
      <c r="B15" s="48"/>
      <c r="C15" s="49"/>
      <c r="D15" s="50"/>
      <c r="E15" s="50"/>
      <c r="F15" s="50"/>
      <c r="G15" s="51"/>
      <c r="I15" s="52"/>
      <c r="L15" s="48"/>
      <c r="M15" s="49"/>
      <c r="N15" s="50"/>
      <c r="O15" s="50"/>
      <c r="P15" s="50"/>
      <c r="Q15" s="51"/>
      <c r="S15" s="52"/>
    </row>
    <row r="16" spans="2:20" ht="13.5" thickBot="1" x14ac:dyDescent="0.25">
      <c r="B16" s="53" t="s">
        <v>79</v>
      </c>
      <c r="C16" s="54">
        <f t="shared" ref="C16" si="4">IF(C14="-",0,IF(SUM(C12:C14)=0,"-",+C14/SUM(C12:C14)))</f>
        <v>0</v>
      </c>
      <c r="D16" s="55">
        <f>IF(D14="-",0,IF(SUM(D12:D14)=0,"-",+D14/SUM(D12:D14)))</f>
        <v>0</v>
      </c>
      <c r="E16" s="55">
        <f t="shared" ref="E16:G16" si="5">IF(E14="-",0,IF(SUM(E12:E14)=0,"-",+E14/SUM(E12:E14)))</f>
        <v>0</v>
      </c>
      <c r="F16" s="55">
        <f t="shared" si="5"/>
        <v>0</v>
      </c>
      <c r="G16" s="56">
        <f t="shared" si="5"/>
        <v>0</v>
      </c>
      <c r="I16" s="57" t="str">
        <f t="shared" ref="I16" si="6">IF(SUM(I12:I14)=0,"-",+I14/SUM(I12:I14))</f>
        <v>-</v>
      </c>
      <c r="J16" t="str">
        <f>IF(I16&lt;D7,"voldoet niet","voldoet")</f>
        <v>voldoet</v>
      </c>
      <c r="L16" s="53" t="s">
        <v>79</v>
      </c>
      <c r="M16" s="54">
        <f t="shared" ref="M16" si="7">IF(M14="-",0,IF(SUM(M12:M14)=0,"-",+M14/SUM(M12:M14)))</f>
        <v>0</v>
      </c>
      <c r="N16" s="55">
        <f>IF(N14="-",0,IF(SUM(N12:N14)=0,"-",+N14/SUM(N12:N14)))</f>
        <v>0</v>
      </c>
      <c r="O16" s="55">
        <f t="shared" ref="O16:Q16" si="8">IF(O14="-",0,IF(SUM(O12:O14)=0,"-",+O14/SUM(O12:O14)))</f>
        <v>0</v>
      </c>
      <c r="P16" s="55">
        <f t="shared" si="8"/>
        <v>0</v>
      </c>
      <c r="Q16" s="56">
        <f t="shared" si="8"/>
        <v>0</v>
      </c>
      <c r="S16" s="57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80</v>
      </c>
      <c r="M19" t="s">
        <v>81</v>
      </c>
    </row>
    <row r="20" spans="1:23" x14ac:dyDescent="0.2">
      <c r="A20" t="s">
        <v>82</v>
      </c>
      <c r="B20" t="s">
        <v>83</v>
      </c>
      <c r="C20" s="58"/>
      <c r="D20" s="58"/>
      <c r="E20" s="58"/>
      <c r="F20" s="58"/>
      <c r="G20" s="58"/>
      <c r="K20" t="s">
        <v>84</v>
      </c>
      <c r="M20" s="58"/>
      <c r="N20" s="58"/>
      <c r="O20" s="58"/>
      <c r="P20" s="58"/>
      <c r="Q20" s="58"/>
      <c r="T20" s="189" t="s">
        <v>92</v>
      </c>
      <c r="U20" s="189"/>
      <c r="V20" s="189"/>
      <c r="W20" s="189"/>
    </row>
    <row r="21" spans="1:23" x14ac:dyDescent="0.2">
      <c r="C21" s="58"/>
      <c r="D21" s="58"/>
      <c r="E21" s="58"/>
      <c r="F21" s="58"/>
      <c r="G21" s="58"/>
      <c r="M21" s="58"/>
      <c r="N21" s="58"/>
      <c r="O21" s="58"/>
      <c r="P21" s="58"/>
      <c r="Q21" s="58"/>
      <c r="T21" s="189"/>
      <c r="U21" s="189"/>
      <c r="V21" s="189"/>
      <c r="W21" s="189"/>
    </row>
    <row r="22" spans="1:23" x14ac:dyDescent="0.2">
      <c r="C22" s="58"/>
      <c r="D22" s="58"/>
      <c r="E22" s="58"/>
      <c r="F22" s="58"/>
      <c r="G22" s="58"/>
      <c r="M22" s="58"/>
      <c r="N22" s="58"/>
      <c r="O22" s="58"/>
      <c r="P22" s="58"/>
      <c r="Q22" s="58"/>
      <c r="T22" s="189"/>
      <c r="U22" s="189"/>
      <c r="V22" s="189"/>
      <c r="W22" s="189"/>
    </row>
    <row r="23" spans="1:23" x14ac:dyDescent="0.2">
      <c r="C23" s="58"/>
      <c r="D23" s="58"/>
      <c r="E23" s="58"/>
      <c r="F23" s="58"/>
      <c r="G23" s="58"/>
      <c r="M23" s="58"/>
      <c r="N23" s="58"/>
      <c r="O23" s="58"/>
      <c r="P23" s="58"/>
      <c r="Q23" s="58"/>
      <c r="T23" s="189"/>
      <c r="U23" s="189"/>
      <c r="V23" s="189"/>
      <c r="W23" s="189"/>
    </row>
    <row r="24" spans="1:23" x14ac:dyDescent="0.2">
      <c r="C24" s="58"/>
      <c r="D24" s="58"/>
      <c r="E24" s="58"/>
      <c r="F24" s="58"/>
      <c r="G24" s="58"/>
      <c r="M24" s="58"/>
      <c r="N24" s="58"/>
      <c r="O24" s="58"/>
      <c r="P24" s="58"/>
      <c r="Q24" s="58"/>
      <c r="T24" s="189"/>
      <c r="U24" s="189"/>
      <c r="V24" s="189"/>
      <c r="W24" s="189"/>
    </row>
    <row r="25" spans="1:23" x14ac:dyDescent="0.2">
      <c r="C25" s="58"/>
      <c r="D25" s="58"/>
      <c r="E25" s="58"/>
      <c r="F25" s="58"/>
      <c r="G25" s="58"/>
      <c r="M25" s="58"/>
      <c r="N25" s="58"/>
      <c r="O25" s="58"/>
      <c r="P25" s="58"/>
      <c r="Q25" s="58"/>
      <c r="T25" s="189"/>
      <c r="U25" s="189"/>
      <c r="V25" s="189"/>
      <c r="W25" s="189"/>
    </row>
    <row r="26" spans="1:23" x14ac:dyDescent="0.2">
      <c r="C26" s="58"/>
      <c r="D26" s="58"/>
      <c r="E26" s="58"/>
      <c r="F26" s="58"/>
      <c r="G26" s="58"/>
      <c r="M26" s="58"/>
      <c r="N26" s="58"/>
      <c r="O26" s="58"/>
      <c r="P26" s="58"/>
      <c r="Q26" s="58"/>
      <c r="T26" s="189"/>
      <c r="U26" s="189"/>
      <c r="V26" s="189"/>
      <c r="W26" s="189"/>
    </row>
    <row r="27" spans="1:23" x14ac:dyDescent="0.2">
      <c r="A27" t="s">
        <v>85</v>
      </c>
      <c r="C27" s="58"/>
      <c r="D27" s="58"/>
      <c r="E27" s="58"/>
      <c r="F27" s="58"/>
      <c r="G27" s="58"/>
      <c r="M27" s="58"/>
      <c r="N27" s="58"/>
      <c r="O27" s="58"/>
      <c r="P27" s="58"/>
      <c r="Q27" s="58"/>
      <c r="T27" t="s">
        <v>90</v>
      </c>
    </row>
    <row r="29" spans="1:23" x14ac:dyDescent="0.2">
      <c r="A29" t="s">
        <v>86</v>
      </c>
      <c r="C29" s="58"/>
      <c r="D29" s="58"/>
      <c r="E29" s="58"/>
      <c r="F29" s="58"/>
      <c r="G29" s="58"/>
      <c r="K29" t="s">
        <v>87</v>
      </c>
      <c r="M29" s="58"/>
      <c r="N29" s="58"/>
      <c r="O29" s="58"/>
      <c r="P29" s="58"/>
      <c r="Q29" s="58"/>
      <c r="T29" s="189" t="s">
        <v>93</v>
      </c>
      <c r="U29" s="189"/>
      <c r="V29" s="189"/>
      <c r="W29" s="189"/>
    </row>
    <row r="30" spans="1:23" x14ac:dyDescent="0.2">
      <c r="C30" s="58"/>
      <c r="D30" s="58"/>
      <c r="E30" s="58"/>
      <c r="F30" s="58"/>
      <c r="G30" s="58"/>
      <c r="M30" s="58"/>
      <c r="N30" s="58"/>
      <c r="O30" s="58"/>
      <c r="P30" s="58"/>
      <c r="Q30" s="58"/>
      <c r="T30" s="189"/>
      <c r="U30" s="189"/>
      <c r="V30" s="189"/>
      <c r="W30" s="189"/>
    </row>
    <row r="31" spans="1:23" x14ac:dyDescent="0.2">
      <c r="C31" s="58"/>
      <c r="D31" s="58"/>
      <c r="E31" s="58"/>
      <c r="F31" s="58"/>
      <c r="G31" s="58"/>
      <c r="M31" s="58"/>
      <c r="N31" s="58"/>
      <c r="O31" s="58"/>
      <c r="P31" s="58"/>
      <c r="Q31" s="58"/>
      <c r="T31" s="189"/>
      <c r="U31" s="189"/>
      <c r="V31" s="189"/>
      <c r="W31" s="189"/>
    </row>
    <row r="32" spans="1:23" x14ac:dyDescent="0.2">
      <c r="C32" s="58"/>
      <c r="D32" s="58"/>
      <c r="E32" s="58"/>
      <c r="F32" s="58"/>
      <c r="G32" s="58"/>
      <c r="M32" s="58"/>
      <c r="N32" s="58"/>
      <c r="O32" s="58"/>
      <c r="P32" s="58"/>
      <c r="Q32" s="58"/>
      <c r="T32" s="189"/>
      <c r="U32" s="189"/>
      <c r="V32" s="189"/>
      <c r="W32" s="189"/>
    </row>
    <row r="33" spans="1:23" x14ac:dyDescent="0.2">
      <c r="C33" s="58"/>
      <c r="D33" s="58"/>
      <c r="E33" s="58"/>
      <c r="F33" s="58"/>
      <c r="G33" s="58"/>
      <c r="M33" s="58"/>
      <c r="N33" s="58"/>
      <c r="O33" s="58"/>
      <c r="P33" s="58"/>
      <c r="Q33" s="58"/>
      <c r="T33" s="189"/>
      <c r="U33" s="189"/>
      <c r="V33" s="189"/>
      <c r="W33" s="189"/>
    </row>
    <row r="34" spans="1:23" x14ac:dyDescent="0.2">
      <c r="C34" s="58"/>
      <c r="D34" s="58"/>
      <c r="E34" s="58"/>
      <c r="F34" s="58"/>
      <c r="G34" s="58"/>
      <c r="M34" s="58"/>
      <c r="N34" s="58"/>
      <c r="O34" s="58"/>
      <c r="P34" s="58"/>
      <c r="Q34" s="58"/>
      <c r="T34" s="189"/>
      <c r="U34" s="189"/>
      <c r="V34" s="189"/>
      <c r="W34" s="189"/>
    </row>
    <row r="35" spans="1:23" x14ac:dyDescent="0.2">
      <c r="C35" s="58"/>
      <c r="D35" s="58"/>
      <c r="E35" s="58"/>
      <c r="F35" s="58"/>
      <c r="G35" s="58"/>
      <c r="M35" s="58"/>
      <c r="N35" s="58"/>
      <c r="O35" s="58"/>
      <c r="P35" s="58"/>
      <c r="Q35" s="58"/>
      <c r="T35" s="189"/>
      <c r="U35" s="189"/>
      <c r="V35" s="189"/>
      <c r="W35" s="189"/>
    </row>
    <row r="36" spans="1:23" x14ac:dyDescent="0.2">
      <c r="C36" s="58"/>
      <c r="D36" s="58"/>
      <c r="E36" s="58"/>
      <c r="F36" s="58"/>
      <c r="G36" s="58"/>
      <c r="M36" s="58"/>
      <c r="N36" s="58"/>
      <c r="O36" s="58"/>
      <c r="P36" s="58"/>
      <c r="Q36" s="58"/>
    </row>
    <row r="37" spans="1:23" x14ac:dyDescent="0.2">
      <c r="C37" s="58"/>
      <c r="D37" s="58"/>
      <c r="E37" s="58"/>
      <c r="F37" s="58"/>
      <c r="G37" s="58"/>
      <c r="M37" s="58"/>
      <c r="N37" s="58"/>
      <c r="O37" s="58"/>
      <c r="P37" s="58"/>
      <c r="Q37" s="58"/>
    </row>
    <row r="38" spans="1:23" x14ac:dyDescent="0.2">
      <c r="C38" s="58"/>
      <c r="D38" s="58"/>
      <c r="E38" s="58"/>
      <c r="F38" s="58"/>
      <c r="G38" s="58"/>
      <c r="M38" s="58"/>
      <c r="N38" s="58"/>
      <c r="O38" s="58"/>
      <c r="P38" s="58"/>
      <c r="Q38" s="58"/>
    </row>
    <row r="39" spans="1:23" x14ac:dyDescent="0.2">
      <c r="C39" s="58"/>
      <c r="D39" s="58"/>
      <c r="E39" s="58"/>
      <c r="F39" s="58"/>
      <c r="G39" s="58"/>
      <c r="M39" s="58"/>
      <c r="N39" s="58"/>
      <c r="O39" s="58"/>
      <c r="P39" s="58"/>
      <c r="Q39" s="58"/>
    </row>
    <row r="40" spans="1:23" x14ac:dyDescent="0.2">
      <c r="A40" t="s">
        <v>85</v>
      </c>
      <c r="C40" s="58"/>
      <c r="D40" s="58"/>
      <c r="E40" s="58"/>
      <c r="F40" s="58"/>
      <c r="G40" s="58"/>
      <c r="M40" s="58"/>
      <c r="N40" s="58"/>
      <c r="O40" s="58"/>
      <c r="P40" s="58"/>
      <c r="Q40" s="58"/>
      <c r="T40" t="s">
        <v>90</v>
      </c>
    </row>
    <row r="42" spans="1:23" x14ac:dyDescent="0.2">
      <c r="A42" t="s">
        <v>88</v>
      </c>
      <c r="C42" s="58"/>
      <c r="D42" s="58"/>
      <c r="E42" s="58"/>
      <c r="F42" s="58"/>
      <c r="G42" s="58"/>
      <c r="K42" t="s">
        <v>89</v>
      </c>
      <c r="M42" s="58"/>
      <c r="N42" s="58"/>
      <c r="O42" s="58"/>
      <c r="P42" s="58"/>
      <c r="Q42" s="58"/>
      <c r="T42" s="189" t="s">
        <v>94</v>
      </c>
      <c r="U42" s="189"/>
      <c r="V42" s="189"/>
      <c r="W42" s="189"/>
    </row>
    <row r="43" spans="1:23" x14ac:dyDescent="0.2">
      <c r="C43" s="58"/>
      <c r="D43" s="58"/>
      <c r="E43" s="58"/>
      <c r="F43" s="58"/>
      <c r="G43" s="58"/>
      <c r="M43" s="58"/>
      <c r="N43" s="58"/>
      <c r="O43" s="58"/>
      <c r="P43" s="58"/>
      <c r="Q43" s="58"/>
      <c r="T43" s="189"/>
      <c r="U43" s="189"/>
      <c r="V43" s="189"/>
      <c r="W43" s="189"/>
    </row>
    <row r="44" spans="1:23" x14ac:dyDescent="0.2">
      <c r="C44" s="58"/>
      <c r="D44" s="58"/>
      <c r="E44" s="58"/>
      <c r="F44" s="58"/>
      <c r="G44" s="58"/>
      <c r="M44" s="58"/>
      <c r="N44" s="58"/>
      <c r="O44" s="58"/>
      <c r="P44" s="58"/>
      <c r="Q44" s="58"/>
      <c r="T44" s="189"/>
      <c r="U44" s="189"/>
      <c r="V44" s="189"/>
      <c r="W44" s="189"/>
    </row>
    <row r="45" spans="1:23" x14ac:dyDescent="0.2">
      <c r="C45" s="58"/>
      <c r="D45" s="58"/>
      <c r="E45" s="58"/>
      <c r="F45" s="58"/>
      <c r="G45" s="58"/>
      <c r="M45" s="58"/>
      <c r="N45" s="58"/>
      <c r="O45" s="58"/>
      <c r="P45" s="58"/>
      <c r="Q45" s="58"/>
      <c r="T45" s="189"/>
      <c r="U45" s="189"/>
      <c r="V45" s="189"/>
      <c r="W45" s="189"/>
    </row>
    <row r="46" spans="1:23" x14ac:dyDescent="0.2">
      <c r="C46" s="58"/>
      <c r="D46" s="58"/>
      <c r="E46" s="58"/>
      <c r="F46" s="58"/>
      <c r="G46" s="58"/>
      <c r="M46" s="58"/>
      <c r="N46" s="58"/>
      <c r="O46" s="58"/>
      <c r="P46" s="58"/>
      <c r="Q46" s="58"/>
      <c r="T46" s="189"/>
      <c r="U46" s="189"/>
      <c r="V46" s="189"/>
      <c r="W46" s="189"/>
    </row>
    <row r="47" spans="1:23" x14ac:dyDescent="0.2">
      <c r="C47" s="58"/>
      <c r="D47" s="58"/>
      <c r="E47" s="58"/>
      <c r="F47" s="58"/>
      <c r="G47" s="58"/>
      <c r="M47" s="58"/>
      <c r="N47" s="58"/>
      <c r="O47" s="58"/>
      <c r="P47" s="58"/>
      <c r="Q47" s="58"/>
      <c r="T47" s="189"/>
      <c r="U47" s="189"/>
      <c r="V47" s="189"/>
      <c r="W47" s="189"/>
    </row>
    <row r="48" spans="1:23" x14ac:dyDescent="0.2">
      <c r="C48" s="58"/>
      <c r="D48" s="58"/>
      <c r="E48" s="58"/>
      <c r="F48" s="58"/>
      <c r="G48" s="58"/>
      <c r="M48" s="58"/>
      <c r="N48" s="58"/>
      <c r="O48" s="58"/>
      <c r="P48" s="58"/>
      <c r="Q48" s="58"/>
      <c r="T48" s="189"/>
      <c r="U48" s="189"/>
      <c r="V48" s="189"/>
      <c r="W48" s="189"/>
    </row>
    <row r="49" spans="3:17" x14ac:dyDescent="0.2">
      <c r="C49" s="58"/>
      <c r="D49" s="58"/>
      <c r="E49" s="58"/>
      <c r="F49" s="58"/>
      <c r="G49" s="58"/>
      <c r="M49" s="58"/>
      <c r="N49" s="58"/>
      <c r="O49" s="58"/>
      <c r="P49" s="58"/>
      <c r="Q49" s="58"/>
    </row>
    <row r="50" spans="3:17" x14ac:dyDescent="0.2">
      <c r="C50" s="58"/>
      <c r="D50" s="58"/>
      <c r="E50" s="58"/>
      <c r="F50" s="58"/>
      <c r="G50" s="58"/>
      <c r="M50" s="58"/>
      <c r="N50" s="58"/>
      <c r="O50" s="58"/>
      <c r="P50" s="58"/>
      <c r="Q50" s="58"/>
    </row>
    <row r="51" spans="3:17" x14ac:dyDescent="0.2">
      <c r="C51" s="58"/>
      <c r="D51" s="58"/>
      <c r="E51" s="58"/>
      <c r="F51" s="58"/>
      <c r="G51" s="58"/>
      <c r="M51" s="58"/>
      <c r="N51" s="58"/>
      <c r="O51" s="58"/>
      <c r="P51" s="58"/>
      <c r="Q51" s="58"/>
    </row>
    <row r="52" spans="3:17" x14ac:dyDescent="0.2">
      <c r="C52" s="58"/>
      <c r="D52" s="58"/>
      <c r="E52" s="58"/>
      <c r="F52" s="58"/>
      <c r="G52" s="58"/>
      <c r="M52" s="58"/>
      <c r="N52" s="58"/>
      <c r="O52" s="58"/>
      <c r="P52" s="58"/>
      <c r="Q52" s="58"/>
    </row>
    <row r="53" spans="3:17" x14ac:dyDescent="0.2">
      <c r="C53" s="58"/>
      <c r="D53" s="58"/>
      <c r="E53" s="58"/>
      <c r="F53" s="58"/>
      <c r="G53" s="58"/>
      <c r="M53" s="58"/>
      <c r="N53" s="58"/>
      <c r="O53" s="58"/>
      <c r="P53" s="58"/>
      <c r="Q53" s="58"/>
    </row>
    <row r="54" spans="3:17" x14ac:dyDescent="0.2">
      <c r="C54" s="58"/>
      <c r="D54" s="58"/>
      <c r="E54" s="58"/>
      <c r="F54" s="58"/>
      <c r="G54" s="58"/>
      <c r="M54" s="58"/>
      <c r="N54" s="58"/>
      <c r="O54" s="58"/>
      <c r="P54" s="58"/>
      <c r="Q54" s="58"/>
    </row>
    <row r="55" spans="3:17" x14ac:dyDescent="0.2">
      <c r="C55" s="58"/>
      <c r="D55" s="58"/>
      <c r="E55" s="58"/>
      <c r="F55" s="58"/>
      <c r="G55" s="58"/>
      <c r="M55" s="58"/>
      <c r="N55" s="58"/>
      <c r="O55" s="58"/>
      <c r="P55" s="58"/>
      <c r="Q55" s="58"/>
    </row>
    <row r="56" spans="3:17" x14ac:dyDescent="0.2">
      <c r="C56" s="58"/>
      <c r="D56" s="58"/>
      <c r="E56" s="58"/>
      <c r="F56" s="58"/>
      <c r="G56" s="58"/>
      <c r="M56" s="58"/>
      <c r="N56" s="58"/>
      <c r="O56" s="58"/>
      <c r="P56" s="58"/>
      <c r="Q56" s="58"/>
    </row>
    <row r="57" spans="3:17" x14ac:dyDescent="0.2">
      <c r="C57" s="58"/>
      <c r="D57" s="58"/>
      <c r="E57" s="58"/>
      <c r="F57" s="58"/>
      <c r="G57" s="58"/>
      <c r="M57" s="58"/>
      <c r="N57" s="58"/>
      <c r="O57" s="58"/>
      <c r="P57" s="58"/>
      <c r="Q57" s="58"/>
    </row>
    <row r="58" spans="3:17" x14ac:dyDescent="0.2">
      <c r="C58" s="58"/>
      <c r="D58" s="58"/>
      <c r="E58" s="58"/>
      <c r="F58" s="58"/>
      <c r="G58" s="58"/>
      <c r="M58" s="58"/>
      <c r="N58" s="58"/>
      <c r="O58" s="58"/>
      <c r="P58" s="58"/>
      <c r="Q58" s="58"/>
    </row>
    <row r="59" spans="3:17" x14ac:dyDescent="0.2">
      <c r="C59" s="58"/>
      <c r="D59" s="58"/>
      <c r="E59" s="58"/>
      <c r="F59" s="58"/>
      <c r="G59" s="58"/>
      <c r="M59" s="58"/>
      <c r="N59" s="58"/>
      <c r="O59" s="58"/>
      <c r="P59" s="58"/>
      <c r="Q59" s="58"/>
    </row>
    <row r="60" spans="3:17" x14ac:dyDescent="0.2">
      <c r="C60" s="58"/>
      <c r="D60" s="58"/>
      <c r="E60" s="58"/>
      <c r="F60" s="58"/>
      <c r="G60" s="58"/>
      <c r="M60" s="58"/>
      <c r="N60" s="58"/>
      <c r="O60" s="58"/>
      <c r="P60" s="58"/>
      <c r="Q60" s="58"/>
    </row>
    <row r="61" spans="3:17" x14ac:dyDescent="0.2">
      <c r="C61" s="58"/>
      <c r="D61" s="58"/>
      <c r="E61" s="58"/>
      <c r="F61" s="58"/>
      <c r="G61" s="58"/>
      <c r="M61" s="58"/>
      <c r="N61" s="58"/>
      <c r="O61" s="58"/>
      <c r="P61" s="58"/>
      <c r="Q61" s="58"/>
    </row>
    <row r="62" spans="3:17" x14ac:dyDescent="0.2">
      <c r="C62" s="58"/>
      <c r="D62" s="58"/>
      <c r="E62" s="58"/>
      <c r="F62" s="58"/>
      <c r="G62" s="58"/>
      <c r="M62" s="58"/>
      <c r="N62" s="58"/>
      <c r="O62" s="58"/>
      <c r="P62" s="58"/>
      <c r="Q62" s="58"/>
    </row>
    <row r="63" spans="3:17" x14ac:dyDescent="0.2">
      <c r="C63" s="58"/>
      <c r="D63" s="58"/>
      <c r="E63" s="58"/>
      <c r="F63" s="58"/>
      <c r="G63" s="58"/>
      <c r="M63" s="58"/>
      <c r="N63" s="58"/>
      <c r="O63" s="58"/>
      <c r="P63" s="58"/>
      <c r="Q63" s="58"/>
    </row>
    <row r="64" spans="3:17" x14ac:dyDescent="0.2">
      <c r="C64" s="58"/>
      <c r="D64" s="58"/>
      <c r="E64" s="58"/>
      <c r="F64" s="58"/>
      <c r="G64" s="58"/>
      <c r="M64" s="58"/>
      <c r="N64" s="58"/>
      <c r="O64" s="58"/>
      <c r="P64" s="58"/>
      <c r="Q64" s="58"/>
    </row>
    <row r="65" spans="1:20" x14ac:dyDescent="0.2">
      <c r="C65" s="58"/>
      <c r="D65" s="58"/>
      <c r="E65" s="58"/>
      <c r="F65" s="58"/>
      <c r="G65" s="58"/>
      <c r="M65" s="58"/>
      <c r="N65" s="58"/>
      <c r="O65" s="58"/>
      <c r="P65" s="58"/>
      <c r="Q65" s="58"/>
    </row>
    <row r="66" spans="1:20" x14ac:dyDescent="0.2">
      <c r="A66" t="s">
        <v>85</v>
      </c>
      <c r="C66" s="58"/>
      <c r="D66" s="58"/>
      <c r="E66" s="58"/>
      <c r="F66" s="58"/>
      <c r="G66" s="58"/>
      <c r="M66" s="58"/>
      <c r="N66" s="58"/>
      <c r="O66" s="58"/>
      <c r="P66" s="58"/>
      <c r="Q66" s="58"/>
      <c r="T66" t="s">
        <v>90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43"/>
  <sheetViews>
    <sheetView workbookViewId="0">
      <selection activeCell="G33" sqref="G33:H33"/>
    </sheetView>
  </sheetViews>
  <sheetFormatPr defaultRowHeight="12.75" x14ac:dyDescent="0.2"/>
  <cols>
    <col min="12" max="12" width="10.140625" bestFit="1" customWidth="1"/>
    <col min="13" max="13" width="23.140625" customWidth="1"/>
  </cols>
  <sheetData>
    <row r="2" spans="2:17" ht="13.5" customHeight="1" x14ac:dyDescent="0.2">
      <c r="B2" t="s">
        <v>5</v>
      </c>
      <c r="D2" t="s">
        <v>23</v>
      </c>
      <c r="F2" t="s">
        <v>39</v>
      </c>
      <c r="H2" t="s">
        <v>52</v>
      </c>
      <c r="J2" t="s">
        <v>52</v>
      </c>
      <c r="O2" t="s">
        <v>138</v>
      </c>
      <c r="Q2" t="s">
        <v>144</v>
      </c>
    </row>
    <row r="3" spans="2:17" ht="13.5" customHeight="1" x14ac:dyDescent="0.2">
      <c r="H3" t="s">
        <v>101</v>
      </c>
      <c r="J3" t="s">
        <v>102</v>
      </c>
      <c r="L3" t="s">
        <v>135</v>
      </c>
    </row>
    <row r="4" spans="2:17" ht="13.5" customHeight="1" x14ac:dyDescent="0.2">
      <c r="E4" t="s">
        <v>40</v>
      </c>
      <c r="F4">
        <f>+'EMVI-vragenlijst'!J71</f>
        <v>0</v>
      </c>
      <c r="H4">
        <f>+'EMVI-vragenlijst'!J56</f>
        <v>100</v>
      </c>
      <c r="J4">
        <f>+'EMVI-vragenlijst'!J59</f>
        <v>100</v>
      </c>
      <c r="L4" s="147">
        <f>+'EMVI-vragenlijst'!J50</f>
        <v>44869</v>
      </c>
      <c r="Q4" s="155">
        <f>+'EMVI-vragenlijst'!J37</f>
        <v>80</v>
      </c>
    </row>
    <row r="5" spans="2:17" ht="13.5" customHeight="1" x14ac:dyDescent="0.2">
      <c r="E5" t="s">
        <v>41</v>
      </c>
      <c r="F5">
        <v>100</v>
      </c>
      <c r="H5">
        <f>+'EMVI-vragenlijst'!L56</f>
        <v>103</v>
      </c>
      <c r="J5">
        <f>+'EMVI-vragenlijst'!L59</f>
        <v>103</v>
      </c>
      <c r="L5" s="147">
        <f>+'EMVI-vragenlijst'!L50</f>
        <v>44895</v>
      </c>
      <c r="Q5">
        <f>+'EMVI-vragenlijst'!L37</f>
        <v>100</v>
      </c>
    </row>
    <row r="6" spans="2:17" ht="13.5" customHeight="1" x14ac:dyDescent="0.2">
      <c r="E6" t="s">
        <v>42</v>
      </c>
      <c r="F6">
        <f>+'EMVI-vragenlijst'!J72</f>
        <v>25</v>
      </c>
      <c r="H6">
        <v>0.25</v>
      </c>
      <c r="J6" s="138">
        <f>+'EMVI-vragenlijst'!J60</f>
        <v>0.25</v>
      </c>
      <c r="L6" s="1">
        <f>+'[1]EMVI-vragenlijst'!F49</f>
        <v>0</v>
      </c>
      <c r="Q6">
        <f>+'EMVI-vragenlijst'!J38</f>
        <v>2.5</v>
      </c>
    </row>
    <row r="7" spans="2:17" ht="13.5" customHeight="1" x14ac:dyDescent="0.2"/>
    <row r="8" spans="2:17" x14ac:dyDescent="0.2">
      <c r="B8" t="s">
        <v>6</v>
      </c>
      <c r="D8" s="1">
        <v>1</v>
      </c>
      <c r="F8">
        <f>+F4</f>
        <v>0</v>
      </c>
      <c r="H8" s="30">
        <f>+H4</f>
        <v>100</v>
      </c>
      <c r="J8" s="30">
        <f>+J4</f>
        <v>100</v>
      </c>
      <c r="L8" s="147">
        <f>+L4</f>
        <v>44869</v>
      </c>
      <c r="M8" s="148" t="s">
        <v>71</v>
      </c>
      <c r="O8">
        <v>1</v>
      </c>
      <c r="Q8" s="30">
        <f>+Q4</f>
        <v>80</v>
      </c>
    </row>
    <row r="9" spans="2:17" x14ac:dyDescent="0.2">
      <c r="B9" t="s">
        <v>7</v>
      </c>
      <c r="D9" s="1">
        <v>1.2</v>
      </c>
      <c r="F9">
        <f>IF(+F8+$F$6&gt;$F$5,$F$5,+F8+$F$6)</f>
        <v>25</v>
      </c>
      <c r="H9" s="30">
        <f>IF(+H8+$H$6&gt;$H$5,$H$5,+H8+$H$6)</f>
        <v>100.25</v>
      </c>
      <c r="J9" s="30">
        <f>IF(+J8+$J$6&gt;$J$5,$J$5,+J8+$J$6)</f>
        <v>100.25</v>
      </c>
      <c r="L9" s="147">
        <f>IF(+L8+1&lt;=$L$5,L8+1,$L$5)</f>
        <v>44870</v>
      </c>
      <c r="M9" s="148" t="s">
        <v>136</v>
      </c>
      <c r="O9">
        <v>2</v>
      </c>
      <c r="Q9" s="30">
        <f>IF(+Q8+$Q$6&gt;$Q$5,$Q$5,+Q8+$Q$6)</f>
        <v>82.5</v>
      </c>
    </row>
    <row r="10" spans="2:17" x14ac:dyDescent="0.2">
      <c r="D10" s="1">
        <v>1.4</v>
      </c>
      <c r="F10">
        <f>IF(+F9+$F$6&gt;$F$5,$F$5,+F9+$F$6)</f>
        <v>50</v>
      </c>
      <c r="H10" s="30">
        <f t="shared" ref="H10:H20" si="0">IF(+H9+$H$6&gt;$H$5,$H$5,+H9+$H$6)</f>
        <v>100.5</v>
      </c>
      <c r="J10" s="30">
        <f t="shared" ref="J10:J20" si="1">IF(+J9+$J$6&gt;$J$5,$J$5,+J9+$J$6)</f>
        <v>100.5</v>
      </c>
      <c r="L10" s="147">
        <f t="shared" ref="L10:L34" si="2">IF(+L9+1&lt;=$L$5,L9+1,$L$5)</f>
        <v>44871</v>
      </c>
      <c r="M10" s="148" t="s">
        <v>137</v>
      </c>
      <c r="Q10" s="30">
        <f t="shared" ref="Q10:Q20" si="3">IF(+Q9+$Q$6&gt;$Q$5,$Q$5,+Q9+$Q$6)</f>
        <v>85</v>
      </c>
    </row>
    <row r="11" spans="2:17" x14ac:dyDescent="0.2">
      <c r="D11" s="1">
        <v>1.6</v>
      </c>
      <c r="F11">
        <f t="shared" ref="F11:F27" si="4">IF(+F10+$F$6&gt;$F$5,$F$5,+F10+$F$6)</f>
        <v>75</v>
      </c>
      <c r="H11" s="30">
        <f t="shared" si="0"/>
        <v>100.75</v>
      </c>
      <c r="J11" s="30">
        <f t="shared" si="1"/>
        <v>100.75</v>
      </c>
      <c r="L11" s="147">
        <f t="shared" si="2"/>
        <v>44872</v>
      </c>
      <c r="M11" s="148" t="s">
        <v>64</v>
      </c>
      <c r="Q11" s="30">
        <f t="shared" si="3"/>
        <v>87.5</v>
      </c>
    </row>
    <row r="12" spans="2:17" x14ac:dyDescent="0.2">
      <c r="D12" s="1">
        <v>1.8</v>
      </c>
      <c r="F12">
        <f t="shared" si="4"/>
        <v>100</v>
      </c>
      <c r="H12" s="30">
        <f t="shared" si="0"/>
        <v>101</v>
      </c>
      <c r="J12" s="30">
        <f t="shared" si="1"/>
        <v>101</v>
      </c>
      <c r="L12" s="147">
        <f t="shared" si="2"/>
        <v>44873</v>
      </c>
      <c r="M12" s="148" t="s">
        <v>68</v>
      </c>
      <c r="Q12" s="30">
        <f t="shared" si="3"/>
        <v>90</v>
      </c>
    </row>
    <row r="13" spans="2:17" x14ac:dyDescent="0.2">
      <c r="D13" s="1">
        <v>2</v>
      </c>
      <c r="F13">
        <f t="shared" si="4"/>
        <v>100</v>
      </c>
      <c r="H13" s="30">
        <f t="shared" si="0"/>
        <v>101.25</v>
      </c>
      <c r="J13" s="30">
        <f t="shared" si="1"/>
        <v>101.25</v>
      </c>
      <c r="L13" s="147">
        <f t="shared" si="2"/>
        <v>44874</v>
      </c>
      <c r="M13" s="148" t="s">
        <v>69</v>
      </c>
      <c r="Q13" s="30">
        <f t="shared" si="3"/>
        <v>92.5</v>
      </c>
    </row>
    <row r="14" spans="2:17" x14ac:dyDescent="0.2">
      <c r="D14" s="1">
        <v>2.2000000000000002</v>
      </c>
      <c r="F14">
        <f t="shared" si="4"/>
        <v>100</v>
      </c>
      <c r="H14" s="30">
        <f t="shared" si="0"/>
        <v>101.5</v>
      </c>
      <c r="J14" s="30">
        <f t="shared" si="1"/>
        <v>101.5</v>
      </c>
      <c r="L14" s="147">
        <f t="shared" si="2"/>
        <v>44875</v>
      </c>
      <c r="M14" s="148" t="s">
        <v>70</v>
      </c>
      <c r="Q14" s="30">
        <f t="shared" si="3"/>
        <v>95</v>
      </c>
    </row>
    <row r="15" spans="2:17" x14ac:dyDescent="0.2">
      <c r="D15" s="1">
        <v>2.4</v>
      </c>
      <c r="F15">
        <f t="shared" si="4"/>
        <v>100</v>
      </c>
      <c r="H15" s="30">
        <f t="shared" si="0"/>
        <v>101.75</v>
      </c>
      <c r="J15" s="30">
        <f t="shared" si="1"/>
        <v>101.75</v>
      </c>
      <c r="L15" s="147">
        <f t="shared" si="2"/>
        <v>44876</v>
      </c>
      <c r="M15" s="148" t="s">
        <v>71</v>
      </c>
      <c r="Q15" s="30">
        <f t="shared" si="3"/>
        <v>97.5</v>
      </c>
    </row>
    <row r="16" spans="2:17" x14ac:dyDescent="0.2">
      <c r="D16" s="1">
        <v>2.6</v>
      </c>
      <c r="F16">
        <f t="shared" si="4"/>
        <v>100</v>
      </c>
      <c r="H16" s="30">
        <f t="shared" si="0"/>
        <v>102</v>
      </c>
      <c r="J16" s="30">
        <f t="shared" si="1"/>
        <v>102</v>
      </c>
      <c r="L16" s="147">
        <f t="shared" si="2"/>
        <v>44877</v>
      </c>
      <c r="M16" s="148" t="s">
        <v>136</v>
      </c>
      <c r="Q16" s="30">
        <f t="shared" si="3"/>
        <v>100</v>
      </c>
    </row>
    <row r="17" spans="4:17" x14ac:dyDescent="0.2">
      <c r="D17" s="1">
        <v>2.8</v>
      </c>
      <c r="F17">
        <f t="shared" si="4"/>
        <v>100</v>
      </c>
      <c r="H17" s="30">
        <f t="shared" si="0"/>
        <v>102.25</v>
      </c>
      <c r="J17" s="30">
        <f t="shared" si="1"/>
        <v>102.25</v>
      </c>
      <c r="L17" s="147">
        <f t="shared" si="2"/>
        <v>44878</v>
      </c>
      <c r="M17" s="148" t="s">
        <v>137</v>
      </c>
      <c r="Q17" s="30">
        <f t="shared" si="3"/>
        <v>100</v>
      </c>
    </row>
    <row r="18" spans="4:17" x14ac:dyDescent="0.2">
      <c r="D18" s="1">
        <v>3</v>
      </c>
      <c r="F18">
        <f t="shared" si="4"/>
        <v>100</v>
      </c>
      <c r="H18" s="30">
        <f t="shared" si="0"/>
        <v>102.5</v>
      </c>
      <c r="J18" s="30">
        <f t="shared" si="1"/>
        <v>102.5</v>
      </c>
      <c r="L18" s="147">
        <f t="shared" si="2"/>
        <v>44879</v>
      </c>
      <c r="M18" s="148" t="s">
        <v>64</v>
      </c>
      <c r="Q18" s="30">
        <f t="shared" si="3"/>
        <v>100</v>
      </c>
    </row>
    <row r="19" spans="4:17" x14ac:dyDescent="0.2">
      <c r="D19" s="1">
        <v>3</v>
      </c>
      <c r="F19">
        <f t="shared" si="4"/>
        <v>100</v>
      </c>
      <c r="H19" s="30">
        <f t="shared" si="0"/>
        <v>102.75</v>
      </c>
      <c r="J19" s="30">
        <f t="shared" si="1"/>
        <v>102.75</v>
      </c>
      <c r="L19" s="147">
        <f t="shared" si="2"/>
        <v>44880</v>
      </c>
      <c r="M19" s="148" t="s">
        <v>68</v>
      </c>
      <c r="Q19" s="30">
        <f t="shared" si="3"/>
        <v>100</v>
      </c>
    </row>
    <row r="20" spans="4:17" x14ac:dyDescent="0.2">
      <c r="D20" s="1">
        <v>3</v>
      </c>
      <c r="F20">
        <f t="shared" si="4"/>
        <v>100</v>
      </c>
      <c r="H20" s="30">
        <f t="shared" si="0"/>
        <v>103</v>
      </c>
      <c r="J20" s="30">
        <f t="shared" si="1"/>
        <v>103</v>
      </c>
      <c r="L20" s="147">
        <f t="shared" si="2"/>
        <v>44881</v>
      </c>
      <c r="M20" s="148" t="s">
        <v>69</v>
      </c>
      <c r="Q20" s="30">
        <f t="shared" si="3"/>
        <v>100</v>
      </c>
    </row>
    <row r="21" spans="4:17" x14ac:dyDescent="0.2">
      <c r="D21" s="1">
        <v>3</v>
      </c>
      <c r="F21">
        <f t="shared" si="4"/>
        <v>100</v>
      </c>
      <c r="H21" s="30"/>
      <c r="J21" s="30"/>
      <c r="L21" s="147">
        <f t="shared" si="2"/>
        <v>44882</v>
      </c>
      <c r="M21" s="148" t="s">
        <v>70</v>
      </c>
    </row>
    <row r="22" spans="4:17" x14ac:dyDescent="0.2">
      <c r="D22" s="1">
        <v>3</v>
      </c>
      <c r="F22">
        <f t="shared" si="4"/>
        <v>100</v>
      </c>
      <c r="H22" s="30"/>
      <c r="J22" s="30"/>
      <c r="L22" s="147">
        <f t="shared" si="2"/>
        <v>44883</v>
      </c>
      <c r="M22" s="148" t="s">
        <v>71</v>
      </c>
    </row>
    <row r="23" spans="4:17" x14ac:dyDescent="0.2">
      <c r="D23" s="1">
        <v>3</v>
      </c>
      <c r="F23">
        <f t="shared" si="4"/>
        <v>100</v>
      </c>
      <c r="H23" s="30"/>
      <c r="J23" s="30"/>
      <c r="L23" s="147">
        <f t="shared" si="2"/>
        <v>44884</v>
      </c>
      <c r="M23" s="148" t="s">
        <v>136</v>
      </c>
    </row>
    <row r="24" spans="4:17" x14ac:dyDescent="0.2">
      <c r="D24" s="1">
        <v>3</v>
      </c>
      <c r="F24">
        <f t="shared" si="4"/>
        <v>100</v>
      </c>
      <c r="H24" s="30"/>
      <c r="J24" s="30"/>
      <c r="L24" s="147">
        <f t="shared" si="2"/>
        <v>44885</v>
      </c>
      <c r="M24" s="148" t="s">
        <v>137</v>
      </c>
    </row>
    <row r="25" spans="4:17" x14ac:dyDescent="0.2">
      <c r="D25" s="1">
        <v>3</v>
      </c>
      <c r="F25">
        <f t="shared" si="4"/>
        <v>100</v>
      </c>
      <c r="H25" s="30"/>
      <c r="J25" s="30"/>
      <c r="L25" s="147">
        <f t="shared" si="2"/>
        <v>44886</v>
      </c>
      <c r="M25" s="148" t="s">
        <v>64</v>
      </c>
    </row>
    <row r="26" spans="4:17" x14ac:dyDescent="0.2">
      <c r="D26" s="1">
        <v>3</v>
      </c>
      <c r="F26">
        <f t="shared" si="4"/>
        <v>100</v>
      </c>
      <c r="H26" s="30"/>
      <c r="J26" s="30"/>
      <c r="L26" s="147">
        <f t="shared" si="2"/>
        <v>44887</v>
      </c>
      <c r="M26" s="148" t="s">
        <v>68</v>
      </c>
    </row>
    <row r="27" spans="4:17" x14ac:dyDescent="0.2">
      <c r="D27" s="1">
        <v>3</v>
      </c>
      <c r="F27">
        <f t="shared" si="4"/>
        <v>100</v>
      </c>
      <c r="H27" s="30"/>
      <c r="J27" s="30"/>
      <c r="L27" s="147">
        <f t="shared" si="2"/>
        <v>44888</v>
      </c>
      <c r="M27" s="148" t="s">
        <v>69</v>
      </c>
    </row>
    <row r="28" spans="4:17" x14ac:dyDescent="0.2">
      <c r="D28" s="1">
        <v>3</v>
      </c>
      <c r="H28" s="30"/>
      <c r="J28" s="30"/>
      <c r="L28" s="147">
        <f t="shared" si="2"/>
        <v>44889</v>
      </c>
      <c r="M28" s="148" t="s">
        <v>70</v>
      </c>
    </row>
    <row r="29" spans="4:17" x14ac:dyDescent="0.2">
      <c r="H29" s="30"/>
      <c r="J29" s="30"/>
      <c r="L29" s="147">
        <f t="shared" si="2"/>
        <v>44890</v>
      </c>
      <c r="M29" s="148" t="s">
        <v>71</v>
      </c>
    </row>
    <row r="30" spans="4:17" x14ac:dyDescent="0.2">
      <c r="H30" s="30"/>
      <c r="J30" s="30"/>
      <c r="L30" s="147">
        <f t="shared" si="2"/>
        <v>44891</v>
      </c>
      <c r="M30" s="148" t="s">
        <v>136</v>
      </c>
    </row>
    <row r="31" spans="4:17" x14ac:dyDescent="0.2">
      <c r="H31" s="30"/>
      <c r="J31" s="30"/>
      <c r="L31" s="147">
        <f t="shared" si="2"/>
        <v>44892</v>
      </c>
      <c r="M31" s="148" t="s">
        <v>137</v>
      </c>
    </row>
    <row r="32" spans="4:17" x14ac:dyDescent="0.2">
      <c r="H32" s="30"/>
      <c r="J32" s="30"/>
      <c r="L32" s="147">
        <f t="shared" si="2"/>
        <v>44893</v>
      </c>
      <c r="M32" s="148" t="s">
        <v>64</v>
      </c>
    </row>
    <row r="33" spans="8:13" x14ac:dyDescent="0.2">
      <c r="H33" s="30"/>
      <c r="J33" s="30"/>
      <c r="L33" s="147">
        <f t="shared" si="2"/>
        <v>44894</v>
      </c>
      <c r="M33" s="148" t="s">
        <v>68</v>
      </c>
    </row>
    <row r="34" spans="8:13" x14ac:dyDescent="0.2">
      <c r="H34" s="30"/>
      <c r="J34" s="30"/>
      <c r="L34" s="147">
        <f t="shared" si="2"/>
        <v>44895</v>
      </c>
      <c r="M34" s="148" t="s">
        <v>69</v>
      </c>
    </row>
    <row r="35" spans="8:13" x14ac:dyDescent="0.2">
      <c r="H35" s="30"/>
      <c r="J35" s="30"/>
      <c r="L35" s="147"/>
      <c r="M35" s="148"/>
    </row>
    <row r="36" spans="8:13" x14ac:dyDescent="0.2">
      <c r="H36" s="30"/>
      <c r="J36" s="30"/>
      <c r="L36" s="147"/>
      <c r="M36" s="148"/>
    </row>
    <row r="37" spans="8:13" x14ac:dyDescent="0.2">
      <c r="H37" s="30"/>
      <c r="J37" s="30"/>
      <c r="L37" s="147"/>
      <c r="M37" s="148"/>
    </row>
    <row r="38" spans="8:13" x14ac:dyDescent="0.2">
      <c r="H38" s="30"/>
      <c r="J38" s="30"/>
      <c r="L38" s="147"/>
    </row>
    <row r="39" spans="8:13" x14ac:dyDescent="0.2">
      <c r="H39" s="30"/>
      <c r="J39" s="30"/>
    </row>
    <row r="40" spans="8:13" x14ac:dyDescent="0.2">
      <c r="H40" s="30"/>
      <c r="J40" s="30"/>
    </row>
    <row r="41" spans="8:13" x14ac:dyDescent="0.2">
      <c r="H41" s="30"/>
      <c r="J41" s="30"/>
    </row>
    <row r="42" spans="8:13" x14ac:dyDescent="0.2">
      <c r="H42" s="30"/>
      <c r="J42" s="30"/>
    </row>
    <row r="43" spans="8:13" x14ac:dyDescent="0.2">
      <c r="H43" s="30"/>
      <c r="J43" s="30"/>
    </row>
  </sheetData>
  <sheetProtection algorithmName="SHA-512" hashValue="LHiRoZkbxHozbszfzATbClvOxbUKbRlyq0oSN9x3YxiK2G2gbO42+3Hmr91CjvKlcdcDW4q5CtB24zmV4gQL+Q==" saltValue="Rz832FDzoO/4kRcuejlyt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2021-10-21T05:25:33Z</dcterms:modified>
</cp:coreProperties>
</file>