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Onderwijs (Public)\NWO-I Nederlands Wetenschappelijk Onderzoeks Instituut\Brandpolis EA 2021\"/>
    </mc:Choice>
  </mc:AlternateContent>
  <bookViews>
    <workbookView xWindow="0" yWindow="0" windowWidth="28800" windowHeight="12330"/>
  </bookViews>
  <sheets>
    <sheet name="Totaal" sheetId="1" r:id="rId1"/>
    <sheet name="NIKHEF" sheetId="2" r:id="rId2"/>
    <sheet name="AMOLF" sheetId="3" r:id="rId3"/>
    <sheet name="SRON" sheetId="8" r:id="rId4"/>
    <sheet name="ARCNL" sheetId="4" r:id="rId5"/>
    <sheet name="DIFFER" sheetId="5" r:id="rId6"/>
    <sheet name="BUW" sheetId="6" r:id="rId7"/>
    <sheet name="CWI" sheetId="9" r:id="rId8"/>
    <sheet name="ASTRON" sheetId="10" r:id="rId9"/>
    <sheet name="NIOZ" sheetId="13" r:id="rId10"/>
    <sheet name="NSCR" sheetId="12" r:id="rId11"/>
    <sheet name="Blanco" sheetId="1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F31" i="8" l="1"/>
  <c r="S13" i="2" l="1"/>
  <c r="S21" i="4"/>
  <c r="I22" i="1" s="1"/>
  <c r="F31" i="4"/>
  <c r="F34" i="4" s="1"/>
  <c r="F25" i="5"/>
  <c r="F23" i="3"/>
  <c r="F26" i="3" s="1"/>
  <c r="F50" i="2"/>
  <c r="F51" i="2" s="1"/>
  <c r="F29" i="5"/>
  <c r="F49" i="10"/>
  <c r="F59" i="10"/>
  <c r="F55" i="10"/>
  <c r="F50" i="10"/>
  <c r="F37" i="9"/>
  <c r="F32" i="13"/>
  <c r="F34" i="8"/>
  <c r="F66" i="10" l="1"/>
  <c r="S18" i="8"/>
  <c r="S17" i="8"/>
  <c r="S23" i="8" s="1"/>
  <c r="I20" i="1" s="1"/>
  <c r="F20" i="12"/>
  <c r="F22" i="12" s="1"/>
  <c r="S12" i="12"/>
  <c r="I34" i="1" s="1"/>
  <c r="F37" i="13"/>
  <c r="F39" i="13" s="1"/>
  <c r="F40" i="8"/>
  <c r="R23" i="8"/>
  <c r="P29" i="2" l="1"/>
  <c r="P13" i="3"/>
  <c r="P23" i="8"/>
  <c r="P21" i="4"/>
  <c r="P17" i="5"/>
  <c r="P14" i="6"/>
  <c r="P20" i="9"/>
  <c r="Q13" i="9"/>
  <c r="P37" i="10"/>
  <c r="O21" i="13"/>
  <c r="P16" i="13"/>
  <c r="R16" i="13" s="1"/>
  <c r="P13" i="13"/>
  <c r="R13" i="13" s="1"/>
  <c r="P15" i="13"/>
  <c r="R15" i="13" s="1"/>
  <c r="P12" i="13"/>
  <c r="R12" i="13" s="1"/>
  <c r="P12" i="12"/>
  <c r="G44" i="1" l="1"/>
  <c r="G42" i="1"/>
  <c r="I42" i="1" s="1"/>
  <c r="G40" i="1"/>
  <c r="I40" i="1" s="1"/>
  <c r="G38" i="1"/>
  <c r="I38" i="1" s="1"/>
  <c r="H44" i="1" l="1"/>
  <c r="H42" i="1"/>
  <c r="H40" i="1"/>
  <c r="H38" i="1"/>
  <c r="E44" i="1"/>
  <c r="E42" i="1"/>
  <c r="C44" i="1"/>
  <c r="C42" i="1"/>
  <c r="C40" i="1"/>
  <c r="E40" i="1" s="1"/>
  <c r="C38" i="1"/>
  <c r="E38" i="1" s="1"/>
  <c r="L20" i="9"/>
  <c r="J20" i="9"/>
  <c r="O21" i="10"/>
  <c r="Q21" i="10" s="1"/>
  <c r="O25" i="10" l="1"/>
  <c r="Q25" i="10" s="1"/>
  <c r="O20" i="10"/>
  <c r="Q20" i="10" s="1"/>
  <c r="O16" i="10"/>
  <c r="Q16" i="10" s="1"/>
  <c r="O15" i="10"/>
  <c r="Q15" i="10" s="1"/>
  <c r="M21" i="13"/>
  <c r="N12" i="12"/>
  <c r="S16" i="10" l="1"/>
  <c r="S25" i="10"/>
  <c r="S15" i="10"/>
  <c r="O9" i="2"/>
  <c r="Q9" i="2" s="1"/>
  <c r="O15" i="2"/>
  <c r="Q15" i="2" s="1"/>
  <c r="S15" i="2" l="1"/>
  <c r="S9" i="2"/>
  <c r="F44" i="1"/>
  <c r="F42" i="1"/>
  <c r="F40" i="1"/>
  <c r="F38" i="1"/>
  <c r="N37" i="10" l="1"/>
  <c r="N20" i="9"/>
  <c r="N23" i="8"/>
  <c r="N14" i="6"/>
  <c r="N17" i="5"/>
  <c r="N21" i="4"/>
  <c r="N13" i="3" l="1"/>
  <c r="N29" i="2"/>
  <c r="L9" i="13" l="1"/>
  <c r="L13" i="13"/>
  <c r="L18" i="13"/>
  <c r="L16" i="13"/>
  <c r="L10" i="13"/>
  <c r="L15" i="13"/>
  <c r="L12" i="13"/>
  <c r="L8" i="13"/>
  <c r="K21" i="13"/>
  <c r="L37" i="10"/>
  <c r="L12" i="12"/>
  <c r="M14" i="8"/>
  <c r="M9" i="8"/>
  <c r="L23" i="8"/>
  <c r="L14" i="6"/>
  <c r="L17" i="5"/>
  <c r="J10" i="4"/>
  <c r="L21" i="4"/>
  <c r="M18" i="4"/>
  <c r="L13" i="3"/>
  <c r="L29" i="2"/>
  <c r="J17" i="5"/>
  <c r="K19" i="10"/>
  <c r="M19" i="10" s="1"/>
  <c r="K11" i="10"/>
  <c r="M11" i="10" s="1"/>
  <c r="K10" i="10"/>
  <c r="M10" i="10" s="1"/>
  <c r="K34" i="10"/>
  <c r="M34" i="10" s="1"/>
  <c r="K33" i="10"/>
  <c r="M33" i="10" s="1"/>
  <c r="K29" i="10"/>
  <c r="M29" i="10" s="1"/>
  <c r="K28" i="10"/>
  <c r="M28" i="10" s="1"/>
  <c r="K23" i="10"/>
  <c r="M23" i="10" s="1"/>
  <c r="K22" i="10"/>
  <c r="M22" i="10" s="1"/>
  <c r="K18" i="10"/>
  <c r="M18" i="10" s="1"/>
  <c r="K17" i="10"/>
  <c r="M17" i="10" s="1"/>
  <c r="K31" i="10"/>
  <c r="M31" i="10" s="1"/>
  <c r="K14" i="10"/>
  <c r="M14" i="10" s="1"/>
  <c r="K13" i="10"/>
  <c r="M13" i="10" s="1"/>
  <c r="K9" i="10"/>
  <c r="M9" i="10" s="1"/>
  <c r="K8" i="10"/>
  <c r="M8" i="10" s="1"/>
  <c r="J37" i="10"/>
  <c r="K17" i="9"/>
  <c r="M17" i="9" s="1"/>
  <c r="K16" i="9"/>
  <c r="M16" i="9" s="1"/>
  <c r="K13" i="9"/>
  <c r="M13" i="9" s="1"/>
  <c r="K12" i="9"/>
  <c r="M12" i="9" s="1"/>
  <c r="K8" i="9"/>
  <c r="J9" i="8"/>
  <c r="K8" i="8"/>
  <c r="M8" i="8" s="1"/>
  <c r="J14" i="8"/>
  <c r="J23" i="8"/>
  <c r="K13" i="8"/>
  <c r="M13" i="8" s="1"/>
  <c r="K10" i="8"/>
  <c r="M10" i="8" s="1"/>
  <c r="J14" i="6"/>
  <c r="K11" i="6"/>
  <c r="M11" i="6" s="1"/>
  <c r="K10" i="6"/>
  <c r="M10" i="6" s="1"/>
  <c r="K9" i="6"/>
  <c r="M9" i="6" s="1"/>
  <c r="K8" i="6"/>
  <c r="M8" i="6" s="1"/>
  <c r="K14" i="5"/>
  <c r="M14" i="5" s="1"/>
  <c r="K12" i="5"/>
  <c r="M12" i="5" s="1"/>
  <c r="K10" i="5"/>
  <c r="M10" i="5" s="1"/>
  <c r="K11" i="5"/>
  <c r="M11" i="5" s="1"/>
  <c r="J18" i="4"/>
  <c r="K17" i="4"/>
  <c r="M17" i="4" s="1"/>
  <c r="K10" i="3"/>
  <c r="M10" i="3" s="1"/>
  <c r="K9" i="3"/>
  <c r="M9" i="3" s="1"/>
  <c r="I9" i="5"/>
  <c r="K18" i="2"/>
  <c r="M18" i="2" s="1"/>
  <c r="O14" i="5" l="1"/>
  <c r="Q14" i="5" s="1"/>
  <c r="O9" i="6"/>
  <c r="Q9" i="6" s="1"/>
  <c r="O9" i="3"/>
  <c r="Q9" i="3" s="1"/>
  <c r="O10" i="3"/>
  <c r="Q10" i="3" s="1"/>
  <c r="O11" i="6"/>
  <c r="Q11" i="6" s="1"/>
  <c r="O14" i="8"/>
  <c r="Q14" i="8" s="1"/>
  <c r="O8" i="8"/>
  <c r="Q8" i="8" s="1"/>
  <c r="O17" i="4"/>
  <c r="Q17" i="4" s="1"/>
  <c r="O10" i="5"/>
  <c r="Q10" i="5" s="1"/>
  <c r="O8" i="6"/>
  <c r="Q8" i="6" s="1"/>
  <c r="S8" i="6" s="1"/>
  <c r="O10" i="6"/>
  <c r="Q10" i="6" s="1"/>
  <c r="O9" i="8"/>
  <c r="Q9" i="8" s="1"/>
  <c r="O11" i="5"/>
  <c r="Q11" i="5" s="1"/>
  <c r="O18" i="4"/>
  <c r="Q18" i="4" s="1"/>
  <c r="O10" i="8"/>
  <c r="Q10" i="8" s="1"/>
  <c r="O18" i="2"/>
  <c r="Q18" i="2" s="1"/>
  <c r="O12" i="5"/>
  <c r="Q12" i="5" s="1"/>
  <c r="O13" i="8"/>
  <c r="Q13" i="8" s="1"/>
  <c r="O17" i="9"/>
  <c r="Q17" i="9" s="1"/>
  <c r="M8" i="9"/>
  <c r="O12" i="9"/>
  <c r="Q12" i="9" s="1"/>
  <c r="O16" i="9"/>
  <c r="Q16" i="9" s="1"/>
  <c r="O11" i="10"/>
  <c r="Q11" i="10" s="1"/>
  <c r="O22" i="10"/>
  <c r="O19" i="10"/>
  <c r="Q19" i="10" s="1"/>
  <c r="O8" i="10"/>
  <c r="Q8" i="10" s="1"/>
  <c r="S8" i="10" s="1"/>
  <c r="O23" i="10"/>
  <c r="O18" i="10"/>
  <c r="Q18" i="10" s="1"/>
  <c r="O9" i="10"/>
  <c r="Q9" i="10" s="1"/>
  <c r="O13" i="10"/>
  <c r="Q13" i="10" s="1"/>
  <c r="O14" i="10"/>
  <c r="Q14" i="10" s="1"/>
  <c r="O31" i="10"/>
  <c r="Q31" i="10" s="1"/>
  <c r="O34" i="10"/>
  <c r="Q34" i="10" s="1"/>
  <c r="O28" i="10"/>
  <c r="Q28" i="10" s="1"/>
  <c r="O29" i="10"/>
  <c r="Q29" i="10" s="1"/>
  <c r="O33" i="10"/>
  <c r="Q33" i="10" s="1"/>
  <c r="O17" i="10"/>
  <c r="Q17" i="10" s="1"/>
  <c r="O10" i="10"/>
  <c r="Q10" i="10" s="1"/>
  <c r="N8" i="13"/>
  <c r="P8" i="13" s="1"/>
  <c r="N10" i="13"/>
  <c r="P10" i="13" s="1"/>
  <c r="N18" i="13"/>
  <c r="P18" i="13" s="1"/>
  <c r="N9" i="13"/>
  <c r="P9" i="13" s="1"/>
  <c r="M14" i="6"/>
  <c r="C26" i="1" s="1"/>
  <c r="L21" i="13"/>
  <c r="C32" i="1" s="1"/>
  <c r="K14" i="6"/>
  <c r="S14" i="10" l="1"/>
  <c r="S9" i="10"/>
  <c r="S11" i="6"/>
  <c r="S10" i="10"/>
  <c r="S31" i="10"/>
  <c r="S11" i="10"/>
  <c r="S10" i="6"/>
  <c r="S9" i="6"/>
  <c r="S13" i="10"/>
  <c r="R18" i="13"/>
  <c r="R21" i="13" s="1"/>
  <c r="I32" i="1" s="1"/>
  <c r="S14" i="5"/>
  <c r="Q22" i="10"/>
  <c r="Q23" i="10"/>
  <c r="P21" i="13"/>
  <c r="Q14" i="6"/>
  <c r="O14" i="6"/>
  <c r="D26" i="1" s="1"/>
  <c r="O8" i="9"/>
  <c r="Q8" i="9" s="1"/>
  <c r="S8" i="9" s="1"/>
  <c r="S20" i="9" s="1"/>
  <c r="I28" i="1" s="1"/>
  <c r="N21" i="13"/>
  <c r="D32" i="1" s="1"/>
  <c r="K9" i="5"/>
  <c r="M9" i="5" s="1"/>
  <c r="K8" i="5"/>
  <c r="M8" i="5" s="1"/>
  <c r="J21" i="13"/>
  <c r="S14" i="6" l="1"/>
  <c r="I26" i="1" s="1"/>
  <c r="G26" i="1"/>
  <c r="G32" i="1"/>
  <c r="O9" i="5"/>
  <c r="Q9" i="5" s="1"/>
  <c r="O8" i="5"/>
  <c r="Q8" i="5" s="1"/>
  <c r="S8" i="5" s="1"/>
  <c r="S17" i="5" s="1"/>
  <c r="I24" i="1" s="1"/>
  <c r="M17" i="5"/>
  <c r="C24" i="1" s="1"/>
  <c r="K17" i="5"/>
  <c r="J12" i="12"/>
  <c r="K9" i="12"/>
  <c r="M9" i="12" s="1"/>
  <c r="K8" i="12"/>
  <c r="M8" i="12" s="1"/>
  <c r="J21" i="4"/>
  <c r="K16" i="4"/>
  <c r="M16" i="4" s="1"/>
  <c r="K13" i="4"/>
  <c r="M13" i="4" s="1"/>
  <c r="K11" i="4"/>
  <c r="M11" i="4" s="1"/>
  <c r="K10" i="4"/>
  <c r="K8" i="4"/>
  <c r="M8" i="4" s="1"/>
  <c r="K11" i="3"/>
  <c r="M11" i="3" s="1"/>
  <c r="J13" i="3"/>
  <c r="I13" i="3"/>
  <c r="J29" i="2"/>
  <c r="K8" i="3"/>
  <c r="M8" i="3" s="1"/>
  <c r="K19" i="2"/>
  <c r="M19" i="2" s="1"/>
  <c r="K17" i="2"/>
  <c r="M17" i="2" s="1"/>
  <c r="K13" i="2"/>
  <c r="M13" i="2" s="1"/>
  <c r="K11" i="2"/>
  <c r="M11" i="2" s="1"/>
  <c r="K8" i="2"/>
  <c r="M8" i="2" s="1"/>
  <c r="I12" i="12"/>
  <c r="U4" i="12"/>
  <c r="T4" i="13"/>
  <c r="U4" i="10"/>
  <c r="U4" i="9"/>
  <c r="U4" i="8"/>
  <c r="I14" i="6"/>
  <c r="U4" i="6"/>
  <c r="I17" i="5"/>
  <c r="U4" i="5"/>
  <c r="U8" i="5" s="1"/>
  <c r="I21" i="4"/>
  <c r="U4" i="4"/>
  <c r="U4" i="3"/>
  <c r="U4" i="2"/>
  <c r="I29" i="2"/>
  <c r="I27" i="10"/>
  <c r="K27" i="10" s="1"/>
  <c r="M27" i="10" s="1"/>
  <c r="I12" i="10"/>
  <c r="K12" i="10" s="1"/>
  <c r="M12" i="10" s="1"/>
  <c r="Q17" i="5" l="1"/>
  <c r="O17" i="5"/>
  <c r="D24" i="1" s="1"/>
  <c r="O17" i="2"/>
  <c r="Q17" i="2" s="1"/>
  <c r="U17" i="2"/>
  <c r="O19" i="2"/>
  <c r="Q19" i="2" s="1"/>
  <c r="U19" i="2"/>
  <c r="U18" i="4"/>
  <c r="U17" i="4"/>
  <c r="O11" i="4"/>
  <c r="Q11" i="4" s="1"/>
  <c r="U11" i="4"/>
  <c r="O13" i="4"/>
  <c r="U13" i="4"/>
  <c r="U14" i="5"/>
  <c r="U10" i="5"/>
  <c r="U11" i="5"/>
  <c r="U12" i="5"/>
  <c r="O8" i="2"/>
  <c r="Q8" i="2" s="1"/>
  <c r="S8" i="2" s="1"/>
  <c r="U8" i="2"/>
  <c r="U9" i="5"/>
  <c r="U9" i="3"/>
  <c r="U10" i="3"/>
  <c r="U8" i="3"/>
  <c r="O16" i="4"/>
  <c r="Q16" i="4" s="1"/>
  <c r="U16" i="4"/>
  <c r="U9" i="6"/>
  <c r="U8" i="6"/>
  <c r="U11" i="6"/>
  <c r="U10" i="6"/>
  <c r="O8" i="12"/>
  <c r="U8" i="12"/>
  <c r="O11" i="2"/>
  <c r="Q11" i="2" s="1"/>
  <c r="U11" i="2"/>
  <c r="O11" i="3"/>
  <c r="Q11" i="3" s="1"/>
  <c r="U11" i="3"/>
  <c r="U15" i="2"/>
  <c r="U9" i="2"/>
  <c r="U18" i="2"/>
  <c r="U9" i="8"/>
  <c r="U14" i="8"/>
  <c r="U13" i="8"/>
  <c r="U8" i="8"/>
  <c r="U10" i="8"/>
  <c r="O13" i="2"/>
  <c r="U13" i="2"/>
  <c r="O8" i="4"/>
  <c r="U8" i="4"/>
  <c r="O9" i="12"/>
  <c r="U9" i="12"/>
  <c r="U16" i="9"/>
  <c r="U17" i="9"/>
  <c r="U13" i="9"/>
  <c r="U12" i="9"/>
  <c r="U8" i="9"/>
  <c r="O12" i="10"/>
  <c r="Q12" i="10" s="1"/>
  <c r="U12" i="10"/>
  <c r="O27" i="10"/>
  <c r="Q27" i="10" s="1"/>
  <c r="U27" i="10"/>
  <c r="U10" i="10"/>
  <c r="U11" i="10"/>
  <c r="U23" i="10"/>
  <c r="U14" i="10"/>
  <c r="U29" i="10"/>
  <c r="U13" i="10"/>
  <c r="U28" i="10"/>
  <c r="U22" i="10"/>
  <c r="U18" i="10"/>
  <c r="U31" i="10"/>
  <c r="U33" i="10"/>
  <c r="U8" i="10"/>
  <c r="U19" i="10"/>
  <c r="U9" i="10"/>
  <c r="U34" i="10"/>
  <c r="U17" i="10"/>
  <c r="T18" i="13"/>
  <c r="T8" i="13"/>
  <c r="T13" i="13"/>
  <c r="T15" i="13"/>
  <c r="T12" i="13"/>
  <c r="T9" i="13"/>
  <c r="T16" i="13"/>
  <c r="T10" i="13"/>
  <c r="M13" i="3"/>
  <c r="C18" i="1" s="1"/>
  <c r="O8" i="3"/>
  <c r="Q8" i="3" s="1"/>
  <c r="S8" i="3" s="1"/>
  <c r="S13" i="3" s="1"/>
  <c r="I18" i="1" s="1"/>
  <c r="M29" i="2"/>
  <c r="C16" i="1" s="1"/>
  <c r="M37" i="10"/>
  <c r="C30" i="1" s="1"/>
  <c r="M12" i="12"/>
  <c r="C34" i="1" s="1"/>
  <c r="M10" i="4"/>
  <c r="U10" i="4" s="1"/>
  <c r="K37" i="10"/>
  <c r="K12" i="12"/>
  <c r="I37" i="10"/>
  <c r="K21" i="4"/>
  <c r="K29" i="2"/>
  <c r="K13" i="3"/>
  <c r="I9" i="9"/>
  <c r="I20" i="9" s="1"/>
  <c r="I15" i="8"/>
  <c r="K15" i="8" s="1"/>
  <c r="M15" i="8" s="1"/>
  <c r="I11" i="8"/>
  <c r="S27" i="10" l="1"/>
  <c r="S12" i="10"/>
  <c r="S11" i="2"/>
  <c r="S29" i="2" s="1"/>
  <c r="I16" i="1" s="1"/>
  <c r="Q9" i="12"/>
  <c r="Q13" i="3"/>
  <c r="Q29" i="2"/>
  <c r="Q21" i="4"/>
  <c r="Q8" i="12"/>
  <c r="G24" i="1"/>
  <c r="Q37" i="10"/>
  <c r="U12" i="12"/>
  <c r="E34" i="1" s="1"/>
  <c r="O12" i="12"/>
  <c r="D34" i="1" s="1"/>
  <c r="O15" i="8"/>
  <c r="U15" i="8"/>
  <c r="O37" i="10"/>
  <c r="D30" i="1" s="1"/>
  <c r="O29" i="2"/>
  <c r="D16" i="1" s="1"/>
  <c r="O13" i="3"/>
  <c r="D18" i="1" s="1"/>
  <c r="O10" i="4"/>
  <c r="K11" i="8"/>
  <c r="I23" i="8"/>
  <c r="U13" i="3"/>
  <c r="E18" i="1" s="1"/>
  <c r="M21" i="4"/>
  <c r="C22" i="1" s="1"/>
  <c r="K9" i="9"/>
  <c r="K20" i="9" s="1"/>
  <c r="T21" i="13"/>
  <c r="U17" i="5"/>
  <c r="U14" i="6"/>
  <c r="U29" i="2"/>
  <c r="E16" i="1" s="1"/>
  <c r="U37" i="10"/>
  <c r="E30" i="1" s="1"/>
  <c r="S37" i="10" l="1"/>
  <c r="I30" i="1" s="1"/>
  <c r="I36" i="1" s="1"/>
  <c r="Q15" i="8"/>
  <c r="G22" i="1"/>
  <c r="U13" i="12"/>
  <c r="Q12" i="12"/>
  <c r="G16" i="1"/>
  <c r="G30" i="1"/>
  <c r="G18" i="1"/>
  <c r="U15" i="6"/>
  <c r="E26" i="1"/>
  <c r="T22" i="13"/>
  <c r="E32" i="1"/>
  <c r="U18" i="5"/>
  <c r="E24" i="1"/>
  <c r="U30" i="2"/>
  <c r="U14" i="3"/>
  <c r="U38" i="10"/>
  <c r="O21" i="4"/>
  <c r="D22" i="1" s="1"/>
  <c r="U21" i="4"/>
  <c r="E22" i="1" s="1"/>
  <c r="M11" i="8"/>
  <c r="K23" i="8"/>
  <c r="M9" i="9"/>
  <c r="G34" i="1" l="1"/>
  <c r="O11" i="8"/>
  <c r="U11" i="8"/>
  <c r="U23" i="8" s="1"/>
  <c r="E20" i="1" s="1"/>
  <c r="U22" i="4"/>
  <c r="O9" i="9"/>
  <c r="U9" i="9"/>
  <c r="U20" i="9" s="1"/>
  <c r="E28" i="1" s="1"/>
  <c r="M20" i="9"/>
  <c r="C28" i="1" s="1"/>
  <c r="M23" i="8"/>
  <c r="C20" i="1" s="1"/>
  <c r="C36" i="1" l="1"/>
  <c r="C50" i="1" s="1"/>
  <c r="Q11" i="8"/>
  <c r="Q9" i="9"/>
  <c r="E36" i="1"/>
  <c r="E50" i="1" s="1"/>
  <c r="F50" i="1"/>
  <c r="O23" i="8"/>
  <c r="U21" i="9"/>
  <c r="U24" i="8"/>
  <c r="O20" i="9"/>
  <c r="Q23" i="8" l="1"/>
  <c r="Q20" i="9"/>
  <c r="D28" i="1"/>
  <c r="D20" i="1"/>
  <c r="D36" i="1" s="1"/>
  <c r="D50" i="1" s="1"/>
  <c r="G28" i="1" l="1"/>
  <c r="G20" i="1"/>
  <c r="H50" i="1"/>
  <c r="G36" i="1" l="1"/>
  <c r="J36" i="1" s="1"/>
  <c r="G50" i="1" l="1"/>
</calcChain>
</file>

<file path=xl/sharedStrings.xml><?xml version="1.0" encoding="utf-8"?>
<sst xmlns="http://schemas.openxmlformats.org/spreadsheetml/2006/main" count="1352" uniqueCount="311">
  <si>
    <t>Risico-adres</t>
  </si>
  <si>
    <t>1098 XG</t>
  </si>
  <si>
    <t>Amsterdam</t>
  </si>
  <si>
    <t xml:space="preserve">Science Park 108 </t>
  </si>
  <si>
    <t>Science Park 108</t>
  </si>
  <si>
    <t>Kantoor</t>
  </si>
  <si>
    <t>Activiteit</t>
  </si>
  <si>
    <t>Gebouwen</t>
  </si>
  <si>
    <t xml:space="preserve"> </t>
  </si>
  <si>
    <t>Troostwijk Taxaties B.V.</t>
  </si>
  <si>
    <t>10-12-2015</t>
  </si>
  <si>
    <t>10-12-2021</t>
  </si>
  <si>
    <t>BTW</t>
  </si>
  <si>
    <t>Inclusief</t>
  </si>
  <si>
    <t>NWO-I - NIKHEF</t>
  </si>
  <si>
    <t>NWO-I - AMOLF</t>
  </si>
  <si>
    <t>Science Park 103 en 105</t>
  </si>
  <si>
    <t>Postcode</t>
  </si>
  <si>
    <t>Plaats</t>
  </si>
  <si>
    <t>Betreft</t>
  </si>
  <si>
    <t>Taxatie</t>
  </si>
  <si>
    <t>Wetenschappelijk onderzoeksinstituut</t>
  </si>
  <si>
    <t>NWO-I - ARCNL</t>
  </si>
  <si>
    <t>Science Park 110</t>
  </si>
  <si>
    <t>Research Center</t>
  </si>
  <si>
    <t>Portacabins - Kantoor</t>
  </si>
  <si>
    <t>NWO-I - DIFFER</t>
  </si>
  <si>
    <t xml:space="preserve">De Zaale 20 </t>
  </si>
  <si>
    <t xml:space="preserve">5612 AJ  </t>
  </si>
  <si>
    <t>Eindhoven</t>
  </si>
  <si>
    <t>Laboratorium</t>
  </si>
  <si>
    <t>Science Park 120 - 124</t>
  </si>
  <si>
    <t>Ongetaxeerd</t>
  </si>
  <si>
    <t>Bedrijfsuitrusting</t>
  </si>
  <si>
    <t>Science Park 103, 105, 108 en 120</t>
  </si>
  <si>
    <t>Computerapparatuur</t>
  </si>
  <si>
    <t>NWO-I - BUW</t>
  </si>
  <si>
    <t>Binnen Nederland</t>
  </si>
  <si>
    <t>Omschrijving</t>
  </si>
  <si>
    <t>Werkgroepen binnen ongetaxeerd</t>
  </si>
  <si>
    <t>Investering ongetaxeerd</t>
  </si>
  <si>
    <t>Investeringen 2013 ongetaxeerd</t>
  </si>
  <si>
    <t>Saldo (des)invest 2014 ongetaxeerd</t>
  </si>
  <si>
    <t>11-02-2016</t>
  </si>
  <si>
    <t>Huurdersbelang</t>
  </si>
  <si>
    <t>De Run 2174</t>
  </si>
  <si>
    <t>5503 LE</t>
  </si>
  <si>
    <t>Veldhoven</t>
  </si>
  <si>
    <t>Groothandel/opslag</t>
  </si>
  <si>
    <t>Supergeleidende magneet</t>
  </si>
  <si>
    <t>00222055001-2</t>
  </si>
  <si>
    <t>00222055001-1</t>
  </si>
  <si>
    <t>00222054001</t>
  </si>
  <si>
    <t>00222057001</t>
  </si>
  <si>
    <t>NWO-I - SRON</t>
  </si>
  <si>
    <t>Landleven 12</t>
  </si>
  <si>
    <t>9747 AD</t>
  </si>
  <si>
    <t>Groningen</t>
  </si>
  <si>
    <t>Investeringen 2011 - 2015</t>
  </si>
  <si>
    <t>Sorbonnelaan 2</t>
  </si>
  <si>
    <t xml:space="preserve">3584 CA </t>
  </si>
  <si>
    <t>Utrecht</t>
  </si>
  <si>
    <t>22-10-2014</t>
  </si>
  <si>
    <t>22-10-2020</t>
  </si>
  <si>
    <t>PD&amp;W Taxaties</t>
  </si>
  <si>
    <t>29-12-2011</t>
  </si>
  <si>
    <t>29-12-2014</t>
  </si>
  <si>
    <t>Investeringen 2012 - 2015</t>
  </si>
  <si>
    <t>NWO-I - CWI</t>
  </si>
  <si>
    <t>Mathematisch Center</t>
  </si>
  <si>
    <t>Science Park 123</t>
  </si>
  <si>
    <t>CWI</t>
  </si>
  <si>
    <t>WCW</t>
  </si>
  <si>
    <t>04-10-2016</t>
  </si>
  <si>
    <t>04-10-2022</t>
  </si>
  <si>
    <t>Appratuur bouw supercomputer</t>
  </si>
  <si>
    <t>NWO-I - ASTRON</t>
  </si>
  <si>
    <t>De Boelelaan 1077A</t>
  </si>
  <si>
    <t>1081 HV</t>
  </si>
  <si>
    <t>Oude Hoogeveensedijk 4 t/m 6</t>
  </si>
  <si>
    <t>7991 PD</t>
  </si>
  <si>
    <t>Dwingeloo</t>
  </si>
  <si>
    <t>11-02-2022</t>
  </si>
  <si>
    <t>Gastenverblijf</t>
  </si>
  <si>
    <t>t.b.v. Astron</t>
  </si>
  <si>
    <t>t.b.v. Jive</t>
  </si>
  <si>
    <t>Oude Hoogeveensedijk 4</t>
  </si>
  <si>
    <t>Energiegebouw WKO</t>
  </si>
  <si>
    <t>Investeringen 2017</t>
  </si>
  <si>
    <t>Schattenberg 1 t/m 2</t>
  </si>
  <si>
    <t xml:space="preserve">9433 TA </t>
  </si>
  <si>
    <t>Zwiggelte</t>
  </si>
  <si>
    <t>WSRT-gebouw / -bouwhal</t>
  </si>
  <si>
    <t>Instrumenten/meetapparatuur</t>
  </si>
  <si>
    <t>Woonhuis</t>
  </si>
  <si>
    <t>Westerbork</t>
  </si>
  <si>
    <t xml:space="preserve">'Muller-huis' </t>
  </si>
  <si>
    <t>Diverse velden binnen Nederland</t>
  </si>
  <si>
    <t>Inclusief appratuur bij de RUG</t>
  </si>
  <si>
    <t>Concentrator Node</t>
  </si>
  <si>
    <t>Diverse LOFAR velden</t>
  </si>
  <si>
    <t>Buinen-Exloo</t>
  </si>
  <si>
    <t>NWO-I - NIOZ</t>
  </si>
  <si>
    <t xml:space="preserve">Gebouwen </t>
  </si>
  <si>
    <t>NWO-I</t>
  </si>
  <si>
    <t>Verzekeringnemer</t>
  </si>
  <si>
    <t>Brandverzekering</t>
  </si>
  <si>
    <t>Polis-/VNAB nummer</t>
  </si>
  <si>
    <t>Bestemming</t>
  </si>
  <si>
    <t>NIKHEF</t>
  </si>
  <si>
    <t>AMOLF</t>
  </si>
  <si>
    <t>ARCNL</t>
  </si>
  <si>
    <t>DIFFER</t>
  </si>
  <si>
    <t>BUW</t>
  </si>
  <si>
    <t>SRON</t>
  </si>
  <si>
    <t>ASTRON</t>
  </si>
  <si>
    <t>NIOZ</t>
  </si>
  <si>
    <t>Conform specificatie</t>
  </si>
  <si>
    <t>Extra opruimingskosten</t>
  </si>
  <si>
    <t>01</t>
  </si>
  <si>
    <t>02</t>
  </si>
  <si>
    <t>03</t>
  </si>
  <si>
    <t>Reconstructiekosten</t>
  </si>
  <si>
    <t>04</t>
  </si>
  <si>
    <t>Extra kosten</t>
  </si>
  <si>
    <t>05</t>
  </si>
  <si>
    <t>Verlies aan inkomen</t>
  </si>
  <si>
    <t>Index Troostwijk</t>
  </si>
  <si>
    <t>Jaar 2017</t>
  </si>
  <si>
    <t>Jaar 2018</t>
  </si>
  <si>
    <t>Jaar 2019</t>
  </si>
  <si>
    <t>Jaar 2020</t>
  </si>
  <si>
    <t>Des(invest) 2017</t>
  </si>
  <si>
    <t>Landsdiep 4, Zuider Haaks 5, 7, 18 en 20</t>
  </si>
  <si>
    <t>Computerappratuur</t>
  </si>
  <si>
    <t>Korringaweg 7</t>
  </si>
  <si>
    <t>Yerseke</t>
  </si>
  <si>
    <t>Oude Torenstraat 39</t>
  </si>
  <si>
    <t>Containers met inventaris</t>
  </si>
  <si>
    <t>-</t>
  </si>
  <si>
    <t>Getaxeerd</t>
  </si>
  <si>
    <t>Investeringen 2018</t>
  </si>
  <si>
    <t>Des(invest) 2018</t>
  </si>
  <si>
    <t>' t Horntje (Texel)</t>
  </si>
  <si>
    <t>1797 SZ</t>
  </si>
  <si>
    <t>4401 NT</t>
  </si>
  <si>
    <t>4401 EH</t>
  </si>
  <si>
    <t>Gewogen promillage</t>
  </si>
  <si>
    <t>Wetenschappelijk onderzoeksinstituut, gespecialiseerd in zee onderzoek</t>
  </si>
  <si>
    <t>Des(invest) 2019</t>
  </si>
  <si>
    <t>Datum</t>
  </si>
  <si>
    <t>NWO-I - NSCR</t>
  </si>
  <si>
    <t>NSCR</t>
  </si>
  <si>
    <t>Nieuw basisjaar</t>
  </si>
  <si>
    <t>Premie 2019</t>
  </si>
  <si>
    <t>Gebouwen/</t>
  </si>
  <si>
    <t>4041886-1</t>
  </si>
  <si>
    <t>16-09-2019</t>
  </si>
  <si>
    <t>16-09-2022</t>
  </si>
  <si>
    <t>4041886-2</t>
  </si>
  <si>
    <t>16-09-2025</t>
  </si>
  <si>
    <t>4041887-1</t>
  </si>
  <si>
    <t>4041887-2</t>
  </si>
  <si>
    <t>Verzekerd bedrag 2020</t>
  </si>
  <si>
    <t>Science Park 106</t>
  </si>
  <si>
    <t>Investeringen 2019</t>
  </si>
  <si>
    <t>Incl. indexering</t>
  </si>
  <si>
    <t>Inclusief indexering</t>
  </si>
  <si>
    <t>Oude Hoogeveensedijk 6</t>
  </si>
  <si>
    <t>Brink 4b</t>
  </si>
  <si>
    <t>7991 CG</t>
  </si>
  <si>
    <t>Dwingelo</t>
  </si>
  <si>
    <t>Verzekerd bedrag 2019</t>
  </si>
  <si>
    <t>Cfr. Polisaanhangsel</t>
  </si>
  <si>
    <t>Nr. 2 d.d. 15-05-2019</t>
  </si>
  <si>
    <t>Jaarpremie 2019</t>
  </si>
  <si>
    <t>Jaar 2021</t>
  </si>
  <si>
    <t>Verzekerd bedrag 2021</t>
  </si>
  <si>
    <t>Des(invest) 2020</t>
  </si>
  <si>
    <t>23-04-2021</t>
  </si>
  <si>
    <t>Nielsbohrweg 4</t>
  </si>
  <si>
    <t xml:space="preserve">2333 CA </t>
  </si>
  <si>
    <t>Leiden</t>
  </si>
  <si>
    <t>(Des)invest 2021</t>
  </si>
  <si>
    <t>(Des)Invest 2021</t>
  </si>
  <si>
    <t>Mutaties 2021</t>
  </si>
  <si>
    <t>Kantoor - Laboratorium</t>
  </si>
  <si>
    <t>28 mei 2021</t>
  </si>
  <si>
    <t>Oplevering nieuwbouw</t>
  </si>
  <si>
    <t>Nielsbohrweg 4 te Leiden</t>
  </si>
  <si>
    <t/>
  </si>
  <si>
    <t>Bedrijfsuitrusting/inventaris</t>
  </si>
  <si>
    <t>Bijzonderheden</t>
  </si>
  <si>
    <t>Betreft een verhuizing van de locatie</t>
  </si>
  <si>
    <t>Sorbonnelaan 2 te Utrecht naar</t>
  </si>
  <si>
    <t>de nieuwbouw in Leiden</t>
  </si>
  <si>
    <t>Bestemming pand Sorbonnelaan 2</t>
  </si>
  <si>
    <t>te Utrecht nog niet bekend</t>
  </si>
  <si>
    <t>24-02-2021</t>
  </si>
  <si>
    <t>Stand per 1-7-2021</t>
  </si>
  <si>
    <t>Stand per 01-07-2021</t>
  </si>
  <si>
    <t>4060549-3</t>
  </si>
  <si>
    <t>24-02-2024</t>
  </si>
  <si>
    <t>Lengkeek B.V.</t>
  </si>
  <si>
    <t>15-02-2021</t>
  </si>
  <si>
    <t>15-02-2027</t>
  </si>
  <si>
    <t>Verzekerd bedrag oud</t>
  </si>
  <si>
    <t>Verzekerd bedrag nieuw</t>
  </si>
  <si>
    <t>22-02-2021</t>
  </si>
  <si>
    <t>4060549-1</t>
  </si>
  <si>
    <t>22-02-2024</t>
  </si>
  <si>
    <t>12 april 2021</t>
  </si>
  <si>
    <t>Landleven 12 te Groningen</t>
  </si>
  <si>
    <t>- Bedrijfsuitrusting/Inventaris</t>
  </si>
  <si>
    <t>- Computerapparatuur</t>
  </si>
  <si>
    <t>- Gebouwen</t>
  </si>
  <si>
    <t>De Boelelaan 1077A te Amsterdam</t>
  </si>
  <si>
    <t>Taxatie huurdersbelang/bedrijfsuitrusting</t>
  </si>
  <si>
    <t>- Huurderbslang</t>
  </si>
  <si>
    <t>- Bedrijfsuitrusting/inventaris</t>
  </si>
  <si>
    <t>- Computerappatuur</t>
  </si>
  <si>
    <t>- Bedrijfsuitrusting -&gt; investering 2011-2015</t>
  </si>
  <si>
    <t>Lengkeek Taxaties / 4060549-5 / d.d. 12-04-2021</t>
  </si>
  <si>
    <t>4060549-5</t>
  </si>
  <si>
    <t>12-04-2021</t>
  </si>
  <si>
    <t>12-04-2024</t>
  </si>
  <si>
    <t>01-03-2021</t>
  </si>
  <si>
    <t>Taxatie bedrijfsuitrusting</t>
  </si>
  <si>
    <t>Science Park 123 te Amsterdam</t>
  </si>
  <si>
    <t xml:space="preserve">- Bedrijfsuitrusting </t>
  </si>
  <si>
    <t xml:space="preserve">App. bouw </t>
  </si>
  <si>
    <t>supercomp.</t>
  </si>
  <si>
    <t>Niet langer separaat vermeld in voornoemd taxatierapport</t>
  </si>
  <si>
    <t>4060549-2</t>
  </si>
  <si>
    <t>01-03-2024</t>
  </si>
  <si>
    <t>09-03-2021</t>
  </si>
  <si>
    <t xml:space="preserve">Oude Hoogeveensedijk 4 </t>
  </si>
  <si>
    <t>(en diverse adressen) te Dwingeloo</t>
  </si>
  <si>
    <t xml:space="preserve">Oude Hoogeveensedijk 4-6 </t>
  </si>
  <si>
    <t>- Bedrijfsuitrusting</t>
  </si>
  <si>
    <t>Schattenberg 2 te Zwiggelte</t>
  </si>
  <si>
    <t>- Bedrijfsuitrusting (meet- en regelapp)</t>
  </si>
  <si>
    <t>Instrumenten/meetapp</t>
  </si>
  <si>
    <t>Vervallen - opgenomen in nieuwe taxatierapport</t>
  </si>
  <si>
    <t>Incl. niet vaste taxatie + BTW</t>
  </si>
  <si>
    <t>WSRT Installatie</t>
  </si>
  <si>
    <t>4060549-4</t>
  </si>
  <si>
    <t>09-03-2024</t>
  </si>
  <si>
    <t>De Zaale 20 te Eindhoven</t>
  </si>
  <si>
    <t>Taxatie bedrijfsuitrusting/inventaris</t>
  </si>
  <si>
    <t>- Computerapparatur</t>
  </si>
  <si>
    <t>Supergeleide magneet</t>
  </si>
  <si>
    <t>222065-020-0</t>
  </si>
  <si>
    <t>Komen te vervallen - opgenomen in totaalbedrag bedrijfsuitrusting na hertaxatie</t>
  </si>
  <si>
    <t>Science Park 103, 105, 107, 108 en 110</t>
  </si>
  <si>
    <t>te Amsterdam</t>
  </si>
  <si>
    <t>Wijziging risico-adres van Science Park 103, 105, 108 en 120 in Science Park 103, 105, 107, 108 en 110</t>
  </si>
  <si>
    <t>Science park 105</t>
  </si>
  <si>
    <t>Science park 103</t>
  </si>
  <si>
    <t>Science park 107</t>
  </si>
  <si>
    <t>Science park 108</t>
  </si>
  <si>
    <t>Science park 110</t>
  </si>
  <si>
    <t>Nr. 103</t>
  </si>
  <si>
    <t>Nr. 105</t>
  </si>
  <si>
    <t>Nr. 107</t>
  </si>
  <si>
    <t>Nr. 108</t>
  </si>
  <si>
    <t>Nr. 110</t>
  </si>
  <si>
    <t>- Niet verrekenbare BTW + Niet op vaste taxatie</t>
  </si>
  <si>
    <t>- Algemeen</t>
  </si>
  <si>
    <t>Algemeen</t>
  </si>
  <si>
    <t>BTW + Niet op vaste taxatie</t>
  </si>
  <si>
    <t xml:space="preserve">  </t>
  </si>
  <si>
    <t>222061-02-0</t>
  </si>
  <si>
    <t>Alle nr's</t>
  </si>
  <si>
    <t>Taxatie gebouwen</t>
  </si>
  <si>
    <t>Zuider Haaks 17b-c, 18 en 20 / Landsdiep 4</t>
  </si>
  <si>
    <t>te Den Hoorn (Texel)</t>
  </si>
  <si>
    <t>Landsdiep 4 te Den Hoorn (Texel)</t>
  </si>
  <si>
    <t>10-02-2021</t>
  </si>
  <si>
    <t>Science Park 104 te Amsterdam</t>
  </si>
  <si>
    <t xml:space="preserve">Troostwijk Taxaties  </t>
  </si>
  <si>
    <t>222062-02-0</t>
  </si>
  <si>
    <t>10-02-2024</t>
  </si>
  <si>
    <t xml:space="preserve">Wijziging risico-adres van Science Park 104 en 113 in Science Park 104 </t>
  </si>
  <si>
    <t xml:space="preserve">Science Park 104 </t>
  </si>
  <si>
    <t>Hertaxatie d.d. 10-02-2021</t>
  </si>
  <si>
    <t>Hertaxatie d.d. 22-02-2021</t>
  </si>
  <si>
    <t>Landsdiep 4, Zuider Haaks 17b, 17c, 18 en 20</t>
  </si>
  <si>
    <t xml:space="preserve">Hertaxatie d.d. 15-02-2021 </t>
  </si>
  <si>
    <t>Wijziging risico-adres: Afvoer t/m 6 in het huisnummer</t>
  </si>
  <si>
    <t>Hertaxatie d.d. 09-03-2021</t>
  </si>
  <si>
    <t>Vervallen - geen separate vermelding in taxatierapport</t>
  </si>
  <si>
    <t>N.o.t.g.</t>
  </si>
  <si>
    <t>Hertaxatie d.d. 01-03-2021</t>
  </si>
  <si>
    <t>Hertaxatie 01-03-2021</t>
  </si>
  <si>
    <t>Taxatie huurdersbelang en inventaris</t>
  </si>
  <si>
    <t>Science Park 106 te Amsterdam</t>
  </si>
  <si>
    <t>09-02-2021</t>
  </si>
  <si>
    <t>- Huurdersbelang</t>
  </si>
  <si>
    <t>01-01-2021</t>
  </si>
  <si>
    <t xml:space="preserve">Troostwijk Taxatie </t>
  </si>
  <si>
    <t>222064-02-0</t>
  </si>
  <si>
    <t>09-02-2024</t>
  </si>
  <si>
    <t>Hertaxatie d.d. 09-02-2021</t>
  </si>
  <si>
    <t>Komen te vervallen - samengevoegd met andere regels specificatie na hertaxatie</t>
  </si>
  <si>
    <t>Troostwijk Taxatie</t>
  </si>
  <si>
    <t xml:space="preserve">Hertaxatie d.d. 24-02-2021 </t>
  </si>
  <si>
    <t>Wijziging risico-adres: Afvoer Zuider Haaks nummers 5 en 7 (niet vermeld in taxatierapport) + opvoer nr. 17b, 17c</t>
  </si>
  <si>
    <t>Controletelling 01-01-2021</t>
  </si>
  <si>
    <t xml:space="preserve">Elektronische apparatuur </t>
  </si>
  <si>
    <t>Klein Molest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</si>
</sst>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64" formatCode="0.00000"/>
    <numFmt numFmtId="165" formatCode="_ &quot;€&quot;\ * #,##0.00000_ ;_ &quot;€&quot;\ * \-#,##0.00000_ ;_ &quot;€&quot;\ * &quot;-&quot;?????_ ;_ @_ "/>
    <numFmt numFmtId="166" formatCode="0.0"/>
    <numFmt numFmtId="167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 applyBorder="1"/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Fill="1"/>
    <xf numFmtId="0" fontId="2" fillId="0" borderId="0" xfId="0" applyFont="1"/>
    <xf numFmtId="0" fontId="4" fillId="0" borderId="0" xfId="0" applyFont="1" applyFill="1" applyBorder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9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7" borderId="0" xfId="0" applyNumberFormat="1" applyFill="1" applyAlignment="1">
      <alignment horizontal="center"/>
    </xf>
    <xf numFmtId="44" fontId="3" fillId="5" borderId="1" xfId="1" applyFont="1" applyFill="1" applyBorder="1"/>
    <xf numFmtId="44" fontId="3" fillId="5" borderId="1" xfId="0" applyNumberFormat="1" applyFont="1" applyFill="1" applyBorder="1"/>
    <xf numFmtId="0" fontId="5" fillId="7" borderId="0" xfId="0" applyFont="1" applyFill="1" applyAlignment="1">
      <alignment horizontal="center"/>
    </xf>
    <xf numFmtId="164" fontId="5" fillId="7" borderId="0" xfId="0" applyNumberFormat="1" applyFont="1" applyFill="1" applyAlignment="1">
      <alignment horizontal="center"/>
    </xf>
    <xf numFmtId="0" fontId="3" fillId="0" borderId="0" xfId="0" applyFont="1"/>
    <xf numFmtId="44" fontId="0" fillId="0" borderId="0" xfId="0" applyNumberFormat="1"/>
    <xf numFmtId="44" fontId="6" fillId="0" borderId="0" xfId="0" applyNumberFormat="1" applyFont="1"/>
    <xf numFmtId="0" fontId="4" fillId="0" borderId="0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4" fontId="6" fillId="0" borderId="0" xfId="1" applyFont="1"/>
    <xf numFmtId="165" fontId="6" fillId="0" borderId="0" xfId="0" applyNumberFormat="1" applyFont="1"/>
    <xf numFmtId="0" fontId="8" fillId="2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/>
    <xf numFmtId="0" fontId="0" fillId="0" borderId="0" xfId="0" applyBorder="1"/>
    <xf numFmtId="14" fontId="0" fillId="0" borderId="0" xfId="0" quotePrefix="1" applyNumberFormat="1" applyAlignment="1">
      <alignment horizontal="center"/>
    </xf>
    <xf numFmtId="166" fontId="0" fillId="0" borderId="5" xfId="0" applyNumberFormat="1" applyBorder="1" applyAlignment="1">
      <alignment horizontal="center"/>
    </xf>
    <xf numFmtId="0" fontId="2" fillId="0" borderId="4" xfId="0" applyFont="1" applyBorder="1"/>
    <xf numFmtId="166" fontId="2" fillId="0" borderId="5" xfId="0" applyNumberFormat="1" applyFont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44" fontId="1" fillId="5" borderId="2" xfId="1" applyFont="1" applyFill="1" applyBorder="1"/>
    <xf numFmtId="0" fontId="3" fillId="5" borderId="1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0" fontId="0" fillId="0" borderId="0" xfId="0" applyAlignment="1">
      <alignment horizontal="center"/>
    </xf>
    <xf numFmtId="0" fontId="3" fillId="0" borderId="0" xfId="0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5" fillId="0" borderId="18" xfId="0" applyFont="1" applyBorder="1" applyAlignment="1">
      <alignment horizontal="center"/>
    </xf>
    <xf numFmtId="44" fontId="0" fillId="0" borderId="2" xfId="0" applyNumberFormat="1" applyBorder="1"/>
    <xf numFmtId="44" fontId="0" fillId="0" borderId="2" xfId="1" applyFont="1" applyBorder="1"/>
    <xf numFmtId="44" fontId="0" fillId="0" borderId="0" xfId="0" applyNumberFormat="1" applyFill="1"/>
    <xf numFmtId="0" fontId="0" fillId="2" borderId="1" xfId="0" applyFont="1" applyFill="1" applyBorder="1" applyAlignment="1">
      <alignment horizontal="center"/>
    </xf>
    <xf numFmtId="44" fontId="3" fillId="0" borderId="1" xfId="1" applyFont="1" applyFill="1" applyBorder="1"/>
    <xf numFmtId="44" fontId="3" fillId="2" borderId="1" xfId="0" applyNumberFormat="1" applyFont="1" applyFill="1" applyBorder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44" fontId="4" fillId="0" borderId="2" xfId="1" applyFont="1" applyBorder="1"/>
    <xf numFmtId="0" fontId="0" fillId="0" borderId="2" xfId="0" applyBorder="1"/>
    <xf numFmtId="44" fontId="0" fillId="5" borderId="14" xfId="0" applyNumberFormat="1" applyFont="1" applyFill="1" applyBorder="1"/>
    <xf numFmtId="44" fontId="0" fillId="5" borderId="16" xfId="0" applyNumberFormat="1" applyFont="1" applyFill="1" applyBorder="1"/>
    <xf numFmtId="44" fontId="0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/>
    <xf numFmtId="44" fontId="4" fillId="0" borderId="2" xfId="1" applyFont="1" applyFill="1" applyBorder="1"/>
    <xf numFmtId="44" fontId="0" fillId="0" borderId="20" xfId="1" applyFont="1" applyBorder="1"/>
    <xf numFmtId="0" fontId="3" fillId="5" borderId="14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0" fillId="0" borderId="21" xfId="0" applyBorder="1"/>
    <xf numFmtId="0" fontId="0" fillId="6" borderId="14" xfId="0" applyFont="1" applyFill="1" applyBorder="1"/>
    <xf numFmtId="44" fontId="0" fillId="6" borderId="16" xfId="0" applyNumberFormat="1" applyFont="1" applyFill="1" applyBorder="1"/>
    <xf numFmtId="0" fontId="3" fillId="5" borderId="22" xfId="0" applyFont="1" applyFill="1" applyBorder="1" applyAlignment="1">
      <alignment horizontal="center"/>
    </xf>
    <xf numFmtId="44" fontId="0" fillId="0" borderId="23" xfId="1" applyFont="1" applyBorder="1"/>
    <xf numFmtId="44" fontId="4" fillId="0" borderId="9" xfId="1" applyFont="1" applyBorder="1"/>
    <xf numFmtId="0" fontId="0" fillId="0" borderId="9" xfId="0" applyBorder="1"/>
    <xf numFmtId="0" fontId="0" fillId="0" borderId="24" xfId="0" applyBorder="1"/>
    <xf numFmtId="44" fontId="0" fillId="5" borderId="22" xfId="0" applyNumberFormat="1" applyFont="1" applyFill="1" applyBorder="1"/>
    <xf numFmtId="0" fontId="3" fillId="2" borderId="14" xfId="0" applyFont="1" applyFill="1" applyBorder="1" applyAlignment="1">
      <alignment horizontal="center"/>
    </xf>
    <xf numFmtId="44" fontId="0" fillId="0" borderId="25" xfId="1" applyFont="1" applyBorder="1"/>
    <xf numFmtId="44" fontId="4" fillId="0" borderId="19" xfId="1" applyFont="1" applyBorder="1"/>
    <xf numFmtId="0" fontId="0" fillId="0" borderId="19" xfId="0" applyBorder="1"/>
    <xf numFmtId="0" fontId="0" fillId="0" borderId="26" xfId="0" applyBorder="1"/>
    <xf numFmtId="44" fontId="3" fillId="2" borderId="14" xfId="0" applyNumberFormat="1" applyFont="1" applyFill="1" applyBorder="1"/>
    <xf numFmtId="0" fontId="0" fillId="0" borderId="20" xfId="0" applyBorder="1"/>
    <xf numFmtId="44" fontId="0" fillId="0" borderId="21" xfId="1" applyFont="1" applyBorder="1"/>
    <xf numFmtId="44" fontId="1" fillId="6" borderId="14" xfId="1" applyFont="1" applyFill="1" applyBorder="1"/>
    <xf numFmtId="0" fontId="0" fillId="5" borderId="14" xfId="0" applyFont="1" applyFill="1" applyBorder="1" applyAlignment="1">
      <alignment horizontal="center"/>
    </xf>
    <xf numFmtId="0" fontId="0" fillId="5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4" fillId="0" borderId="9" xfId="0" applyFont="1" applyBorder="1"/>
    <xf numFmtId="0" fontId="4" fillId="0" borderId="19" xfId="0" applyFont="1" applyBorder="1"/>
    <xf numFmtId="44" fontId="4" fillId="0" borderId="9" xfId="1" applyFont="1" applyFill="1" applyBorder="1"/>
    <xf numFmtId="44" fontId="0" fillId="6" borderId="22" xfId="0" applyNumberFormat="1" applyFont="1" applyFill="1" applyBorder="1"/>
    <xf numFmtId="44" fontId="4" fillId="0" borderId="19" xfId="1" applyFont="1" applyFill="1" applyBorder="1"/>
    <xf numFmtId="44" fontId="0" fillId="2" borderId="14" xfId="0" applyNumberFormat="1" applyFont="1" applyFill="1" applyBorder="1"/>
    <xf numFmtId="0" fontId="0" fillId="0" borderId="23" xfId="0" applyBorder="1"/>
    <xf numFmtId="44" fontId="0" fillId="0" borderId="9" xfId="1" applyFont="1" applyBorder="1"/>
    <xf numFmtId="44" fontId="0" fillId="0" borderId="24" xfId="1" applyFont="1" applyBorder="1"/>
    <xf numFmtId="0" fontId="0" fillId="5" borderId="22" xfId="0" applyFont="1" applyFill="1" applyBorder="1" applyAlignment="1">
      <alignment horizontal="center"/>
    </xf>
    <xf numFmtId="44" fontId="1" fillId="5" borderId="14" xfId="1" applyFont="1" applyFill="1" applyBorder="1"/>
    <xf numFmtId="44" fontId="1" fillId="5" borderId="16" xfId="1" applyFont="1" applyFill="1" applyBorder="1"/>
    <xf numFmtId="44" fontId="1" fillId="5" borderId="22" xfId="1" applyFont="1" applyFill="1" applyBorder="1"/>
    <xf numFmtId="0" fontId="5" fillId="0" borderId="21" xfId="0" applyFont="1" applyBorder="1" applyAlignment="1">
      <alignment horizontal="center"/>
    </xf>
    <xf numFmtId="44" fontId="0" fillId="0" borderId="2" xfId="1" applyFont="1" applyFill="1" applyBorder="1"/>
    <xf numFmtId="44" fontId="0" fillId="4" borderId="2" xfId="1" applyFont="1" applyFill="1" applyBorder="1"/>
    <xf numFmtId="44" fontId="0" fillId="0" borderId="19" xfId="1" applyFont="1" applyBorder="1"/>
    <xf numFmtId="44" fontId="3" fillId="2" borderId="14" xfId="1" applyFont="1" applyFill="1" applyBorder="1"/>
    <xf numFmtId="0" fontId="0" fillId="5" borderId="2" xfId="0" applyFont="1" applyFill="1" applyBorder="1" applyAlignment="1">
      <alignment horizontal="center"/>
    </xf>
    <xf numFmtId="44" fontId="2" fillId="0" borderId="2" xfId="1" applyFont="1" applyBorder="1"/>
    <xf numFmtId="0" fontId="0" fillId="0" borderId="25" xfId="0" applyBorder="1"/>
    <xf numFmtId="44" fontId="0" fillId="0" borderId="26" xfId="1" applyFont="1" applyBorder="1"/>
    <xf numFmtId="0" fontId="0" fillId="8" borderId="17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44" fontId="0" fillId="0" borderId="9" xfId="0" applyNumberFormat="1" applyBorder="1"/>
    <xf numFmtId="0" fontId="12" fillId="2" borderId="14" xfId="0" applyFont="1" applyFill="1" applyBorder="1" applyAlignment="1">
      <alignment horizontal="center"/>
    </xf>
    <xf numFmtId="44" fontId="0" fillId="0" borderId="19" xfId="0" applyNumberFormat="1" applyBorder="1"/>
    <xf numFmtId="44" fontId="3" fillId="0" borderId="1" xfId="0" applyNumberFormat="1" applyFont="1" applyBorder="1"/>
    <xf numFmtId="0" fontId="3" fillId="0" borderId="0" xfId="0" applyFont="1" applyAlignment="1">
      <alignment horizontal="left"/>
    </xf>
    <xf numFmtId="0" fontId="3" fillId="4" borderId="6" xfId="0" applyFont="1" applyFill="1" applyBorder="1"/>
    <xf numFmtId="166" fontId="3" fillId="4" borderId="7" xfId="0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quotePrefix="1" applyFont="1"/>
    <xf numFmtId="0" fontId="3" fillId="9" borderId="1" xfId="0" applyFont="1" applyFill="1" applyBorder="1" applyAlignment="1">
      <alignment horizontal="center"/>
    </xf>
    <xf numFmtId="44" fontId="3" fillId="0" borderId="23" xfId="1" applyFont="1" applyBorder="1"/>
    <xf numFmtId="44" fontId="12" fillId="0" borderId="9" xfId="1" applyFont="1" applyBorder="1"/>
    <xf numFmtId="0" fontId="3" fillId="0" borderId="9" xfId="0" applyFont="1" applyBorder="1"/>
    <xf numFmtId="44" fontId="3" fillId="2" borderId="22" xfId="0" applyNumberFormat="1" applyFont="1" applyFill="1" applyBorder="1"/>
    <xf numFmtId="44" fontId="3" fillId="9" borderId="2" xfId="1" applyFont="1" applyFill="1" applyBorder="1"/>
    <xf numFmtId="44" fontId="12" fillId="9" borderId="2" xfId="1" applyFont="1" applyFill="1" applyBorder="1"/>
    <xf numFmtId="0" fontId="3" fillId="9" borderId="2" xfId="0" applyFont="1" applyFill="1" applyBorder="1"/>
    <xf numFmtId="0" fontId="0" fillId="9" borderId="2" xfId="0" applyFill="1" applyBorder="1"/>
    <xf numFmtId="44" fontId="3" fillId="9" borderId="2" xfId="0" applyNumberFormat="1" applyFont="1" applyFill="1" applyBorder="1"/>
    <xf numFmtId="44" fontId="3" fillId="9" borderId="20" xfId="1" applyFont="1" applyFill="1" applyBorder="1"/>
    <xf numFmtId="0" fontId="12" fillId="0" borderId="9" xfId="0" applyFont="1" applyBorder="1"/>
    <xf numFmtId="44" fontId="12" fillId="0" borderId="9" xfId="1" applyFont="1" applyFill="1" applyBorder="1"/>
    <xf numFmtId="44" fontId="0" fillId="9" borderId="2" xfId="1" applyFont="1" applyFill="1" applyBorder="1"/>
    <xf numFmtId="0" fontId="12" fillId="9" borderId="2" xfId="0" applyFont="1" applyFill="1" applyBorder="1"/>
    <xf numFmtId="44" fontId="0" fillId="9" borderId="20" xfId="1" applyFont="1" applyFill="1" applyBorder="1"/>
    <xf numFmtId="0" fontId="0" fillId="9" borderId="21" xfId="0" applyFill="1" applyBorder="1"/>
    <xf numFmtId="44" fontId="3" fillId="9" borderId="1" xfId="0" applyNumberFormat="1" applyFont="1" applyFill="1" applyBorder="1"/>
    <xf numFmtId="44" fontId="3" fillId="0" borderId="9" xfId="1" applyFont="1" applyBorder="1"/>
    <xf numFmtId="44" fontId="3" fillId="2" borderId="22" xfId="1" applyFont="1" applyFill="1" applyBorder="1"/>
    <xf numFmtId="44" fontId="3" fillId="9" borderId="1" xfId="1" applyFont="1" applyFill="1" applyBorder="1"/>
    <xf numFmtId="0" fontId="0" fillId="9" borderId="20" xfId="0" applyFill="1" applyBorder="1"/>
    <xf numFmtId="44" fontId="0" fillId="9" borderId="21" xfId="1" applyFont="1" applyFill="1" applyBorder="1"/>
    <xf numFmtId="44" fontId="3" fillId="0" borderId="9" xfId="0" applyNumberFormat="1" applyFont="1" applyBorder="1"/>
    <xf numFmtId="44" fontId="4" fillId="0" borderId="0" xfId="1" quotePrefix="1" applyFont="1" applyFill="1" applyBorder="1" applyAlignment="1">
      <alignment horizontal="center"/>
    </xf>
    <xf numFmtId="0" fontId="3" fillId="9" borderId="1" xfId="0" applyFont="1" applyFill="1" applyBorder="1"/>
    <xf numFmtId="0" fontId="3" fillId="9" borderId="17" xfId="0" applyFont="1" applyFill="1" applyBorder="1" applyAlignment="1">
      <alignment horizontal="center"/>
    </xf>
    <xf numFmtId="44" fontId="0" fillId="9" borderId="23" xfId="1" applyFont="1" applyFill="1" applyBorder="1"/>
    <xf numFmtId="44" fontId="12" fillId="9" borderId="9" xfId="1" applyFont="1" applyFill="1" applyBorder="1"/>
    <xf numFmtId="44" fontId="3" fillId="9" borderId="9" xfId="1" applyFont="1" applyFill="1" applyBorder="1"/>
    <xf numFmtId="0" fontId="0" fillId="9" borderId="9" xfId="0" applyFill="1" applyBorder="1"/>
    <xf numFmtId="0" fontId="0" fillId="9" borderId="24" xfId="0" applyFill="1" applyBorder="1"/>
    <xf numFmtId="44" fontId="3" fillId="9" borderId="17" xfId="1" applyFont="1" applyFill="1" applyBorder="1"/>
    <xf numFmtId="44" fontId="3" fillId="9" borderId="23" xfId="1" applyFont="1" applyFill="1" applyBorder="1"/>
    <xf numFmtId="0" fontId="3" fillId="9" borderId="9" xfId="0" applyFont="1" applyFill="1" applyBorder="1"/>
    <xf numFmtId="44" fontId="3" fillId="9" borderId="17" xfId="0" applyNumberFormat="1" applyFont="1" applyFill="1" applyBorder="1"/>
    <xf numFmtId="0" fontId="12" fillId="9" borderId="9" xfId="0" applyFont="1" applyFill="1" applyBorder="1"/>
    <xf numFmtId="0" fontId="0" fillId="9" borderId="23" xfId="0" applyFill="1" applyBorder="1"/>
    <xf numFmtId="44" fontId="0" fillId="9" borderId="24" xfId="1" applyFont="1" applyFill="1" applyBorder="1"/>
    <xf numFmtId="44" fontId="0" fillId="9" borderId="9" xfId="1" applyFont="1" applyFill="1" applyBorder="1"/>
    <xf numFmtId="44" fontId="3" fillId="9" borderId="9" xfId="0" applyNumberFormat="1" applyFont="1" applyFill="1" applyBorder="1"/>
    <xf numFmtId="0" fontId="3" fillId="2" borderId="17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15" fontId="4" fillId="0" borderId="0" xfId="0" quotePrefix="1" applyNumberFormat="1" applyFont="1"/>
    <xf numFmtId="0" fontId="4" fillId="0" borderId="0" xfId="0" applyFont="1" applyAlignment="1">
      <alignment horizontal="center"/>
    </xf>
    <xf numFmtId="44" fontId="4" fillId="0" borderId="0" xfId="1" applyFont="1" applyAlignment="1">
      <alignment horizontal="center"/>
    </xf>
    <xf numFmtId="44" fontId="4" fillId="0" borderId="2" xfId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44" fontId="4" fillId="0" borderId="0" xfId="0" applyNumberFormat="1" applyFont="1"/>
    <xf numFmtId="44" fontId="4" fillId="0" borderId="0" xfId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4" fontId="0" fillId="0" borderId="0" xfId="1" applyFont="1" applyBorder="1"/>
    <xf numFmtId="44" fontId="0" fillId="0" borderId="0" xfId="0" applyNumberFormat="1" applyBorder="1"/>
    <xf numFmtId="0" fontId="13" fillId="0" borderId="0" xfId="0" applyFont="1"/>
    <xf numFmtId="0" fontId="0" fillId="0" borderId="0" xfId="0" applyFont="1"/>
    <xf numFmtId="0" fontId="3" fillId="2" borderId="15" xfId="0" quotePrefix="1" applyFont="1" applyFill="1" applyBorder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4" fontId="2" fillId="0" borderId="0" xfId="1" applyFont="1"/>
    <xf numFmtId="0" fontId="0" fillId="0" borderId="0" xfId="0" applyFill="1" applyBorder="1"/>
    <xf numFmtId="0" fontId="0" fillId="0" borderId="0" xfId="0" applyFill="1" applyAlignment="1">
      <alignment horizontal="center"/>
    </xf>
    <xf numFmtId="167" fontId="0" fillId="0" borderId="0" xfId="0" applyNumberFormat="1" applyFill="1" applyAlignment="1">
      <alignment horizontal="center"/>
    </xf>
    <xf numFmtId="9" fontId="0" fillId="0" borderId="0" xfId="2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1695450</xdr:colOff>
      <xdr:row>0</xdr:row>
      <xdr:rowOff>0</xdr:rowOff>
    </xdr:from>
    <xdr:to>
      <xdr:col>7</xdr:col>
      <xdr:colOff>1123950</xdr:colOff>
      <xdr:row>5</xdr:row>
      <xdr:rowOff>95250</xdr:rowOff>
    </xdr:to>
    <xdr:pic>
      <xdr:nvPicPr>
        <xdr:cNvPr id="3" name="Afbeelding 2" descr="Afbeeldingsresultaat voor NWO-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0"/>
          <a:ext cx="28575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1276350</xdr:colOff>
      <xdr:row>0</xdr:row>
      <xdr:rowOff>133350</xdr:rowOff>
    </xdr:from>
    <xdr:to>
      <xdr:col>3</xdr:col>
      <xdr:colOff>790575</xdr:colOff>
      <xdr:row>3</xdr:row>
      <xdr:rowOff>93656</xdr:rowOff>
    </xdr:to>
    <xdr:pic>
      <xdr:nvPicPr>
        <xdr:cNvPr id="2" name="Afbeelding 1" descr="Afbeeldingsresultaat voor NSC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33350"/>
          <a:ext cx="1752600" cy="579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51601</xdr:colOff>
      <xdr:row>2</xdr:row>
      <xdr:rowOff>133350</xdr:rowOff>
    </xdr:to>
    <xdr:pic>
      <xdr:nvPicPr>
        <xdr:cNvPr id="2" name="Afbeelding 1" descr="Afbeeldingsresultaat voor nikhe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90500"/>
          <a:ext cx="1099351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66675</xdr:rowOff>
    </xdr:to>
    <xdr:sp macro="" textlink="">
      <xdr:nvSpPr>
        <xdr:cNvPr id="3073" name="AutoShape 1" descr="Afbeeldingsresultaat voor Amolf"/>
        <xdr:cNvSpPr>
          <a:spLocks noChangeAspect="1" noChangeArrowheads="1"/>
        </xdr:cNvSpPr>
      </xdr:nvSpPr>
      <xdr:spPr bwMode="auto">
        <a:xfrm>
          <a:off x="44862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66675</xdr:rowOff>
    </xdr:to>
    <xdr:sp macro="" textlink="">
      <xdr:nvSpPr>
        <xdr:cNvPr id="3074" name="AutoShape 2" descr="Afbeeldingsresultaat voor Amolf"/>
        <xdr:cNvSpPr>
          <a:spLocks noChangeAspect="1" noChangeArrowheads="1"/>
        </xdr:cNvSpPr>
      </xdr:nvSpPr>
      <xdr:spPr bwMode="auto">
        <a:xfrm>
          <a:off x="44862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66675</xdr:rowOff>
    </xdr:to>
    <xdr:sp macro="" textlink="">
      <xdr:nvSpPr>
        <xdr:cNvPr id="3075" name="AutoShape 3" descr="Afbeeldingsresultaat voor Amolf"/>
        <xdr:cNvSpPr>
          <a:spLocks noChangeAspect="1" noChangeArrowheads="1"/>
        </xdr:cNvSpPr>
      </xdr:nvSpPr>
      <xdr:spPr bwMode="auto">
        <a:xfrm>
          <a:off x="44862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114300</xdr:rowOff>
    </xdr:to>
    <xdr:sp macro="" textlink="">
      <xdr:nvSpPr>
        <xdr:cNvPr id="3077" name="AutoShape 5" descr="https://amolf.nl/wp-content/themes/amolf/assets/img/logo--amolf.svg"/>
        <xdr:cNvSpPr>
          <a:spLocks noChangeAspect="1" noChangeArrowheads="1"/>
        </xdr:cNvSpPr>
      </xdr:nvSpPr>
      <xdr:spPr bwMode="auto">
        <a:xfrm>
          <a:off x="4486275" y="428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114300</xdr:rowOff>
    </xdr:to>
    <xdr:sp macro="" textlink="">
      <xdr:nvSpPr>
        <xdr:cNvPr id="3078" name="AutoShape 6" descr="https://amolf.nl/wp-content/themes/amolf/assets/img/logo--amolf.svg"/>
        <xdr:cNvSpPr>
          <a:spLocks noChangeAspect="1" noChangeArrowheads="1"/>
        </xdr:cNvSpPr>
      </xdr:nvSpPr>
      <xdr:spPr bwMode="auto">
        <a:xfrm>
          <a:off x="2105025" y="445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66675</xdr:rowOff>
    </xdr:to>
    <xdr:sp macro="" textlink="">
      <xdr:nvSpPr>
        <xdr:cNvPr id="3083" name="AutoShape 11" descr="Afbeeldingsresultaat voor AMOLF"/>
        <xdr:cNvSpPr>
          <a:spLocks noChangeAspect="1" noChangeArrowheads="1"/>
        </xdr:cNvSpPr>
      </xdr:nvSpPr>
      <xdr:spPr bwMode="auto">
        <a:xfrm>
          <a:off x="55340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238125</xdr:colOff>
      <xdr:row>0</xdr:row>
      <xdr:rowOff>0</xdr:rowOff>
    </xdr:from>
    <xdr:to>
      <xdr:col>4</xdr:col>
      <xdr:colOff>638175</xdr:colOff>
      <xdr:row>4</xdr:row>
      <xdr:rowOff>155575</xdr:rowOff>
    </xdr:to>
    <xdr:pic>
      <xdr:nvPicPr>
        <xdr:cNvPr id="13" name="Afbeelding 12" descr="Afbeeldingsresultaat voor AMOL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0"/>
          <a:ext cx="1447800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47625</xdr:rowOff>
    </xdr:from>
    <xdr:to>
      <xdr:col>3</xdr:col>
      <xdr:colOff>895350</xdr:colOff>
      <xdr:row>3</xdr:row>
      <xdr:rowOff>57150</xdr:rowOff>
    </xdr:to>
    <xdr:pic>
      <xdr:nvPicPr>
        <xdr:cNvPr id="2" name="Afbeelding 1" descr="Afbeeldingsresultaat voor SR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4762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104657</xdr:colOff>
      <xdr:row>2</xdr:row>
      <xdr:rowOff>142875</xdr:rowOff>
    </xdr:to>
    <xdr:pic>
      <xdr:nvPicPr>
        <xdr:cNvPr id="2" name="Afbeelding 1" descr="Afbeeldingsresultaat voor arcn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90500"/>
          <a:ext cx="115240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0</xdr:row>
      <xdr:rowOff>142875</xdr:rowOff>
    </xdr:from>
    <xdr:to>
      <xdr:col>4</xdr:col>
      <xdr:colOff>115594</xdr:colOff>
      <xdr:row>2</xdr:row>
      <xdr:rowOff>152400</xdr:rowOff>
    </xdr:to>
    <xdr:pic>
      <xdr:nvPicPr>
        <xdr:cNvPr id="2" name="Afbeelding 1" descr="Afbeeldingsresultaat voor diff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42875"/>
          <a:ext cx="1325269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1866900</xdr:colOff>
      <xdr:row>0</xdr:row>
      <xdr:rowOff>171450</xdr:rowOff>
    </xdr:from>
    <xdr:to>
      <xdr:col>3</xdr:col>
      <xdr:colOff>420443</xdr:colOff>
      <xdr:row>3</xdr:row>
      <xdr:rowOff>57150</xdr:rowOff>
    </xdr:to>
    <xdr:pic>
      <xdr:nvPicPr>
        <xdr:cNvPr id="2" name="Afbeelding 1" descr="Afbeeldingsresultaat voor CW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71450"/>
          <a:ext cx="934793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1</xdr:row>
      <xdr:rowOff>28575</xdr:rowOff>
    </xdr:from>
    <xdr:to>
      <xdr:col>4</xdr:col>
      <xdr:colOff>668782</xdr:colOff>
      <xdr:row>2</xdr:row>
      <xdr:rowOff>152400</xdr:rowOff>
    </xdr:to>
    <xdr:pic>
      <xdr:nvPicPr>
        <xdr:cNvPr id="2" name="Afbeelding 1" descr="Afbeeldingsresultaat voor Astr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219075"/>
          <a:ext cx="1783207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1085850</xdr:colOff>
      <xdr:row>0</xdr:row>
      <xdr:rowOff>123825</xdr:rowOff>
    </xdr:from>
    <xdr:to>
      <xdr:col>5</xdr:col>
      <xdr:colOff>66675</xdr:colOff>
      <xdr:row>3</xdr:row>
      <xdr:rowOff>190500</xdr:rowOff>
    </xdr:to>
    <xdr:pic>
      <xdr:nvPicPr>
        <xdr:cNvPr id="2" name="Afbeelding 1" descr="Afbeeldingsresultaat voor NIO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23825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8"/>
  <sheetViews>
    <sheetView tabSelected="1" workbookViewId="0">
      <selection activeCell="J52" sqref="J52:K52"/>
    </sheetView>
  </sheetViews>
  <sheetFormatPr defaultRowHeight="15" x14ac:dyDescent="0.25"/>
  <cols>
    <col min="2" max="2" width="22.85546875" customWidth="1"/>
    <col min="3" max="3" width="22.85546875" style="40" hidden="1" customWidth="1"/>
    <col min="4" max="4" width="25.7109375" customWidth="1"/>
    <col min="5" max="5" width="25.7109375" hidden="1" customWidth="1"/>
    <col min="6" max="6" width="25.7109375" customWidth="1"/>
    <col min="7" max="9" width="25.7109375" style="40" customWidth="1"/>
    <col min="10" max="10" width="20.7109375" customWidth="1"/>
    <col min="11" max="11" width="20.7109375" style="40" customWidth="1"/>
    <col min="12" max="12" width="20.7109375" customWidth="1"/>
    <col min="13" max="14" width="17.7109375" customWidth="1"/>
  </cols>
  <sheetData>
    <row r="3" spans="2:14" ht="21.75" thickBot="1" x14ac:dyDescent="0.4">
      <c r="B3" s="25" t="s">
        <v>105</v>
      </c>
      <c r="C3" s="25"/>
      <c r="D3" s="29" t="s">
        <v>104</v>
      </c>
      <c r="M3" s="6"/>
    </row>
    <row r="4" spans="2:14" x14ac:dyDescent="0.25">
      <c r="B4" t="s">
        <v>106</v>
      </c>
      <c r="E4" s="25" t="s">
        <v>8</v>
      </c>
      <c r="L4" s="52" t="s">
        <v>127</v>
      </c>
      <c r="M4" s="50" t="s">
        <v>155</v>
      </c>
      <c r="N4" s="53" t="s">
        <v>33</v>
      </c>
    </row>
    <row r="5" spans="2:14" ht="15.75" thickBot="1" x14ac:dyDescent="0.3">
      <c r="B5" t="s">
        <v>107</v>
      </c>
      <c r="D5" s="19">
        <v>641123104</v>
      </c>
      <c r="F5" s="139" t="s">
        <v>8</v>
      </c>
      <c r="G5" s="63"/>
      <c r="H5"/>
      <c r="L5" s="54"/>
      <c r="M5" s="51" t="s">
        <v>44</v>
      </c>
      <c r="N5" s="55"/>
    </row>
    <row r="6" spans="2:14" s="40" customFormat="1" x14ac:dyDescent="0.25">
      <c r="B6" s="40" t="s">
        <v>150</v>
      </c>
      <c r="D6" s="42" t="s">
        <v>179</v>
      </c>
      <c r="F6" s="209" t="s">
        <v>185</v>
      </c>
      <c r="G6" s="25"/>
      <c r="L6" s="32" t="s">
        <v>128</v>
      </c>
      <c r="M6" s="33">
        <v>123.1</v>
      </c>
      <c r="N6" s="34">
        <v>116.6</v>
      </c>
    </row>
    <row r="7" spans="2:14" x14ac:dyDescent="0.25">
      <c r="H7"/>
      <c r="L7" s="32" t="s">
        <v>129</v>
      </c>
      <c r="M7" s="33">
        <v>125.8</v>
      </c>
      <c r="N7" s="34">
        <v>118.2</v>
      </c>
    </row>
    <row r="8" spans="2:14" x14ac:dyDescent="0.25">
      <c r="B8" s="11"/>
      <c r="C8" s="7"/>
      <c r="D8" s="212"/>
      <c r="F8" s="212"/>
      <c r="G8" s="212"/>
      <c r="H8" s="212"/>
      <c r="I8" s="212"/>
      <c r="L8" s="32" t="s">
        <v>130</v>
      </c>
      <c r="M8" s="33">
        <v>141.4</v>
      </c>
      <c r="N8" s="34">
        <v>123.6</v>
      </c>
    </row>
    <row r="9" spans="2:14" x14ac:dyDescent="0.25">
      <c r="D9" s="17"/>
      <c r="F9" s="18"/>
      <c r="G9" s="18"/>
      <c r="H9" s="212"/>
      <c r="I9" s="212"/>
      <c r="L9" s="44" t="s">
        <v>153</v>
      </c>
      <c r="M9" s="47">
        <v>100</v>
      </c>
      <c r="N9" s="45">
        <v>100</v>
      </c>
    </row>
    <row r="10" spans="2:14" x14ac:dyDescent="0.25">
      <c r="D10" s="17"/>
      <c r="F10" s="6"/>
      <c r="G10" s="75"/>
      <c r="H10" s="213"/>
      <c r="I10" s="213"/>
      <c r="L10" s="32" t="s">
        <v>131</v>
      </c>
      <c r="M10" s="46">
        <v>105</v>
      </c>
      <c r="N10" s="43">
        <v>101.6</v>
      </c>
    </row>
    <row r="11" spans="2:14" ht="15.75" thickBot="1" x14ac:dyDescent="0.3">
      <c r="D11" s="214"/>
      <c r="L11" s="140" t="s">
        <v>176</v>
      </c>
      <c r="M11" s="141">
        <v>108</v>
      </c>
      <c r="N11" s="142">
        <v>103.5</v>
      </c>
    </row>
    <row r="12" spans="2:14" x14ac:dyDescent="0.25">
      <c r="B12" t="s">
        <v>8</v>
      </c>
      <c r="M12" s="6"/>
    </row>
    <row r="13" spans="2:14" ht="15.75" thickBot="1" x14ac:dyDescent="0.3">
      <c r="M13" s="6"/>
    </row>
    <row r="14" spans="2:14" ht="15.75" thickBot="1" x14ac:dyDescent="0.3">
      <c r="C14" s="72" t="s">
        <v>172</v>
      </c>
      <c r="D14" s="49" t="s">
        <v>163</v>
      </c>
      <c r="E14" s="133" t="s">
        <v>175</v>
      </c>
      <c r="F14" s="49"/>
      <c r="G14" s="30" t="s">
        <v>177</v>
      </c>
      <c r="H14" s="189"/>
      <c r="I14" s="191" t="s">
        <v>200</v>
      </c>
      <c r="M14" s="6"/>
    </row>
    <row r="15" spans="2:14" x14ac:dyDescent="0.25">
      <c r="B15" s="11"/>
      <c r="C15" s="11"/>
    </row>
    <row r="16" spans="2:14" x14ac:dyDescent="0.25">
      <c r="B16" s="11" t="s">
        <v>109</v>
      </c>
      <c r="C16" s="71">
        <f>NIKHEF!M29</f>
        <v>104533102.39565931</v>
      </c>
      <c r="D16" s="26">
        <f>NIKHEF!O29</f>
        <v>92989311.230000004</v>
      </c>
      <c r="E16" s="26">
        <f>NIKHEF!U29</f>
        <v>0</v>
      </c>
      <c r="F16" s="26"/>
      <c r="G16" s="26">
        <f>NIKHEF!Q29</f>
        <v>95303700</v>
      </c>
      <c r="H16" s="26"/>
      <c r="I16" s="26">
        <f>NIKHEF!S29</f>
        <v>100407600</v>
      </c>
      <c r="L16" s="26"/>
      <c r="M16" s="26"/>
    </row>
    <row r="17" spans="2:13" x14ac:dyDescent="0.25">
      <c r="B17" s="11"/>
      <c r="C17" s="11"/>
    </row>
    <row r="18" spans="2:13" x14ac:dyDescent="0.25">
      <c r="B18" s="11" t="s">
        <v>110</v>
      </c>
      <c r="C18" s="71">
        <f>AMOLF!M13</f>
        <v>89574014.90559426</v>
      </c>
      <c r="D18" s="26">
        <f>AMOLF!O13</f>
        <v>93420800</v>
      </c>
      <c r="E18" s="26">
        <f>AMOLF!U13</f>
        <v>0</v>
      </c>
      <c r="F18" s="26"/>
      <c r="G18" s="26">
        <f>AMOLF!Q13</f>
        <v>95539200</v>
      </c>
      <c r="H18" s="26"/>
      <c r="I18" s="26">
        <f>AMOLF!S13</f>
        <v>92577300</v>
      </c>
      <c r="L18" s="26"/>
      <c r="M18" s="26"/>
    </row>
    <row r="19" spans="2:13" x14ac:dyDescent="0.25">
      <c r="B19" s="11"/>
      <c r="C19" s="11"/>
      <c r="M19" s="26"/>
    </row>
    <row r="20" spans="2:13" x14ac:dyDescent="0.25">
      <c r="B20" s="11" t="s">
        <v>114</v>
      </c>
      <c r="C20" s="71">
        <f>SRON!M23</f>
        <v>48669724.055983774</v>
      </c>
      <c r="D20" s="26">
        <f>SRON!O23</f>
        <v>50142900</v>
      </c>
      <c r="E20" s="26">
        <f>SRON!U23</f>
        <v>0</v>
      </c>
      <c r="F20" s="26"/>
      <c r="G20" s="26">
        <f>SRON!Q23</f>
        <v>51396700</v>
      </c>
      <c r="H20" s="26"/>
      <c r="I20" s="26">
        <f>SRON!S23</f>
        <v>67230000</v>
      </c>
      <c r="L20" s="26"/>
      <c r="M20" s="26"/>
    </row>
    <row r="21" spans="2:13" s="40" customFormat="1" x14ac:dyDescent="0.25">
      <c r="B21" s="11"/>
      <c r="C21" s="11"/>
      <c r="M21" s="26"/>
    </row>
    <row r="22" spans="2:13" x14ac:dyDescent="0.25">
      <c r="B22" s="11" t="s">
        <v>111</v>
      </c>
      <c r="C22" s="71">
        <f>ARCNL!M21</f>
        <v>19305415.056990042</v>
      </c>
      <c r="D22" s="26">
        <f>ARCNL!O21</f>
        <v>12043000.000251828</v>
      </c>
      <c r="E22" s="26">
        <f>ARCNL!U21</f>
        <v>0</v>
      </c>
      <c r="F22" s="26"/>
      <c r="G22" s="26">
        <f>ARCNL!Q21</f>
        <v>12268400</v>
      </c>
      <c r="H22" s="26"/>
      <c r="I22" s="26">
        <f>ARCNL!S21</f>
        <v>28500000</v>
      </c>
      <c r="L22" s="26"/>
      <c r="M22" s="26"/>
    </row>
    <row r="23" spans="2:13" x14ac:dyDescent="0.25">
      <c r="B23" s="11"/>
      <c r="C23" s="11"/>
      <c r="K23" s="40" t="s">
        <v>8</v>
      </c>
      <c r="M23" s="26"/>
    </row>
    <row r="24" spans="2:13" x14ac:dyDescent="0.25">
      <c r="B24" s="11" t="s">
        <v>112</v>
      </c>
      <c r="C24" s="71">
        <f>DIFFER!M17</f>
        <v>116180212.41823922</v>
      </c>
      <c r="D24" s="26">
        <f>DIFFER!O17</f>
        <v>119476100</v>
      </c>
      <c r="E24" s="26">
        <f>DIFFER!U17</f>
        <v>0</v>
      </c>
      <c r="F24" s="26"/>
      <c r="G24" s="26">
        <f>DIFFER!Q17</f>
        <v>122111200</v>
      </c>
      <c r="H24" s="26"/>
      <c r="I24" s="26">
        <f>DIFFER!S17</f>
        <v>109965300</v>
      </c>
      <c r="K24" s="40" t="s">
        <v>8</v>
      </c>
      <c r="L24" s="26"/>
      <c r="M24" s="26"/>
    </row>
    <row r="25" spans="2:13" x14ac:dyDescent="0.25">
      <c r="B25" s="11"/>
      <c r="C25" s="11"/>
      <c r="M25" s="26"/>
    </row>
    <row r="26" spans="2:13" x14ac:dyDescent="0.25">
      <c r="B26" s="11" t="s">
        <v>113</v>
      </c>
      <c r="C26" s="71">
        <f>BUW!M14</f>
        <v>51498162.607204124</v>
      </c>
      <c r="D26" s="26">
        <f>BUW!O14</f>
        <v>20320300</v>
      </c>
      <c r="E26" s="26">
        <f>BUW!U14</f>
        <v>0</v>
      </c>
      <c r="F26" s="26"/>
      <c r="G26" s="26">
        <f>BUW!Q14</f>
        <v>20613700</v>
      </c>
      <c r="H26" s="26"/>
      <c r="I26" s="26">
        <f>BUW!S14</f>
        <v>20613700</v>
      </c>
      <c r="L26" s="26"/>
      <c r="M26" s="26"/>
    </row>
    <row r="27" spans="2:13" x14ac:dyDescent="0.25">
      <c r="B27" s="11"/>
      <c r="C27" s="11"/>
      <c r="M27" s="26"/>
    </row>
    <row r="28" spans="2:13" x14ac:dyDescent="0.25">
      <c r="B28" s="11" t="s">
        <v>71</v>
      </c>
      <c r="C28" s="71">
        <f>CWI!M20</f>
        <v>49399709.067778796</v>
      </c>
      <c r="D28" s="26">
        <f>CWI!O20</f>
        <v>53584700</v>
      </c>
      <c r="E28" s="26">
        <f>CWI!U20</f>
        <v>0</v>
      </c>
      <c r="F28" s="26"/>
      <c r="G28" s="26">
        <f>CWI!Q20</f>
        <v>54981800</v>
      </c>
      <c r="H28" s="26"/>
      <c r="I28" s="26">
        <f>CWI!S20</f>
        <v>45689200</v>
      </c>
      <c r="L28" s="26"/>
      <c r="M28" s="26"/>
    </row>
    <row r="29" spans="2:13" x14ac:dyDescent="0.25">
      <c r="B29" s="11"/>
      <c r="C29" s="11"/>
      <c r="M29" s="26"/>
    </row>
    <row r="30" spans="2:13" x14ac:dyDescent="0.25">
      <c r="B30" s="11" t="s">
        <v>115</v>
      </c>
      <c r="C30" s="71">
        <f>ASTRON!M37</f>
        <v>78704853.861170843</v>
      </c>
      <c r="D30" s="26">
        <f>ASTRON!O37</f>
        <v>81663800</v>
      </c>
      <c r="E30" s="26">
        <f>ASTRON!U37</f>
        <v>0</v>
      </c>
      <c r="F30" s="26"/>
      <c r="G30" s="26">
        <f>ASTRON!Q37</f>
        <v>83524800</v>
      </c>
      <c r="H30" s="26"/>
      <c r="I30" s="26">
        <f>ASTRON!S37</f>
        <v>82504900</v>
      </c>
      <c r="L30" s="26"/>
      <c r="M30" s="26"/>
    </row>
    <row r="31" spans="2:13" x14ac:dyDescent="0.25">
      <c r="B31" s="11"/>
      <c r="C31" s="11"/>
      <c r="M31" s="26"/>
    </row>
    <row r="32" spans="2:13" x14ac:dyDescent="0.25">
      <c r="B32" s="11" t="s">
        <v>116</v>
      </c>
      <c r="C32" s="71">
        <f>NIOZ!L21</f>
        <v>144914665.77505994</v>
      </c>
      <c r="D32" s="2">
        <f>NIOZ!N21</f>
        <v>153877000</v>
      </c>
      <c r="E32" s="26">
        <f>NIOZ!T21</f>
        <v>0</v>
      </c>
      <c r="F32" s="2"/>
      <c r="G32" s="2">
        <f>NIOZ!P21</f>
        <v>157612400</v>
      </c>
      <c r="H32" s="2"/>
      <c r="I32" s="2">
        <f>NIOZ!R21</f>
        <v>138042800</v>
      </c>
      <c r="L32" s="26"/>
      <c r="M32" s="26"/>
    </row>
    <row r="33" spans="1:13" x14ac:dyDescent="0.25">
      <c r="B33" s="11"/>
      <c r="C33" s="11"/>
      <c r="M33" s="26"/>
    </row>
    <row r="34" spans="1:13" x14ac:dyDescent="0.25">
      <c r="B34" s="11" t="s">
        <v>152</v>
      </c>
      <c r="C34" s="71">
        <f>NSCR!M12</f>
        <v>635623.47389226046</v>
      </c>
      <c r="D34" s="26">
        <f>NSCR!O12</f>
        <v>663400</v>
      </c>
      <c r="E34" s="26">
        <f>NSCR!U12</f>
        <v>0</v>
      </c>
      <c r="F34" s="26"/>
      <c r="G34" s="26">
        <f>NSCR!Q12</f>
        <v>675900</v>
      </c>
      <c r="H34" s="26"/>
      <c r="I34" s="26">
        <f>NSCR!S12</f>
        <v>1160000</v>
      </c>
      <c r="J34" t="s">
        <v>8</v>
      </c>
      <c r="L34" s="26"/>
      <c r="M34" s="26"/>
    </row>
    <row r="35" spans="1:13" ht="15.75" thickBot="1" x14ac:dyDescent="0.3">
      <c r="A35" s="6"/>
      <c r="M35" s="26"/>
    </row>
    <row r="36" spans="1:13" ht="15.75" thickBot="1" x14ac:dyDescent="0.3">
      <c r="A36" s="4" t="s">
        <v>119</v>
      </c>
      <c r="B36" t="s">
        <v>117</v>
      </c>
      <c r="C36" s="22">
        <f t="shared" ref="C36:G36" si="0">SUM(C16:C34)</f>
        <v>703415483.61757255</v>
      </c>
      <c r="D36" s="22">
        <f t="shared" si="0"/>
        <v>678181311.23025179</v>
      </c>
      <c r="E36" s="22">
        <f t="shared" si="0"/>
        <v>0</v>
      </c>
      <c r="F36" s="22"/>
      <c r="G36" s="22">
        <f t="shared" si="0"/>
        <v>694027800</v>
      </c>
      <c r="H36" s="22"/>
      <c r="I36" s="165">
        <f>SUM(I16:I34)</f>
        <v>686690800</v>
      </c>
      <c r="J36" s="27">
        <f>(G36/1000*((D9*H9)+(D10*H10)))-H36</f>
        <v>0</v>
      </c>
    </row>
    <row r="37" spans="1:13" x14ac:dyDescent="0.25">
      <c r="A37" s="6"/>
      <c r="F37" s="26" t="s">
        <v>8</v>
      </c>
      <c r="G37" s="26"/>
      <c r="H37" s="26"/>
      <c r="I37" s="26"/>
      <c r="J37" s="208" t="s">
        <v>308</v>
      </c>
    </row>
    <row r="38" spans="1:13" x14ac:dyDescent="0.25">
      <c r="A38" s="4" t="s">
        <v>120</v>
      </c>
      <c r="B38" t="s">
        <v>118</v>
      </c>
      <c r="C38" s="26">
        <f>D38</f>
        <v>10000000</v>
      </c>
      <c r="D38" s="2">
        <v>10000000</v>
      </c>
      <c r="E38" s="2">
        <f>(C38/1000)*(($D$9*$F$9)+($D$10*$F$10))</f>
        <v>0</v>
      </c>
      <c r="F38" s="2">
        <f>(D38/1000)*(($D$9*$F$9)+($D$10*$F$10))</f>
        <v>0</v>
      </c>
      <c r="G38" s="2">
        <f>D38</f>
        <v>10000000</v>
      </c>
      <c r="H38" s="2">
        <f>(G38/1000)*(($D$9*$H$9)+($D$10*$H$10))</f>
        <v>0</v>
      </c>
      <c r="I38" s="2">
        <f>G38</f>
        <v>10000000</v>
      </c>
      <c r="K38" s="26" t="s">
        <v>8</v>
      </c>
    </row>
    <row r="39" spans="1:13" x14ac:dyDescent="0.25">
      <c r="A39" s="6"/>
      <c r="F39" t="s">
        <v>8</v>
      </c>
      <c r="K39" s="40" t="s">
        <v>8</v>
      </c>
    </row>
    <row r="40" spans="1:13" x14ac:dyDescent="0.25">
      <c r="A40" s="4" t="s">
        <v>121</v>
      </c>
      <c r="B40" t="s">
        <v>122</v>
      </c>
      <c r="C40" s="26">
        <f>D40</f>
        <v>2500000</v>
      </c>
      <c r="D40" s="2">
        <v>2500000</v>
      </c>
      <c r="E40" s="2">
        <f>(C40/1000)*(($D$9*$F$9)+($D$10*$F$10))</f>
        <v>0</v>
      </c>
      <c r="F40" s="2">
        <f>(D40/1000)*(($D$9*$F$9)+($D$10*$F$10))</f>
        <v>0</v>
      </c>
      <c r="G40" s="2">
        <f>D40</f>
        <v>2500000</v>
      </c>
      <c r="H40" s="2">
        <f>(G40/1000)*(($D$9*$H$9)+($D$10*$H$10))</f>
        <v>0</v>
      </c>
      <c r="I40" s="2">
        <f>G40</f>
        <v>2500000</v>
      </c>
      <c r="K40" s="26" t="s">
        <v>8</v>
      </c>
    </row>
    <row r="41" spans="1:13" x14ac:dyDescent="0.25">
      <c r="A41" s="6"/>
      <c r="D41" s="2"/>
      <c r="F41" s="59" t="s">
        <v>8</v>
      </c>
      <c r="G41" s="59"/>
      <c r="H41" s="59"/>
      <c r="I41" s="59"/>
      <c r="K41" s="40" t="s">
        <v>8</v>
      </c>
    </row>
    <row r="42" spans="1:13" x14ac:dyDescent="0.25">
      <c r="A42" s="4" t="s">
        <v>123</v>
      </c>
      <c r="B42" t="s">
        <v>124</v>
      </c>
      <c r="C42" s="26">
        <f>D42</f>
        <v>5000000</v>
      </c>
      <c r="D42" s="2">
        <v>5000000</v>
      </c>
      <c r="E42" s="2">
        <f>(C42/1000)*(($D$9*$F$9)+($D$10*$F$10))</f>
        <v>0</v>
      </c>
      <c r="F42" s="2">
        <f>(D42/1000)*(($D$9*$F$9)+($D$10*$F$10))</f>
        <v>0</v>
      </c>
      <c r="G42" s="2">
        <f>D42</f>
        <v>5000000</v>
      </c>
      <c r="H42" s="2">
        <f>(G42/1000)*(($D$9*$H$9)+($D$10*$H$10))</f>
        <v>0</v>
      </c>
      <c r="I42" s="2">
        <f>G42</f>
        <v>5000000</v>
      </c>
      <c r="K42" s="26" t="s">
        <v>8</v>
      </c>
    </row>
    <row r="43" spans="1:13" x14ac:dyDescent="0.25">
      <c r="A43" s="6"/>
      <c r="D43" s="2"/>
      <c r="F43" s="2" t="s">
        <v>8</v>
      </c>
      <c r="G43" s="2"/>
      <c r="H43" s="2"/>
      <c r="I43" s="2"/>
      <c r="K43" s="40" t="s">
        <v>8</v>
      </c>
    </row>
    <row r="44" spans="1:13" x14ac:dyDescent="0.25">
      <c r="A44" s="4" t="s">
        <v>125</v>
      </c>
      <c r="B44" t="s">
        <v>126</v>
      </c>
      <c r="C44" s="26">
        <f>D44</f>
        <v>14300000</v>
      </c>
      <c r="D44" s="2">
        <v>14300000</v>
      </c>
      <c r="E44" s="2">
        <f>(C44/1000)*(($D$9*$F$9)+($D$10*$F$10))</f>
        <v>0</v>
      </c>
      <c r="F44" s="2">
        <f>(D44/1000)*(($D$9*$F$9)+($D$10*$F$10))</f>
        <v>0</v>
      </c>
      <c r="G44" s="2">
        <f>D44</f>
        <v>14300000</v>
      </c>
      <c r="H44" s="2">
        <f>(G44/1000)*(($D$9*$H$9)+($D$10*$H$10))</f>
        <v>0</v>
      </c>
      <c r="I44" s="2">
        <v>15000000</v>
      </c>
      <c r="J44" s="26" t="s">
        <v>8</v>
      </c>
      <c r="K44" s="26" t="s">
        <v>8</v>
      </c>
    </row>
    <row r="45" spans="1:13" s="40" customFormat="1" x14ac:dyDescent="0.25">
      <c r="A45" s="4"/>
      <c r="C45" s="26"/>
      <c r="D45" s="2"/>
      <c r="E45" s="2"/>
      <c r="F45" s="2"/>
      <c r="G45" s="2"/>
      <c r="H45" s="2"/>
      <c r="I45" s="2"/>
      <c r="J45" s="26"/>
      <c r="K45" s="26"/>
    </row>
    <row r="46" spans="1:13" s="40" customFormat="1" x14ac:dyDescent="0.25">
      <c r="A46" s="4"/>
      <c r="B46" s="40" t="s">
        <v>309</v>
      </c>
      <c r="C46" s="26"/>
      <c r="D46" s="2"/>
      <c r="E46" s="2"/>
      <c r="F46" s="2"/>
      <c r="G46" s="2"/>
      <c r="H46" s="2"/>
      <c r="I46" s="2">
        <v>250000</v>
      </c>
      <c r="J46" s="26"/>
      <c r="K46" s="26"/>
    </row>
    <row r="47" spans="1:13" s="40" customFormat="1" x14ac:dyDescent="0.25">
      <c r="A47" s="4"/>
      <c r="C47" s="26"/>
      <c r="D47" s="2"/>
      <c r="E47" s="2"/>
      <c r="F47" s="2"/>
      <c r="G47" s="2"/>
      <c r="H47" s="2"/>
      <c r="I47" s="2"/>
      <c r="J47" s="26"/>
      <c r="K47" s="26"/>
    </row>
    <row r="48" spans="1:13" s="40" customFormat="1" x14ac:dyDescent="0.25">
      <c r="A48" s="4"/>
      <c r="B48" s="40" t="s">
        <v>310</v>
      </c>
      <c r="C48" s="26"/>
      <c r="D48" s="2"/>
      <c r="E48" s="2"/>
      <c r="F48" s="2"/>
      <c r="G48" s="2"/>
      <c r="H48" s="2"/>
      <c r="I48" s="2">
        <v>250000</v>
      </c>
      <c r="J48" s="26"/>
      <c r="K48" s="26"/>
    </row>
    <row r="49" spans="1:10" ht="15.75" thickBot="1" x14ac:dyDescent="0.3">
      <c r="A49" s="6"/>
      <c r="D49" s="2"/>
      <c r="F49" s="2" t="s">
        <v>8</v>
      </c>
      <c r="G49" s="2"/>
      <c r="H49" s="2"/>
      <c r="I49" s="2"/>
    </row>
    <row r="50" spans="1:10" ht="15.75" thickBot="1" x14ac:dyDescent="0.3">
      <c r="A50" s="6"/>
      <c r="C50" s="73">
        <f t="shared" ref="C50:H50" si="1">C36+C38+C40+C42+C44</f>
        <v>735215483.61757255</v>
      </c>
      <c r="D50" s="21">
        <f t="shared" si="1"/>
        <v>709981311.23025179</v>
      </c>
      <c r="E50" s="138">
        <f t="shared" si="1"/>
        <v>0</v>
      </c>
      <c r="F50" s="22">
        <f t="shared" si="1"/>
        <v>0</v>
      </c>
      <c r="G50" s="31">
        <f t="shared" si="1"/>
        <v>725827800</v>
      </c>
      <c r="H50" s="74">
        <f t="shared" si="1"/>
        <v>0</v>
      </c>
      <c r="I50" s="168">
        <f>I36+I38+I40+I42+I44+I46+I48</f>
        <v>719690800</v>
      </c>
      <c r="J50" t="s">
        <v>8</v>
      </c>
    </row>
    <row r="51" spans="1:10" x14ac:dyDescent="0.25">
      <c r="A51" s="6"/>
    </row>
    <row r="52" spans="1:10" x14ac:dyDescent="0.25">
      <c r="C52" s="25" t="s">
        <v>173</v>
      </c>
      <c r="E52" s="25" t="s">
        <v>173</v>
      </c>
    </row>
    <row r="53" spans="1:10" x14ac:dyDescent="0.25">
      <c r="C53" s="25" t="s">
        <v>174</v>
      </c>
      <c r="E53" s="25" t="s">
        <v>174</v>
      </c>
      <c r="F53" t="s">
        <v>8</v>
      </c>
    </row>
    <row r="54" spans="1:10" x14ac:dyDescent="0.25">
      <c r="F54" s="26" t="s">
        <v>8</v>
      </c>
      <c r="G54" s="26" t="s">
        <v>8</v>
      </c>
      <c r="H54" s="26"/>
      <c r="I54" s="26"/>
    </row>
    <row r="55" spans="1:10" x14ac:dyDescent="0.25">
      <c r="F55" t="s">
        <v>8</v>
      </c>
    </row>
    <row r="56" spans="1:10" x14ac:dyDescent="0.25">
      <c r="F56" t="s">
        <v>8</v>
      </c>
    </row>
    <row r="57" spans="1:10" x14ac:dyDescent="0.25">
      <c r="F57" s="26" t="s">
        <v>8</v>
      </c>
    </row>
    <row r="58" spans="1:10" x14ac:dyDescent="0.25">
      <c r="F58" s="26" t="s">
        <v>8</v>
      </c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41"/>
  <sheetViews>
    <sheetView topLeftCell="H1" workbookViewId="0">
      <selection activeCell="V18" sqref="V18:V19"/>
    </sheetView>
  </sheetViews>
  <sheetFormatPr defaultRowHeight="15" x14ac:dyDescent="0.25"/>
  <cols>
    <col min="1" max="1" width="5.85546875" customWidth="1"/>
    <col min="2" max="2" width="25.7109375" customWidth="1"/>
    <col min="3" max="3" width="40.42578125" customWidth="1"/>
    <col min="4" max="4" width="15.7109375" style="15" customWidth="1"/>
    <col min="5" max="5" width="25.5703125" customWidth="1"/>
    <col min="6" max="6" width="23.5703125" customWidth="1"/>
    <col min="7" max="7" width="16.28515625" customWidth="1"/>
    <col min="8" max="8" width="15.42578125" customWidth="1"/>
    <col min="9" max="12" width="20.7109375" hidden="1" customWidth="1"/>
    <col min="13" max="13" width="20.7109375" style="40" hidden="1" customWidth="1"/>
    <col min="14" max="18" width="20.7109375" style="40" customWidth="1"/>
    <col min="20" max="20" width="20.7109375" hidden="1" customWidth="1"/>
    <col min="22" max="22" width="22.42578125" bestFit="1" customWidth="1"/>
    <col min="23" max="23" width="22.42578125" customWidth="1"/>
    <col min="24" max="24" width="12.42578125" style="6" customWidth="1"/>
    <col min="25" max="25" width="12.85546875" style="6" customWidth="1"/>
  </cols>
  <sheetData>
    <row r="2" spans="2:26" ht="18.75" x14ac:dyDescent="0.3">
      <c r="B2" s="37" t="s">
        <v>102</v>
      </c>
      <c r="C2" s="5"/>
      <c r="D2" s="38"/>
      <c r="E2" s="5"/>
      <c r="G2" s="5"/>
    </row>
    <row r="3" spans="2:26" x14ac:dyDescent="0.25">
      <c r="K3" s="26" t="s">
        <v>8</v>
      </c>
      <c r="M3" s="26" t="s">
        <v>8</v>
      </c>
      <c r="T3" s="23" t="s">
        <v>147</v>
      </c>
    </row>
    <row r="4" spans="2:26" ht="15.75" thickBot="1" x14ac:dyDescent="0.3">
      <c r="B4" t="s">
        <v>6</v>
      </c>
      <c r="C4" t="s">
        <v>148</v>
      </c>
      <c r="T4" s="24">
        <f>(Totaal!D9*Totaal!F9)+(Totaal!D10*Totaal!F10)</f>
        <v>0</v>
      </c>
    </row>
    <row r="5" spans="2:26" ht="15.75" thickBot="1" x14ac:dyDescent="0.3">
      <c r="B5" t="s">
        <v>8</v>
      </c>
      <c r="O5" s="76"/>
      <c r="P5" s="68" t="s">
        <v>167</v>
      </c>
      <c r="Q5" s="76"/>
      <c r="R5" s="76"/>
    </row>
    <row r="6" spans="2:26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86">
        <v>2017</v>
      </c>
      <c r="J6" s="87">
        <v>2018</v>
      </c>
      <c r="K6" s="87" t="s">
        <v>142</v>
      </c>
      <c r="L6" s="87">
        <v>2019</v>
      </c>
      <c r="M6" s="87" t="s">
        <v>149</v>
      </c>
      <c r="N6" s="91">
        <v>2020</v>
      </c>
      <c r="O6" s="97" t="s">
        <v>178</v>
      </c>
      <c r="P6" s="206" t="s">
        <v>299</v>
      </c>
      <c r="Q6" s="174" t="s">
        <v>183</v>
      </c>
      <c r="R6" s="148" t="s">
        <v>199</v>
      </c>
      <c r="T6" s="86" t="s">
        <v>154</v>
      </c>
      <c r="V6" s="217" t="s">
        <v>20</v>
      </c>
      <c r="W6" s="217"/>
      <c r="X6" s="217"/>
      <c r="Y6" s="217"/>
    </row>
    <row r="7" spans="2:26" x14ac:dyDescent="0.25">
      <c r="I7" s="85"/>
      <c r="J7" s="85"/>
      <c r="K7" s="85"/>
      <c r="L7" s="85"/>
      <c r="M7" s="85"/>
      <c r="N7" s="92"/>
      <c r="O7" s="98"/>
      <c r="P7" s="92"/>
      <c r="Q7" s="175"/>
      <c r="R7" s="163"/>
      <c r="T7" s="103"/>
      <c r="W7" s="6"/>
    </row>
    <row r="8" spans="2:26" x14ac:dyDescent="0.25">
      <c r="B8" t="s">
        <v>103</v>
      </c>
      <c r="C8" t="s">
        <v>287</v>
      </c>
      <c r="D8" s="28" t="s">
        <v>144</v>
      </c>
      <c r="E8" s="16" t="s">
        <v>143</v>
      </c>
      <c r="F8" s="1" t="s">
        <v>30</v>
      </c>
      <c r="G8" t="s">
        <v>8</v>
      </c>
      <c r="H8" s="13" t="s">
        <v>8</v>
      </c>
      <c r="I8" s="81" t="s">
        <v>139</v>
      </c>
      <c r="J8" s="70">
        <v>57358200</v>
      </c>
      <c r="K8" s="70">
        <v>0</v>
      </c>
      <c r="L8" s="77">
        <f>(J8+K8)*(Totaal!$M$8/Totaal!$M$7)</f>
        <v>64470981.558028616</v>
      </c>
      <c r="M8" s="77">
        <v>1126086</v>
      </c>
      <c r="N8" s="93">
        <f>CEILING((L8+M8)*(Totaal!$M$10/Totaal!$M$9),100)</f>
        <v>68877000</v>
      </c>
      <c r="O8" s="99">
        <v>0</v>
      </c>
      <c r="P8" s="150">
        <f>CEILING((N8+O8)*(Totaal!M11/Totaal!M10),100)</f>
        <v>70845000</v>
      </c>
      <c r="Q8" s="176"/>
      <c r="R8" s="154">
        <v>54940000</v>
      </c>
      <c r="S8" s="13" t="s">
        <v>8</v>
      </c>
      <c r="T8" s="84">
        <f>L8/1000*$T$4</f>
        <v>0</v>
      </c>
      <c r="U8" s="13" t="s">
        <v>8</v>
      </c>
      <c r="V8" s="40" t="s">
        <v>203</v>
      </c>
      <c r="W8" s="39">
        <v>4060550</v>
      </c>
      <c r="X8" s="4" t="s">
        <v>204</v>
      </c>
      <c r="Y8" s="9" t="s">
        <v>205</v>
      </c>
      <c r="Z8" t="s">
        <v>8</v>
      </c>
    </row>
    <row r="9" spans="2:26" x14ac:dyDescent="0.25">
      <c r="B9" t="s">
        <v>33</v>
      </c>
      <c r="C9" t="s">
        <v>133</v>
      </c>
      <c r="D9" s="28" t="s">
        <v>144</v>
      </c>
      <c r="E9" s="16" t="s">
        <v>143</v>
      </c>
      <c r="F9" s="1" t="s">
        <v>30</v>
      </c>
      <c r="I9" s="81" t="s">
        <v>139</v>
      </c>
      <c r="J9" s="70">
        <v>46030800</v>
      </c>
      <c r="K9" s="70">
        <v>693812</v>
      </c>
      <c r="L9" s="77">
        <f>((J9)*(Totaal!$N$8/Totaal!$N$7))+K9</f>
        <v>48827541.949238583</v>
      </c>
      <c r="M9" s="77">
        <v>1362845</v>
      </c>
      <c r="N9" s="93">
        <f>CEILING((L9+M9)*(Totaal!$N$10/Totaal!$N$9),100)</f>
        <v>50993500</v>
      </c>
      <c r="O9" s="99">
        <v>0</v>
      </c>
      <c r="P9" s="150">
        <f>CEILING((N9+O9)*(Totaal!N11/Totaal!N10),100)</f>
        <v>51947200</v>
      </c>
      <c r="Q9" s="176"/>
      <c r="R9" s="154">
        <v>47250000</v>
      </c>
      <c r="T9" s="84">
        <f>L9/1000*$T$4</f>
        <v>0</v>
      </c>
      <c r="V9" s="40" t="s">
        <v>203</v>
      </c>
      <c r="W9" s="15" t="s">
        <v>201</v>
      </c>
      <c r="X9" s="4" t="s">
        <v>198</v>
      </c>
      <c r="Y9" s="9" t="s">
        <v>202</v>
      </c>
    </row>
    <row r="10" spans="2:26" x14ac:dyDescent="0.25">
      <c r="B10" t="s">
        <v>134</v>
      </c>
      <c r="C10" t="s">
        <v>133</v>
      </c>
      <c r="D10" s="28" t="s">
        <v>144</v>
      </c>
      <c r="E10" s="16" t="s">
        <v>143</v>
      </c>
      <c r="F10" s="1" t="s">
        <v>30</v>
      </c>
      <c r="I10" s="81" t="s">
        <v>139</v>
      </c>
      <c r="J10" s="70">
        <v>312728</v>
      </c>
      <c r="K10" s="70">
        <v>0</v>
      </c>
      <c r="L10" s="77">
        <f>(J10+K10)*(Totaal!$N$8/Totaal!$N$7)</f>
        <v>327015.0659898477</v>
      </c>
      <c r="M10" s="77">
        <v>124481</v>
      </c>
      <c r="N10" s="93">
        <f>CEILING((L10+M10)*(Totaal!$N$10/Totaal!$N$9),100)</f>
        <v>458800</v>
      </c>
      <c r="O10" s="99">
        <v>0</v>
      </c>
      <c r="P10" s="150">
        <f>CEILING((N10+O10)*(Totaal!N11/Totaal!N10),100)</f>
        <v>467400</v>
      </c>
      <c r="Q10" s="176"/>
      <c r="R10" s="154">
        <v>1500000</v>
      </c>
      <c r="T10" s="84">
        <f>L10/1000*$T$4</f>
        <v>0</v>
      </c>
      <c r="V10" s="40" t="s">
        <v>203</v>
      </c>
      <c r="W10" s="143" t="s">
        <v>201</v>
      </c>
      <c r="X10" s="4" t="s">
        <v>198</v>
      </c>
      <c r="Y10" s="9" t="s">
        <v>202</v>
      </c>
    </row>
    <row r="11" spans="2:26" x14ac:dyDescent="0.25">
      <c r="I11" s="82"/>
      <c r="J11" s="78"/>
      <c r="K11" s="78"/>
      <c r="L11" s="83"/>
      <c r="M11" s="83"/>
      <c r="N11" s="110"/>
      <c r="O11" s="111"/>
      <c r="P11" s="159"/>
      <c r="Q11" s="184"/>
      <c r="R11" s="162"/>
      <c r="T11" s="70"/>
    </row>
    <row r="12" spans="2:26" x14ac:dyDescent="0.25">
      <c r="B12" t="s">
        <v>7</v>
      </c>
      <c r="C12" t="s">
        <v>135</v>
      </c>
      <c r="D12" s="39" t="s">
        <v>145</v>
      </c>
      <c r="E12" t="s">
        <v>136</v>
      </c>
      <c r="F12" s="1" t="s">
        <v>30</v>
      </c>
      <c r="I12" s="81" t="s">
        <v>139</v>
      </c>
      <c r="J12" s="70">
        <v>11134700</v>
      </c>
      <c r="K12" s="70">
        <v>0</v>
      </c>
      <c r="L12" s="77">
        <f>(J12+K12)*(Totaal!$M$8/Totaal!$M$7)</f>
        <v>12515473.608903021</v>
      </c>
      <c r="M12" s="77"/>
      <c r="N12" s="112">
        <v>16222500</v>
      </c>
      <c r="O12" s="114"/>
      <c r="P12" s="160">
        <f>CEILING((N12+O12)*(Totaal!M11/Totaal!M10),100)</f>
        <v>16686000</v>
      </c>
      <c r="Q12" s="176"/>
      <c r="R12" s="154">
        <f>P12+Q12</f>
        <v>16686000</v>
      </c>
      <c r="T12" s="84">
        <f>L12/1000*$T$4</f>
        <v>0</v>
      </c>
      <c r="V12" s="40" t="s">
        <v>203</v>
      </c>
      <c r="W12" s="57" t="s">
        <v>159</v>
      </c>
      <c r="X12" s="4" t="s">
        <v>157</v>
      </c>
      <c r="Y12" s="9" t="s">
        <v>160</v>
      </c>
    </row>
    <row r="13" spans="2:26" x14ac:dyDescent="0.25">
      <c r="B13" t="s">
        <v>33</v>
      </c>
      <c r="C13" t="s">
        <v>135</v>
      </c>
      <c r="D13" s="39" t="s">
        <v>145</v>
      </c>
      <c r="E13" t="s">
        <v>136</v>
      </c>
      <c r="F13" s="1" t="s">
        <v>30</v>
      </c>
      <c r="I13" s="81" t="s">
        <v>139</v>
      </c>
      <c r="J13" s="70">
        <v>11035300</v>
      </c>
      <c r="K13" s="70">
        <v>29189</v>
      </c>
      <c r="L13" s="77">
        <f>((J13)*(Totaal!$N$8/Totaal!$N$7))+K13</f>
        <v>11568639.761421321</v>
      </c>
      <c r="M13" s="77"/>
      <c r="N13" s="112">
        <v>9497300</v>
      </c>
      <c r="O13" s="114"/>
      <c r="P13" s="160">
        <f>CEILING((N13+O13)*(Totaal!N11/Totaal!N10),100)</f>
        <v>9675000</v>
      </c>
      <c r="Q13" s="176"/>
      <c r="R13" s="154">
        <f>P13+Q13</f>
        <v>9675000</v>
      </c>
      <c r="T13" s="84">
        <f>L13/1000*$T$4</f>
        <v>0</v>
      </c>
      <c r="V13" s="40" t="s">
        <v>203</v>
      </c>
      <c r="W13" s="15" t="s">
        <v>156</v>
      </c>
      <c r="X13" s="4" t="s">
        <v>157</v>
      </c>
      <c r="Y13" s="9" t="s">
        <v>158</v>
      </c>
    </row>
    <row r="14" spans="2:26" x14ac:dyDescent="0.25">
      <c r="I14" s="82"/>
      <c r="J14" s="78"/>
      <c r="K14" s="70" t="s">
        <v>8</v>
      </c>
      <c r="L14" s="83"/>
      <c r="M14" s="83"/>
      <c r="N14" s="110"/>
      <c r="O14" s="111"/>
      <c r="P14" s="159"/>
      <c r="Q14" s="184"/>
      <c r="R14" s="162"/>
      <c r="T14" s="70"/>
    </row>
    <row r="15" spans="2:26" x14ac:dyDescent="0.25">
      <c r="B15" t="s">
        <v>7</v>
      </c>
      <c r="C15" t="s">
        <v>137</v>
      </c>
      <c r="D15" s="39" t="s">
        <v>146</v>
      </c>
      <c r="E15" t="s">
        <v>136</v>
      </c>
      <c r="F15" s="1" t="s">
        <v>30</v>
      </c>
      <c r="I15" s="81" t="s">
        <v>139</v>
      </c>
      <c r="J15" s="70">
        <v>1263500</v>
      </c>
      <c r="K15" s="70">
        <v>0</v>
      </c>
      <c r="L15" s="77">
        <f>(J15+K15)*(Totaal!$M$8/Totaal!$M$7)</f>
        <v>1420182.0349761527</v>
      </c>
      <c r="M15" s="77"/>
      <c r="N15" s="112">
        <v>1758800</v>
      </c>
      <c r="O15" s="114"/>
      <c r="P15" s="160">
        <f>CEILING((N15+O15)*(Totaal!M11/Totaal!M10),100)</f>
        <v>1809100</v>
      </c>
      <c r="Q15" s="176"/>
      <c r="R15" s="154">
        <f>P15+Q15</f>
        <v>1809100</v>
      </c>
      <c r="T15" s="84">
        <f>L15/1000*$T$4</f>
        <v>0</v>
      </c>
      <c r="V15" s="40" t="s">
        <v>203</v>
      </c>
      <c r="W15" s="57" t="s">
        <v>162</v>
      </c>
      <c r="X15" s="4" t="s">
        <v>157</v>
      </c>
      <c r="Y15" s="9" t="s">
        <v>160</v>
      </c>
    </row>
    <row r="16" spans="2:26" x14ac:dyDescent="0.25">
      <c r="B16" t="s">
        <v>33</v>
      </c>
      <c r="C16" t="s">
        <v>137</v>
      </c>
      <c r="D16" s="39" t="s">
        <v>146</v>
      </c>
      <c r="E16" t="s">
        <v>136</v>
      </c>
      <c r="F16" s="1" t="s">
        <v>30</v>
      </c>
      <c r="I16" s="81" t="s">
        <v>139</v>
      </c>
      <c r="J16" s="70">
        <v>157600</v>
      </c>
      <c r="K16" s="70">
        <v>0</v>
      </c>
      <c r="L16" s="77">
        <f>(J16+K16)*(Totaal!$N$8/Totaal!$N$7)</f>
        <v>164800</v>
      </c>
      <c r="M16" s="77"/>
      <c r="N16" s="112">
        <v>168000</v>
      </c>
      <c r="O16" s="114"/>
      <c r="P16" s="160">
        <f>CEILING((N16+O16)*(Totaal!N11/Totaal!N10),100)</f>
        <v>171200</v>
      </c>
      <c r="Q16" s="176"/>
      <c r="R16" s="154">
        <f>P16+Q16</f>
        <v>171200</v>
      </c>
      <c r="T16" s="84">
        <f>L16/1000*$T$4</f>
        <v>0</v>
      </c>
      <c r="V16" s="40" t="s">
        <v>203</v>
      </c>
      <c r="W16" s="15" t="s">
        <v>161</v>
      </c>
      <c r="X16" s="4" t="s">
        <v>157</v>
      </c>
      <c r="Y16" s="9" t="s">
        <v>158</v>
      </c>
    </row>
    <row r="17" spans="2:25" x14ac:dyDescent="0.25">
      <c r="I17" s="82"/>
      <c r="J17" s="78"/>
      <c r="K17" s="78"/>
      <c r="L17" s="83"/>
      <c r="M17" s="83"/>
      <c r="N17" s="110"/>
      <c r="O17" s="111"/>
      <c r="P17" s="159"/>
      <c r="Q17" s="184"/>
      <c r="R17" s="162"/>
      <c r="T17" s="70"/>
    </row>
    <row r="18" spans="2:25" x14ac:dyDescent="0.25">
      <c r="B18" t="s">
        <v>138</v>
      </c>
      <c r="I18" s="81" t="s">
        <v>139</v>
      </c>
      <c r="J18" s="70">
        <v>5000000</v>
      </c>
      <c r="K18" s="70">
        <v>0</v>
      </c>
      <c r="L18" s="77">
        <f>(J18+K18)*(Totaal!$M$8/Totaal!$M$7)</f>
        <v>5620031.7965023853</v>
      </c>
      <c r="M18" s="77"/>
      <c r="N18" s="93">
        <f>CEILING((L18+M18)*(Totaal!$M$10/Totaal!$M$9),100)</f>
        <v>5901100</v>
      </c>
      <c r="O18" s="99"/>
      <c r="P18" s="150">
        <f>CEILING((N18+O18)*(Totaal!N11/Totaal!N10),100)</f>
        <v>6011500</v>
      </c>
      <c r="Q18" s="176"/>
      <c r="R18" s="154">
        <f>P18+Q18</f>
        <v>6011500</v>
      </c>
      <c r="T18" s="84">
        <f>L18/1000*$T$4</f>
        <v>0</v>
      </c>
      <c r="V18" t="s">
        <v>32</v>
      </c>
    </row>
    <row r="19" spans="2:25" x14ac:dyDescent="0.25">
      <c r="I19" s="78"/>
      <c r="J19" s="78"/>
      <c r="K19" s="78"/>
      <c r="L19" s="78"/>
      <c r="M19" s="78"/>
      <c r="N19" s="94"/>
      <c r="O19" s="100"/>
      <c r="P19" s="151"/>
      <c r="Q19" s="182"/>
      <c r="R19" s="155"/>
      <c r="T19" s="70"/>
    </row>
    <row r="20" spans="2:25" ht="15.75" thickBot="1" x14ac:dyDescent="0.3">
      <c r="I20" s="88"/>
      <c r="J20" s="88"/>
      <c r="K20" s="88"/>
      <c r="L20" s="88"/>
      <c r="M20" s="88"/>
      <c r="N20" s="95"/>
      <c r="O20" s="101"/>
      <c r="P20" s="95"/>
      <c r="Q20" s="179"/>
      <c r="R20" s="164"/>
      <c r="T20" s="104"/>
    </row>
    <row r="21" spans="2:25" ht="15.75" thickBot="1" x14ac:dyDescent="0.3">
      <c r="I21" s="89"/>
      <c r="J21" s="90">
        <f>SUM(J8:J19)</f>
        <v>132292828</v>
      </c>
      <c r="K21" s="90">
        <f>SUM(K8:K19)</f>
        <v>723001</v>
      </c>
      <c r="L21" s="90">
        <f>SUM(L8:L19)</f>
        <v>144914665.77505994</v>
      </c>
      <c r="M21" s="90">
        <f>SUM(M8:M18)</f>
        <v>2613412</v>
      </c>
      <c r="N21" s="113">
        <f>SUM(N8:N19)</f>
        <v>153877000</v>
      </c>
      <c r="O21" s="115">
        <f>SUM(O8:O19)</f>
        <v>0</v>
      </c>
      <c r="P21" s="152">
        <f>SUM(P8:P19)</f>
        <v>157612400</v>
      </c>
      <c r="Q21" s="183"/>
      <c r="R21" s="165">
        <f>SUM(R8:R20)</f>
        <v>138042800</v>
      </c>
      <c r="T21" s="105">
        <f>SUM(T8:T19)</f>
        <v>0</v>
      </c>
    </row>
    <row r="22" spans="2:25" x14ac:dyDescent="0.25">
      <c r="C22" s="2"/>
      <c r="T22" s="35">
        <f>(L21/1000*T4)-T21</f>
        <v>0</v>
      </c>
    </row>
    <row r="23" spans="2:25" s="40" customFormat="1" x14ac:dyDescent="0.25">
      <c r="C23" s="2"/>
      <c r="D23" s="58"/>
      <c r="T23" s="35"/>
      <c r="X23" s="58"/>
      <c r="Y23" s="58"/>
    </row>
    <row r="24" spans="2:25" ht="15.75" thickBot="1" x14ac:dyDescent="0.3"/>
    <row r="25" spans="2:25" ht="15.75" thickBot="1" x14ac:dyDescent="0.3">
      <c r="B25" s="173" t="s">
        <v>185</v>
      </c>
    </row>
    <row r="26" spans="2:25" ht="15.75" thickBot="1" x14ac:dyDescent="0.3">
      <c r="E26" s="190" t="s">
        <v>206</v>
      </c>
      <c r="F26" s="191" t="s">
        <v>207</v>
      </c>
    </row>
    <row r="27" spans="2:25" x14ac:dyDescent="0.25">
      <c r="B27" s="16" t="s">
        <v>198</v>
      </c>
      <c r="C27" s="25" t="s">
        <v>274</v>
      </c>
    </row>
    <row r="28" spans="2:25" x14ac:dyDescent="0.25">
      <c r="C28" s="196" t="s">
        <v>275</v>
      </c>
    </row>
    <row r="29" spans="2:25" s="40" customFormat="1" x14ac:dyDescent="0.25">
      <c r="C29" s="196" t="s">
        <v>276</v>
      </c>
      <c r="D29" s="143"/>
      <c r="X29" s="143"/>
      <c r="Y29" s="143"/>
    </row>
    <row r="30" spans="2:25" s="40" customFormat="1" x14ac:dyDescent="0.25">
      <c r="D30" s="145"/>
      <c r="X30" s="145"/>
      <c r="Y30" s="145"/>
    </row>
    <row r="31" spans="2:25" x14ac:dyDescent="0.25">
      <c r="C31" s="16" t="s">
        <v>215</v>
      </c>
      <c r="E31" s="2">
        <v>70845000</v>
      </c>
      <c r="F31" s="2">
        <v>54940000</v>
      </c>
      <c r="H31" t="s">
        <v>288</v>
      </c>
    </row>
    <row r="32" spans="2:25" s="40" customFormat="1" x14ac:dyDescent="0.25">
      <c r="C32" s="16"/>
      <c r="D32" s="145"/>
      <c r="E32" s="2"/>
      <c r="F32" s="70">
        <f>SUM(F31)</f>
        <v>54940000</v>
      </c>
      <c r="X32" s="145"/>
      <c r="Y32" s="145"/>
    </row>
    <row r="33" spans="3:25" s="40" customFormat="1" x14ac:dyDescent="0.25">
      <c r="C33" s="16"/>
      <c r="D33" s="145"/>
      <c r="E33" s="2"/>
      <c r="F33" s="202"/>
      <c r="X33" s="145"/>
      <c r="Y33" s="145"/>
    </row>
    <row r="34" spans="3:25" s="40" customFormat="1" x14ac:dyDescent="0.25">
      <c r="C34" s="25" t="s">
        <v>249</v>
      </c>
      <c r="D34" s="145"/>
      <c r="E34" s="2"/>
      <c r="F34" s="202"/>
      <c r="X34" s="145"/>
      <c r="Y34" s="145"/>
    </row>
    <row r="35" spans="3:25" s="40" customFormat="1" x14ac:dyDescent="0.25">
      <c r="C35" s="196" t="s">
        <v>277</v>
      </c>
      <c r="D35" s="145"/>
      <c r="E35" s="2"/>
      <c r="F35" s="202"/>
      <c r="X35" s="145"/>
      <c r="Y35" s="145"/>
    </row>
    <row r="36" spans="3:25" s="40" customFormat="1" x14ac:dyDescent="0.25">
      <c r="C36" s="16"/>
      <c r="D36" s="145"/>
      <c r="E36" s="2"/>
      <c r="F36" s="2"/>
      <c r="X36" s="145"/>
      <c r="Y36" s="145"/>
    </row>
    <row r="37" spans="3:25" x14ac:dyDescent="0.25">
      <c r="C37" s="16" t="s">
        <v>213</v>
      </c>
      <c r="E37" s="2">
        <v>51947200</v>
      </c>
      <c r="F37" s="2">
        <f>48750000-1500000</f>
        <v>47250000</v>
      </c>
      <c r="H37" t="s">
        <v>306</v>
      </c>
    </row>
    <row r="38" spans="3:25" x14ac:dyDescent="0.25">
      <c r="C38" s="16" t="s">
        <v>214</v>
      </c>
      <c r="E38" s="2">
        <v>467400</v>
      </c>
      <c r="F38" s="2">
        <v>1500000</v>
      </c>
      <c r="H38" s="40" t="s">
        <v>306</v>
      </c>
    </row>
    <row r="39" spans="3:25" x14ac:dyDescent="0.25">
      <c r="E39" s="2"/>
      <c r="F39" s="70">
        <f>SUM(F37:F38)</f>
        <v>48750000</v>
      </c>
    </row>
    <row r="40" spans="3:25" x14ac:dyDescent="0.25">
      <c r="E40" s="2"/>
      <c r="F40" s="2"/>
    </row>
    <row r="41" spans="3:25" x14ac:dyDescent="0.25">
      <c r="C41" t="s">
        <v>269</v>
      </c>
      <c r="D41" s="200" t="s">
        <v>307</v>
      </c>
    </row>
  </sheetData>
  <mergeCells count="1">
    <mergeCell ref="V6:Y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2"/>
  <sheetViews>
    <sheetView topLeftCell="H1" workbookViewId="0">
      <selection activeCell="V1" sqref="V1:W1048576"/>
    </sheetView>
  </sheetViews>
  <sheetFormatPr defaultRowHeight="15" x14ac:dyDescent="0.25"/>
  <cols>
    <col min="1" max="1" width="5.85546875" customWidth="1"/>
    <col min="2" max="2" width="25.7109375" customWidth="1"/>
    <col min="3" max="3" width="33.5703125" customWidth="1"/>
    <col min="4" max="4" width="15.7109375" style="15" customWidth="1"/>
    <col min="5" max="5" width="25.5703125" customWidth="1"/>
    <col min="6" max="6" width="26" customWidth="1"/>
    <col min="7" max="7" width="16.28515625" customWidth="1"/>
    <col min="8" max="8" width="20.7109375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1:26" ht="18.75" x14ac:dyDescent="0.3">
      <c r="B2" s="37" t="s">
        <v>151</v>
      </c>
      <c r="D2" s="38"/>
      <c r="E2" s="5"/>
      <c r="F2" s="5"/>
      <c r="G2" s="5"/>
    </row>
    <row r="3" spans="1:26" x14ac:dyDescent="0.25">
      <c r="O3" s="26" t="s">
        <v>8</v>
      </c>
      <c r="P3" s="26"/>
      <c r="Q3" s="26"/>
      <c r="R3" s="26"/>
      <c r="S3" s="26"/>
      <c r="U3" s="23" t="s">
        <v>147</v>
      </c>
    </row>
    <row r="4" spans="1:26" ht="15.75" thickBot="1" x14ac:dyDescent="0.3">
      <c r="B4" t="s">
        <v>6</v>
      </c>
      <c r="C4" t="s">
        <v>8</v>
      </c>
      <c r="U4" s="24">
        <f>(Totaal!D9*Totaal!F9)+(Totaal!D10*Totaal!F10)</f>
        <v>0</v>
      </c>
    </row>
    <row r="5" spans="1:26" ht="15.75" thickBot="1" x14ac:dyDescent="0.3">
      <c r="B5" t="s">
        <v>8</v>
      </c>
      <c r="P5" s="76"/>
      <c r="Q5" s="68" t="s">
        <v>166</v>
      </c>
      <c r="R5" s="76"/>
      <c r="S5" s="76"/>
    </row>
    <row r="6" spans="1:26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86">
        <v>2017</v>
      </c>
      <c r="J6" s="87" t="s">
        <v>132</v>
      </c>
      <c r="K6" s="87">
        <v>2018</v>
      </c>
      <c r="L6" s="87" t="s">
        <v>142</v>
      </c>
      <c r="M6" s="87">
        <v>2019</v>
      </c>
      <c r="N6" s="87" t="s">
        <v>149</v>
      </c>
      <c r="O6" s="91">
        <v>2020</v>
      </c>
      <c r="P6" s="97" t="s">
        <v>178</v>
      </c>
      <c r="Q6" s="206" t="s">
        <v>299</v>
      </c>
      <c r="R6" s="174" t="s">
        <v>183</v>
      </c>
      <c r="S6" s="148" t="s">
        <v>200</v>
      </c>
      <c r="U6" s="86" t="s">
        <v>154</v>
      </c>
      <c r="W6" s="217" t="s">
        <v>20</v>
      </c>
      <c r="X6" s="217"/>
      <c r="Y6" s="217"/>
      <c r="Z6" s="217"/>
    </row>
    <row r="7" spans="1:26" x14ac:dyDescent="0.25">
      <c r="I7" s="85"/>
      <c r="J7" s="85"/>
      <c r="K7" s="85"/>
      <c r="L7" s="85"/>
      <c r="M7" s="85"/>
      <c r="N7" s="85"/>
      <c r="O7" s="92"/>
      <c r="P7" s="98"/>
      <c r="Q7" s="149"/>
      <c r="R7" s="181"/>
      <c r="S7" s="158"/>
      <c r="U7" s="103"/>
      <c r="X7" s="3"/>
    </row>
    <row r="8" spans="1:26" x14ac:dyDescent="0.25">
      <c r="B8" t="s">
        <v>33</v>
      </c>
      <c r="C8" t="s">
        <v>77</v>
      </c>
      <c r="D8" s="28" t="s">
        <v>78</v>
      </c>
      <c r="E8" s="1" t="s">
        <v>2</v>
      </c>
      <c r="F8" s="1" t="s">
        <v>8</v>
      </c>
      <c r="G8" t="s">
        <v>13</v>
      </c>
      <c r="I8" s="70">
        <v>528600</v>
      </c>
      <c r="J8" s="70">
        <v>0</v>
      </c>
      <c r="K8" s="70">
        <f>(I8+J8)*(Totaal!N7/Totaal!N6)</f>
        <v>535853.51629502571</v>
      </c>
      <c r="L8" s="70">
        <v>0</v>
      </c>
      <c r="M8" s="70">
        <f>(K8+L8)*(Totaal!$N$8/Totaal!$N$7)</f>
        <v>560334.1337907376</v>
      </c>
      <c r="N8" s="70">
        <v>6958</v>
      </c>
      <c r="O8" s="93">
        <f>CEILING((M8+N8)*(Totaal!$N$10/Totaal!$N$9),100)</f>
        <v>576400</v>
      </c>
      <c r="P8" s="99">
        <v>0</v>
      </c>
      <c r="Q8" s="150">
        <f>CEILING((O8+P8)*(Totaal!N11/Totaal!N10),100)</f>
        <v>587200</v>
      </c>
      <c r="R8" s="176"/>
      <c r="S8" s="154">
        <v>875000</v>
      </c>
      <c r="U8" s="70">
        <f>M8/1000*U4</f>
        <v>0</v>
      </c>
      <c r="W8" t="s">
        <v>203</v>
      </c>
      <c r="X8" s="3" t="s">
        <v>209</v>
      </c>
      <c r="Y8" s="4" t="s">
        <v>208</v>
      </c>
      <c r="Z8" s="4" t="s">
        <v>210</v>
      </c>
    </row>
    <row r="9" spans="1:26" x14ac:dyDescent="0.25">
      <c r="A9" t="s">
        <v>8</v>
      </c>
      <c r="B9" t="s">
        <v>35</v>
      </c>
      <c r="C9" t="s">
        <v>77</v>
      </c>
      <c r="D9" s="28" t="s">
        <v>78</v>
      </c>
      <c r="E9" s="1" t="s">
        <v>2</v>
      </c>
      <c r="G9" t="s">
        <v>13</v>
      </c>
      <c r="I9" s="70">
        <v>0</v>
      </c>
      <c r="J9" s="70">
        <v>0</v>
      </c>
      <c r="K9" s="70">
        <f>I9+J9</f>
        <v>0</v>
      </c>
      <c r="L9" s="70">
        <v>72000</v>
      </c>
      <c r="M9" s="70">
        <f>(K9+L9)*(Totaal!$N$8/Totaal!$N$7)</f>
        <v>75289.340101522845</v>
      </c>
      <c r="N9" s="70">
        <v>10275</v>
      </c>
      <c r="O9" s="93">
        <f>CEILING((M9+N9)*(Totaal!$N$10/Totaal!$N$9),100)</f>
        <v>87000</v>
      </c>
      <c r="P9" s="99">
        <v>0</v>
      </c>
      <c r="Q9" s="150">
        <f>CEILING((O9+P9)*(Totaal!N11/Totaal!N10),100)</f>
        <v>88700</v>
      </c>
      <c r="R9" s="176"/>
      <c r="S9" s="154">
        <v>285000</v>
      </c>
      <c r="U9" s="70">
        <f>M9/1000*U4</f>
        <v>0</v>
      </c>
      <c r="W9" s="40" t="s">
        <v>203</v>
      </c>
      <c r="X9" s="143" t="s">
        <v>209</v>
      </c>
      <c r="Y9" s="4" t="s">
        <v>208</v>
      </c>
      <c r="Z9" s="4" t="s">
        <v>210</v>
      </c>
    </row>
    <row r="10" spans="1:26" x14ac:dyDescent="0.25">
      <c r="I10" s="78"/>
      <c r="J10" s="78"/>
      <c r="K10" s="78"/>
      <c r="L10" s="78"/>
      <c r="M10" s="78"/>
      <c r="N10" s="78"/>
      <c r="O10" s="94"/>
      <c r="P10" s="100"/>
      <c r="Q10" s="151"/>
      <c r="R10" s="182"/>
      <c r="S10" s="155"/>
      <c r="U10" s="78"/>
    </row>
    <row r="11" spans="1:26" ht="15.75" thickBot="1" x14ac:dyDescent="0.3">
      <c r="I11" s="88"/>
      <c r="J11" s="88"/>
      <c r="K11" s="88"/>
      <c r="L11" s="88"/>
      <c r="M11" s="88"/>
      <c r="N11" s="88"/>
      <c r="O11" s="95"/>
      <c r="P11" s="101"/>
      <c r="Q11" s="95"/>
      <c r="R11" s="179"/>
      <c r="S11" s="164"/>
      <c r="U11" s="88"/>
    </row>
    <row r="12" spans="1:26" ht="15.75" thickBot="1" x14ac:dyDescent="0.3">
      <c r="I12" s="79">
        <f t="shared" ref="I12:O12" si="0">SUM(I8:I11)</f>
        <v>528600</v>
      </c>
      <c r="J12" s="80">
        <f t="shared" si="0"/>
        <v>0</v>
      </c>
      <c r="K12" s="80">
        <f t="shared" si="0"/>
        <v>535853.51629502571</v>
      </c>
      <c r="L12" s="80">
        <f t="shared" si="0"/>
        <v>72000</v>
      </c>
      <c r="M12" s="80">
        <f t="shared" si="0"/>
        <v>635623.47389226046</v>
      </c>
      <c r="N12" s="80">
        <f t="shared" si="0"/>
        <v>17233</v>
      </c>
      <c r="O12" s="96">
        <f t="shared" si="0"/>
        <v>663400</v>
      </c>
      <c r="P12" s="102">
        <f>SUM(P8:P10)</f>
        <v>0</v>
      </c>
      <c r="Q12" s="152">
        <f>SUM(Q8:Q11)</f>
        <v>675900</v>
      </c>
      <c r="R12" s="183"/>
      <c r="S12" s="165">
        <f>SUM(S8:S11)</f>
        <v>1160000</v>
      </c>
      <c r="U12" s="79">
        <f>SUM(U8:U11)</f>
        <v>0</v>
      </c>
    </row>
    <row r="13" spans="1:26" x14ac:dyDescent="0.25">
      <c r="U13" s="27">
        <f>(M12/1000*U4)-U12</f>
        <v>0</v>
      </c>
    </row>
    <row r="14" spans="1:26" ht="15.75" thickBot="1" x14ac:dyDescent="0.3">
      <c r="N14" s="26" t="s">
        <v>8</v>
      </c>
      <c r="P14" s="26" t="s">
        <v>8</v>
      </c>
    </row>
    <row r="15" spans="1:26" s="40" customFormat="1" ht="15.75" thickBot="1" x14ac:dyDescent="0.3">
      <c r="B15" s="173" t="s">
        <v>185</v>
      </c>
      <c r="D15" s="143"/>
      <c r="X15" s="143"/>
      <c r="Y15" s="143"/>
    </row>
    <row r="16" spans="1:26" s="40" customFormat="1" ht="15.75" thickBot="1" x14ac:dyDescent="0.3">
      <c r="D16" s="143"/>
      <c r="E16" s="190" t="s">
        <v>206</v>
      </c>
      <c r="F16" s="191" t="s">
        <v>207</v>
      </c>
      <c r="X16" s="143"/>
      <c r="Y16" s="143"/>
    </row>
    <row r="17" spans="2:25" s="40" customFormat="1" x14ac:dyDescent="0.25">
      <c r="B17" s="16" t="s">
        <v>208</v>
      </c>
      <c r="C17" s="25" t="s">
        <v>249</v>
      </c>
      <c r="D17" s="143"/>
      <c r="X17" s="143"/>
      <c r="Y17" s="143"/>
    </row>
    <row r="18" spans="2:25" s="40" customFormat="1" x14ac:dyDescent="0.25">
      <c r="C18" s="196" t="s">
        <v>216</v>
      </c>
      <c r="D18" s="143"/>
      <c r="X18" s="143"/>
      <c r="Y18" s="143"/>
    </row>
    <row r="19" spans="2:25" s="40" customFormat="1" x14ac:dyDescent="0.25">
      <c r="C19" s="40" t="s">
        <v>8</v>
      </c>
      <c r="D19" s="143"/>
      <c r="E19" s="2" t="s">
        <v>8</v>
      </c>
      <c r="F19" s="2" t="s">
        <v>8</v>
      </c>
      <c r="H19" s="40" t="s">
        <v>8</v>
      </c>
      <c r="X19" s="143"/>
      <c r="Y19" s="143"/>
    </row>
    <row r="20" spans="2:25" s="40" customFormat="1" x14ac:dyDescent="0.25">
      <c r="C20" s="16" t="s">
        <v>213</v>
      </c>
      <c r="D20" s="143"/>
      <c r="E20" s="2">
        <v>576400</v>
      </c>
      <c r="F20" s="2">
        <f>1160000-F21</f>
        <v>875000</v>
      </c>
      <c r="H20" s="40" t="s">
        <v>286</v>
      </c>
      <c r="X20" s="143"/>
      <c r="Y20" s="143"/>
    </row>
    <row r="21" spans="2:25" s="40" customFormat="1" x14ac:dyDescent="0.25">
      <c r="C21" s="16" t="s">
        <v>214</v>
      </c>
      <c r="D21" s="143"/>
      <c r="E21" s="2">
        <v>87000</v>
      </c>
      <c r="F21" s="2">
        <v>285000</v>
      </c>
      <c r="H21" s="40" t="s">
        <v>286</v>
      </c>
      <c r="X21" s="143"/>
      <c r="Y21" s="143"/>
    </row>
    <row r="22" spans="2:25" s="40" customFormat="1" x14ac:dyDescent="0.25">
      <c r="D22" s="143"/>
      <c r="E22" s="2"/>
      <c r="F22" s="70">
        <f>SUM(F20:F21)</f>
        <v>1160000</v>
      </c>
      <c r="X22" s="143"/>
      <c r="Y22" s="143"/>
    </row>
  </sheetData>
  <mergeCells count="1">
    <mergeCell ref="W6:Z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3"/>
  <sheetViews>
    <sheetView workbookViewId="0">
      <selection activeCell="W3" sqref="W3"/>
    </sheetView>
  </sheetViews>
  <sheetFormatPr defaultRowHeight="15" x14ac:dyDescent="0.25"/>
  <cols>
    <col min="1" max="1" width="5.85546875" customWidth="1"/>
    <col min="2" max="2" width="25.7109375" customWidth="1"/>
    <col min="3" max="3" width="44" customWidth="1"/>
    <col min="4" max="4" width="15.7109375" customWidth="1"/>
    <col min="5" max="5" width="24.28515625" customWidth="1"/>
    <col min="6" max="6" width="25.5703125" customWidth="1"/>
    <col min="7" max="7" width="10.7109375" customWidth="1"/>
    <col min="8" max="8" width="24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2:26" ht="18.75" x14ac:dyDescent="0.3">
      <c r="B2" s="37" t="s">
        <v>14</v>
      </c>
      <c r="C2" s="5"/>
      <c r="E2" s="5"/>
      <c r="F2" s="5"/>
      <c r="G2" s="5"/>
    </row>
    <row r="3" spans="2:26" x14ac:dyDescent="0.25">
      <c r="C3" s="11"/>
      <c r="D3" s="11"/>
      <c r="E3" s="11"/>
      <c r="F3" s="11"/>
      <c r="U3" s="23" t="s">
        <v>147</v>
      </c>
      <c r="W3" s="40"/>
    </row>
    <row r="4" spans="2:26" x14ac:dyDescent="0.25">
      <c r="B4" t="s">
        <v>6</v>
      </c>
      <c r="C4" t="s">
        <v>21</v>
      </c>
      <c r="T4" s="11"/>
      <c r="U4" s="24">
        <f>(Totaal!D9*Totaal!F9)+(Totaal!D10*Totaal!F10)</f>
        <v>0</v>
      </c>
    </row>
    <row r="5" spans="2:26" ht="15.75" thickBot="1" x14ac:dyDescent="0.3">
      <c r="B5" t="s">
        <v>8</v>
      </c>
      <c r="P5" s="76"/>
      <c r="Q5" s="123" t="s">
        <v>167</v>
      </c>
      <c r="R5" s="76"/>
      <c r="S5" s="76"/>
    </row>
    <row r="6" spans="2:26" ht="15.75" thickBot="1" x14ac:dyDescent="0.3">
      <c r="B6" s="7" t="s">
        <v>19</v>
      </c>
      <c r="C6" s="7" t="s">
        <v>0</v>
      </c>
      <c r="D6" s="8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106">
        <v>2017</v>
      </c>
      <c r="J6" s="107" t="s">
        <v>132</v>
      </c>
      <c r="K6" s="107">
        <v>2018</v>
      </c>
      <c r="L6" s="107" t="s">
        <v>142</v>
      </c>
      <c r="M6" s="107">
        <v>2019</v>
      </c>
      <c r="N6" s="134" t="s">
        <v>149</v>
      </c>
      <c r="O6" s="119">
        <v>2020</v>
      </c>
      <c r="P6" s="136" t="s">
        <v>178</v>
      </c>
      <c r="Q6" s="206" t="s">
        <v>299</v>
      </c>
      <c r="R6" s="174" t="s">
        <v>183</v>
      </c>
      <c r="S6" s="148" t="s">
        <v>200</v>
      </c>
      <c r="U6" s="106" t="s">
        <v>154</v>
      </c>
      <c r="W6" s="215" t="s">
        <v>20</v>
      </c>
      <c r="X6" s="215"/>
      <c r="Y6" s="215"/>
      <c r="Z6" s="215"/>
    </row>
    <row r="7" spans="2:26" x14ac:dyDescent="0.25">
      <c r="D7" s="6"/>
      <c r="I7" s="103"/>
      <c r="J7" s="103"/>
      <c r="K7" s="103"/>
      <c r="L7" s="103"/>
      <c r="M7" s="103"/>
      <c r="N7" s="103"/>
      <c r="O7" s="116"/>
      <c r="P7" s="130"/>
      <c r="Q7" s="116"/>
      <c r="R7" s="185"/>
      <c r="S7" s="169"/>
      <c r="U7" s="103"/>
    </row>
    <row r="8" spans="2:26" x14ac:dyDescent="0.25">
      <c r="B8" t="s">
        <v>7</v>
      </c>
      <c r="C8" t="s">
        <v>4</v>
      </c>
      <c r="D8" s="28" t="s">
        <v>1</v>
      </c>
      <c r="E8" s="1" t="s">
        <v>2</v>
      </c>
      <c r="F8" s="1" t="s">
        <v>5</v>
      </c>
      <c r="G8" t="s">
        <v>13</v>
      </c>
      <c r="I8" s="70">
        <v>4866700</v>
      </c>
      <c r="J8" s="70">
        <v>0</v>
      </c>
      <c r="K8" s="70">
        <f>(I8+J8)*(Totaal!$M$7/Totaal!$M$6)</f>
        <v>4973443.216896832</v>
      </c>
      <c r="L8" s="70">
        <v>0</v>
      </c>
      <c r="M8" s="70">
        <f>(K8+L8)*(Totaal!$M$8/Totaal!$M$7)</f>
        <v>5590181.803411861</v>
      </c>
      <c r="N8" s="70">
        <v>0</v>
      </c>
      <c r="O8" s="117">
        <f>CEILING(((M8+N8)*(Totaal!$M$10/Totaal!$M$9)),100)</f>
        <v>5869700</v>
      </c>
      <c r="P8" s="126"/>
      <c r="Q8" s="166">
        <f>CEILING((O8+P8)*(Totaal!M11/Totaal!M10),100)</f>
        <v>6037500</v>
      </c>
      <c r="R8" s="177"/>
      <c r="S8" s="153">
        <f>Q8+R8</f>
        <v>6037500</v>
      </c>
      <c r="U8" s="70">
        <f>M8/1000*U4</f>
        <v>0</v>
      </c>
      <c r="W8" t="s">
        <v>9</v>
      </c>
      <c r="X8" s="4" t="s">
        <v>50</v>
      </c>
      <c r="Y8" s="4" t="s">
        <v>10</v>
      </c>
      <c r="Z8" s="4" t="s">
        <v>11</v>
      </c>
    </row>
    <row r="9" spans="2:26" s="40" customFormat="1" x14ac:dyDescent="0.25">
      <c r="B9" s="40" t="s">
        <v>44</v>
      </c>
      <c r="C9" s="40" t="s">
        <v>4</v>
      </c>
      <c r="D9" s="28" t="s">
        <v>1</v>
      </c>
      <c r="E9" s="1" t="s">
        <v>2</v>
      </c>
      <c r="F9" s="1" t="s">
        <v>5</v>
      </c>
      <c r="G9" s="40" t="s">
        <v>13</v>
      </c>
      <c r="I9" s="70"/>
      <c r="J9" s="70"/>
      <c r="K9" s="70"/>
      <c r="L9" s="70"/>
      <c r="M9" s="70"/>
      <c r="N9" s="70">
        <v>4981959.24</v>
      </c>
      <c r="O9" s="117">
        <f>N9</f>
        <v>4981959.24</v>
      </c>
      <c r="P9" s="126"/>
      <c r="Q9" s="166">
        <f>CEILING((O9+P9)*(Totaal!M11/Totaal!M10),100)</f>
        <v>5124400</v>
      </c>
      <c r="R9" s="177"/>
      <c r="S9" s="153">
        <f>Q9+R9</f>
        <v>5124400</v>
      </c>
      <c r="U9" s="70">
        <f>M9/1000*U4</f>
        <v>0</v>
      </c>
      <c r="X9" s="4"/>
      <c r="Y9" s="4"/>
      <c r="Z9" s="4"/>
    </row>
    <row r="10" spans="2:26" x14ac:dyDescent="0.25">
      <c r="D10" s="6"/>
      <c r="I10" s="78"/>
      <c r="J10" s="78"/>
      <c r="K10" s="78"/>
      <c r="L10" s="78"/>
      <c r="M10" s="78"/>
      <c r="N10" s="78"/>
      <c r="O10" s="94"/>
      <c r="P10" s="100"/>
      <c r="Q10" s="151"/>
      <c r="R10" s="182"/>
      <c r="S10" s="155"/>
      <c r="U10" s="70"/>
      <c r="X10" s="3"/>
    </row>
    <row r="11" spans="2:26" x14ac:dyDescent="0.25">
      <c r="B11" t="s">
        <v>7</v>
      </c>
      <c r="C11" t="s">
        <v>16</v>
      </c>
      <c r="D11" s="6" t="s">
        <v>1</v>
      </c>
      <c r="E11" t="s">
        <v>2</v>
      </c>
      <c r="F11" t="s">
        <v>5</v>
      </c>
      <c r="G11" t="s">
        <v>13</v>
      </c>
      <c r="I11" s="70">
        <v>37362200</v>
      </c>
      <c r="J11" s="70">
        <v>0</v>
      </c>
      <c r="K11" s="70">
        <f>(I11+J11)*(Totaal!$M$7/Totaal!$M$6)</f>
        <v>38181679.610073112</v>
      </c>
      <c r="L11" s="70">
        <v>0</v>
      </c>
      <c r="M11" s="70">
        <f>(K11+L11)*(Totaal!$M$8/Totaal!$M$7)</f>
        <v>42916450.690495536</v>
      </c>
      <c r="N11" s="70">
        <v>0</v>
      </c>
      <c r="O11" s="117">
        <f>CEILING(((M11+N11)*(Totaal!$M$10/Totaal!$M$9)),100)</f>
        <v>45062300</v>
      </c>
      <c r="P11" s="126"/>
      <c r="Q11" s="166">
        <f>CEILING((O11+P11)*(Totaal!M11/Totaal!M10),100)</f>
        <v>46349800</v>
      </c>
      <c r="R11" s="177"/>
      <c r="S11" s="153">
        <f>Q11+R11</f>
        <v>46349800</v>
      </c>
      <c r="U11" s="70">
        <f>M11/1000*U4</f>
        <v>0</v>
      </c>
      <c r="W11" t="s">
        <v>9</v>
      </c>
      <c r="X11" s="4" t="s">
        <v>51</v>
      </c>
      <c r="Y11" s="4" t="s">
        <v>10</v>
      </c>
      <c r="Z11" s="4" t="s">
        <v>11</v>
      </c>
    </row>
    <row r="12" spans="2:26" x14ac:dyDescent="0.25">
      <c r="D12" s="6"/>
      <c r="I12" s="78"/>
      <c r="J12" s="78"/>
      <c r="K12" s="78"/>
      <c r="L12" s="78"/>
      <c r="M12" s="78"/>
      <c r="N12" s="78"/>
      <c r="O12" s="94"/>
      <c r="P12" s="100"/>
      <c r="Q12" s="151"/>
      <c r="R12" s="182"/>
      <c r="S12" s="155"/>
      <c r="U12" s="70"/>
      <c r="X12" s="3"/>
    </row>
    <row r="13" spans="2:26" x14ac:dyDescent="0.25">
      <c r="B13" s="64" t="s">
        <v>7</v>
      </c>
      <c r="C13" s="64" t="s">
        <v>31</v>
      </c>
      <c r="D13" s="65" t="s">
        <v>1</v>
      </c>
      <c r="E13" s="64" t="s">
        <v>2</v>
      </c>
      <c r="F13" s="64" t="s">
        <v>5</v>
      </c>
      <c r="G13" s="64" t="s">
        <v>13</v>
      </c>
      <c r="I13" s="70">
        <v>19002800</v>
      </c>
      <c r="J13" s="70">
        <v>0</v>
      </c>
      <c r="K13" s="70">
        <f>(I13+J13)*(Totaal!$M$7/Totaal!$M$6)</f>
        <v>19419595.77579204</v>
      </c>
      <c r="L13" s="70">
        <v>0</v>
      </c>
      <c r="M13" s="70">
        <f>(K13+L13)*(Totaal!$M$8/Totaal!$M$7)</f>
        <v>21827749.147034932</v>
      </c>
      <c r="N13" s="129">
        <v>-21827749.149999999</v>
      </c>
      <c r="O13" s="117">
        <f>CEILING(((M13+N13)*(Totaal!$M$10/Totaal!$M$9)),100)</f>
        <v>0</v>
      </c>
      <c r="P13" s="126"/>
      <c r="Q13" s="166">
        <v>0</v>
      </c>
      <c r="R13" s="177"/>
      <c r="S13" s="153">
        <f>Q13+R13</f>
        <v>0</v>
      </c>
      <c r="U13" s="70">
        <f>M13/1000*U4</f>
        <v>0</v>
      </c>
      <c r="W13" t="s">
        <v>32</v>
      </c>
      <c r="X13" s="3"/>
    </row>
    <row r="14" spans="2:26" x14ac:dyDescent="0.25">
      <c r="D14" s="6"/>
      <c r="I14" s="78"/>
      <c r="J14" s="78"/>
      <c r="K14" s="78"/>
      <c r="L14" s="78"/>
      <c r="M14" s="78"/>
      <c r="N14" s="78"/>
      <c r="O14" s="94"/>
      <c r="P14" s="100"/>
      <c r="Q14" s="151"/>
      <c r="R14" s="182"/>
      <c r="S14" s="155"/>
      <c r="U14" s="70"/>
      <c r="X14" s="3"/>
    </row>
    <row r="15" spans="2:26" s="40" customFormat="1" x14ac:dyDescent="0.25">
      <c r="B15" s="40" t="s">
        <v>7</v>
      </c>
      <c r="C15" s="40" t="s">
        <v>23</v>
      </c>
      <c r="D15" s="60" t="s">
        <v>1</v>
      </c>
      <c r="E15" s="40" t="s">
        <v>2</v>
      </c>
      <c r="F15" s="1" t="s">
        <v>25</v>
      </c>
      <c r="G15" s="40" t="s">
        <v>13</v>
      </c>
      <c r="I15" s="78"/>
      <c r="J15" s="78"/>
      <c r="K15" s="78"/>
      <c r="L15" s="78"/>
      <c r="M15" s="78"/>
      <c r="N15" s="70">
        <v>2329251.9900000002</v>
      </c>
      <c r="O15" s="135">
        <f>N15</f>
        <v>2329251.9900000002</v>
      </c>
      <c r="P15" s="137"/>
      <c r="Q15" s="171">
        <f>CEILING((O15+P15)*(Totaal!M11/Totaal!M10),100)</f>
        <v>2395900</v>
      </c>
      <c r="R15" s="188"/>
      <c r="S15" s="157">
        <f>Q15+R15</f>
        <v>2395900</v>
      </c>
      <c r="U15" s="70">
        <f>M15/1000*U4</f>
        <v>0</v>
      </c>
      <c r="X15" s="60"/>
      <c r="Y15" s="60"/>
      <c r="Z15" s="60"/>
    </row>
    <row r="16" spans="2:26" s="40" customFormat="1" x14ac:dyDescent="0.25">
      <c r="D16" s="60"/>
      <c r="I16" s="78"/>
      <c r="J16" s="78"/>
      <c r="K16" s="78"/>
      <c r="L16" s="78"/>
      <c r="M16" s="78"/>
      <c r="N16" s="78"/>
      <c r="O16" s="94"/>
      <c r="P16" s="100"/>
      <c r="Q16" s="151"/>
      <c r="R16" s="182"/>
      <c r="S16" s="155"/>
      <c r="U16" s="70"/>
      <c r="X16" s="60"/>
      <c r="Y16" s="60"/>
      <c r="Z16" s="60"/>
    </row>
    <row r="17" spans="2:27" x14ac:dyDescent="0.25">
      <c r="B17" t="s">
        <v>33</v>
      </c>
      <c r="C17" t="s">
        <v>34</v>
      </c>
      <c r="D17" s="6" t="s">
        <v>1</v>
      </c>
      <c r="E17" t="s">
        <v>2</v>
      </c>
      <c r="F17" t="s">
        <v>5</v>
      </c>
      <c r="G17" t="s">
        <v>13</v>
      </c>
      <c r="H17" t="s">
        <v>140</v>
      </c>
      <c r="I17" s="70">
        <v>29270100</v>
      </c>
      <c r="J17" s="70">
        <v>0</v>
      </c>
      <c r="K17" s="70">
        <f>(I17+J17)*(Totaal!$N$7/Totaal!$N$6)</f>
        <v>29671748.027444255</v>
      </c>
      <c r="L17" s="70">
        <v>0</v>
      </c>
      <c r="M17" s="70">
        <f>K17*Totaal!N8/Totaal!N7</f>
        <v>31027310.12006861</v>
      </c>
      <c r="N17" s="70">
        <v>0</v>
      </c>
      <c r="O17" s="117">
        <f>CEILING(((M17+N17)*(Totaal!$N$10/Totaal!$N$9)),100)</f>
        <v>31523800</v>
      </c>
      <c r="P17" s="126">
        <v>0</v>
      </c>
      <c r="Q17" s="166">
        <f>CEILING((O17+P17)*(Totaal!N11/Totaal!N10),100)</f>
        <v>32113400</v>
      </c>
      <c r="R17" s="177"/>
      <c r="S17" s="153">
        <v>0</v>
      </c>
      <c r="U17" s="70">
        <f>M17/1000*U4</f>
        <v>0</v>
      </c>
      <c r="W17" t="s">
        <v>8</v>
      </c>
      <c r="X17" s="4" t="s">
        <v>8</v>
      </c>
      <c r="Y17" s="4" t="s">
        <v>8</v>
      </c>
      <c r="Z17" s="10" t="s">
        <v>8</v>
      </c>
      <c r="AA17" t="s">
        <v>8</v>
      </c>
    </row>
    <row r="18" spans="2:27" x14ac:dyDescent="0.25">
      <c r="B18" t="s">
        <v>33</v>
      </c>
      <c r="C18" t="s">
        <v>34</v>
      </c>
      <c r="D18" s="6" t="s">
        <v>1</v>
      </c>
      <c r="E18" t="s">
        <v>2</v>
      </c>
      <c r="F18" t="s">
        <v>5</v>
      </c>
      <c r="G18" t="s">
        <v>13</v>
      </c>
      <c r="H18" t="s">
        <v>32</v>
      </c>
      <c r="I18" s="70">
        <v>2021200</v>
      </c>
      <c r="J18" s="70"/>
      <c r="K18" s="70">
        <f>(I18+J18)*(Totaal!$N$7/Totaal!$N$6)</f>
        <v>2048935.1629502573</v>
      </c>
      <c r="L18" s="70">
        <v>0</v>
      </c>
      <c r="M18" s="70">
        <f>(K18+L18)*(Totaal!$N$8/Totaal!$N$7)</f>
        <v>2142541.3379073758</v>
      </c>
      <c r="N18" s="70">
        <v>0</v>
      </c>
      <c r="O18" s="117">
        <f>CEILING(((M18+N18)*(Totaal!$N$10/Totaal!$N$9)),100)</f>
        <v>2176900</v>
      </c>
      <c r="P18" s="126">
        <v>0</v>
      </c>
      <c r="Q18" s="166">
        <f>CEILING((O18+P18)*(Totaal!N11/Totaal!N10),100)</f>
        <v>2217700</v>
      </c>
      <c r="R18" s="177"/>
      <c r="S18" s="153">
        <v>0</v>
      </c>
      <c r="U18" s="70">
        <f>M18/1000*U4</f>
        <v>0</v>
      </c>
      <c r="W18" t="s">
        <v>8</v>
      </c>
      <c r="X18" s="4" t="s">
        <v>8</v>
      </c>
      <c r="Y18" s="4" t="s">
        <v>8</v>
      </c>
      <c r="Z18" s="10" t="s">
        <v>271</v>
      </c>
    </row>
    <row r="19" spans="2:27" x14ac:dyDescent="0.25">
      <c r="B19" t="s">
        <v>35</v>
      </c>
      <c r="C19" t="s">
        <v>34</v>
      </c>
      <c r="D19" s="6" t="s">
        <v>1</v>
      </c>
      <c r="E19" t="s">
        <v>2</v>
      </c>
      <c r="F19" t="s">
        <v>5</v>
      </c>
      <c r="G19" t="s">
        <v>13</v>
      </c>
      <c r="I19" s="70">
        <v>970600</v>
      </c>
      <c r="J19" s="70"/>
      <c r="K19" s="70">
        <f>(I19+J19)*(Totaal!$N$7/Totaal!$N$6)</f>
        <v>983918.69639794168</v>
      </c>
      <c r="L19" s="70">
        <v>0</v>
      </c>
      <c r="M19" s="70">
        <f>(K19+L19)*(Totaal!$N$8/Totaal!$N$7)</f>
        <v>1028869.2967409949</v>
      </c>
      <c r="N19" s="70">
        <v>0</v>
      </c>
      <c r="O19" s="117">
        <f>CEILING(((M19+N19)*(Totaal!$N$10/Totaal!$N$9)),100)</f>
        <v>1045400</v>
      </c>
      <c r="P19" s="126">
        <v>0</v>
      </c>
      <c r="Q19" s="166">
        <f>CEILING((O19+P19)*(Totaal!N11/Totaal!N10),100)</f>
        <v>1065000</v>
      </c>
      <c r="R19" s="177"/>
      <c r="S19" s="153">
        <v>0</v>
      </c>
      <c r="U19" s="70">
        <f>M19/1000*U4</f>
        <v>0</v>
      </c>
      <c r="W19" t="s">
        <v>8</v>
      </c>
      <c r="X19" s="4" t="s">
        <v>8</v>
      </c>
      <c r="Y19" s="4" t="s">
        <v>8</v>
      </c>
      <c r="Z19" s="10" t="s">
        <v>8</v>
      </c>
    </row>
    <row r="20" spans="2:27" s="40" customFormat="1" x14ac:dyDescent="0.25">
      <c r="B20" s="40" t="s">
        <v>33</v>
      </c>
      <c r="C20" s="40" t="s">
        <v>258</v>
      </c>
      <c r="D20" s="145" t="s">
        <v>1</v>
      </c>
      <c r="E20" s="40" t="s">
        <v>2</v>
      </c>
      <c r="I20" s="70"/>
      <c r="J20" s="70"/>
      <c r="K20" s="70"/>
      <c r="L20" s="70"/>
      <c r="M20" s="70"/>
      <c r="N20" s="70"/>
      <c r="O20" s="117"/>
      <c r="P20" s="126"/>
      <c r="Q20" s="166">
        <v>0</v>
      </c>
      <c r="R20" s="177"/>
      <c r="S20" s="153">
        <v>23567500</v>
      </c>
      <c r="U20" s="70"/>
      <c r="W20" s="40" t="s">
        <v>305</v>
      </c>
      <c r="X20" s="4" t="s">
        <v>272</v>
      </c>
      <c r="Y20" s="4" t="s">
        <v>208</v>
      </c>
      <c r="Z20" s="9" t="s">
        <v>210</v>
      </c>
    </row>
    <row r="21" spans="2:27" s="40" customFormat="1" x14ac:dyDescent="0.25">
      <c r="B21" s="40" t="s">
        <v>33</v>
      </c>
      <c r="C21" s="40" t="s">
        <v>257</v>
      </c>
      <c r="D21" s="145" t="s">
        <v>1</v>
      </c>
      <c r="E21" s="40" t="s">
        <v>2</v>
      </c>
      <c r="I21" s="70"/>
      <c r="J21" s="70"/>
      <c r="K21" s="70"/>
      <c r="L21" s="70"/>
      <c r="M21" s="70"/>
      <c r="N21" s="70"/>
      <c r="O21" s="117"/>
      <c r="P21" s="126"/>
      <c r="Q21" s="166">
        <v>0</v>
      </c>
      <c r="R21" s="177"/>
      <c r="S21" s="153">
        <v>4653500</v>
      </c>
      <c r="U21" s="70"/>
      <c r="W21" s="40" t="s">
        <v>305</v>
      </c>
      <c r="X21" s="4" t="s">
        <v>272</v>
      </c>
      <c r="Y21" s="4" t="s">
        <v>208</v>
      </c>
      <c r="Z21" s="9" t="s">
        <v>210</v>
      </c>
    </row>
    <row r="22" spans="2:27" s="40" customFormat="1" x14ac:dyDescent="0.25">
      <c r="B22" s="40" t="s">
        <v>33</v>
      </c>
      <c r="C22" s="40" t="s">
        <v>259</v>
      </c>
      <c r="D22" s="145" t="s">
        <v>1</v>
      </c>
      <c r="E22" s="40" t="s">
        <v>2</v>
      </c>
      <c r="I22" s="70"/>
      <c r="J22" s="70"/>
      <c r="K22" s="70"/>
      <c r="L22" s="70"/>
      <c r="M22" s="70"/>
      <c r="N22" s="70"/>
      <c r="O22" s="117"/>
      <c r="P22" s="126"/>
      <c r="Q22" s="166">
        <v>0</v>
      </c>
      <c r="R22" s="177"/>
      <c r="S22" s="153">
        <v>22000</v>
      </c>
      <c r="U22" s="70"/>
      <c r="W22" s="40" t="s">
        <v>305</v>
      </c>
      <c r="X22" s="4" t="s">
        <v>272</v>
      </c>
      <c r="Y22" s="4" t="s">
        <v>208</v>
      </c>
      <c r="Z22" s="9" t="s">
        <v>210</v>
      </c>
    </row>
    <row r="23" spans="2:27" s="40" customFormat="1" x14ac:dyDescent="0.25">
      <c r="B23" s="40" t="s">
        <v>33</v>
      </c>
      <c r="C23" s="40" t="s">
        <v>260</v>
      </c>
      <c r="D23" s="145" t="s">
        <v>1</v>
      </c>
      <c r="E23" s="40" t="s">
        <v>2</v>
      </c>
      <c r="I23" s="70"/>
      <c r="J23" s="70"/>
      <c r="K23" s="70"/>
      <c r="L23" s="70"/>
      <c r="M23" s="70"/>
      <c r="N23" s="70"/>
      <c r="O23" s="117"/>
      <c r="P23" s="126"/>
      <c r="Q23" s="166">
        <v>0</v>
      </c>
      <c r="R23" s="177"/>
      <c r="S23" s="153">
        <v>418000</v>
      </c>
      <c r="U23" s="70"/>
      <c r="W23" s="40" t="s">
        <v>305</v>
      </c>
      <c r="X23" s="4" t="s">
        <v>272</v>
      </c>
      <c r="Y23" s="4" t="s">
        <v>208</v>
      </c>
      <c r="Z23" s="9" t="s">
        <v>210</v>
      </c>
    </row>
    <row r="24" spans="2:27" s="40" customFormat="1" x14ac:dyDescent="0.25">
      <c r="B24" s="40" t="s">
        <v>33</v>
      </c>
      <c r="C24" s="40" t="s">
        <v>261</v>
      </c>
      <c r="D24" s="145" t="s">
        <v>1</v>
      </c>
      <c r="E24" s="40" t="s">
        <v>2</v>
      </c>
      <c r="I24" s="70"/>
      <c r="J24" s="70"/>
      <c r="K24" s="70"/>
      <c r="L24" s="70"/>
      <c r="M24" s="70"/>
      <c r="N24" s="70"/>
      <c r="O24" s="117"/>
      <c r="P24" s="126"/>
      <c r="Q24" s="166">
        <v>0</v>
      </c>
      <c r="R24" s="177"/>
      <c r="S24" s="153">
        <v>30000</v>
      </c>
      <c r="U24" s="70"/>
      <c r="W24" s="40" t="s">
        <v>305</v>
      </c>
      <c r="X24" s="4" t="s">
        <v>272</v>
      </c>
      <c r="Y24" s="4" t="s">
        <v>208</v>
      </c>
      <c r="Z24" s="9" t="s">
        <v>210</v>
      </c>
    </row>
    <row r="25" spans="2:27" s="40" customFormat="1" x14ac:dyDescent="0.25">
      <c r="B25" s="40" t="s">
        <v>269</v>
      </c>
      <c r="C25" s="40" t="s">
        <v>254</v>
      </c>
      <c r="D25" s="145" t="s">
        <v>1</v>
      </c>
      <c r="E25" s="40" t="s">
        <v>2</v>
      </c>
      <c r="I25" s="70"/>
      <c r="J25" s="70"/>
      <c r="K25" s="70"/>
      <c r="L25" s="70"/>
      <c r="M25" s="70"/>
      <c r="N25" s="70"/>
      <c r="O25" s="117"/>
      <c r="P25" s="126"/>
      <c r="Q25" s="166">
        <v>0</v>
      </c>
      <c r="R25" s="177"/>
      <c r="S25" s="153">
        <v>1188000</v>
      </c>
      <c r="U25" s="70"/>
      <c r="W25" s="40" t="s">
        <v>305</v>
      </c>
      <c r="X25" s="4" t="s">
        <v>272</v>
      </c>
      <c r="Y25" s="4" t="s">
        <v>208</v>
      </c>
      <c r="Z25" s="9" t="s">
        <v>210</v>
      </c>
    </row>
    <row r="26" spans="2:27" s="40" customFormat="1" x14ac:dyDescent="0.25">
      <c r="B26" s="16" t="s">
        <v>35</v>
      </c>
      <c r="C26" s="40" t="s">
        <v>254</v>
      </c>
      <c r="D26" s="145" t="s">
        <v>1</v>
      </c>
      <c r="E26" s="40" t="s">
        <v>2</v>
      </c>
      <c r="I26" s="70"/>
      <c r="J26" s="70"/>
      <c r="K26" s="70"/>
      <c r="L26" s="70"/>
      <c r="M26" s="70"/>
      <c r="N26" s="70"/>
      <c r="O26" s="117"/>
      <c r="P26" s="126"/>
      <c r="Q26" s="166">
        <v>0</v>
      </c>
      <c r="R26" s="177"/>
      <c r="S26" s="153">
        <v>9271000</v>
      </c>
      <c r="U26" s="70"/>
      <c r="W26" s="40" t="s">
        <v>305</v>
      </c>
      <c r="X26" s="4" t="s">
        <v>272</v>
      </c>
      <c r="Y26" s="4" t="s">
        <v>208</v>
      </c>
      <c r="Z26" s="9" t="s">
        <v>210</v>
      </c>
    </row>
    <row r="27" spans="2:27" s="40" customFormat="1" x14ac:dyDescent="0.25">
      <c r="B27" s="40" t="s">
        <v>270</v>
      </c>
      <c r="C27" s="40" t="s">
        <v>254</v>
      </c>
      <c r="D27" s="145" t="s">
        <v>1</v>
      </c>
      <c r="E27" s="40" t="s">
        <v>2</v>
      </c>
      <c r="I27" s="70"/>
      <c r="J27" s="70"/>
      <c r="K27" s="70"/>
      <c r="L27" s="70"/>
      <c r="M27" s="70"/>
      <c r="N27" s="70"/>
      <c r="O27" s="117"/>
      <c r="P27" s="126"/>
      <c r="Q27" s="166">
        <v>0</v>
      </c>
      <c r="R27" s="177"/>
      <c r="S27" s="153">
        <v>1350000</v>
      </c>
      <c r="U27" s="70"/>
      <c r="W27" s="40" t="s">
        <v>305</v>
      </c>
      <c r="X27" s="4" t="s">
        <v>272</v>
      </c>
      <c r="Y27" s="4" t="s">
        <v>208</v>
      </c>
      <c r="Z27" s="9" t="s">
        <v>210</v>
      </c>
    </row>
    <row r="28" spans="2:27" ht="15.75" thickBot="1" x14ac:dyDescent="0.3">
      <c r="I28" s="88"/>
      <c r="J28" s="88"/>
      <c r="K28" s="88"/>
      <c r="L28" s="88"/>
      <c r="M28" s="88"/>
      <c r="N28" s="88"/>
      <c r="O28" s="95"/>
      <c r="P28" s="101"/>
      <c r="Q28" s="95"/>
      <c r="R28" s="179"/>
      <c r="S28" s="164"/>
      <c r="U28" s="104"/>
      <c r="X28" s="4"/>
    </row>
    <row r="29" spans="2:27" ht="15.75" thickBot="1" x14ac:dyDescent="0.3">
      <c r="I29" s="79">
        <f t="shared" ref="I29:Q29" si="0">SUM(I8:I27)</f>
        <v>93493600</v>
      </c>
      <c r="J29" s="80">
        <f t="shared" si="0"/>
        <v>0</v>
      </c>
      <c r="K29" s="80">
        <f t="shared" si="0"/>
        <v>95279320.48955445</v>
      </c>
      <c r="L29" s="80">
        <f t="shared" si="0"/>
        <v>0</v>
      </c>
      <c r="M29" s="80">
        <f t="shared" si="0"/>
        <v>104533102.39565931</v>
      </c>
      <c r="N29" s="80">
        <f t="shared" si="0"/>
        <v>-14516537.919999996</v>
      </c>
      <c r="O29" s="96">
        <f t="shared" si="0"/>
        <v>92989311.230000004</v>
      </c>
      <c r="P29" s="102">
        <f t="shared" si="0"/>
        <v>0</v>
      </c>
      <c r="Q29" s="152">
        <f t="shared" si="0"/>
        <v>95303700</v>
      </c>
      <c r="R29" s="165"/>
      <c r="S29" s="165">
        <f>SUM(S7:S27)</f>
        <v>100407600</v>
      </c>
      <c r="U29" s="120">
        <f>SUM(U8:U27)</f>
        <v>0</v>
      </c>
      <c r="X29" s="4"/>
    </row>
    <row r="30" spans="2:27" x14ac:dyDescent="0.25">
      <c r="U30" s="35">
        <f>(M29/1000*U4)-U29</f>
        <v>0</v>
      </c>
      <c r="X30" s="4"/>
    </row>
    <row r="31" spans="2:27" s="40" customFormat="1" ht="15.75" thickBot="1" x14ac:dyDescent="0.3">
      <c r="B31" s="61" t="s">
        <v>8</v>
      </c>
      <c r="U31" s="35"/>
      <c r="X31" s="56"/>
      <c r="Y31" s="56"/>
      <c r="Z31" s="56"/>
    </row>
    <row r="32" spans="2:27" s="40" customFormat="1" ht="15.75" thickBot="1" x14ac:dyDescent="0.3">
      <c r="B32" s="173" t="s">
        <v>185</v>
      </c>
      <c r="D32" s="145"/>
      <c r="X32" s="145"/>
      <c r="Y32" s="145"/>
    </row>
    <row r="33" spans="2:25" s="40" customFormat="1" ht="15.75" thickBot="1" x14ac:dyDescent="0.3">
      <c r="D33" s="145"/>
      <c r="E33" s="190" t="s">
        <v>206</v>
      </c>
      <c r="F33" s="191" t="s">
        <v>207</v>
      </c>
      <c r="X33" s="145"/>
      <c r="Y33" s="145"/>
    </row>
    <row r="34" spans="2:25" s="40" customFormat="1" x14ac:dyDescent="0.25">
      <c r="B34" s="16" t="s">
        <v>208</v>
      </c>
      <c r="C34" s="25" t="s">
        <v>249</v>
      </c>
      <c r="D34" s="145"/>
      <c r="X34" s="145"/>
      <c r="Y34" s="145"/>
    </row>
    <row r="35" spans="2:25" s="40" customFormat="1" x14ac:dyDescent="0.25">
      <c r="C35" s="196" t="s">
        <v>254</v>
      </c>
      <c r="D35" s="145"/>
      <c r="X35" s="145"/>
      <c r="Y35" s="145"/>
    </row>
    <row r="36" spans="2:25" s="40" customFormat="1" x14ac:dyDescent="0.25">
      <c r="C36" s="196" t="s">
        <v>255</v>
      </c>
      <c r="D36" s="145"/>
      <c r="F36" s="41"/>
      <c r="X36" s="145"/>
      <c r="Y36" s="145"/>
    </row>
    <row r="37" spans="2:25" s="40" customFormat="1" x14ac:dyDescent="0.25">
      <c r="C37" s="196"/>
      <c r="D37" s="145"/>
      <c r="F37" s="41"/>
      <c r="X37" s="145"/>
      <c r="Y37" s="145"/>
    </row>
    <row r="38" spans="2:25" s="40" customFormat="1" x14ac:dyDescent="0.25">
      <c r="C38" s="204" t="s">
        <v>256</v>
      </c>
      <c r="D38" s="145"/>
      <c r="F38" s="41"/>
      <c r="X38" s="145"/>
      <c r="Y38" s="145"/>
    </row>
    <row r="39" spans="2:25" s="40" customFormat="1" x14ac:dyDescent="0.25">
      <c r="C39" s="16" t="s">
        <v>8</v>
      </c>
      <c r="D39" s="145"/>
      <c r="E39" s="2"/>
      <c r="F39" s="202"/>
      <c r="X39" s="145"/>
      <c r="Y39" s="145"/>
    </row>
    <row r="40" spans="2:25" s="40" customFormat="1" x14ac:dyDescent="0.25">
      <c r="C40" s="16" t="s">
        <v>239</v>
      </c>
      <c r="D40" s="145"/>
      <c r="E40" s="2">
        <v>32113400</v>
      </c>
      <c r="F40" s="202">
        <v>0</v>
      </c>
      <c r="X40" s="145"/>
      <c r="Y40" s="145"/>
    </row>
    <row r="41" spans="2:25" s="40" customFormat="1" x14ac:dyDescent="0.25">
      <c r="C41" s="16" t="s">
        <v>239</v>
      </c>
      <c r="D41" s="145"/>
      <c r="E41" s="2">
        <v>2217700</v>
      </c>
      <c r="F41" s="202">
        <v>0</v>
      </c>
      <c r="X41" s="145"/>
      <c r="Y41" s="145"/>
    </row>
    <row r="42" spans="2:25" s="40" customFormat="1" x14ac:dyDescent="0.25">
      <c r="C42" s="16" t="s">
        <v>239</v>
      </c>
      <c r="D42" s="144" t="s">
        <v>262</v>
      </c>
      <c r="E42" s="2">
        <v>0</v>
      </c>
      <c r="F42" s="202">
        <v>23567500</v>
      </c>
      <c r="H42" s="40" t="s">
        <v>286</v>
      </c>
      <c r="X42" s="145"/>
      <c r="Y42" s="145"/>
    </row>
    <row r="43" spans="2:25" x14ac:dyDescent="0.25">
      <c r="C43" s="16" t="s">
        <v>239</v>
      </c>
      <c r="D43" s="144" t="s">
        <v>263</v>
      </c>
      <c r="E43" s="2">
        <v>0</v>
      </c>
      <c r="F43" s="59">
        <v>4653500</v>
      </c>
      <c r="H43" s="40" t="s">
        <v>286</v>
      </c>
    </row>
    <row r="44" spans="2:25" x14ac:dyDescent="0.25">
      <c r="C44" s="16" t="s">
        <v>239</v>
      </c>
      <c r="D44" s="144" t="s">
        <v>264</v>
      </c>
      <c r="E44" s="2">
        <v>0</v>
      </c>
      <c r="F44" s="59">
        <v>22000</v>
      </c>
      <c r="H44" s="40" t="s">
        <v>286</v>
      </c>
    </row>
    <row r="45" spans="2:25" x14ac:dyDescent="0.25">
      <c r="C45" s="16" t="s">
        <v>239</v>
      </c>
      <c r="D45" s="144" t="s">
        <v>265</v>
      </c>
      <c r="E45" s="2">
        <v>0</v>
      </c>
      <c r="F45" s="59">
        <v>418000</v>
      </c>
      <c r="H45" s="40" t="s">
        <v>286</v>
      </c>
    </row>
    <row r="46" spans="2:25" x14ac:dyDescent="0.25">
      <c r="C46" s="16" t="s">
        <v>239</v>
      </c>
      <c r="D46" s="144" t="s">
        <v>266</v>
      </c>
      <c r="E46" s="2">
        <v>0</v>
      </c>
      <c r="F46" s="59">
        <v>30000</v>
      </c>
      <c r="H46" s="40" t="s">
        <v>286</v>
      </c>
    </row>
    <row r="48" spans="2:25" x14ac:dyDescent="0.25">
      <c r="C48" s="16" t="s">
        <v>214</v>
      </c>
      <c r="D48" t="s">
        <v>273</v>
      </c>
      <c r="E48" s="2">
        <v>1065000</v>
      </c>
      <c r="F48" s="59">
        <v>1350000</v>
      </c>
      <c r="H48" s="40" t="s">
        <v>286</v>
      </c>
    </row>
    <row r="49" spans="3:26" s="40" customFormat="1" x14ac:dyDescent="0.25">
      <c r="C49" s="16" t="s">
        <v>268</v>
      </c>
      <c r="D49" s="40" t="s">
        <v>273</v>
      </c>
      <c r="E49" s="2">
        <v>0</v>
      </c>
      <c r="F49" s="59">
        <v>1188000</v>
      </c>
      <c r="H49" s="40" t="s">
        <v>286</v>
      </c>
      <c r="Y49" s="145"/>
      <c r="Z49" s="145"/>
    </row>
    <row r="50" spans="3:26" x14ac:dyDescent="0.25">
      <c r="C50" s="16" t="s">
        <v>267</v>
      </c>
      <c r="D50" s="40" t="s">
        <v>273</v>
      </c>
      <c r="E50" s="2">
        <v>0</v>
      </c>
      <c r="F50" s="2">
        <f>6558090+2712910</f>
        <v>9271000</v>
      </c>
      <c r="H50" s="40" t="s">
        <v>286</v>
      </c>
    </row>
    <row r="51" spans="3:26" x14ac:dyDescent="0.25">
      <c r="C51" t="s">
        <v>8</v>
      </c>
      <c r="F51" s="69">
        <f>SUM(F40:F50)</f>
        <v>40500000</v>
      </c>
    </row>
    <row r="52" spans="3:26" x14ac:dyDescent="0.25">
      <c r="F52" t="s">
        <v>8</v>
      </c>
    </row>
    <row r="53" spans="3:26" x14ac:dyDescent="0.25">
      <c r="F53" s="26" t="s">
        <v>8</v>
      </c>
    </row>
  </sheetData>
  <mergeCells count="1">
    <mergeCell ref="W6:Z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34"/>
  <sheetViews>
    <sheetView topLeftCell="O1" workbookViewId="0">
      <selection activeCell="W19" sqref="W19"/>
    </sheetView>
  </sheetViews>
  <sheetFormatPr defaultRowHeight="15" x14ac:dyDescent="0.25"/>
  <cols>
    <col min="1" max="1" width="5.85546875" customWidth="1"/>
    <col min="2" max="2" width="25.7109375" customWidth="1"/>
    <col min="3" max="3" width="35.7109375" customWidth="1"/>
    <col min="4" max="4" width="15.7109375" customWidth="1"/>
    <col min="5" max="6" width="25.5703125" customWidth="1"/>
    <col min="7" max="7" width="16.28515625" customWidth="1"/>
    <col min="8" max="8" width="19.5703125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2:26" ht="18.75" x14ac:dyDescent="0.3">
      <c r="B2" s="37" t="s">
        <v>15</v>
      </c>
      <c r="C2" s="5"/>
      <c r="F2" s="5"/>
      <c r="G2" s="5"/>
    </row>
    <row r="3" spans="2:26" x14ac:dyDescent="0.25">
      <c r="U3" s="23" t="s">
        <v>147</v>
      </c>
    </row>
    <row r="4" spans="2:26" x14ac:dyDescent="0.25">
      <c r="B4" t="s">
        <v>6</v>
      </c>
      <c r="C4" t="s">
        <v>21</v>
      </c>
      <c r="U4" s="20">
        <f>(Totaal!D9*Totaal!F9)+(Totaal!D10*Totaal!F10)</f>
        <v>0</v>
      </c>
    </row>
    <row r="5" spans="2:26" ht="15.75" thickBot="1" x14ac:dyDescent="0.3">
      <c r="B5" t="s">
        <v>8</v>
      </c>
      <c r="D5" s="15"/>
      <c r="P5" s="76"/>
      <c r="Q5" s="123" t="s">
        <v>167</v>
      </c>
      <c r="R5" s="76"/>
      <c r="S5" s="76"/>
    </row>
    <row r="6" spans="2:26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106">
        <v>2017</v>
      </c>
      <c r="J6" s="107" t="s">
        <v>132</v>
      </c>
      <c r="K6" s="107">
        <v>2018</v>
      </c>
      <c r="L6" s="107" t="s">
        <v>142</v>
      </c>
      <c r="M6" s="107">
        <v>2019</v>
      </c>
      <c r="N6" s="107" t="s">
        <v>149</v>
      </c>
      <c r="O6" s="119">
        <v>2020</v>
      </c>
      <c r="P6" s="97" t="s">
        <v>178</v>
      </c>
      <c r="Q6" s="206" t="s">
        <v>299</v>
      </c>
      <c r="R6" s="174" t="s">
        <v>183</v>
      </c>
      <c r="S6" s="148" t="s">
        <v>200</v>
      </c>
      <c r="U6" s="106" t="s">
        <v>154</v>
      </c>
      <c r="W6" s="215" t="s">
        <v>20</v>
      </c>
      <c r="X6" s="215"/>
      <c r="Y6" s="215"/>
      <c r="Z6" s="215"/>
    </row>
    <row r="7" spans="2:26" x14ac:dyDescent="0.25">
      <c r="D7" s="15"/>
      <c r="I7" s="103"/>
      <c r="J7" s="103"/>
      <c r="K7" s="103"/>
      <c r="L7" s="103"/>
      <c r="M7" s="103"/>
      <c r="N7" s="103"/>
      <c r="O7" s="116"/>
      <c r="P7" s="130"/>
      <c r="Q7" s="116"/>
      <c r="R7" s="185"/>
      <c r="S7" s="169"/>
      <c r="U7" s="130"/>
    </row>
    <row r="8" spans="2:26" x14ac:dyDescent="0.25">
      <c r="B8" t="s">
        <v>7</v>
      </c>
      <c r="C8" t="s">
        <v>284</v>
      </c>
      <c r="D8" s="28" t="s">
        <v>1</v>
      </c>
      <c r="E8" s="1" t="s">
        <v>2</v>
      </c>
      <c r="F8" s="1" t="s">
        <v>5</v>
      </c>
      <c r="G8" t="s">
        <v>13</v>
      </c>
      <c r="I8" s="70">
        <v>31177400</v>
      </c>
      <c r="J8" s="70">
        <v>0</v>
      </c>
      <c r="K8" s="70">
        <f>(I8+J8)*(Totaal!$M$7/Totaal!$M$6)</f>
        <v>31861225.995125916</v>
      </c>
      <c r="L8" s="70">
        <v>0</v>
      </c>
      <c r="M8" s="70">
        <f>(K8+L8)*Totaal!$M$8/Totaal!$M$7</f>
        <v>35812220.6336312</v>
      </c>
      <c r="N8" s="70">
        <v>0</v>
      </c>
      <c r="O8" s="117">
        <f>CEILING((M8+N8)*(Totaal!M10/Totaal!M9),100)</f>
        <v>37602900</v>
      </c>
      <c r="P8" s="126"/>
      <c r="Q8" s="166">
        <f>CEILING((O8+P8)*(Totaal!M11/Totaal!M10),100)</f>
        <v>38677300</v>
      </c>
      <c r="R8" s="177"/>
      <c r="S8" s="153">
        <f>Q8+R8</f>
        <v>38677300</v>
      </c>
      <c r="U8" s="126">
        <f>M8/1000*U4</f>
        <v>0</v>
      </c>
      <c r="W8" t="s">
        <v>9</v>
      </c>
      <c r="X8" s="4" t="s">
        <v>52</v>
      </c>
      <c r="Y8" s="4" t="s">
        <v>10</v>
      </c>
      <c r="Z8" s="4" t="s">
        <v>11</v>
      </c>
    </row>
    <row r="9" spans="2:26" x14ac:dyDescent="0.25">
      <c r="B9" t="s">
        <v>33</v>
      </c>
      <c r="C9" s="40" t="s">
        <v>284</v>
      </c>
      <c r="D9" s="28" t="s">
        <v>1</v>
      </c>
      <c r="E9" t="s">
        <v>2</v>
      </c>
      <c r="F9" t="s">
        <v>5</v>
      </c>
      <c r="G9" t="s">
        <v>13</v>
      </c>
      <c r="H9" t="s">
        <v>140</v>
      </c>
      <c r="I9" s="70">
        <v>43454400</v>
      </c>
      <c r="J9" s="70">
        <v>0</v>
      </c>
      <c r="K9" s="70">
        <f>(I9+J9)*(Totaal!$N$7/Totaal!$N$6)</f>
        <v>44050686.792452835</v>
      </c>
      <c r="L9" s="70">
        <v>0</v>
      </c>
      <c r="M9" s="70">
        <f>(K9+L9)*(Totaal!$N$8/Totaal!$N$7)</f>
        <v>46063154.716981135</v>
      </c>
      <c r="N9" s="70">
        <v>894602</v>
      </c>
      <c r="O9" s="117">
        <f>CEILING((M9+N9)*(Totaal!$N$10/Totaal!$N$9),100)</f>
        <v>47709100</v>
      </c>
      <c r="P9" s="126">
        <v>0</v>
      </c>
      <c r="Q9" s="166">
        <f>CEILING((O9+P9)*(Totaal!N11/Totaal!N10),100)</f>
        <v>48601300</v>
      </c>
      <c r="R9" s="177"/>
      <c r="S9" s="153">
        <v>48418885</v>
      </c>
      <c r="U9" s="126">
        <f>M9/1000*U4</f>
        <v>0</v>
      </c>
      <c r="W9" t="s">
        <v>280</v>
      </c>
      <c r="X9" s="4" t="s">
        <v>281</v>
      </c>
      <c r="Y9" s="4" t="s">
        <v>278</v>
      </c>
      <c r="Z9" s="9" t="s">
        <v>282</v>
      </c>
    </row>
    <row r="10" spans="2:26" x14ac:dyDescent="0.25">
      <c r="B10" t="s">
        <v>33</v>
      </c>
      <c r="C10" s="40" t="s">
        <v>284</v>
      </c>
      <c r="D10" s="28" t="s">
        <v>1</v>
      </c>
      <c r="E10" t="s">
        <v>2</v>
      </c>
      <c r="F10" t="s">
        <v>5</v>
      </c>
      <c r="G10" t="s">
        <v>13</v>
      </c>
      <c r="H10" t="s">
        <v>32</v>
      </c>
      <c r="I10" s="124">
        <v>2970600</v>
      </c>
      <c r="J10" s="70"/>
      <c r="K10" s="70">
        <f>I10*Totaal!M7/Totaal!M6</f>
        <v>3035755.3208773355</v>
      </c>
      <c r="L10" s="70">
        <v>0</v>
      </c>
      <c r="M10" s="70">
        <f>(K10+L10)*Totaal!$M$8/Totaal!$M$7</f>
        <v>3412208.285946385</v>
      </c>
      <c r="N10" s="70">
        <v>0</v>
      </c>
      <c r="O10" s="117">
        <f>CEILING((M10+N10)*(Totaal!$N$10/Totaal!$N$9),100)</f>
        <v>3466900</v>
      </c>
      <c r="P10" s="126">
        <v>0</v>
      </c>
      <c r="Q10" s="166">
        <f>CEILING((O10+P10)*(Totaal!N11/Totaal!N10),100)</f>
        <v>3531800</v>
      </c>
      <c r="R10" s="177"/>
      <c r="S10" s="153">
        <v>3481115</v>
      </c>
      <c r="U10" s="126">
        <f>M10/1000*U4</f>
        <v>0</v>
      </c>
      <c r="W10" s="40" t="s">
        <v>280</v>
      </c>
      <c r="X10" s="4" t="s">
        <v>281</v>
      </c>
      <c r="Y10" s="4" t="s">
        <v>278</v>
      </c>
      <c r="Z10" s="9" t="s">
        <v>282</v>
      </c>
    </row>
    <row r="11" spans="2:26" x14ac:dyDescent="0.25">
      <c r="B11" t="s">
        <v>35</v>
      </c>
      <c r="C11" s="40" t="s">
        <v>284</v>
      </c>
      <c r="D11" s="28" t="s">
        <v>1</v>
      </c>
      <c r="E11" t="s">
        <v>2</v>
      </c>
      <c r="F11" t="s">
        <v>5</v>
      </c>
      <c r="G11" t="s">
        <v>13</v>
      </c>
      <c r="I11" s="70">
        <v>0</v>
      </c>
      <c r="J11" s="70">
        <v>4099160</v>
      </c>
      <c r="K11" s="69">
        <f>I11+J11</f>
        <v>4099160</v>
      </c>
      <c r="L11" s="69">
        <v>0</v>
      </c>
      <c r="M11" s="70">
        <f>(K11+L11)*(Totaal!$N$8/Totaal!$N$7)</f>
        <v>4286431.2690355331</v>
      </c>
      <c r="N11" s="70">
        <v>282306</v>
      </c>
      <c r="O11" s="117">
        <f>CEILING((M11+N11)*(Totaal!$N$10/Totaal!$N$9),100)</f>
        <v>4641900</v>
      </c>
      <c r="P11" s="126">
        <v>0</v>
      </c>
      <c r="Q11" s="166">
        <f>CEILING((O11+P11)*(Totaal!N11/Totaal!N10),100)</f>
        <v>4728800</v>
      </c>
      <c r="R11" s="177"/>
      <c r="S11" s="153">
        <v>2000000</v>
      </c>
      <c r="U11" s="126">
        <f>M11/1000*U4</f>
        <v>0</v>
      </c>
      <c r="W11" t="s">
        <v>8</v>
      </c>
    </row>
    <row r="12" spans="2:26" ht="15.75" thickBot="1" x14ac:dyDescent="0.3">
      <c r="B12" t="s">
        <v>8</v>
      </c>
      <c r="C12" t="s">
        <v>8</v>
      </c>
      <c r="D12" t="s">
        <v>8</v>
      </c>
      <c r="I12" s="88"/>
      <c r="J12" s="88"/>
      <c r="K12" s="88"/>
      <c r="L12" s="88"/>
      <c r="M12" s="88"/>
      <c r="N12" s="88"/>
      <c r="O12" s="95"/>
      <c r="P12" s="101"/>
      <c r="Q12" s="95"/>
      <c r="R12" s="179"/>
      <c r="S12" s="164"/>
      <c r="U12" s="101"/>
      <c r="X12" s="40"/>
    </row>
    <row r="13" spans="2:26" ht="15.75" thickBot="1" x14ac:dyDescent="0.3">
      <c r="I13" s="79">
        <f t="shared" ref="I13:O13" si="0">SUM(I8:I12)</f>
        <v>77602400</v>
      </c>
      <c r="J13" s="80">
        <f t="shared" si="0"/>
        <v>4099160</v>
      </c>
      <c r="K13" s="80">
        <f t="shared" si="0"/>
        <v>83046828.108456075</v>
      </c>
      <c r="L13" s="80">
        <f t="shared" si="0"/>
        <v>0</v>
      </c>
      <c r="M13" s="80">
        <f t="shared" si="0"/>
        <v>89574014.90559426</v>
      </c>
      <c r="N13" s="80">
        <f t="shared" si="0"/>
        <v>1176908</v>
      </c>
      <c r="O13" s="96">
        <f t="shared" si="0"/>
        <v>93420800</v>
      </c>
      <c r="P13" s="102">
        <f>SUM(P8:P12)</f>
        <v>0</v>
      </c>
      <c r="Q13" s="152">
        <f>SUM(Q8:Q12)</f>
        <v>95539200</v>
      </c>
      <c r="R13" s="183"/>
      <c r="S13" s="165">
        <f>SUM(S8:S12)</f>
        <v>92577300</v>
      </c>
      <c r="U13" s="79">
        <f>SUM(U8:U12)</f>
        <v>0</v>
      </c>
    </row>
    <row r="14" spans="2:26" x14ac:dyDescent="0.25">
      <c r="U14" s="36">
        <f>(M13/1000*U4)-U13</f>
        <v>0</v>
      </c>
    </row>
    <row r="15" spans="2:26" ht="15.75" thickBot="1" x14ac:dyDescent="0.3"/>
    <row r="16" spans="2:26" s="40" customFormat="1" ht="15.75" thickBot="1" x14ac:dyDescent="0.3">
      <c r="B16" s="173" t="s">
        <v>185</v>
      </c>
      <c r="D16" s="145"/>
      <c r="X16" s="145"/>
      <c r="Y16" s="145"/>
    </row>
    <row r="17" spans="2:25" s="40" customFormat="1" ht="15.75" thickBot="1" x14ac:dyDescent="0.3">
      <c r="D17" s="145"/>
      <c r="E17" s="190" t="s">
        <v>206</v>
      </c>
      <c r="F17" s="191" t="s">
        <v>207</v>
      </c>
      <c r="X17" s="145"/>
      <c r="Y17" s="145"/>
    </row>
    <row r="18" spans="2:25" s="40" customFormat="1" x14ac:dyDescent="0.25">
      <c r="B18" s="16" t="s">
        <v>278</v>
      </c>
      <c r="C18" s="25" t="s">
        <v>249</v>
      </c>
      <c r="D18" s="145"/>
      <c r="X18" s="145"/>
      <c r="Y18" s="145"/>
    </row>
    <row r="19" spans="2:25" s="40" customFormat="1" x14ac:dyDescent="0.25">
      <c r="C19" s="196" t="s">
        <v>279</v>
      </c>
      <c r="D19" s="145"/>
      <c r="X19" s="145"/>
      <c r="Y19" s="145"/>
    </row>
    <row r="20" spans="2:25" s="40" customFormat="1" x14ac:dyDescent="0.25">
      <c r="C20" s="196" t="s">
        <v>8</v>
      </c>
      <c r="D20" s="145"/>
      <c r="X20" s="145"/>
      <c r="Y20" s="145"/>
    </row>
    <row r="21" spans="2:25" s="40" customFormat="1" x14ac:dyDescent="0.25">
      <c r="C21" s="40" t="s">
        <v>269</v>
      </c>
      <c r="D21" s="200" t="s">
        <v>283</v>
      </c>
      <c r="F21" s="41"/>
      <c r="X21" s="145"/>
      <c r="Y21" s="145"/>
    </row>
    <row r="22" spans="2:25" s="40" customFormat="1" x14ac:dyDescent="0.25">
      <c r="C22" s="16" t="s">
        <v>8</v>
      </c>
      <c r="D22" s="145"/>
      <c r="E22" s="2"/>
      <c r="F22" s="202"/>
      <c r="X22" s="145"/>
      <c r="Y22" s="145"/>
    </row>
    <row r="23" spans="2:25" s="40" customFormat="1" x14ac:dyDescent="0.25">
      <c r="C23" s="16" t="s">
        <v>239</v>
      </c>
      <c r="D23" s="200" t="s">
        <v>140</v>
      </c>
      <c r="E23" s="2">
        <v>48601300</v>
      </c>
      <c r="F23" s="202">
        <f>53900000-3481115-2000000</f>
        <v>48418885</v>
      </c>
      <c r="H23" s="40" t="s">
        <v>285</v>
      </c>
      <c r="X23" s="145"/>
      <c r="Y23" s="145"/>
    </row>
    <row r="24" spans="2:25" s="40" customFormat="1" x14ac:dyDescent="0.25">
      <c r="C24" s="16" t="s">
        <v>239</v>
      </c>
      <c r="D24" s="200" t="s">
        <v>32</v>
      </c>
      <c r="E24" s="2">
        <v>3531800</v>
      </c>
      <c r="F24" s="202">
        <v>3481115</v>
      </c>
      <c r="H24" s="40" t="s">
        <v>285</v>
      </c>
      <c r="X24" s="145"/>
      <c r="Y24" s="145"/>
    </row>
    <row r="25" spans="2:25" s="40" customFormat="1" x14ac:dyDescent="0.25">
      <c r="C25" s="16" t="s">
        <v>214</v>
      </c>
      <c r="D25" s="145"/>
      <c r="E25" s="2">
        <v>4728800</v>
      </c>
      <c r="F25" s="202">
        <v>2000000</v>
      </c>
      <c r="H25" s="40" t="s">
        <v>285</v>
      </c>
      <c r="X25" s="145"/>
      <c r="Y25" s="145"/>
    </row>
    <row r="26" spans="2:25" s="40" customFormat="1" x14ac:dyDescent="0.25">
      <c r="C26" s="196" t="s">
        <v>8</v>
      </c>
      <c r="D26" s="145"/>
      <c r="E26" s="2"/>
      <c r="F26" s="70">
        <f>SUM(F23:F25)</f>
        <v>53900000</v>
      </c>
      <c r="X26" s="145"/>
      <c r="Y26" s="145"/>
    </row>
    <row r="27" spans="2:25" s="40" customFormat="1" x14ac:dyDescent="0.25">
      <c r="C27" s="16" t="s">
        <v>8</v>
      </c>
      <c r="D27" s="145"/>
      <c r="E27" s="2"/>
      <c r="F27" s="202" t="s">
        <v>8</v>
      </c>
      <c r="X27" s="145"/>
      <c r="Y27" s="145"/>
    </row>
    <row r="28" spans="2:25" s="40" customFormat="1" x14ac:dyDescent="0.25">
      <c r="C28" s="16" t="s">
        <v>8</v>
      </c>
      <c r="D28" s="145"/>
      <c r="E28" s="2"/>
      <c r="F28" s="202" t="s">
        <v>8</v>
      </c>
      <c r="X28" s="145"/>
      <c r="Y28" s="145"/>
    </row>
    <row r="29" spans="2:25" s="40" customFormat="1" x14ac:dyDescent="0.25">
      <c r="C29" s="16" t="s">
        <v>271</v>
      </c>
      <c r="D29" s="145"/>
      <c r="E29" s="2"/>
      <c r="F29" s="202"/>
      <c r="X29" s="145"/>
      <c r="Y29" s="145"/>
    </row>
    <row r="30" spans="2:25" s="40" customFormat="1" x14ac:dyDescent="0.25">
      <c r="D30" s="145"/>
      <c r="E30" s="2"/>
      <c r="F30" s="202"/>
      <c r="X30" s="145"/>
      <c r="Y30" s="145"/>
    </row>
    <row r="31" spans="2:25" s="40" customFormat="1" x14ac:dyDescent="0.25">
      <c r="D31" s="145"/>
      <c r="E31" s="2"/>
      <c r="F31" s="202"/>
      <c r="X31" s="145"/>
      <c r="Y31" s="145"/>
    </row>
    <row r="32" spans="2:25" x14ac:dyDescent="0.25">
      <c r="F32" s="41"/>
    </row>
    <row r="33" spans="6:6" x14ac:dyDescent="0.25">
      <c r="F33" s="41"/>
    </row>
    <row r="34" spans="6:6" x14ac:dyDescent="0.25">
      <c r="F34" s="41"/>
    </row>
  </sheetData>
  <mergeCells count="1">
    <mergeCell ref="W6:Z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47"/>
  <sheetViews>
    <sheetView topLeftCell="P1" workbookViewId="0">
      <selection activeCell="V1" sqref="V1:W1048576"/>
    </sheetView>
  </sheetViews>
  <sheetFormatPr defaultRowHeight="15" x14ac:dyDescent="0.25"/>
  <cols>
    <col min="1" max="1" width="5.85546875" customWidth="1"/>
    <col min="2" max="2" width="25.7109375" customWidth="1"/>
    <col min="3" max="3" width="39.5703125" customWidth="1"/>
    <col min="4" max="4" width="15.7109375" style="15" customWidth="1"/>
    <col min="5" max="6" width="25.5703125" customWidth="1"/>
    <col min="7" max="7" width="16.28515625" customWidth="1"/>
    <col min="8" max="8" width="25" bestFit="1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2:26" ht="18.75" x14ac:dyDescent="0.3">
      <c r="B2" s="37" t="s">
        <v>54</v>
      </c>
      <c r="C2" s="5"/>
      <c r="D2"/>
      <c r="E2" s="5"/>
      <c r="F2" s="5"/>
      <c r="G2" s="5"/>
    </row>
    <row r="3" spans="2:26" x14ac:dyDescent="0.25">
      <c r="U3" s="23" t="s">
        <v>147</v>
      </c>
    </row>
    <row r="4" spans="2:26" x14ac:dyDescent="0.25">
      <c r="B4" t="s">
        <v>6</v>
      </c>
      <c r="C4" t="s">
        <v>21</v>
      </c>
      <c r="U4" s="24">
        <f>(Totaal!D9*Totaal!F9)+(Totaal!D10*Totaal!F10)</f>
        <v>0</v>
      </c>
    </row>
    <row r="5" spans="2:26" ht="15.75" thickBot="1" x14ac:dyDescent="0.3">
      <c r="B5" t="s">
        <v>8</v>
      </c>
      <c r="P5" s="76"/>
      <c r="Q5" s="123" t="s">
        <v>167</v>
      </c>
      <c r="R5" s="76"/>
      <c r="S5" s="76"/>
    </row>
    <row r="6" spans="2:26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106">
        <v>2017</v>
      </c>
      <c r="J6" s="107" t="s">
        <v>132</v>
      </c>
      <c r="K6" s="107">
        <v>2018</v>
      </c>
      <c r="L6" s="107" t="s">
        <v>142</v>
      </c>
      <c r="M6" s="107">
        <v>2019</v>
      </c>
      <c r="N6" s="107" t="s">
        <v>149</v>
      </c>
      <c r="O6" s="119">
        <v>2020</v>
      </c>
      <c r="P6" s="97" t="s">
        <v>178</v>
      </c>
      <c r="Q6" s="206" t="s">
        <v>299</v>
      </c>
      <c r="R6" s="174" t="s">
        <v>183</v>
      </c>
      <c r="S6" s="148" t="s">
        <v>200</v>
      </c>
      <c r="U6" s="106" t="s">
        <v>154</v>
      </c>
      <c r="W6" s="215" t="s">
        <v>20</v>
      </c>
      <c r="X6" s="215"/>
      <c r="Y6" s="215"/>
      <c r="Z6" s="215"/>
    </row>
    <row r="7" spans="2:26" x14ac:dyDescent="0.25">
      <c r="I7" s="85"/>
      <c r="J7" s="85"/>
      <c r="K7" s="85"/>
      <c r="L7" s="85"/>
      <c r="M7" s="85"/>
      <c r="N7" s="85"/>
      <c r="O7" s="92"/>
      <c r="P7" s="98"/>
      <c r="Q7" s="92"/>
      <c r="R7" s="175"/>
      <c r="S7" s="163"/>
      <c r="U7" s="103"/>
      <c r="X7" s="3"/>
    </row>
    <row r="8" spans="2:26" x14ac:dyDescent="0.25">
      <c r="B8" t="s">
        <v>44</v>
      </c>
      <c r="C8" t="s">
        <v>55</v>
      </c>
      <c r="D8" s="28" t="s">
        <v>56</v>
      </c>
      <c r="E8" s="1" t="s">
        <v>57</v>
      </c>
      <c r="F8" s="1" t="s">
        <v>30</v>
      </c>
      <c r="G8" t="s">
        <v>13</v>
      </c>
      <c r="I8" s="70">
        <v>849500</v>
      </c>
      <c r="J8" s="70">
        <v>0</v>
      </c>
      <c r="K8" s="70">
        <f>I8*Totaal!M7/Totaal!M6</f>
        <v>868132.41267262388</v>
      </c>
      <c r="L8" s="70">
        <v>0</v>
      </c>
      <c r="M8" s="70">
        <f>(K8+L8)*(Totaal!$M$8/Totaal!$M$7)</f>
        <v>975786.35255889525</v>
      </c>
      <c r="N8" s="77">
        <v>0</v>
      </c>
      <c r="O8" s="93">
        <f>CEILING((M8+N8)*(Totaal!$M$10/Totaal!$M$9),100)</f>
        <v>1024600</v>
      </c>
      <c r="P8" s="99">
        <v>0</v>
      </c>
      <c r="Q8" s="150">
        <f>CEILING((O8+P8)*(Totaal!M11/Totaal!M10),100)</f>
        <v>1053900</v>
      </c>
      <c r="R8" s="176"/>
      <c r="S8" s="154">
        <v>850000</v>
      </c>
      <c r="U8" s="70">
        <f>M8/1000*U4</f>
        <v>0</v>
      </c>
      <c r="W8" t="s">
        <v>203</v>
      </c>
      <c r="X8" s="3" t="s">
        <v>223</v>
      </c>
      <c r="Y8" s="4" t="s">
        <v>224</v>
      </c>
      <c r="Z8" s="9" t="s">
        <v>225</v>
      </c>
    </row>
    <row r="9" spans="2:26" x14ac:dyDescent="0.25">
      <c r="B9" t="s">
        <v>33</v>
      </c>
      <c r="C9" t="s">
        <v>55</v>
      </c>
      <c r="D9" s="28" t="s">
        <v>56</v>
      </c>
      <c r="E9" s="1" t="s">
        <v>57</v>
      </c>
      <c r="F9" s="1" t="s">
        <v>30</v>
      </c>
      <c r="G9" t="s">
        <v>13</v>
      </c>
      <c r="I9" s="70">
        <v>2925500</v>
      </c>
      <c r="J9" s="70">
        <f>K9-I9</f>
        <v>42564</v>
      </c>
      <c r="K9" s="70">
        <v>2968064</v>
      </c>
      <c r="L9" s="70">
        <v>0</v>
      </c>
      <c r="M9" s="70">
        <f>(K9+L9)*(Totaal!$N$8/Totaal!$N$7)</f>
        <v>3103660.8324873098</v>
      </c>
      <c r="N9" s="77">
        <v>0</v>
      </c>
      <c r="O9" s="93">
        <f>CEILING((M9+N9)*(Totaal!$N$10/Totaal!$N$9),100)</f>
        <v>3153400</v>
      </c>
      <c r="P9" s="99">
        <v>0</v>
      </c>
      <c r="Q9" s="150">
        <f>CEILING((O9+P9)*(Totaal!N11/Totaal!N10),100)</f>
        <v>3212400</v>
      </c>
      <c r="R9" s="176"/>
      <c r="S9" s="154">
        <v>6395000</v>
      </c>
      <c r="U9" s="70">
        <f>M9/1000*U4</f>
        <v>0</v>
      </c>
      <c r="W9" s="40" t="s">
        <v>203</v>
      </c>
      <c r="X9" s="143" t="s">
        <v>223</v>
      </c>
      <c r="Y9" s="4" t="s">
        <v>224</v>
      </c>
      <c r="Z9" s="9" t="s">
        <v>225</v>
      </c>
    </row>
    <row r="10" spans="2:26" x14ac:dyDescent="0.25">
      <c r="B10" t="s">
        <v>35</v>
      </c>
      <c r="C10" t="s">
        <v>55</v>
      </c>
      <c r="D10" s="28" t="s">
        <v>56</v>
      </c>
      <c r="E10" s="1" t="s">
        <v>57</v>
      </c>
      <c r="F10" s="1" t="s">
        <v>30</v>
      </c>
      <c r="G10" s="13" t="s">
        <v>13</v>
      </c>
      <c r="I10" s="70">
        <v>597700</v>
      </c>
      <c r="J10" s="70">
        <v>0</v>
      </c>
      <c r="K10" s="70">
        <f>(I10+J10)*(Totaal!$N$7/Totaal!$N$6)</f>
        <v>605901.71526586625</v>
      </c>
      <c r="L10" s="70">
        <v>0</v>
      </c>
      <c r="M10" s="70">
        <f>(K10+L10)*(Totaal!$N$8/Totaal!$N$7)</f>
        <v>633582.50428816478</v>
      </c>
      <c r="N10" s="77">
        <v>-3006.73</v>
      </c>
      <c r="O10" s="93">
        <f>CEILING((M10+N10)*(Totaal!$N$10/Totaal!$N$9),100)</f>
        <v>640700</v>
      </c>
      <c r="P10" s="99">
        <v>0</v>
      </c>
      <c r="Q10" s="150">
        <f>CEILING((O10+P10)*(Totaal!N11/Totaal!N10),100)</f>
        <v>652700</v>
      </c>
      <c r="R10" s="176"/>
      <c r="S10" s="154">
        <v>185000</v>
      </c>
      <c r="U10" s="70">
        <f>M10/1000*U4</f>
        <v>0</v>
      </c>
      <c r="W10" s="40" t="s">
        <v>203</v>
      </c>
      <c r="X10" s="143" t="s">
        <v>223</v>
      </c>
      <c r="Y10" s="4" t="s">
        <v>224</v>
      </c>
      <c r="Z10" s="9" t="s">
        <v>225</v>
      </c>
    </row>
    <row r="11" spans="2:26" x14ac:dyDescent="0.25">
      <c r="B11" t="s">
        <v>33</v>
      </c>
      <c r="C11" t="s">
        <v>55</v>
      </c>
      <c r="D11" s="28" t="s">
        <v>56</v>
      </c>
      <c r="E11" s="1" t="s">
        <v>57</v>
      </c>
      <c r="F11" s="1" t="s">
        <v>30</v>
      </c>
      <c r="G11" s="13" t="s">
        <v>13</v>
      </c>
      <c r="H11" s="13" t="s">
        <v>58</v>
      </c>
      <c r="I11" s="70">
        <f>372800+7900+172400+48400+17700</f>
        <v>619200</v>
      </c>
      <c r="J11" s="70">
        <v>0</v>
      </c>
      <c r="K11" s="70">
        <f>(I11+J11)*(Totaal!$N$7/Totaal!$N$6)</f>
        <v>627696.74099485425</v>
      </c>
      <c r="L11" s="70">
        <v>0</v>
      </c>
      <c r="M11" s="70">
        <f>(K11+L11)*(Totaal!$N$8/Totaal!$N$7)</f>
        <v>656373.2418524872</v>
      </c>
      <c r="N11" s="77">
        <v>0</v>
      </c>
      <c r="O11" s="93">
        <f>CEILING((M11+N11)*(Totaal!$N$10/Totaal!$N$9),100)</f>
        <v>666900</v>
      </c>
      <c r="P11" s="99">
        <v>0</v>
      </c>
      <c r="Q11" s="150">
        <f>CEILING((O11+P11)*(Totaal!N11/Totaal!N10),100)</f>
        <v>679400</v>
      </c>
      <c r="R11" s="176"/>
      <c r="S11" s="154">
        <v>0</v>
      </c>
      <c r="U11" s="70">
        <f>M11/1000*U4</f>
        <v>0</v>
      </c>
      <c r="W11" t="s">
        <v>8</v>
      </c>
    </row>
    <row r="12" spans="2:26" x14ac:dyDescent="0.25">
      <c r="I12" s="70"/>
      <c r="J12" s="70" t="s">
        <v>8</v>
      </c>
      <c r="K12" s="70"/>
      <c r="L12" s="70"/>
      <c r="M12" s="70"/>
      <c r="N12" s="77"/>
      <c r="O12" s="117"/>
      <c r="P12" s="126"/>
      <c r="Q12" s="166"/>
      <c r="R12" s="177"/>
      <c r="S12" s="153"/>
      <c r="U12" s="70" t="s">
        <v>8</v>
      </c>
    </row>
    <row r="13" spans="2:26" x14ac:dyDescent="0.25">
      <c r="B13" t="s">
        <v>7</v>
      </c>
      <c r="C13" t="s">
        <v>59</v>
      </c>
      <c r="D13" s="39" t="s">
        <v>60</v>
      </c>
      <c r="E13" s="13" t="s">
        <v>61</v>
      </c>
      <c r="F13" s="1" t="s">
        <v>30</v>
      </c>
      <c r="G13" s="13" t="s">
        <v>13</v>
      </c>
      <c r="I13" s="70">
        <v>25684600</v>
      </c>
      <c r="J13" s="70">
        <v>0</v>
      </c>
      <c r="K13" s="70">
        <f>(I13+J13)*Totaal!M7/Totaal!M6</f>
        <v>26247950.284321692</v>
      </c>
      <c r="L13" s="70">
        <v>0</v>
      </c>
      <c r="M13" s="70">
        <f>(K13+L13)*(Totaal!$M$8/Totaal!$M$7)</f>
        <v>29502863.038180344</v>
      </c>
      <c r="N13" s="77">
        <v>0</v>
      </c>
      <c r="O13" s="93">
        <f>CEILING((M13+N13)*(Totaal!$M$10/Totaal!$M$9),100)</f>
        <v>30978100</v>
      </c>
      <c r="P13" s="99"/>
      <c r="Q13" s="150">
        <f>CEILING((O13+P13)*(Totaal!M11/Totaal!M10),100)</f>
        <v>31863200</v>
      </c>
      <c r="R13" s="176"/>
      <c r="S13" s="154"/>
      <c r="U13" s="70">
        <f>M13/1000*U4</f>
        <v>0</v>
      </c>
      <c r="W13" s="40" t="s">
        <v>203</v>
      </c>
      <c r="X13" s="15">
        <v>510696</v>
      </c>
      <c r="Y13" s="4" t="s">
        <v>62</v>
      </c>
      <c r="Z13" s="4" t="s">
        <v>63</v>
      </c>
    </row>
    <row r="14" spans="2:26" x14ac:dyDescent="0.25">
      <c r="B14" t="s">
        <v>33</v>
      </c>
      <c r="C14" t="s">
        <v>59</v>
      </c>
      <c r="D14" s="39" t="s">
        <v>60</v>
      </c>
      <c r="E14" s="13" t="s">
        <v>61</v>
      </c>
      <c r="F14" s="1" t="s">
        <v>30</v>
      </c>
      <c r="G14" s="13" t="s">
        <v>13</v>
      </c>
      <c r="I14" s="70">
        <v>10035400</v>
      </c>
      <c r="J14" s="70">
        <f>K14-I14</f>
        <v>1064197</v>
      </c>
      <c r="K14" s="70">
        <v>11099597</v>
      </c>
      <c r="L14" s="70">
        <v>0</v>
      </c>
      <c r="M14" s="70">
        <f>(K14+L14)*(Totaal!$N$8/Totaal!$N$7)</f>
        <v>11606685.187817259</v>
      </c>
      <c r="N14" s="77">
        <v>-333807.93</v>
      </c>
      <c r="O14" s="93">
        <f>CEILING((M14+N14)*(Totaal!$N$10/Totaal!$N$9),100)</f>
        <v>11453300</v>
      </c>
      <c r="P14" s="99"/>
      <c r="Q14" s="150">
        <f>CEILING((O14+P14)*(Totaal!N11/Totaal!N10),100)</f>
        <v>11667500</v>
      </c>
      <c r="R14" s="176"/>
      <c r="S14" s="154"/>
      <c r="U14" s="70">
        <f>M14/1000*U4</f>
        <v>0</v>
      </c>
      <c r="W14" t="s">
        <v>64</v>
      </c>
      <c r="Y14" s="4" t="s">
        <v>65</v>
      </c>
      <c r="Z14" s="10" t="s">
        <v>66</v>
      </c>
    </row>
    <row r="15" spans="2:26" x14ac:dyDescent="0.25">
      <c r="B15" t="s">
        <v>33</v>
      </c>
      <c r="C15" t="s">
        <v>59</v>
      </c>
      <c r="D15" s="39" t="s">
        <v>60</v>
      </c>
      <c r="E15" s="13" t="s">
        <v>61</v>
      </c>
      <c r="F15" s="1" t="s">
        <v>30</v>
      </c>
      <c r="G15" s="13" t="s">
        <v>13</v>
      </c>
      <c r="H15" s="13" t="s">
        <v>67</v>
      </c>
      <c r="I15" s="70">
        <f>202100+706500+426700+731400</f>
        <v>2066700</v>
      </c>
      <c r="J15" s="70">
        <v>0</v>
      </c>
      <c r="K15" s="70">
        <f>(I15+J15)*(Totaal!$N$7/Totaal!$N$6)</f>
        <v>2095059.5197255574</v>
      </c>
      <c r="L15" s="70">
        <v>0</v>
      </c>
      <c r="M15" s="70">
        <f>(K15+L15)*(Totaal!$N$8/Totaal!$N$7)</f>
        <v>2190772.8987993137</v>
      </c>
      <c r="N15" s="70">
        <v>0</v>
      </c>
      <c r="O15" s="93">
        <f>CEILING((M15+N15)*(Totaal!$N$10/Totaal!$N$9),100)</f>
        <v>2225900</v>
      </c>
      <c r="P15" s="99"/>
      <c r="Q15" s="150">
        <f>CEILING((O15+P15)*(Totaal!N11/Totaal!N10),100)</f>
        <v>2267600</v>
      </c>
      <c r="R15" s="176"/>
      <c r="S15" s="154"/>
      <c r="U15" s="70">
        <f>M15/1000*U4</f>
        <v>0</v>
      </c>
      <c r="W15" t="s">
        <v>32</v>
      </c>
    </row>
    <row r="16" spans="2:26" s="40" customFormat="1" x14ac:dyDescent="0.25">
      <c r="D16" s="39"/>
      <c r="E16" s="13"/>
      <c r="F16" s="1"/>
      <c r="G16" s="13"/>
      <c r="H16" s="13"/>
      <c r="I16" s="70"/>
      <c r="J16" s="70"/>
      <c r="K16" s="70"/>
      <c r="L16" s="70"/>
      <c r="M16" s="70"/>
      <c r="N16" s="70"/>
      <c r="O16" s="93"/>
      <c r="P16" s="99"/>
      <c r="Q16" s="150"/>
      <c r="R16" s="176"/>
      <c r="S16" s="154"/>
      <c r="U16" s="70"/>
      <c r="Y16" s="143"/>
      <c r="Z16" s="143"/>
    </row>
    <row r="17" spans="2:26" s="40" customFormat="1" x14ac:dyDescent="0.25">
      <c r="B17" s="40" t="s">
        <v>7</v>
      </c>
      <c r="C17" s="40" t="s">
        <v>180</v>
      </c>
      <c r="D17" s="39" t="s">
        <v>181</v>
      </c>
      <c r="E17" s="13" t="s">
        <v>182</v>
      </c>
      <c r="F17" s="1" t="s">
        <v>186</v>
      </c>
      <c r="G17" s="13"/>
      <c r="H17" s="13"/>
      <c r="I17" s="70"/>
      <c r="J17" s="70"/>
      <c r="K17" s="70"/>
      <c r="L17" s="70"/>
      <c r="M17" s="70"/>
      <c r="N17" s="70"/>
      <c r="O17" s="93"/>
      <c r="P17" s="99"/>
      <c r="Q17" s="150">
        <v>0</v>
      </c>
      <c r="R17" s="176">
        <v>46200000</v>
      </c>
      <c r="S17" s="154">
        <f>Q17+R17</f>
        <v>46200000</v>
      </c>
      <c r="U17" s="70"/>
      <c r="Y17" s="143"/>
      <c r="Z17" s="143"/>
    </row>
    <row r="18" spans="2:26" s="40" customFormat="1" x14ac:dyDescent="0.25">
      <c r="B18" s="40" t="s">
        <v>33</v>
      </c>
      <c r="C18" s="40" t="s">
        <v>180</v>
      </c>
      <c r="D18" s="39" t="s">
        <v>181</v>
      </c>
      <c r="E18" s="13" t="s">
        <v>182</v>
      </c>
      <c r="F18" s="1" t="s">
        <v>186</v>
      </c>
      <c r="G18" s="13"/>
      <c r="H18" s="13"/>
      <c r="I18" s="70"/>
      <c r="J18" s="70"/>
      <c r="K18" s="70"/>
      <c r="L18" s="70"/>
      <c r="M18" s="70"/>
      <c r="N18" s="70"/>
      <c r="O18" s="93"/>
      <c r="P18" s="99"/>
      <c r="Q18" s="150">
        <v>0</v>
      </c>
      <c r="R18" s="176">
        <v>13600000</v>
      </c>
      <c r="S18" s="154">
        <f>Q18+R18</f>
        <v>13600000</v>
      </c>
      <c r="U18" s="70"/>
      <c r="Y18" s="143"/>
      <c r="Z18" s="143"/>
    </row>
    <row r="19" spans="2:26" s="40" customFormat="1" x14ac:dyDescent="0.25">
      <c r="D19" s="39"/>
      <c r="E19" s="13"/>
      <c r="F19" s="1"/>
      <c r="G19" s="13"/>
      <c r="H19" s="13"/>
      <c r="I19" s="70"/>
      <c r="J19" s="70"/>
      <c r="K19" s="70"/>
      <c r="L19" s="70"/>
      <c r="M19" s="70"/>
      <c r="N19" s="70"/>
      <c r="O19" s="93"/>
      <c r="P19" s="99"/>
      <c r="Q19" s="150"/>
      <c r="R19" s="176"/>
      <c r="S19" s="154"/>
      <c r="U19" s="70"/>
      <c r="Y19" s="143"/>
      <c r="Z19" s="143"/>
    </row>
    <row r="20" spans="2:26" s="40" customFormat="1" x14ac:dyDescent="0.25">
      <c r="D20" s="39"/>
      <c r="E20" s="13"/>
      <c r="F20" s="1"/>
      <c r="G20" s="13"/>
      <c r="H20" s="13"/>
      <c r="I20" s="70"/>
      <c r="J20" s="70"/>
      <c r="K20" s="70"/>
      <c r="L20" s="70"/>
      <c r="M20" s="70"/>
      <c r="N20" s="70"/>
      <c r="O20" s="93"/>
      <c r="P20" s="99"/>
      <c r="Q20" s="150"/>
      <c r="R20" s="176"/>
      <c r="S20" s="154"/>
      <c r="U20" s="70"/>
      <c r="Y20" s="143"/>
      <c r="Z20" s="143"/>
    </row>
    <row r="21" spans="2:26" x14ac:dyDescent="0.25">
      <c r="I21" s="78"/>
      <c r="J21" s="78"/>
      <c r="K21" s="78"/>
      <c r="L21" s="78"/>
      <c r="M21" s="78"/>
      <c r="N21" s="78"/>
      <c r="O21" s="94"/>
      <c r="P21" s="100"/>
      <c r="Q21" s="94"/>
      <c r="R21" s="178"/>
      <c r="S21" s="156"/>
      <c r="U21" s="70"/>
    </row>
    <row r="22" spans="2:26" ht="15.75" thickBot="1" x14ac:dyDescent="0.3">
      <c r="I22" s="88"/>
      <c r="J22" s="88"/>
      <c r="K22" s="88"/>
      <c r="L22" s="88"/>
      <c r="M22" s="88"/>
      <c r="N22" s="88"/>
      <c r="O22" s="95"/>
      <c r="P22" s="101"/>
      <c r="Q22" s="95"/>
      <c r="R22" s="179"/>
      <c r="S22" s="164"/>
      <c r="U22" s="88"/>
    </row>
    <row r="23" spans="2:26" ht="15.75" thickBot="1" x14ac:dyDescent="0.3">
      <c r="I23" s="120">
        <f t="shared" ref="I23:O23" si="0">SUM(I8:I22)</f>
        <v>42778600</v>
      </c>
      <c r="J23" s="121">
        <f t="shared" si="0"/>
        <v>1106761</v>
      </c>
      <c r="K23" s="121">
        <f t="shared" si="0"/>
        <v>44512401.672980592</v>
      </c>
      <c r="L23" s="121">
        <f t="shared" si="0"/>
        <v>0</v>
      </c>
      <c r="M23" s="121">
        <f t="shared" si="0"/>
        <v>48669724.055983774</v>
      </c>
      <c r="N23" s="121">
        <f t="shared" si="0"/>
        <v>-336814.66</v>
      </c>
      <c r="O23" s="122">
        <f t="shared" si="0"/>
        <v>50142900</v>
      </c>
      <c r="P23" s="127">
        <f>SUM(P8:P21)</f>
        <v>0</v>
      </c>
      <c r="Q23" s="167">
        <f>SUM(Q8:Q21)</f>
        <v>51396700</v>
      </c>
      <c r="R23" s="180">
        <f>SUM(R8:R21)</f>
        <v>59800000</v>
      </c>
      <c r="S23" s="168">
        <f>SUM(S8:S22)</f>
        <v>67230000</v>
      </c>
      <c r="U23" s="120">
        <f>SUM(U8:U21)</f>
        <v>0</v>
      </c>
    </row>
    <row r="24" spans="2:26" ht="15.75" thickBot="1" x14ac:dyDescent="0.3">
      <c r="U24" s="27">
        <f>(M23/1000*U4)-U23</f>
        <v>0</v>
      </c>
    </row>
    <row r="25" spans="2:26" ht="15.75" thickBot="1" x14ac:dyDescent="0.3">
      <c r="B25" s="173" t="s">
        <v>185</v>
      </c>
    </row>
    <row r="26" spans="2:26" ht="15.75" thickBot="1" x14ac:dyDescent="0.3">
      <c r="E26" s="190" t="s">
        <v>206</v>
      </c>
      <c r="F26" s="191" t="s">
        <v>207</v>
      </c>
    </row>
    <row r="27" spans="2:26" s="40" customFormat="1" x14ac:dyDescent="0.25">
      <c r="B27" s="16" t="s">
        <v>211</v>
      </c>
      <c r="C27" s="25" t="s">
        <v>217</v>
      </c>
      <c r="D27" s="143"/>
      <c r="Y27" s="143"/>
      <c r="Z27" s="143"/>
    </row>
    <row r="28" spans="2:26" s="40" customFormat="1" x14ac:dyDescent="0.25">
      <c r="C28" s="196" t="s">
        <v>212</v>
      </c>
      <c r="D28" s="143"/>
      <c r="F28" s="2"/>
      <c r="Y28" s="143"/>
      <c r="Z28" s="143"/>
    </row>
    <row r="29" spans="2:26" s="40" customFormat="1" x14ac:dyDescent="0.25">
      <c r="D29" s="143"/>
      <c r="F29" s="2"/>
      <c r="Y29" s="143"/>
      <c r="Z29" s="143"/>
    </row>
    <row r="30" spans="2:26" s="40" customFormat="1" x14ac:dyDescent="0.25">
      <c r="C30" s="16" t="s">
        <v>218</v>
      </c>
      <c r="D30" s="143"/>
      <c r="E30" s="2">
        <v>1053900</v>
      </c>
      <c r="F30" s="2">
        <v>850000</v>
      </c>
      <c r="G30" s="40" t="s">
        <v>8</v>
      </c>
      <c r="H30" s="40" t="s">
        <v>222</v>
      </c>
      <c r="Y30" s="143"/>
      <c r="Z30" s="143"/>
    </row>
    <row r="31" spans="2:26" s="40" customFormat="1" x14ac:dyDescent="0.25">
      <c r="C31" s="16" t="s">
        <v>219</v>
      </c>
      <c r="D31" s="143"/>
      <c r="E31" s="2">
        <v>3212400</v>
      </c>
      <c r="F31" s="2">
        <f>7430000-F30-F32</f>
        <v>6395000</v>
      </c>
      <c r="G31" s="40" t="s">
        <v>8</v>
      </c>
      <c r="H31" s="40" t="s">
        <v>222</v>
      </c>
      <c r="Y31" s="143"/>
      <c r="Z31" s="143"/>
    </row>
    <row r="32" spans="2:26" s="40" customFormat="1" x14ac:dyDescent="0.25">
      <c r="C32" s="16" t="s">
        <v>220</v>
      </c>
      <c r="D32" s="143"/>
      <c r="E32" s="2">
        <v>652700</v>
      </c>
      <c r="F32" s="2">
        <v>185000</v>
      </c>
      <c r="G32" s="40" t="s">
        <v>8</v>
      </c>
      <c r="H32" s="40" t="s">
        <v>222</v>
      </c>
      <c r="Y32" s="143"/>
      <c r="Z32" s="143"/>
    </row>
    <row r="33" spans="2:26" s="40" customFormat="1" x14ac:dyDescent="0.25">
      <c r="C33" s="16" t="s">
        <v>221</v>
      </c>
      <c r="D33" s="143"/>
      <c r="E33" s="2">
        <v>679400</v>
      </c>
      <c r="F33" s="2">
        <v>0</v>
      </c>
      <c r="G33" s="40" t="s">
        <v>8</v>
      </c>
      <c r="H33" s="40" t="s">
        <v>243</v>
      </c>
      <c r="Y33" s="143"/>
      <c r="Z33" s="143"/>
    </row>
    <row r="34" spans="2:26" s="40" customFormat="1" x14ac:dyDescent="0.25">
      <c r="D34" s="143"/>
      <c r="F34" s="70">
        <f>SUM(F30:F33)</f>
        <v>7430000</v>
      </c>
      <c r="G34" s="40" t="s">
        <v>8</v>
      </c>
      <c r="Y34" s="143"/>
      <c r="Z34" s="143"/>
    </row>
    <row r="35" spans="2:26" s="40" customFormat="1" x14ac:dyDescent="0.25">
      <c r="D35" s="143"/>
      <c r="F35" s="2"/>
      <c r="G35" s="211" t="s">
        <v>8</v>
      </c>
      <c r="Y35" s="143"/>
      <c r="Z35" s="143"/>
    </row>
    <row r="36" spans="2:26" s="146" customFormat="1" x14ac:dyDescent="0.25">
      <c r="B36" s="192" t="s">
        <v>187</v>
      </c>
      <c r="C36" s="197" t="s">
        <v>188</v>
      </c>
      <c r="D36" s="193"/>
      <c r="Y36" s="193"/>
      <c r="Z36" s="193"/>
    </row>
    <row r="37" spans="2:26" s="146" customFormat="1" x14ac:dyDescent="0.25">
      <c r="C37" s="196" t="s">
        <v>189</v>
      </c>
      <c r="D37" s="172" t="s">
        <v>190</v>
      </c>
      <c r="E37" s="13" t="s">
        <v>8</v>
      </c>
      <c r="Y37" s="193"/>
      <c r="Z37" s="193"/>
    </row>
    <row r="38" spans="2:26" s="146" customFormat="1" x14ac:dyDescent="0.25">
      <c r="C38" s="146" t="s">
        <v>7</v>
      </c>
      <c r="E38" s="199">
        <v>0</v>
      </c>
      <c r="F38" s="194">
        <v>46200000</v>
      </c>
      <c r="Y38" s="193"/>
      <c r="Z38" s="193"/>
    </row>
    <row r="39" spans="2:26" s="146" customFormat="1" x14ac:dyDescent="0.25">
      <c r="C39" s="146" t="s">
        <v>191</v>
      </c>
      <c r="E39" s="199">
        <v>0</v>
      </c>
      <c r="F39" s="194">
        <v>13600000</v>
      </c>
      <c r="Y39" s="193"/>
      <c r="Z39" s="193"/>
    </row>
    <row r="40" spans="2:26" s="146" customFormat="1" x14ac:dyDescent="0.25">
      <c r="E40" s="199"/>
      <c r="F40" s="195">
        <f>SUM(F38:F39)</f>
        <v>59800000</v>
      </c>
      <c r="Y40" s="193"/>
      <c r="Z40" s="193"/>
    </row>
    <row r="41" spans="2:26" s="146" customFormat="1" x14ac:dyDescent="0.25">
      <c r="D41" s="194"/>
      <c r="Y41" s="193"/>
      <c r="Z41" s="193"/>
    </row>
    <row r="42" spans="2:26" s="146" customFormat="1" x14ac:dyDescent="0.25">
      <c r="B42" s="12" t="s">
        <v>192</v>
      </c>
      <c r="C42" s="146" t="s">
        <v>193</v>
      </c>
      <c r="D42" s="194"/>
      <c r="Y42" s="193"/>
      <c r="Z42" s="193"/>
    </row>
    <row r="43" spans="2:26" s="146" customFormat="1" x14ac:dyDescent="0.25">
      <c r="C43" s="146" t="s">
        <v>194</v>
      </c>
      <c r="D43" s="193"/>
      <c r="Y43" s="193"/>
      <c r="Z43" s="193"/>
    </row>
    <row r="44" spans="2:26" s="146" customFormat="1" x14ac:dyDescent="0.25">
      <c r="C44" s="146" t="s">
        <v>195</v>
      </c>
      <c r="D44" s="193"/>
      <c r="F44" s="198" t="s">
        <v>8</v>
      </c>
      <c r="Y44" s="193"/>
      <c r="Z44" s="193"/>
    </row>
    <row r="45" spans="2:26" s="146" customFormat="1" x14ac:dyDescent="0.25">
      <c r="D45" s="193"/>
      <c r="Y45" s="193"/>
      <c r="Z45" s="193"/>
    </row>
    <row r="46" spans="2:26" s="146" customFormat="1" x14ac:dyDescent="0.25">
      <c r="C46" s="146" t="s">
        <v>196</v>
      </c>
      <c r="D46" s="193"/>
      <c r="Y46" s="193"/>
      <c r="Z46" s="193"/>
    </row>
    <row r="47" spans="2:26" s="146" customFormat="1" x14ac:dyDescent="0.25">
      <c r="C47" s="146" t="s">
        <v>197</v>
      </c>
      <c r="D47" s="193"/>
      <c r="Y47" s="193"/>
      <c r="Z47" s="193"/>
    </row>
  </sheetData>
  <mergeCells count="1">
    <mergeCell ref="W6:Z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6"/>
  <sheetViews>
    <sheetView topLeftCell="O1" workbookViewId="0">
      <selection activeCell="V22" sqref="V22"/>
    </sheetView>
  </sheetViews>
  <sheetFormatPr defaultRowHeight="15" x14ac:dyDescent="0.25"/>
  <cols>
    <col min="1" max="1" width="5.85546875" customWidth="1"/>
    <col min="2" max="2" width="25.7109375" customWidth="1"/>
    <col min="3" max="3" width="35.7109375" customWidth="1"/>
    <col min="4" max="4" width="15.7109375" customWidth="1"/>
    <col min="5" max="6" width="25.5703125" customWidth="1"/>
    <col min="7" max="7" width="16.28515625" customWidth="1"/>
    <col min="8" max="8" width="15" customWidth="1"/>
    <col min="9" max="13" width="20.7109375" hidden="1" customWidth="1"/>
    <col min="14" max="14" width="20.7109375" style="40" hidden="1" customWidth="1"/>
    <col min="15" max="19" width="20.7109375" style="40" customWidth="1"/>
    <col min="20" max="20" width="9.28515625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1:27" ht="18.75" x14ac:dyDescent="0.3">
      <c r="B2" s="37" t="s">
        <v>22</v>
      </c>
      <c r="C2" s="5"/>
      <c r="E2" s="5"/>
      <c r="F2" s="5"/>
      <c r="G2" s="5"/>
    </row>
    <row r="3" spans="1:27" x14ac:dyDescent="0.25">
      <c r="U3" s="23" t="s">
        <v>147</v>
      </c>
    </row>
    <row r="4" spans="1:27" x14ac:dyDescent="0.25">
      <c r="B4" t="s">
        <v>6</v>
      </c>
      <c r="C4" t="s">
        <v>24</v>
      </c>
      <c r="U4" s="24">
        <f>(Totaal!D9*Totaal!F9)+(Totaal!D10*Totaal!F10)</f>
        <v>0</v>
      </c>
    </row>
    <row r="5" spans="1:27" ht="15.75" thickBot="1" x14ac:dyDescent="0.3">
      <c r="B5" t="s">
        <v>8</v>
      </c>
      <c r="D5" s="15"/>
      <c r="P5" s="76"/>
      <c r="Q5" s="123" t="s">
        <v>167</v>
      </c>
      <c r="R5" s="76"/>
      <c r="S5" s="76"/>
    </row>
    <row r="6" spans="1:27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106">
        <v>2017</v>
      </c>
      <c r="J6" s="107" t="s">
        <v>132</v>
      </c>
      <c r="K6" s="107">
        <v>2018</v>
      </c>
      <c r="L6" s="107" t="s">
        <v>142</v>
      </c>
      <c r="M6" s="107">
        <v>2019</v>
      </c>
      <c r="N6" s="119" t="s">
        <v>149</v>
      </c>
      <c r="O6" s="132">
        <v>2020</v>
      </c>
      <c r="P6" s="97" t="s">
        <v>178</v>
      </c>
      <c r="Q6" s="206" t="s">
        <v>299</v>
      </c>
      <c r="R6" s="174" t="s">
        <v>184</v>
      </c>
      <c r="S6" s="148" t="s">
        <v>200</v>
      </c>
      <c r="U6" s="106" t="s">
        <v>154</v>
      </c>
      <c r="W6" s="215" t="s">
        <v>20</v>
      </c>
      <c r="X6" s="215"/>
      <c r="Y6" s="215"/>
      <c r="Z6" s="215"/>
    </row>
    <row r="7" spans="1:27" x14ac:dyDescent="0.25">
      <c r="D7" s="15"/>
      <c r="I7" s="103"/>
      <c r="J7" s="103"/>
      <c r="K7" s="103"/>
      <c r="L7" s="103"/>
      <c r="M7" s="103"/>
      <c r="N7" s="103"/>
      <c r="O7" s="116"/>
      <c r="P7" s="130"/>
      <c r="Q7" s="116"/>
      <c r="R7" s="185"/>
      <c r="S7" s="169"/>
      <c r="U7" s="85"/>
    </row>
    <row r="8" spans="1:27" x14ac:dyDescent="0.25">
      <c r="B8" s="64" t="s">
        <v>7</v>
      </c>
      <c r="C8" s="64" t="s">
        <v>23</v>
      </c>
      <c r="D8" s="66" t="s">
        <v>1</v>
      </c>
      <c r="E8" s="67" t="s">
        <v>2</v>
      </c>
      <c r="F8" s="67" t="s">
        <v>25</v>
      </c>
      <c r="G8" s="64" t="s">
        <v>13</v>
      </c>
      <c r="I8" s="70">
        <v>2027800</v>
      </c>
      <c r="J8" s="70">
        <v>0</v>
      </c>
      <c r="K8" s="77">
        <f>(I8+J8)*(Totaal!M7/Totaal!M6)</f>
        <v>2072276.5231519092</v>
      </c>
      <c r="L8" s="77">
        <v>0</v>
      </c>
      <c r="M8" s="77">
        <f>(K8+L8)*(Totaal!$M$8/Totaal!$M$7)</f>
        <v>2329251.990251828</v>
      </c>
      <c r="N8" s="77">
        <v>-2329251.9900000002</v>
      </c>
      <c r="O8" s="93">
        <f>M8+N8</f>
        <v>2.5182776153087616E-4</v>
      </c>
      <c r="P8" s="99"/>
      <c r="Q8" s="150">
        <v>0</v>
      </c>
      <c r="R8" s="176"/>
      <c r="S8" s="154"/>
      <c r="T8" t="s">
        <v>8</v>
      </c>
      <c r="U8" s="70">
        <f>M8/1000*$U$4</f>
        <v>0</v>
      </c>
      <c r="W8" t="s">
        <v>8</v>
      </c>
      <c r="X8" s="4" t="s">
        <v>8</v>
      </c>
      <c r="Y8" s="4" t="s">
        <v>8</v>
      </c>
      <c r="Z8" s="4" t="s">
        <v>8</v>
      </c>
    </row>
    <row r="9" spans="1:27" x14ac:dyDescent="0.25">
      <c r="D9" s="15"/>
      <c r="I9" s="70"/>
      <c r="J9" s="70"/>
      <c r="K9" s="77"/>
      <c r="L9" s="77"/>
      <c r="M9" s="77"/>
      <c r="N9" s="77"/>
      <c r="O9" s="93"/>
      <c r="P9" s="99"/>
      <c r="Q9" s="150"/>
      <c r="R9" s="176"/>
      <c r="S9" s="154"/>
      <c r="U9" s="70"/>
      <c r="W9" t="s">
        <v>8</v>
      </c>
      <c r="X9" s="3"/>
    </row>
    <row r="10" spans="1:27" x14ac:dyDescent="0.25">
      <c r="A10" s="12"/>
      <c r="B10" s="64" t="s">
        <v>44</v>
      </c>
      <c r="C10" s="64" t="s">
        <v>3</v>
      </c>
      <c r="D10" s="65" t="s">
        <v>1</v>
      </c>
      <c r="E10" s="64" t="s">
        <v>2</v>
      </c>
      <c r="F10" s="64"/>
      <c r="G10" s="64" t="s">
        <v>13</v>
      </c>
      <c r="I10" s="70">
        <v>1941200</v>
      </c>
      <c r="J10" s="70">
        <f>4432323-I10</f>
        <v>2491123</v>
      </c>
      <c r="K10" s="77">
        <f>I10+J10</f>
        <v>4432323</v>
      </c>
      <c r="L10" s="77">
        <v>0</v>
      </c>
      <c r="M10" s="77">
        <f>(K10+L10)*(Totaal!$M$8/Totaal!$M$7)</f>
        <v>4981959.2384737683</v>
      </c>
      <c r="N10" s="77">
        <v>-4981959.24</v>
      </c>
      <c r="O10" s="93">
        <f>CEILING((M10+N10)*(Totaal!$M$10/Totaal!$M$9),100)</f>
        <v>0</v>
      </c>
      <c r="P10" s="99"/>
      <c r="Q10" s="150">
        <v>0</v>
      </c>
      <c r="R10" s="176"/>
      <c r="S10" s="154"/>
      <c r="U10" s="70">
        <f>M10/1000*$U$4</f>
        <v>0</v>
      </c>
      <c r="V10" t="s">
        <v>8</v>
      </c>
      <c r="W10" t="s">
        <v>8</v>
      </c>
      <c r="X10" s="4" t="s">
        <v>271</v>
      </c>
      <c r="Y10" s="4" t="s">
        <v>8</v>
      </c>
      <c r="Z10" s="10" t="s">
        <v>8</v>
      </c>
    </row>
    <row r="11" spans="1:27" x14ac:dyDescent="0.25">
      <c r="B11" t="s">
        <v>33</v>
      </c>
      <c r="C11" t="s">
        <v>164</v>
      </c>
      <c r="D11" s="15" t="s">
        <v>1</v>
      </c>
      <c r="E11" t="s">
        <v>2</v>
      </c>
      <c r="G11" t="s">
        <v>13</v>
      </c>
      <c r="H11" t="s">
        <v>8</v>
      </c>
      <c r="I11" s="70">
        <v>8377600</v>
      </c>
      <c r="J11" s="70">
        <v>0</v>
      </c>
      <c r="K11" s="77">
        <f>(I11+J11)*(Totaal!$N$7/Totaal!$N$6)</f>
        <v>8492558.4905660376</v>
      </c>
      <c r="L11" s="77">
        <v>0</v>
      </c>
      <c r="M11" s="77">
        <f>(K11+L11)*(Totaal!$N$8/Totaal!$N$7)</f>
        <v>8880543.3962264154</v>
      </c>
      <c r="N11" s="77">
        <v>0</v>
      </c>
      <c r="O11" s="93">
        <f>CEILING((M11+N11)*(Totaal!$N$10/Totaal!$N$9),100)</f>
        <v>9022700</v>
      </c>
      <c r="P11" s="99">
        <v>0</v>
      </c>
      <c r="Q11" s="150">
        <f>CEILING((O11+P11)*(Totaal!N11/Totaal!N10),100)</f>
        <v>9191500</v>
      </c>
      <c r="R11" s="176"/>
      <c r="S11" s="154">
        <v>0</v>
      </c>
      <c r="U11" s="70">
        <f>M11/1000*$U$4</f>
        <v>0</v>
      </c>
      <c r="W11" t="s">
        <v>8</v>
      </c>
      <c r="X11" s="4" t="s">
        <v>8</v>
      </c>
      <c r="Y11" s="4" t="s">
        <v>8</v>
      </c>
      <c r="Z11" s="10" t="s">
        <v>8</v>
      </c>
      <c r="AA11" t="s">
        <v>8</v>
      </c>
    </row>
    <row r="12" spans="1:27" x14ac:dyDescent="0.25">
      <c r="B12" t="s">
        <v>8</v>
      </c>
      <c r="C12" t="s">
        <v>8</v>
      </c>
      <c r="D12" s="15" t="s">
        <v>8</v>
      </c>
      <c r="H12" t="s">
        <v>8</v>
      </c>
      <c r="I12" s="70" t="s">
        <v>8</v>
      </c>
      <c r="J12" s="70"/>
      <c r="K12" s="77"/>
      <c r="L12" s="77" t="s">
        <v>8</v>
      </c>
      <c r="M12" s="77"/>
      <c r="N12" s="77"/>
      <c r="O12" s="93"/>
      <c r="P12" s="99"/>
      <c r="Q12" s="150"/>
      <c r="R12" s="176"/>
      <c r="S12" s="154"/>
      <c r="U12" s="70"/>
      <c r="X12" s="3"/>
    </row>
    <row r="13" spans="1:27" x14ac:dyDescent="0.25">
      <c r="B13" s="64" t="s">
        <v>33</v>
      </c>
      <c r="C13" s="64" t="s">
        <v>23</v>
      </c>
      <c r="D13" s="65" t="s">
        <v>1</v>
      </c>
      <c r="E13" s="64" t="s">
        <v>2</v>
      </c>
      <c r="F13" s="64"/>
      <c r="G13" s="64" t="s">
        <v>13</v>
      </c>
      <c r="H13" t="s">
        <v>8</v>
      </c>
      <c r="I13" s="70">
        <v>618800</v>
      </c>
      <c r="J13" s="70">
        <v>0</v>
      </c>
      <c r="K13" s="77">
        <f>(I13+J13)*(Totaal!$N$7/Totaal!$N$6)</f>
        <v>627291.25214408233</v>
      </c>
      <c r="L13" s="77">
        <v>0</v>
      </c>
      <c r="M13" s="77">
        <f>(K13+L13)*(Totaal!$N$8/Totaal!$N$7)</f>
        <v>655949.22813036025</v>
      </c>
      <c r="N13" s="77">
        <v>-655949.23</v>
      </c>
      <c r="O13" s="93">
        <f>CEILING((M13+N13)*(Totaal!$N$10/Totaal!$N$9),100)</f>
        <v>0</v>
      </c>
      <c r="P13" s="99"/>
      <c r="Q13" s="150"/>
      <c r="R13" s="176"/>
      <c r="S13" s="154"/>
      <c r="U13" s="70">
        <f>M13/1000*$U$4</f>
        <v>0</v>
      </c>
      <c r="W13" t="s">
        <v>8</v>
      </c>
      <c r="X13" s="4" t="s">
        <v>8</v>
      </c>
      <c r="Y13" s="4" t="s">
        <v>8</v>
      </c>
      <c r="Z13" s="10" t="s">
        <v>8</v>
      </c>
      <c r="AA13" t="s">
        <v>8</v>
      </c>
    </row>
    <row r="14" spans="1:27" x14ac:dyDescent="0.25">
      <c r="D14" s="15"/>
      <c r="I14" s="70"/>
      <c r="J14" s="70" t="s">
        <v>8</v>
      </c>
      <c r="K14" s="77"/>
      <c r="L14" s="77"/>
      <c r="M14" s="77"/>
      <c r="N14" s="77"/>
      <c r="O14" s="93"/>
      <c r="P14" s="99"/>
      <c r="Q14" s="150"/>
      <c r="R14" s="176"/>
      <c r="S14" s="154"/>
      <c r="U14" s="70"/>
      <c r="X14" s="3"/>
    </row>
    <row r="15" spans="1:27" s="40" customFormat="1" x14ac:dyDescent="0.25">
      <c r="B15" s="40" t="s">
        <v>44</v>
      </c>
      <c r="C15" s="40" t="s">
        <v>164</v>
      </c>
      <c r="D15" s="145" t="s">
        <v>1</v>
      </c>
      <c r="E15" s="40" t="s">
        <v>2</v>
      </c>
      <c r="I15" s="70"/>
      <c r="J15" s="70"/>
      <c r="K15" s="77"/>
      <c r="L15" s="77"/>
      <c r="M15" s="77"/>
      <c r="N15" s="77"/>
      <c r="O15" s="93"/>
      <c r="P15" s="99">
        <v>0</v>
      </c>
      <c r="Q15" s="150">
        <v>0</v>
      </c>
      <c r="R15" s="176"/>
      <c r="S15" s="154">
        <v>570000</v>
      </c>
      <c r="U15" s="70"/>
      <c r="W15" s="40" t="s">
        <v>300</v>
      </c>
      <c r="X15" s="145" t="s">
        <v>301</v>
      </c>
      <c r="Y15" s="4" t="s">
        <v>297</v>
      </c>
      <c r="Z15" s="4" t="s">
        <v>302</v>
      </c>
    </row>
    <row r="16" spans="1:27" x14ac:dyDescent="0.25">
      <c r="B16" t="s">
        <v>35</v>
      </c>
      <c r="C16" s="40" t="s">
        <v>164</v>
      </c>
      <c r="D16" s="15" t="s">
        <v>1</v>
      </c>
      <c r="E16" t="s">
        <v>2</v>
      </c>
      <c r="G16" t="s">
        <v>13</v>
      </c>
      <c r="I16" s="70">
        <v>206300</v>
      </c>
      <c r="J16" s="70">
        <v>0</v>
      </c>
      <c r="K16" s="77">
        <f>(I16+J16)*(Totaal!$N$7/Totaal!$N$6)</f>
        <v>209130.87478559176</v>
      </c>
      <c r="L16" s="77">
        <v>0</v>
      </c>
      <c r="M16" s="77">
        <f>(K16+L16)*(Totaal!$N$8/Totaal!$N$7)</f>
        <v>218685.07718696399</v>
      </c>
      <c r="N16" s="77">
        <v>0</v>
      </c>
      <c r="O16" s="93">
        <f>CEILING((M16+N16)*(Totaal!$N$10/Totaal!$N$9),100)</f>
        <v>222200</v>
      </c>
      <c r="P16" s="99">
        <v>0</v>
      </c>
      <c r="Q16" s="150">
        <f>CEILING((O16+P16)*(Totaal!N11/Totaal!N10),100)</f>
        <v>226400</v>
      </c>
      <c r="R16" s="176"/>
      <c r="S16" s="154">
        <v>395000</v>
      </c>
      <c r="U16" s="70">
        <f>M16/1000*$U$4</f>
        <v>0</v>
      </c>
      <c r="W16" s="40" t="s">
        <v>300</v>
      </c>
      <c r="X16" s="145" t="s">
        <v>301</v>
      </c>
      <c r="Y16" s="4" t="s">
        <v>297</v>
      </c>
      <c r="Z16" s="4" t="s">
        <v>302</v>
      </c>
    </row>
    <row r="17" spans="2:26" x14ac:dyDescent="0.25">
      <c r="B17" t="s">
        <v>33</v>
      </c>
      <c r="C17" s="40" t="s">
        <v>164</v>
      </c>
      <c r="D17" s="15" t="s">
        <v>1</v>
      </c>
      <c r="E17" t="s">
        <v>2</v>
      </c>
      <c r="G17" t="s">
        <v>13</v>
      </c>
      <c r="H17" t="s">
        <v>140</v>
      </c>
      <c r="I17" s="70">
        <v>382200</v>
      </c>
      <c r="J17" s="70" t="s">
        <v>8</v>
      </c>
      <c r="K17" s="77">
        <f>I17*Totaal!N7/Totaal!N6</f>
        <v>387444.59691252146</v>
      </c>
      <c r="L17" s="77">
        <v>0</v>
      </c>
      <c r="M17" s="77">
        <f>(K17+L17)*(Totaal!$N$8/Totaal!$N$7)</f>
        <v>405145.11149228131</v>
      </c>
      <c r="N17" s="77">
        <v>514927</v>
      </c>
      <c r="O17" s="93">
        <f>CEILING((M17+N17)*(Totaal!$N$10/Totaal!$N$9),100)</f>
        <v>934800</v>
      </c>
      <c r="P17" s="99">
        <v>0</v>
      </c>
      <c r="Q17" s="150">
        <f>CEILING((O17+P17)*(Totaal!N11/Totaal!N10),100)</f>
        <v>952300</v>
      </c>
      <c r="R17" s="176"/>
      <c r="S17" s="154">
        <v>25481970</v>
      </c>
      <c r="U17" s="70">
        <f>M17/1000*$U$4</f>
        <v>0</v>
      </c>
      <c r="W17" t="s">
        <v>9</v>
      </c>
      <c r="X17" s="145" t="s">
        <v>301</v>
      </c>
      <c r="Y17" s="4" t="s">
        <v>297</v>
      </c>
      <c r="Z17" s="4" t="s">
        <v>302</v>
      </c>
    </row>
    <row r="18" spans="2:26" x14ac:dyDescent="0.25">
      <c r="B18" t="s">
        <v>33</v>
      </c>
      <c r="C18" s="40" t="s">
        <v>164</v>
      </c>
      <c r="D18" s="15" t="s">
        <v>1</v>
      </c>
      <c r="E18" t="s">
        <v>2</v>
      </c>
      <c r="G18" t="s">
        <v>13</v>
      </c>
      <c r="H18" t="s">
        <v>32</v>
      </c>
      <c r="I18" s="70">
        <v>1143100</v>
      </c>
      <c r="J18" s="70">
        <f>K18-I18</f>
        <v>610660</v>
      </c>
      <c r="K18" s="77">
        <v>1753760</v>
      </c>
      <c r="L18" s="77">
        <v>0</v>
      </c>
      <c r="M18" s="77">
        <f>(K18+L18)*(Totaal!$N$8/Totaal!$N$7)</f>
        <v>1833881.0152284265</v>
      </c>
      <c r="N18" s="77">
        <v>0</v>
      </c>
      <c r="O18" s="93">
        <f>CEILING((M18+N18)*(Totaal!$N$10/Totaal!$N$9),100)</f>
        <v>1863300</v>
      </c>
      <c r="P18" s="99">
        <v>0</v>
      </c>
      <c r="Q18" s="150">
        <f>CEILING((O18+P18)*(Totaal!N11/Totaal!N10),100)</f>
        <v>1898200</v>
      </c>
      <c r="R18" s="176"/>
      <c r="S18" s="154">
        <v>2053030</v>
      </c>
      <c r="U18" s="70">
        <f>M18/1000*$U$4</f>
        <v>0</v>
      </c>
      <c r="W18" s="40" t="s">
        <v>9</v>
      </c>
      <c r="X18" s="145" t="s">
        <v>301</v>
      </c>
      <c r="Y18" s="4" t="s">
        <v>297</v>
      </c>
      <c r="Z18" s="4" t="s">
        <v>302</v>
      </c>
    </row>
    <row r="19" spans="2:26" x14ac:dyDescent="0.25">
      <c r="I19" s="70"/>
      <c r="J19" s="70" t="s">
        <v>8</v>
      </c>
      <c r="K19" s="70"/>
      <c r="L19" s="70"/>
      <c r="M19" s="70"/>
      <c r="N19" s="70"/>
      <c r="O19" s="117"/>
      <c r="P19" s="126"/>
      <c r="Q19" s="166"/>
      <c r="R19" s="177"/>
      <c r="S19" s="153"/>
      <c r="U19" s="70"/>
      <c r="X19" s="3"/>
    </row>
    <row r="20" spans="2:26" ht="15.75" thickBot="1" x14ac:dyDescent="0.3">
      <c r="I20" s="104"/>
      <c r="J20" s="104"/>
      <c r="K20" s="104"/>
      <c r="L20" s="104"/>
      <c r="M20" s="104"/>
      <c r="N20" s="104"/>
      <c r="O20" s="118"/>
      <c r="P20" s="131"/>
      <c r="Q20" s="118"/>
      <c r="R20" s="186"/>
      <c r="S20" s="170"/>
      <c r="U20" s="104"/>
      <c r="X20" s="3"/>
    </row>
    <row r="21" spans="2:26" ht="15.75" thickBot="1" x14ac:dyDescent="0.3">
      <c r="I21" s="120">
        <f t="shared" ref="I21:O21" si="0">SUM(I8:I20)</f>
        <v>14697000</v>
      </c>
      <c r="J21" s="121">
        <f t="shared" si="0"/>
        <v>3101783</v>
      </c>
      <c r="K21" s="121">
        <f t="shared" si="0"/>
        <v>17974784.737560138</v>
      </c>
      <c r="L21" s="121">
        <f t="shared" si="0"/>
        <v>0</v>
      </c>
      <c r="M21" s="121">
        <f t="shared" si="0"/>
        <v>19305415.056990042</v>
      </c>
      <c r="N21" s="121">
        <f t="shared" si="0"/>
        <v>-7452233.4600000009</v>
      </c>
      <c r="O21" s="122">
        <f t="shared" si="0"/>
        <v>12043000.000251828</v>
      </c>
      <c r="P21" s="127">
        <f>SUM(P8:P18)</f>
        <v>0</v>
      </c>
      <c r="Q21" s="167">
        <f>SUM(Q8:Q19)</f>
        <v>12268400</v>
      </c>
      <c r="R21" s="180"/>
      <c r="S21" s="168">
        <f>SUM(S8:S19)</f>
        <v>28500000</v>
      </c>
      <c r="U21" s="120">
        <f>SUM(U8:U20)</f>
        <v>0</v>
      </c>
    </row>
    <row r="22" spans="2:26" x14ac:dyDescent="0.25"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U22" s="35">
        <f>(M21/1000*U4)-U21</f>
        <v>0</v>
      </c>
    </row>
    <row r="23" spans="2:26" s="40" customFormat="1" ht="15.75" thickBot="1" x14ac:dyDescent="0.3"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U23" s="35"/>
      <c r="Y23" s="56"/>
      <c r="Z23" s="56"/>
    </row>
    <row r="24" spans="2:26" s="40" customFormat="1" ht="15.75" thickBot="1" x14ac:dyDescent="0.3">
      <c r="B24" s="173" t="s">
        <v>185</v>
      </c>
      <c r="D24" s="145"/>
      <c r="X24" s="145"/>
      <c r="Y24" s="145"/>
    </row>
    <row r="25" spans="2:26" s="40" customFormat="1" ht="15.75" thickBot="1" x14ac:dyDescent="0.3">
      <c r="D25" s="145"/>
      <c r="E25" s="190" t="s">
        <v>206</v>
      </c>
      <c r="F25" s="191" t="s">
        <v>207</v>
      </c>
      <c r="X25" s="145"/>
      <c r="Y25" s="145"/>
    </row>
    <row r="26" spans="2:26" s="40" customFormat="1" x14ac:dyDescent="0.25">
      <c r="B26" s="16" t="s">
        <v>297</v>
      </c>
      <c r="C26" s="25" t="s">
        <v>295</v>
      </c>
      <c r="D26" s="145"/>
      <c r="X26" s="145"/>
      <c r="Y26" s="145"/>
    </row>
    <row r="27" spans="2:26" s="40" customFormat="1" x14ac:dyDescent="0.25">
      <c r="C27" s="196" t="s">
        <v>296</v>
      </c>
      <c r="D27" s="145"/>
      <c r="X27" s="145"/>
      <c r="Y27" s="145"/>
    </row>
    <row r="28" spans="2:26" s="40" customFormat="1" x14ac:dyDescent="0.25">
      <c r="C28" s="196" t="s">
        <v>8</v>
      </c>
      <c r="D28" s="145"/>
      <c r="X28" s="145"/>
      <c r="Y28" s="145"/>
    </row>
    <row r="29" spans="2:26" s="40" customFormat="1" x14ac:dyDescent="0.25">
      <c r="C29" s="16" t="s">
        <v>298</v>
      </c>
      <c r="D29" s="145"/>
      <c r="E29" s="2">
        <v>0</v>
      </c>
      <c r="F29" s="2">
        <v>570000</v>
      </c>
      <c r="H29" s="40" t="s">
        <v>303</v>
      </c>
      <c r="X29" s="145"/>
      <c r="Y29" s="145"/>
    </row>
    <row r="30" spans="2:26" x14ac:dyDescent="0.25">
      <c r="C30" s="16" t="s">
        <v>239</v>
      </c>
      <c r="E30" s="2">
        <v>9191500</v>
      </c>
      <c r="F30" s="2">
        <v>0</v>
      </c>
      <c r="H30" t="s">
        <v>304</v>
      </c>
    </row>
    <row r="31" spans="2:26" x14ac:dyDescent="0.25">
      <c r="C31" s="16" t="s">
        <v>239</v>
      </c>
      <c r="D31" t="s">
        <v>140</v>
      </c>
      <c r="E31" s="2">
        <v>952300</v>
      </c>
      <c r="F31" s="2">
        <f>28500000-F29-F32-F33</f>
        <v>25481970</v>
      </c>
      <c r="H31" t="s">
        <v>303</v>
      </c>
    </row>
    <row r="32" spans="2:26" x14ac:dyDescent="0.25">
      <c r="C32" s="16" t="s">
        <v>239</v>
      </c>
      <c r="D32" t="s">
        <v>32</v>
      </c>
      <c r="E32" s="2">
        <v>1898200</v>
      </c>
      <c r="F32" s="2">
        <v>2053030</v>
      </c>
      <c r="H32" s="40" t="s">
        <v>303</v>
      </c>
    </row>
    <row r="33" spans="3:8" x14ac:dyDescent="0.25">
      <c r="C33" s="16" t="s">
        <v>214</v>
      </c>
      <c r="E33" s="2">
        <v>226400</v>
      </c>
      <c r="F33" s="2">
        <v>395000</v>
      </c>
      <c r="H33" s="40" t="s">
        <v>303</v>
      </c>
    </row>
    <row r="34" spans="3:8" x14ac:dyDescent="0.25">
      <c r="E34" s="2"/>
      <c r="F34" s="70">
        <f>SUM(F29:F33)</f>
        <v>28500000</v>
      </c>
    </row>
    <row r="35" spans="3:8" x14ac:dyDescent="0.25">
      <c r="E35" s="2"/>
      <c r="F35" s="2"/>
    </row>
    <row r="36" spans="3:8" x14ac:dyDescent="0.25">
      <c r="E36" s="2"/>
      <c r="F36" s="2"/>
    </row>
  </sheetData>
  <mergeCells count="1">
    <mergeCell ref="W6:Z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opLeftCell="H1" workbookViewId="0">
      <selection activeCell="W22" sqref="W22"/>
    </sheetView>
  </sheetViews>
  <sheetFormatPr defaultRowHeight="15" x14ac:dyDescent="0.25"/>
  <cols>
    <col min="1" max="1" width="5.85546875" customWidth="1"/>
    <col min="2" max="2" width="25.7109375" customWidth="1"/>
    <col min="3" max="3" width="35.7109375" customWidth="1"/>
    <col min="4" max="4" width="22.7109375" style="15" customWidth="1"/>
    <col min="5" max="6" width="25.5703125" customWidth="1"/>
    <col min="7" max="7" width="16.28515625" customWidth="1"/>
    <col min="8" max="8" width="25" bestFit="1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2:27" ht="18.75" x14ac:dyDescent="0.3">
      <c r="B2" s="37" t="s">
        <v>26</v>
      </c>
      <c r="C2" s="5"/>
      <c r="D2"/>
      <c r="E2" s="5"/>
      <c r="F2" s="5"/>
      <c r="G2" s="5"/>
    </row>
    <row r="3" spans="2:27" x14ac:dyDescent="0.25">
      <c r="U3" s="23" t="s">
        <v>147</v>
      </c>
    </row>
    <row r="4" spans="2:27" x14ac:dyDescent="0.25">
      <c r="B4" t="s">
        <v>6</v>
      </c>
      <c r="C4" t="s">
        <v>21</v>
      </c>
      <c r="U4" s="24">
        <f>(Totaal!D9*Totaal!F9)+(Totaal!D10*Totaal!F10)</f>
        <v>0</v>
      </c>
    </row>
    <row r="5" spans="2:27" ht="15.75" thickBot="1" x14ac:dyDescent="0.3">
      <c r="B5" t="s">
        <v>8</v>
      </c>
      <c r="P5" s="76"/>
      <c r="Q5" s="123" t="s">
        <v>167</v>
      </c>
      <c r="R5" s="76"/>
      <c r="S5" s="76"/>
    </row>
    <row r="6" spans="2:27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86">
        <v>2017</v>
      </c>
      <c r="J6" s="87" t="s">
        <v>132</v>
      </c>
      <c r="K6" s="87">
        <v>2018</v>
      </c>
      <c r="L6" s="87" t="s">
        <v>142</v>
      </c>
      <c r="M6" s="87">
        <v>2019</v>
      </c>
      <c r="N6" s="107" t="s">
        <v>149</v>
      </c>
      <c r="O6" s="119">
        <v>2020</v>
      </c>
      <c r="P6" s="97" t="s">
        <v>178</v>
      </c>
      <c r="Q6" s="206" t="s">
        <v>299</v>
      </c>
      <c r="R6" s="174" t="s">
        <v>183</v>
      </c>
      <c r="S6" s="148" t="s">
        <v>200</v>
      </c>
      <c r="U6" s="128" t="s">
        <v>154</v>
      </c>
      <c r="W6" s="215" t="s">
        <v>20</v>
      </c>
      <c r="X6" s="215"/>
      <c r="Y6" s="215"/>
      <c r="Z6" s="215"/>
    </row>
    <row r="7" spans="2:27" x14ac:dyDescent="0.25">
      <c r="I7" s="85"/>
      <c r="J7" s="85"/>
      <c r="K7" s="85"/>
      <c r="L7" s="85"/>
      <c r="M7" s="85"/>
      <c r="N7" s="85"/>
      <c r="O7" s="92"/>
      <c r="P7" s="98"/>
      <c r="Q7" s="92"/>
      <c r="R7" s="175"/>
      <c r="S7" s="163"/>
      <c r="U7" s="78"/>
      <c r="X7" s="3"/>
    </row>
    <row r="8" spans="2:27" x14ac:dyDescent="0.25">
      <c r="B8" t="s">
        <v>7</v>
      </c>
      <c r="C8" t="s">
        <v>27</v>
      </c>
      <c r="D8" s="28" t="s">
        <v>28</v>
      </c>
      <c r="E8" s="1" t="s">
        <v>29</v>
      </c>
      <c r="F8" s="1" t="s">
        <v>30</v>
      </c>
      <c r="G8" t="s">
        <v>13</v>
      </c>
      <c r="I8" s="70">
        <v>32089900</v>
      </c>
      <c r="J8" s="70">
        <v>1591655</v>
      </c>
      <c r="K8" s="70">
        <f>(I8*(Totaal!M7/Totaal!M6))+J8</f>
        <v>34385395.2112104</v>
      </c>
      <c r="L8" s="70">
        <v>0</v>
      </c>
      <c r="M8" s="70">
        <f>(K8+L8)*Totaal!M8/Totaal!M7</f>
        <v>38649402.884460658</v>
      </c>
      <c r="N8" s="70">
        <v>0</v>
      </c>
      <c r="O8" s="93">
        <f>CEILING((M8+N8)*(Totaal!$M$10/Totaal!$M$9),100)</f>
        <v>40581900</v>
      </c>
      <c r="P8" s="99"/>
      <c r="Q8" s="150">
        <f>CEILING((O8+P8)*(Totaal!M11/Totaal!M10),100)</f>
        <v>41741400</v>
      </c>
      <c r="R8" s="176"/>
      <c r="S8" s="154">
        <f>Q8+R8</f>
        <v>41741400</v>
      </c>
      <c r="U8" s="70">
        <f>M8/1000*$U$4</f>
        <v>0</v>
      </c>
      <c r="W8" t="s">
        <v>9</v>
      </c>
      <c r="X8" s="4" t="s">
        <v>53</v>
      </c>
      <c r="Y8" s="4" t="s">
        <v>10</v>
      </c>
      <c r="Z8" s="4" t="s">
        <v>11</v>
      </c>
    </row>
    <row r="9" spans="2:27" x14ac:dyDescent="0.25">
      <c r="B9" t="s">
        <v>33</v>
      </c>
      <c r="C9" t="s">
        <v>27</v>
      </c>
      <c r="D9" s="15" t="s">
        <v>28</v>
      </c>
      <c r="E9" t="s">
        <v>29</v>
      </c>
      <c r="F9" t="s">
        <v>30</v>
      </c>
      <c r="G9" t="s">
        <v>13</v>
      </c>
      <c r="H9" t="s">
        <v>140</v>
      </c>
      <c r="I9" s="70">
        <f>58374500</f>
        <v>58374500</v>
      </c>
      <c r="J9" s="70">
        <v>6219265</v>
      </c>
      <c r="K9" s="70">
        <f>(I9*Totaal!N7/Totaal!N6)+J9</f>
        <v>65394787.298456267</v>
      </c>
      <c r="L9" s="70">
        <v>0</v>
      </c>
      <c r="M9" s="70">
        <f>(K9+L9)*Totaal!N8/Totaal!N7</f>
        <v>68382366.413614169</v>
      </c>
      <c r="N9" s="70">
        <v>0</v>
      </c>
      <c r="O9" s="93">
        <f>CEILING((M9+N9)*(Totaal!$N$10/Totaal!$N$9),100)</f>
        <v>69476500</v>
      </c>
      <c r="P9" s="99">
        <v>0</v>
      </c>
      <c r="Q9" s="150">
        <f>CEILING((O9+P9)*(Totaal!N11/Totaal!N10),100)</f>
        <v>70775800</v>
      </c>
      <c r="R9" s="176"/>
      <c r="S9" s="154">
        <v>63735510</v>
      </c>
      <c r="U9" s="70">
        <f>M9/1000*$U$4</f>
        <v>0</v>
      </c>
      <c r="W9" s="40" t="s">
        <v>9</v>
      </c>
      <c r="X9" s="4" t="s">
        <v>252</v>
      </c>
      <c r="Y9" s="4" t="s">
        <v>226</v>
      </c>
      <c r="Z9" s="9" t="s">
        <v>234</v>
      </c>
    </row>
    <row r="10" spans="2:27" x14ac:dyDescent="0.25">
      <c r="B10" t="s">
        <v>33</v>
      </c>
      <c r="C10" t="s">
        <v>27</v>
      </c>
      <c r="D10" s="15" t="s">
        <v>28</v>
      </c>
      <c r="E10" t="s">
        <v>29</v>
      </c>
      <c r="F10" t="s">
        <v>30</v>
      </c>
      <c r="G10" t="s">
        <v>13</v>
      </c>
      <c r="H10" t="s">
        <v>32</v>
      </c>
      <c r="I10" s="70">
        <v>2456800</v>
      </c>
      <c r="J10" s="70">
        <v>0</v>
      </c>
      <c r="K10" s="70">
        <f>I10*Totaal!N7/Totaal!N6</f>
        <v>2490512.5214408236</v>
      </c>
      <c r="L10" s="70">
        <v>0</v>
      </c>
      <c r="M10" s="70">
        <f>(K10+L10)*Totaal!N8/Totaal!N7</f>
        <v>2604292.2813036023</v>
      </c>
      <c r="N10" s="70">
        <v>0</v>
      </c>
      <c r="O10" s="93">
        <f>CEILING((M10+N10)*(Totaal!$N$10/Totaal!$N$9),100)</f>
        <v>2646000</v>
      </c>
      <c r="P10" s="99">
        <v>0</v>
      </c>
      <c r="Q10" s="150">
        <f>CEILING((O10+P10)*(Totaal!N11/Totaal!N10),100)</f>
        <v>2695500</v>
      </c>
      <c r="R10" s="176"/>
      <c r="S10" s="154">
        <v>3669490</v>
      </c>
      <c r="U10" s="70">
        <f>M10/1000*$U$4</f>
        <v>0</v>
      </c>
      <c r="W10" s="40" t="s">
        <v>8</v>
      </c>
      <c r="X10" s="4" t="s">
        <v>8</v>
      </c>
      <c r="Y10" s="4" t="s">
        <v>8</v>
      </c>
      <c r="Z10" s="10" t="s">
        <v>8</v>
      </c>
      <c r="AA10" t="s">
        <v>8</v>
      </c>
    </row>
    <row r="11" spans="2:27" x14ac:dyDescent="0.25">
      <c r="B11" t="s">
        <v>35</v>
      </c>
      <c r="C11" t="s">
        <v>27</v>
      </c>
      <c r="D11" s="15" t="s">
        <v>28</v>
      </c>
      <c r="E11" t="s">
        <v>29</v>
      </c>
      <c r="F11" t="s">
        <v>30</v>
      </c>
      <c r="G11" t="s">
        <v>13</v>
      </c>
      <c r="I11" s="70">
        <v>910000</v>
      </c>
      <c r="J11" s="70">
        <v>231494</v>
      </c>
      <c r="K11" s="70">
        <f>(I11*Totaal!N7/Totaal!N6)+J11</f>
        <v>1153981.1355060036</v>
      </c>
      <c r="L11" s="70">
        <v>0</v>
      </c>
      <c r="M11" s="70">
        <f>(K11+L11)*Totaal!N8/Totaal!N7</f>
        <v>1206701.0858590696</v>
      </c>
      <c r="N11" s="70">
        <v>120687</v>
      </c>
      <c r="O11" s="93">
        <f>CEILING((M11+N11)*(Totaal!$N$10/Totaal!$N$9),100)</f>
        <v>1348700</v>
      </c>
      <c r="P11" s="99">
        <v>0</v>
      </c>
      <c r="Q11" s="150">
        <f>CEILING((O11+P11)*(Totaal!N11/Totaal!N10),100)</f>
        <v>1374000</v>
      </c>
      <c r="R11" s="176"/>
      <c r="S11" s="154">
        <v>795000</v>
      </c>
      <c r="U11" s="70">
        <f>M11/1000*$U$4</f>
        <v>0</v>
      </c>
      <c r="W11" t="s">
        <v>9</v>
      </c>
      <c r="X11" s="4" t="s">
        <v>252</v>
      </c>
      <c r="Y11" s="4" t="s">
        <v>226</v>
      </c>
      <c r="Z11" s="9" t="s">
        <v>234</v>
      </c>
    </row>
    <row r="12" spans="2:27" x14ac:dyDescent="0.25">
      <c r="B12" t="s">
        <v>33</v>
      </c>
      <c r="C12" t="s">
        <v>27</v>
      </c>
      <c r="D12" s="15" t="s">
        <v>28</v>
      </c>
      <c r="E12" t="s">
        <v>29</v>
      </c>
      <c r="F12" t="s">
        <v>30</v>
      </c>
      <c r="G12" t="s">
        <v>13</v>
      </c>
      <c r="H12" t="s">
        <v>49</v>
      </c>
      <c r="I12" s="70">
        <v>5013500</v>
      </c>
      <c r="J12" s="70">
        <v>0</v>
      </c>
      <c r="K12" s="70">
        <f>I12*Totaal!N7/Totaal!N6</f>
        <v>5082295.8833619216</v>
      </c>
      <c r="L12" s="70">
        <v>0</v>
      </c>
      <c r="M12" s="70">
        <f>(K12+L12)*Totaal!N8/Totaal!N7</f>
        <v>5314481.989708405</v>
      </c>
      <c r="N12" s="70">
        <v>0</v>
      </c>
      <c r="O12" s="93">
        <f>CEILING((M12+N12)*(Totaal!$N$10/Totaal!$N$9),100)</f>
        <v>5399600</v>
      </c>
      <c r="P12" s="99">
        <v>0</v>
      </c>
      <c r="Q12" s="150">
        <f>CEILING((O12+P12)*(Totaal!N11/Totaal!N10),100)</f>
        <v>5500600</v>
      </c>
      <c r="R12" s="176"/>
      <c r="S12" s="154">
        <v>0</v>
      </c>
      <c r="U12" s="70">
        <f>M12/1000*$U$4</f>
        <v>0</v>
      </c>
      <c r="W12" t="s">
        <v>8</v>
      </c>
      <c r="X12" s="4"/>
      <c r="Y12" s="4"/>
      <c r="Z12" s="10"/>
    </row>
    <row r="13" spans="2:27" x14ac:dyDescent="0.25">
      <c r="I13" s="70"/>
      <c r="J13" s="70"/>
      <c r="K13" s="70"/>
      <c r="L13" s="70"/>
      <c r="M13" s="70"/>
      <c r="N13" s="70"/>
      <c r="O13" s="117"/>
      <c r="P13" s="126"/>
      <c r="Q13" s="166"/>
      <c r="R13" s="177"/>
      <c r="S13" s="153"/>
      <c r="U13" s="70" t="s">
        <v>8</v>
      </c>
      <c r="X13" s="3"/>
    </row>
    <row r="14" spans="2:27" x14ac:dyDescent="0.25">
      <c r="B14" t="s">
        <v>33</v>
      </c>
      <c r="C14" t="s">
        <v>45</v>
      </c>
      <c r="D14" s="15" t="s">
        <v>46</v>
      </c>
      <c r="E14" t="s">
        <v>47</v>
      </c>
      <c r="F14" t="s">
        <v>48</v>
      </c>
      <c r="G14" t="s">
        <v>13</v>
      </c>
      <c r="I14" s="70">
        <v>21667</v>
      </c>
      <c r="J14" s="70">
        <v>0</v>
      </c>
      <c r="K14" s="70">
        <f>I14*Totaal!N7/Totaal!N6</f>
        <v>21964.317324185249</v>
      </c>
      <c r="L14" s="70">
        <v>0</v>
      </c>
      <c r="M14" s="70">
        <f>(K14+L14)*Totaal!N8/Totaal!N7</f>
        <v>22967.763293310465</v>
      </c>
      <c r="N14" s="70">
        <v>0</v>
      </c>
      <c r="O14" s="93">
        <f>CEILING((M14+N14)*(Totaal!$N$10/Totaal!$N$9),100)</f>
        <v>23400</v>
      </c>
      <c r="P14" s="99"/>
      <c r="Q14" s="150">
        <f>CEILING((O14+P14)*(Totaal!N11/Totaal!N10),100)</f>
        <v>23900</v>
      </c>
      <c r="R14" s="176"/>
      <c r="S14" s="154">
        <f>Q14+R14</f>
        <v>23900</v>
      </c>
      <c r="U14" s="70">
        <f>M14/1000*$U$4</f>
        <v>0</v>
      </c>
      <c r="W14" t="s">
        <v>32</v>
      </c>
      <c r="X14" s="3"/>
    </row>
    <row r="15" spans="2:27" x14ac:dyDescent="0.25">
      <c r="B15" t="s">
        <v>8</v>
      </c>
      <c r="C15" t="s">
        <v>8</v>
      </c>
      <c r="D15" s="15" t="s">
        <v>8</v>
      </c>
      <c r="I15" s="70"/>
      <c r="J15" s="70"/>
      <c r="K15" s="70"/>
      <c r="L15" s="70"/>
      <c r="M15" s="70"/>
      <c r="N15" s="70"/>
      <c r="O15" s="117"/>
      <c r="P15" s="126"/>
      <c r="Q15" s="117"/>
      <c r="R15" s="187"/>
      <c r="S15" s="161"/>
      <c r="U15" s="70"/>
    </row>
    <row r="16" spans="2:27" ht="15.75" thickBot="1" x14ac:dyDescent="0.3">
      <c r="I16" s="104"/>
      <c r="J16" s="104"/>
      <c r="K16" s="104"/>
      <c r="L16" s="104"/>
      <c r="M16" s="104"/>
      <c r="N16" s="104"/>
      <c r="O16" s="118"/>
      <c r="P16" s="131"/>
      <c r="Q16" s="118"/>
      <c r="R16" s="186"/>
      <c r="S16" s="170"/>
      <c r="U16" s="104"/>
    </row>
    <row r="17" spans="2:25" ht="15.75" thickBot="1" x14ac:dyDescent="0.3">
      <c r="I17" s="120">
        <f t="shared" ref="I17:O17" si="0">SUM(I8:I16)</f>
        <v>98866367</v>
      </c>
      <c r="J17" s="121">
        <f t="shared" si="0"/>
        <v>8042414</v>
      </c>
      <c r="K17" s="121">
        <f t="shared" si="0"/>
        <v>108528936.3672996</v>
      </c>
      <c r="L17" s="121">
        <f t="shared" si="0"/>
        <v>0</v>
      </c>
      <c r="M17" s="121">
        <f t="shared" si="0"/>
        <v>116180212.41823922</v>
      </c>
      <c r="N17" s="121">
        <f t="shared" si="0"/>
        <v>120687</v>
      </c>
      <c r="O17" s="122">
        <f t="shared" si="0"/>
        <v>119476100</v>
      </c>
      <c r="P17" s="127">
        <f>SUM(P8:P15)</f>
        <v>0</v>
      </c>
      <c r="Q17" s="167">
        <f>SUM(Q8:Q15)</f>
        <v>122111200</v>
      </c>
      <c r="R17" s="180"/>
      <c r="S17" s="168">
        <f>SUM(S8:S15)</f>
        <v>109965300</v>
      </c>
      <c r="U17" s="120">
        <f>SUM(U8:U16)</f>
        <v>0</v>
      </c>
    </row>
    <row r="18" spans="2:25" x14ac:dyDescent="0.25"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U18" s="27">
        <f>(M17/1000*U4)-U17</f>
        <v>0</v>
      </c>
    </row>
    <row r="19" spans="2:25" ht="15.75" thickBot="1" x14ac:dyDescent="0.3"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25" s="40" customFormat="1" ht="15.75" thickBot="1" x14ac:dyDescent="0.3">
      <c r="B20" s="173" t="s">
        <v>185</v>
      </c>
      <c r="D20" s="145"/>
      <c r="X20" s="145"/>
      <c r="Y20" s="145"/>
    </row>
    <row r="21" spans="2:25" s="40" customFormat="1" ht="15.75" thickBot="1" x14ac:dyDescent="0.3">
      <c r="D21" s="145"/>
      <c r="E21" s="190" t="s">
        <v>206</v>
      </c>
      <c r="F21" s="191" t="s">
        <v>207</v>
      </c>
      <c r="X21" s="145"/>
      <c r="Y21" s="145"/>
    </row>
    <row r="22" spans="2:25" s="40" customFormat="1" x14ac:dyDescent="0.25">
      <c r="B22" s="16" t="s">
        <v>226</v>
      </c>
      <c r="C22" s="25" t="s">
        <v>249</v>
      </c>
      <c r="D22" s="145"/>
      <c r="X22" s="145"/>
      <c r="Y22" s="145"/>
    </row>
    <row r="23" spans="2:25" s="40" customFormat="1" x14ac:dyDescent="0.25">
      <c r="C23" s="196" t="s">
        <v>248</v>
      </c>
      <c r="D23" s="145"/>
      <c r="X23" s="145"/>
      <c r="Y23" s="145"/>
    </row>
    <row r="24" spans="2:25" s="40" customFormat="1" x14ac:dyDescent="0.25">
      <c r="D24" s="145"/>
      <c r="F24" s="41"/>
      <c r="X24" s="145"/>
      <c r="Y24" s="145"/>
    </row>
    <row r="25" spans="2:25" s="40" customFormat="1" x14ac:dyDescent="0.25">
      <c r="C25" s="16" t="s">
        <v>239</v>
      </c>
      <c r="D25" s="145"/>
      <c r="E25" s="2">
        <v>70775800</v>
      </c>
      <c r="F25" s="202">
        <f>68200000-F26-F27</f>
        <v>63735510</v>
      </c>
      <c r="H25" s="40" t="s">
        <v>294</v>
      </c>
      <c r="X25" s="145"/>
      <c r="Y25" s="145"/>
    </row>
    <row r="26" spans="2:25" s="40" customFormat="1" x14ac:dyDescent="0.25">
      <c r="C26" s="16" t="s">
        <v>239</v>
      </c>
      <c r="D26" s="145"/>
      <c r="E26" s="2">
        <v>2695500</v>
      </c>
      <c r="F26" s="202">
        <v>3669490</v>
      </c>
      <c r="H26" s="40" t="s">
        <v>294</v>
      </c>
      <c r="X26" s="145"/>
      <c r="Y26" s="145"/>
    </row>
    <row r="27" spans="2:25" s="40" customFormat="1" x14ac:dyDescent="0.25">
      <c r="C27" s="16" t="s">
        <v>250</v>
      </c>
      <c r="D27" s="145"/>
      <c r="E27" s="2">
        <v>1374000</v>
      </c>
      <c r="F27" s="202">
        <v>795000</v>
      </c>
      <c r="H27" s="40" t="s">
        <v>294</v>
      </c>
      <c r="X27" s="145"/>
      <c r="Y27" s="145"/>
    </row>
    <row r="28" spans="2:25" s="40" customFormat="1" x14ac:dyDescent="0.25">
      <c r="C28" s="16" t="s">
        <v>239</v>
      </c>
      <c r="D28" s="200" t="s">
        <v>251</v>
      </c>
      <c r="E28" s="2">
        <v>5500600</v>
      </c>
      <c r="F28" s="2">
        <v>0</v>
      </c>
      <c r="H28" s="40" t="s">
        <v>253</v>
      </c>
      <c r="X28" s="145"/>
      <c r="Y28" s="145"/>
    </row>
    <row r="29" spans="2:25" s="40" customFormat="1" x14ac:dyDescent="0.25">
      <c r="C29" s="16" t="s">
        <v>8</v>
      </c>
      <c r="D29" s="145"/>
      <c r="E29" s="2"/>
      <c r="F29" s="70">
        <f>SUM(F25:F28)</f>
        <v>68200000</v>
      </c>
      <c r="X29" s="145"/>
      <c r="Y29" s="145"/>
    </row>
    <row r="30" spans="2:25" s="40" customFormat="1" x14ac:dyDescent="0.25">
      <c r="C30" s="40" t="s">
        <v>8</v>
      </c>
      <c r="D30" s="145"/>
      <c r="E30" s="2"/>
      <c r="F30" s="202" t="s">
        <v>8</v>
      </c>
      <c r="X30" s="145"/>
      <c r="Y30" s="145"/>
    </row>
    <row r="31" spans="2:25" x14ac:dyDescent="0.25">
      <c r="F31" s="202" t="s">
        <v>8</v>
      </c>
    </row>
    <row r="32" spans="2:25" x14ac:dyDescent="0.25">
      <c r="F32" s="203" t="s">
        <v>8</v>
      </c>
    </row>
    <row r="33" spans="6:6" x14ac:dyDescent="0.25">
      <c r="F33" s="203" t="s">
        <v>8</v>
      </c>
    </row>
    <row r="34" spans="6:6" x14ac:dyDescent="0.25">
      <c r="F34" t="s">
        <v>8</v>
      </c>
    </row>
  </sheetData>
  <mergeCells count="1">
    <mergeCell ref="W6:Z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5"/>
  <sheetViews>
    <sheetView topLeftCell="O1" workbookViewId="0">
      <selection activeCell="S22" sqref="S22"/>
    </sheetView>
  </sheetViews>
  <sheetFormatPr defaultRowHeight="15" x14ac:dyDescent="0.25"/>
  <cols>
    <col min="1" max="1" width="5.85546875" customWidth="1"/>
    <col min="2" max="2" width="25.7109375" customWidth="1"/>
    <col min="3" max="3" width="25.5703125" customWidth="1"/>
    <col min="4" max="4" width="15.28515625" customWidth="1"/>
    <col min="5" max="5" width="17.7109375" customWidth="1"/>
    <col min="6" max="6" width="25.5703125" customWidth="1"/>
    <col min="7" max="7" width="16.28515625" customWidth="1"/>
    <col min="8" max="8" width="35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12.42578125" style="3" customWidth="1"/>
    <col min="25" max="25" width="12.85546875" style="3" customWidth="1"/>
  </cols>
  <sheetData>
    <row r="2" spans="2:25" ht="18.75" x14ac:dyDescent="0.3">
      <c r="B2" s="37" t="s">
        <v>36</v>
      </c>
      <c r="C2" s="5"/>
      <c r="D2" s="5"/>
      <c r="E2" s="5"/>
      <c r="F2" s="5"/>
      <c r="G2" s="5"/>
    </row>
    <row r="3" spans="2:25" x14ac:dyDescent="0.25">
      <c r="U3" s="23" t="s">
        <v>147</v>
      </c>
    </row>
    <row r="4" spans="2:25" x14ac:dyDescent="0.25">
      <c r="B4" t="s">
        <v>6</v>
      </c>
      <c r="C4" t="s">
        <v>21</v>
      </c>
      <c r="U4" s="24">
        <f>(Totaal!D9*Totaal!F9)+(Totaal!D10*Totaal!F10)</f>
        <v>0</v>
      </c>
    </row>
    <row r="5" spans="2:25" ht="15.75" thickBot="1" x14ac:dyDescent="0.3">
      <c r="B5" t="s">
        <v>8</v>
      </c>
      <c r="P5" s="76"/>
      <c r="Q5" s="123" t="s">
        <v>167</v>
      </c>
      <c r="R5" s="76"/>
      <c r="S5" s="76"/>
    </row>
    <row r="6" spans="2:25" ht="15.75" thickBot="1" x14ac:dyDescent="0.3">
      <c r="B6" s="7" t="s">
        <v>19</v>
      </c>
      <c r="C6" s="7" t="s">
        <v>0</v>
      </c>
      <c r="D6" s="7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86">
        <v>2017</v>
      </c>
      <c r="J6" s="87" t="s">
        <v>132</v>
      </c>
      <c r="K6" s="87">
        <v>2018</v>
      </c>
      <c r="L6" s="87" t="s">
        <v>142</v>
      </c>
      <c r="M6" s="87">
        <v>2019</v>
      </c>
      <c r="N6" s="87" t="s">
        <v>149</v>
      </c>
      <c r="O6" s="91">
        <v>2020</v>
      </c>
      <c r="P6" s="97" t="s">
        <v>178</v>
      </c>
      <c r="Q6" s="206" t="s">
        <v>299</v>
      </c>
      <c r="R6" s="174" t="s">
        <v>183</v>
      </c>
      <c r="S6" s="148" t="s">
        <v>200</v>
      </c>
      <c r="U6" s="106" t="s">
        <v>154</v>
      </c>
      <c r="W6" s="215" t="s">
        <v>20</v>
      </c>
      <c r="X6" s="215"/>
      <c r="Y6" s="215"/>
    </row>
    <row r="7" spans="2:25" x14ac:dyDescent="0.25">
      <c r="I7" s="103"/>
      <c r="J7" s="103"/>
      <c r="K7" s="103"/>
      <c r="L7" s="103"/>
      <c r="M7" s="103"/>
      <c r="N7" s="103"/>
      <c r="O7" s="116"/>
      <c r="P7" s="130"/>
      <c r="Q7" s="116"/>
      <c r="R7" s="185"/>
      <c r="S7" s="169"/>
      <c r="U7" s="85"/>
    </row>
    <row r="8" spans="2:25" x14ac:dyDescent="0.25">
      <c r="B8" t="s">
        <v>33</v>
      </c>
      <c r="C8" s="216" t="s">
        <v>37</v>
      </c>
      <c r="D8" s="216"/>
      <c r="E8" s="216"/>
      <c r="F8" s="1" t="s">
        <v>5</v>
      </c>
      <c r="G8" t="s">
        <v>13</v>
      </c>
      <c r="H8" t="s">
        <v>39</v>
      </c>
      <c r="I8" s="70">
        <v>34544200</v>
      </c>
      <c r="J8" s="70">
        <v>0</v>
      </c>
      <c r="K8" s="70">
        <f>(I8+J8)*(Totaal!$N$7/Totaal!$N$6)</f>
        <v>35018219.89708405</v>
      </c>
      <c r="L8" s="70">
        <v>0</v>
      </c>
      <c r="M8" s="70">
        <f>(K8+L8)*(Totaal!$N$8/Totaal!$N$7)</f>
        <v>36618037.049742714</v>
      </c>
      <c r="N8" s="77">
        <v>-31498100</v>
      </c>
      <c r="O8" s="93">
        <f>CEILING((M8+N8)*(Totaal!$N$10/Totaal!$N$9),100)</f>
        <v>5201900</v>
      </c>
      <c r="P8" s="99"/>
      <c r="Q8" s="150">
        <f>CEILING((O8+P8)*(Totaal!N11/Totaal!N10),100)</f>
        <v>5299200</v>
      </c>
      <c r="R8" s="176"/>
      <c r="S8" s="154">
        <f>Q8+R8</f>
        <v>5299200</v>
      </c>
      <c r="U8" s="70">
        <f>M8/1000*$U$4</f>
        <v>0</v>
      </c>
      <c r="W8" t="s">
        <v>32</v>
      </c>
      <c r="X8" s="4" t="s">
        <v>8</v>
      </c>
      <c r="Y8" s="4" t="s">
        <v>8</v>
      </c>
    </row>
    <row r="9" spans="2:25" x14ac:dyDescent="0.25">
      <c r="H9" t="s">
        <v>40</v>
      </c>
      <c r="I9" s="70">
        <v>4312300</v>
      </c>
      <c r="J9" s="70">
        <v>0</v>
      </c>
      <c r="K9" s="70">
        <f>(I9+J9)*(Totaal!$N$7/Totaal!$N$6)</f>
        <v>4371473.927958834</v>
      </c>
      <c r="L9" s="70">
        <v>0</v>
      </c>
      <c r="M9" s="70">
        <f>(K9+L9)*(Totaal!$N$8/Totaal!$N$7)</f>
        <v>4571185.9348198976</v>
      </c>
      <c r="N9" s="70"/>
      <c r="O9" s="93">
        <f>CEILING((M9+N9)*(Totaal!$N$10/Totaal!$N$9),100)</f>
        <v>4644400</v>
      </c>
      <c r="P9" s="99"/>
      <c r="Q9" s="150">
        <f>CEILING((O9+P9)+(Totaal!N11/Totaal!N10),100)</f>
        <v>4644500</v>
      </c>
      <c r="R9" s="176"/>
      <c r="S9" s="154">
        <f>Q9+R9</f>
        <v>4644500</v>
      </c>
      <c r="U9" s="70">
        <f>M9/1000*$U$4</f>
        <v>0</v>
      </c>
      <c r="W9" t="s">
        <v>32</v>
      </c>
    </row>
    <row r="10" spans="2:25" x14ac:dyDescent="0.25">
      <c r="H10" t="s">
        <v>41</v>
      </c>
      <c r="I10" s="70">
        <v>6902000</v>
      </c>
      <c r="J10" s="70">
        <v>0</v>
      </c>
      <c r="K10" s="70">
        <f>(I10+J10)*(Totaal!$N$7/Totaal!$N$6)</f>
        <v>6996710.1200686106</v>
      </c>
      <c r="L10" s="70">
        <v>0</v>
      </c>
      <c r="M10" s="70">
        <f>(K10+L10)*(Totaal!$N$8/Totaal!$N$7)</f>
        <v>7316356.7753001722</v>
      </c>
      <c r="N10" s="70"/>
      <c r="O10" s="93">
        <f>CEILING((M10+N10)*(Totaal!$N$10/Totaal!$N$9),100)</f>
        <v>7433500</v>
      </c>
      <c r="P10" s="99"/>
      <c r="Q10" s="150">
        <f>CEILING((O10+P10)*(Totaal!N11/Totaal!N10),100)</f>
        <v>7572600</v>
      </c>
      <c r="R10" s="176"/>
      <c r="S10" s="154">
        <f>Q10+R10</f>
        <v>7572600</v>
      </c>
      <c r="U10" s="70">
        <f>M10/1000*$U$4</f>
        <v>0</v>
      </c>
      <c r="W10" t="s">
        <v>32</v>
      </c>
    </row>
    <row r="11" spans="2:25" x14ac:dyDescent="0.25">
      <c r="B11" t="s">
        <v>8</v>
      </c>
      <c r="C11" t="s">
        <v>8</v>
      </c>
      <c r="D11" t="s">
        <v>8</v>
      </c>
      <c r="H11" t="s">
        <v>42</v>
      </c>
      <c r="I11" s="70">
        <v>2823100</v>
      </c>
      <c r="J11" s="70">
        <v>0</v>
      </c>
      <c r="K11" s="70">
        <f>(I11+J11)*(Totaal!$N$7/Totaal!$N$6)</f>
        <v>2861838.9365351629</v>
      </c>
      <c r="L11" s="70">
        <v>0</v>
      </c>
      <c r="M11" s="70">
        <f>(K11+L11)*(Totaal!$N$8/Totaal!$N$7)</f>
        <v>2992582.8473413377</v>
      </c>
      <c r="N11" s="70"/>
      <c r="O11" s="93">
        <f>CEILING((M11+N11)*(Totaal!$N$10/Totaal!$N$9),100)</f>
        <v>3040500</v>
      </c>
      <c r="P11" s="99"/>
      <c r="Q11" s="150">
        <f>CEILING((O11+P11)*(Totaal!N11/Totaal!N10),100)</f>
        <v>3097400</v>
      </c>
      <c r="R11" s="176"/>
      <c r="S11" s="154">
        <f>Q11+R11</f>
        <v>3097400</v>
      </c>
      <c r="U11" s="70">
        <f>M11/1000*$U$4</f>
        <v>0</v>
      </c>
      <c r="W11" t="s">
        <v>32</v>
      </c>
    </row>
    <row r="12" spans="2:25" x14ac:dyDescent="0.25">
      <c r="I12" s="70"/>
      <c r="J12" s="70"/>
      <c r="K12" s="70"/>
      <c r="L12" s="70" t="s">
        <v>8</v>
      </c>
      <c r="M12" s="70"/>
      <c r="N12" s="70"/>
      <c r="O12" s="117"/>
      <c r="P12" s="126"/>
      <c r="Q12" s="166"/>
      <c r="R12" s="177"/>
      <c r="S12" s="153"/>
      <c r="U12" s="70"/>
    </row>
    <row r="13" spans="2:25" ht="15.75" thickBot="1" x14ac:dyDescent="0.3">
      <c r="I13" s="104"/>
      <c r="J13" s="104"/>
      <c r="K13" s="104"/>
      <c r="L13" s="104"/>
      <c r="M13" s="104"/>
      <c r="N13" s="104"/>
      <c r="O13" s="118"/>
      <c r="P13" s="131"/>
      <c r="Q13" s="118"/>
      <c r="R13" s="186"/>
      <c r="S13" s="170"/>
      <c r="U13" s="104"/>
    </row>
    <row r="14" spans="2:25" ht="15.75" thickBot="1" x14ac:dyDescent="0.3">
      <c r="I14" s="120">
        <f t="shared" ref="I14:O14" si="0">SUM(I8:I13)</f>
        <v>48581600</v>
      </c>
      <c r="J14" s="121">
        <f t="shared" si="0"/>
        <v>0</v>
      </c>
      <c r="K14" s="121">
        <f t="shared" si="0"/>
        <v>49248242.881646655</v>
      </c>
      <c r="L14" s="121">
        <f t="shared" si="0"/>
        <v>0</v>
      </c>
      <c r="M14" s="121">
        <f t="shared" si="0"/>
        <v>51498162.607204124</v>
      </c>
      <c r="N14" s="121">
        <f t="shared" si="0"/>
        <v>-31498100</v>
      </c>
      <c r="O14" s="122">
        <f t="shared" si="0"/>
        <v>20320300</v>
      </c>
      <c r="P14" s="127">
        <f>SUM(P8:P12)</f>
        <v>0</v>
      </c>
      <c r="Q14" s="167">
        <f>SUM(Q8:Q12)</f>
        <v>20613700</v>
      </c>
      <c r="R14" s="180"/>
      <c r="S14" s="168">
        <f>SUM(S8:S13)</f>
        <v>20613700</v>
      </c>
      <c r="U14" s="120">
        <f>SUM(U8:U13)</f>
        <v>0</v>
      </c>
    </row>
    <row r="15" spans="2:25" x14ac:dyDescent="0.25">
      <c r="U15" s="27">
        <f>(M14/1000*U4)-U14</f>
        <v>0</v>
      </c>
    </row>
  </sheetData>
  <mergeCells count="2">
    <mergeCell ref="W6:Y6"/>
    <mergeCell ref="C8:E8"/>
  </mergeCells>
  <pageMargins left="0.7" right="0.7" top="0.75" bottom="0.75" header="0.3" footer="0.3"/>
  <pageSetup paperSize="9" orientation="portrait" horizontalDpi="30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40"/>
  <sheetViews>
    <sheetView topLeftCell="H1" workbookViewId="0">
      <selection activeCell="W18" sqref="W18"/>
    </sheetView>
  </sheetViews>
  <sheetFormatPr defaultRowHeight="15" x14ac:dyDescent="0.25"/>
  <cols>
    <col min="1" max="1" width="5.85546875" customWidth="1"/>
    <col min="2" max="2" width="25.7109375" customWidth="1"/>
    <col min="3" max="3" width="35.7109375" customWidth="1"/>
    <col min="4" max="4" width="15.7109375" style="15" customWidth="1"/>
    <col min="5" max="6" width="25.5703125" customWidth="1"/>
    <col min="7" max="7" width="16.28515625" customWidth="1"/>
    <col min="8" max="8" width="30.85546875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2:26" ht="18.75" x14ac:dyDescent="0.3">
      <c r="B2" s="37" t="s">
        <v>68</v>
      </c>
      <c r="C2" s="5"/>
      <c r="D2"/>
      <c r="E2" s="5"/>
      <c r="F2" s="5"/>
      <c r="G2" s="5"/>
    </row>
    <row r="3" spans="2:26" x14ac:dyDescent="0.25">
      <c r="U3" s="23" t="s">
        <v>147</v>
      </c>
      <c r="X3" s="3"/>
    </row>
    <row r="4" spans="2:26" x14ac:dyDescent="0.25">
      <c r="B4" t="s">
        <v>6</v>
      </c>
      <c r="C4" t="s">
        <v>69</v>
      </c>
      <c r="U4" s="24">
        <f>(Totaal!D9*Totaal!F9)+(Totaal!D10*Totaal!F10)</f>
        <v>0</v>
      </c>
      <c r="X4" s="3"/>
    </row>
    <row r="5" spans="2:26" ht="15.75" thickBot="1" x14ac:dyDescent="0.3">
      <c r="B5" t="s">
        <v>8</v>
      </c>
      <c r="P5" s="76"/>
      <c r="Q5" s="123" t="s">
        <v>167</v>
      </c>
      <c r="R5" s="76"/>
      <c r="S5" s="76"/>
    </row>
    <row r="6" spans="2:26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86">
        <v>2017</v>
      </c>
      <c r="J6" s="87" t="s">
        <v>132</v>
      </c>
      <c r="K6" s="87">
        <v>2018</v>
      </c>
      <c r="L6" s="87" t="s">
        <v>142</v>
      </c>
      <c r="M6" s="87">
        <v>2019</v>
      </c>
      <c r="N6" s="107" t="s">
        <v>149</v>
      </c>
      <c r="O6" s="119">
        <v>2020</v>
      </c>
      <c r="P6" s="97" t="s">
        <v>178</v>
      </c>
      <c r="Q6" s="206" t="s">
        <v>299</v>
      </c>
      <c r="R6" s="174" t="s">
        <v>183</v>
      </c>
      <c r="S6" s="148" t="s">
        <v>200</v>
      </c>
      <c r="U6" s="106" t="s">
        <v>154</v>
      </c>
      <c r="W6" s="215" t="s">
        <v>20</v>
      </c>
      <c r="X6" s="215"/>
      <c r="Y6" s="215"/>
      <c r="Z6" s="215"/>
    </row>
    <row r="7" spans="2:26" x14ac:dyDescent="0.25">
      <c r="I7" s="85"/>
      <c r="J7" s="85"/>
      <c r="K7" s="85"/>
      <c r="L7" s="85"/>
      <c r="M7" s="85"/>
      <c r="N7" s="85"/>
      <c r="O7" s="92"/>
      <c r="P7" s="98"/>
      <c r="Q7" s="92"/>
      <c r="R7" s="175"/>
      <c r="S7" s="163"/>
      <c r="U7" s="103"/>
      <c r="X7" s="3"/>
    </row>
    <row r="8" spans="2:26" x14ac:dyDescent="0.25">
      <c r="B8" t="s">
        <v>7</v>
      </c>
      <c r="C8" t="s">
        <v>70</v>
      </c>
      <c r="D8" s="28" t="s">
        <v>1</v>
      </c>
      <c r="E8" s="1" t="s">
        <v>2</v>
      </c>
      <c r="F8" t="s">
        <v>69</v>
      </c>
      <c r="G8" t="s">
        <v>13</v>
      </c>
      <c r="H8" t="s">
        <v>71</v>
      </c>
      <c r="I8" s="70">
        <v>22914100</v>
      </c>
      <c r="J8" s="70">
        <v>0</v>
      </c>
      <c r="K8" s="70">
        <f>(I8+J8)*(Totaal!$M$7/Totaal!$M$6)</f>
        <v>23416683.834281076</v>
      </c>
      <c r="L8" s="70">
        <v>0</v>
      </c>
      <c r="M8" s="70">
        <f>(K8+L8)*(Totaal!$M$8/Totaal!$M$7)</f>
        <v>26320501.543460608</v>
      </c>
      <c r="N8" s="70">
        <v>636949.65</v>
      </c>
      <c r="O8" s="93">
        <f>CEILING((M8+N8)*(Totaal!$M$10/Totaal!$M$9),100)</f>
        <v>28305400</v>
      </c>
      <c r="P8" s="99"/>
      <c r="Q8" s="150">
        <f>CEILING((O8+P8)*(Totaal!M11/Totaal!M10),100)</f>
        <v>29114200</v>
      </c>
      <c r="R8" s="176"/>
      <c r="S8" s="154">
        <f>Q8+R8</f>
        <v>29114200</v>
      </c>
      <c r="U8" s="70">
        <f>M8/1000*$U$4</f>
        <v>0</v>
      </c>
      <c r="W8" t="s">
        <v>203</v>
      </c>
      <c r="X8" s="3">
        <v>40057898</v>
      </c>
      <c r="Y8" s="4" t="s">
        <v>73</v>
      </c>
      <c r="Z8" s="9" t="s">
        <v>74</v>
      </c>
    </row>
    <row r="9" spans="2:26" x14ac:dyDescent="0.25">
      <c r="B9" t="s">
        <v>33</v>
      </c>
      <c r="C9" t="s">
        <v>70</v>
      </c>
      <c r="D9" s="28" t="s">
        <v>1</v>
      </c>
      <c r="E9" s="1" t="s">
        <v>2</v>
      </c>
      <c r="F9" t="s">
        <v>69</v>
      </c>
      <c r="G9" t="s">
        <v>13</v>
      </c>
      <c r="H9" t="s">
        <v>71</v>
      </c>
      <c r="I9" s="70">
        <f>6446600+1516100</f>
        <v>7962700</v>
      </c>
      <c r="J9" s="70">
        <v>0</v>
      </c>
      <c r="K9" s="70">
        <f>(I9+J9)*(Totaal!$N$7/Totaal!$N$6)</f>
        <v>8071965.1801029164</v>
      </c>
      <c r="L9" s="70">
        <v>0</v>
      </c>
      <c r="M9" s="70">
        <f>(K9+L9)*(Totaal!$N$8/Totaal!$N$7)</f>
        <v>8440735.1629502587</v>
      </c>
      <c r="N9" s="70">
        <v>49369.31</v>
      </c>
      <c r="O9" s="93">
        <f>CEILING((M9+N9)*(Totaal!$N$10/Totaal!$N$9),100)</f>
        <v>8626000</v>
      </c>
      <c r="P9" s="99">
        <v>0</v>
      </c>
      <c r="Q9" s="150">
        <f>CEILING((O9+P9)*(Totaal!N11/Totaal!N10),100)</f>
        <v>8787400</v>
      </c>
      <c r="R9" s="176"/>
      <c r="S9" s="154">
        <v>12485000</v>
      </c>
      <c r="U9" s="70">
        <f>M9/1000*$U$4</f>
        <v>0</v>
      </c>
      <c r="W9" s="40" t="s">
        <v>203</v>
      </c>
      <c r="X9" s="3" t="s">
        <v>233</v>
      </c>
      <c r="Y9" s="4" t="s">
        <v>226</v>
      </c>
      <c r="Z9" s="9" t="s">
        <v>234</v>
      </c>
    </row>
    <row r="10" spans="2:26" s="40" customFormat="1" x14ac:dyDescent="0.25">
      <c r="B10" s="40" t="s">
        <v>35</v>
      </c>
      <c r="C10" s="40" t="s">
        <v>70</v>
      </c>
      <c r="D10" s="28" t="s">
        <v>1</v>
      </c>
      <c r="E10" s="1" t="s">
        <v>2</v>
      </c>
      <c r="F10" s="40" t="s">
        <v>69</v>
      </c>
      <c r="H10" s="40" t="s">
        <v>71</v>
      </c>
      <c r="I10" s="70"/>
      <c r="J10" s="70"/>
      <c r="K10" s="70"/>
      <c r="L10" s="70"/>
      <c r="M10" s="70"/>
      <c r="N10" s="70"/>
      <c r="O10" s="93"/>
      <c r="P10" s="99">
        <v>0</v>
      </c>
      <c r="Q10" s="150"/>
      <c r="R10" s="176"/>
      <c r="S10" s="154">
        <v>3000000</v>
      </c>
      <c r="U10" s="70"/>
      <c r="W10" s="40" t="s">
        <v>203</v>
      </c>
      <c r="X10" s="143" t="s">
        <v>233</v>
      </c>
      <c r="Y10" s="4" t="s">
        <v>226</v>
      </c>
      <c r="Z10" s="9" t="s">
        <v>234</v>
      </c>
    </row>
    <row r="11" spans="2:26" x14ac:dyDescent="0.25">
      <c r="D11" s="28"/>
      <c r="E11" s="1"/>
      <c r="I11" s="70"/>
      <c r="J11" s="70"/>
      <c r="K11" s="70"/>
      <c r="L11" s="70" t="s">
        <v>8</v>
      </c>
      <c r="M11" s="70"/>
      <c r="N11" s="70"/>
      <c r="O11" s="117"/>
      <c r="P11" s="126"/>
      <c r="Q11" s="166"/>
      <c r="R11" s="177"/>
      <c r="S11" s="153"/>
      <c r="U11" s="70"/>
      <c r="X11" s="3"/>
      <c r="Y11" s="4"/>
      <c r="Z11" s="9"/>
    </row>
    <row r="12" spans="2:26" x14ac:dyDescent="0.25">
      <c r="B12" t="s">
        <v>7</v>
      </c>
      <c r="C12" t="s">
        <v>70</v>
      </c>
      <c r="D12" s="28" t="s">
        <v>1</v>
      </c>
      <c r="E12" s="1" t="s">
        <v>2</v>
      </c>
      <c r="F12" t="s">
        <v>69</v>
      </c>
      <c r="G12" t="s">
        <v>13</v>
      </c>
      <c r="H12" t="s">
        <v>72</v>
      </c>
      <c r="I12" s="70">
        <v>9682700</v>
      </c>
      <c r="J12" s="70">
        <v>0</v>
      </c>
      <c r="K12" s="70">
        <f>(I12+J12)*(Totaal!$M$7/Totaal!$M$6)</f>
        <v>9895074.4110479299</v>
      </c>
      <c r="L12" s="70">
        <v>0</v>
      </c>
      <c r="M12" s="70">
        <f>(K12+L12)*(Totaal!$M$8/Totaal!$M$7)</f>
        <v>11122126.563769296</v>
      </c>
      <c r="N12" s="70">
        <v>0</v>
      </c>
      <c r="O12" s="93">
        <f>CEILING((M12+N12)*(Totaal!$M$10/Totaal!$M$9),100)</f>
        <v>11678300</v>
      </c>
      <c r="P12" s="99">
        <v>0</v>
      </c>
      <c r="Q12" s="150">
        <f>CEILING((O12+P12)*(Totaal!M11/Totaal!M10),100)</f>
        <v>12012000</v>
      </c>
      <c r="R12" s="176"/>
      <c r="S12" s="154"/>
      <c r="U12" s="70">
        <f>M12/1000*$U$4</f>
        <v>0</v>
      </c>
      <c r="W12" s="40" t="s">
        <v>203</v>
      </c>
      <c r="X12" s="3">
        <v>40057898</v>
      </c>
      <c r="Y12" s="4" t="s">
        <v>73</v>
      </c>
      <c r="Z12" s="9" t="s">
        <v>74</v>
      </c>
    </row>
    <row r="13" spans="2:26" x14ac:dyDescent="0.25">
      <c r="B13" t="s">
        <v>33</v>
      </c>
      <c r="C13" t="s">
        <v>70</v>
      </c>
      <c r="D13" s="28" t="s">
        <v>1</v>
      </c>
      <c r="E13" s="1" t="s">
        <v>2</v>
      </c>
      <c r="F13" t="s">
        <v>69</v>
      </c>
      <c r="G13" t="s">
        <v>13</v>
      </c>
      <c r="H13" t="s">
        <v>72</v>
      </c>
      <c r="I13" s="124">
        <v>0</v>
      </c>
      <c r="J13" s="124">
        <v>0</v>
      </c>
      <c r="K13" s="70">
        <f>(I13+J13)*(Totaal!$N$7/Totaal!$N$6)</f>
        <v>0</v>
      </c>
      <c r="L13" s="70">
        <v>0</v>
      </c>
      <c r="M13" s="70">
        <f>(K13+L13)*(Totaal!$N$8/Totaal!$N$7)</f>
        <v>0</v>
      </c>
      <c r="N13" s="125">
        <v>975438</v>
      </c>
      <c r="O13" s="117">
        <v>991200</v>
      </c>
      <c r="P13" s="126">
        <v>0</v>
      </c>
      <c r="Q13" s="166">
        <f>CEILING((O13+P13)*(Totaal!N11/Totaal!N10),100)</f>
        <v>1009800</v>
      </c>
      <c r="R13" s="177"/>
      <c r="S13" s="153">
        <v>990000</v>
      </c>
      <c r="U13" s="70">
        <f>M13/1000*$U$4</f>
        <v>0</v>
      </c>
      <c r="W13" s="40" t="s">
        <v>203</v>
      </c>
      <c r="X13" s="143" t="s">
        <v>233</v>
      </c>
      <c r="Y13" s="4" t="s">
        <v>226</v>
      </c>
      <c r="Z13" s="9" t="s">
        <v>234</v>
      </c>
    </row>
    <row r="14" spans="2:26" s="40" customFormat="1" x14ac:dyDescent="0.25">
      <c r="B14" s="40" t="s">
        <v>35</v>
      </c>
      <c r="C14" s="40" t="s">
        <v>70</v>
      </c>
      <c r="D14" s="28" t="s">
        <v>1</v>
      </c>
      <c r="E14" s="1" t="s">
        <v>2</v>
      </c>
      <c r="F14" s="40" t="s">
        <v>69</v>
      </c>
      <c r="H14" s="40" t="s">
        <v>72</v>
      </c>
      <c r="I14" s="124"/>
      <c r="J14" s="124"/>
      <c r="K14" s="70"/>
      <c r="L14" s="70"/>
      <c r="M14" s="70"/>
      <c r="N14" s="125"/>
      <c r="O14" s="117"/>
      <c r="P14" s="126"/>
      <c r="Q14" s="166"/>
      <c r="R14" s="177"/>
      <c r="S14" s="153">
        <v>100000</v>
      </c>
      <c r="U14" s="70"/>
      <c r="W14" s="40" t="s">
        <v>203</v>
      </c>
      <c r="X14" s="143" t="s">
        <v>233</v>
      </c>
      <c r="Y14" s="4" t="s">
        <v>226</v>
      </c>
      <c r="Z14" s="9" t="s">
        <v>234</v>
      </c>
    </row>
    <row r="15" spans="2:26" x14ac:dyDescent="0.25">
      <c r="I15" s="78"/>
      <c r="J15" s="78"/>
      <c r="K15" s="78"/>
      <c r="L15" s="78"/>
      <c r="M15" s="78"/>
      <c r="N15" s="78"/>
      <c r="O15" s="94"/>
      <c r="P15" s="100"/>
      <c r="Q15" s="151"/>
      <c r="R15" s="182"/>
      <c r="S15" s="155"/>
      <c r="U15" s="70"/>
    </row>
    <row r="16" spans="2:26" x14ac:dyDescent="0.25">
      <c r="B16" s="64" t="s">
        <v>33</v>
      </c>
      <c r="C16" s="64" t="s">
        <v>70</v>
      </c>
      <c r="D16" s="66" t="s">
        <v>1</v>
      </c>
      <c r="E16" s="67" t="s">
        <v>2</v>
      </c>
      <c r="F16" s="64" t="s">
        <v>69</v>
      </c>
      <c r="G16" s="64" t="s">
        <v>13</v>
      </c>
      <c r="H16" s="64" t="s">
        <v>75</v>
      </c>
      <c r="I16" s="70">
        <v>817200</v>
      </c>
      <c r="J16" s="70">
        <v>0</v>
      </c>
      <c r="K16" s="70">
        <f>(I16+J16)*(Totaal!$N$7/Totaal!$N$6)</f>
        <v>828413.72212692967</v>
      </c>
      <c r="L16" s="70">
        <v>0</v>
      </c>
      <c r="M16" s="70">
        <f>(K16+L16)*(Totaal!$N$8/Totaal!$N$7)</f>
        <v>866260.03430531733</v>
      </c>
      <c r="N16" s="70">
        <v>146002.53</v>
      </c>
      <c r="O16" s="93">
        <f>CEILING((M16+N16)*(Totaal!$N$10/Totaal!$N$9),100)</f>
        <v>1028500</v>
      </c>
      <c r="P16" s="99">
        <v>0</v>
      </c>
      <c r="Q16" s="150">
        <f>CEILING((O16+P16)*(Totaal!N11/Totaal!N10),100)</f>
        <v>1047800</v>
      </c>
      <c r="R16" s="176"/>
      <c r="S16" s="154">
        <v>0</v>
      </c>
      <c r="U16" s="70">
        <f>M16/1000*$U$4</f>
        <v>0</v>
      </c>
      <c r="W16" t="s">
        <v>8</v>
      </c>
    </row>
    <row r="17" spans="2:26" x14ac:dyDescent="0.25">
      <c r="B17" s="64" t="s">
        <v>35</v>
      </c>
      <c r="C17" s="64" t="s">
        <v>70</v>
      </c>
      <c r="D17" s="66" t="s">
        <v>1</v>
      </c>
      <c r="E17" s="67" t="s">
        <v>2</v>
      </c>
      <c r="F17" s="64" t="s">
        <v>69</v>
      </c>
      <c r="G17" s="64" t="s">
        <v>13</v>
      </c>
      <c r="H17" s="64"/>
      <c r="I17" s="70">
        <v>2500000</v>
      </c>
      <c r="J17" s="70">
        <v>0</v>
      </c>
      <c r="K17" s="70">
        <f>(I17+J17)*(Totaal!$N$7/Totaal!$N$6)</f>
        <v>2534305.3173241853</v>
      </c>
      <c r="L17" s="70">
        <v>0</v>
      </c>
      <c r="M17" s="70">
        <f>(K17+L17)*(Totaal!$N$8/Totaal!$N$7)</f>
        <v>2650085.7632933105</v>
      </c>
      <c r="N17" s="70">
        <v>258650.58</v>
      </c>
      <c r="O17" s="93">
        <f>CEILING((M17+N17)*(Totaal!$N$10/Totaal!$N$9),100)</f>
        <v>2955300</v>
      </c>
      <c r="P17" s="99">
        <v>0</v>
      </c>
      <c r="Q17" s="150">
        <f>CEILING((O17+P17)*(Totaal!N11/Totaal!N10),100)</f>
        <v>3010600</v>
      </c>
      <c r="R17" s="176"/>
      <c r="S17" s="154">
        <v>0</v>
      </c>
      <c r="U17" s="70">
        <f>M17/1000*$U$4</f>
        <v>0</v>
      </c>
      <c r="W17" t="s">
        <v>8</v>
      </c>
      <c r="X17" s="3" t="s">
        <v>8</v>
      </c>
      <c r="Y17" s="4" t="s">
        <v>8</v>
      </c>
      <c r="Z17" s="10" t="s">
        <v>8</v>
      </c>
    </row>
    <row r="18" spans="2:26" x14ac:dyDescent="0.25">
      <c r="I18" s="78"/>
      <c r="J18" s="78"/>
      <c r="K18" s="78"/>
      <c r="L18" s="78"/>
      <c r="M18" s="78"/>
      <c r="N18" s="78"/>
      <c r="O18" s="94"/>
      <c r="P18" s="100"/>
      <c r="Q18" s="94"/>
      <c r="R18" s="178"/>
      <c r="S18" s="156"/>
      <c r="U18" s="70"/>
      <c r="W18" t="s">
        <v>8</v>
      </c>
      <c r="X18" t="s">
        <v>8</v>
      </c>
      <c r="Y18" s="3" t="s">
        <v>8</v>
      </c>
      <c r="Z18" s="3" t="s">
        <v>8</v>
      </c>
    </row>
    <row r="19" spans="2:26" ht="15.75" thickBot="1" x14ac:dyDescent="0.3">
      <c r="I19" s="88"/>
      <c r="J19" s="88"/>
      <c r="K19" s="88"/>
      <c r="L19" s="88"/>
      <c r="M19" s="88"/>
      <c r="N19" s="88"/>
      <c r="O19" s="95"/>
      <c r="P19" s="101"/>
      <c r="Q19" s="95"/>
      <c r="R19" s="179"/>
      <c r="S19" s="164"/>
      <c r="U19" s="88"/>
    </row>
    <row r="20" spans="2:26" ht="15.75" thickBot="1" x14ac:dyDescent="0.3">
      <c r="I20" s="120">
        <f t="shared" ref="I20:K20" si="0">SUM(I8:I19)</f>
        <v>43876700</v>
      </c>
      <c r="J20" s="121">
        <f t="shared" si="0"/>
        <v>0</v>
      </c>
      <c r="K20" s="121">
        <f t="shared" si="0"/>
        <v>44746442.464883037</v>
      </c>
      <c r="L20" s="121">
        <f t="shared" ref="L20:O20" si="1">SUM(L8:L19)</f>
        <v>0</v>
      </c>
      <c r="M20" s="121">
        <f t="shared" si="1"/>
        <v>49399709.067778796</v>
      </c>
      <c r="N20" s="121">
        <f t="shared" si="1"/>
        <v>2066410.07</v>
      </c>
      <c r="O20" s="122">
        <f t="shared" si="1"/>
        <v>53584700</v>
      </c>
      <c r="P20" s="127">
        <f>SUM(P8:P18)</f>
        <v>0</v>
      </c>
      <c r="Q20" s="167">
        <f>SUM(Q8:Q18)</f>
        <v>54981800</v>
      </c>
      <c r="R20" s="180"/>
      <c r="S20" s="168">
        <f>SUM(S8:S18)</f>
        <v>45689200</v>
      </c>
      <c r="U20" s="120">
        <f>SUM(U8:U18)</f>
        <v>0</v>
      </c>
    </row>
    <row r="21" spans="2:26" x14ac:dyDescent="0.25"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U21" s="27">
        <f>(M20/1000*U4)-U20</f>
        <v>0</v>
      </c>
    </row>
    <row r="22" spans="2:26" s="40" customFormat="1" x14ac:dyDescent="0.25">
      <c r="U22" s="27"/>
      <c r="Y22" s="62"/>
      <c r="Z22" s="62"/>
    </row>
    <row r="23" spans="2:26" ht="15.75" thickBot="1" x14ac:dyDescent="0.3">
      <c r="N23" s="40" t="s">
        <v>8</v>
      </c>
    </row>
    <row r="24" spans="2:26" s="40" customFormat="1" ht="15.75" thickBot="1" x14ac:dyDescent="0.3">
      <c r="B24" s="173" t="s">
        <v>185</v>
      </c>
      <c r="D24" s="143"/>
      <c r="X24" s="143"/>
      <c r="Y24" s="143"/>
    </row>
    <row r="25" spans="2:26" s="40" customFormat="1" ht="15.75" thickBot="1" x14ac:dyDescent="0.3">
      <c r="D25" s="143"/>
      <c r="E25" s="190" t="s">
        <v>206</v>
      </c>
      <c r="F25" s="191" t="s">
        <v>207</v>
      </c>
      <c r="X25" s="143"/>
      <c r="Y25" s="143"/>
    </row>
    <row r="26" spans="2:26" s="40" customFormat="1" x14ac:dyDescent="0.25">
      <c r="B26" s="16" t="s">
        <v>226</v>
      </c>
      <c r="C26" s="25" t="s">
        <v>227</v>
      </c>
      <c r="D26" s="143"/>
      <c r="X26" s="143"/>
      <c r="Y26" s="143"/>
    </row>
    <row r="27" spans="2:26" s="40" customFormat="1" x14ac:dyDescent="0.25">
      <c r="C27" s="196" t="s">
        <v>228</v>
      </c>
      <c r="D27" s="143"/>
      <c r="X27" s="143"/>
      <c r="Y27" s="143"/>
    </row>
    <row r="28" spans="2:26" s="40" customFormat="1" x14ac:dyDescent="0.25">
      <c r="D28" s="143"/>
      <c r="X28" s="143"/>
      <c r="Y28" s="143"/>
    </row>
    <row r="29" spans="2:26" s="40" customFormat="1" x14ac:dyDescent="0.25">
      <c r="C29" s="16" t="s">
        <v>229</v>
      </c>
      <c r="D29" s="143" t="s">
        <v>71</v>
      </c>
      <c r="E29" s="2">
        <v>29114200</v>
      </c>
      <c r="F29" s="2">
        <v>12485000</v>
      </c>
      <c r="G29" s="210" t="s">
        <v>8</v>
      </c>
      <c r="H29" s="40" t="s">
        <v>293</v>
      </c>
      <c r="X29" s="143"/>
      <c r="Y29" s="143"/>
    </row>
    <row r="30" spans="2:26" s="40" customFormat="1" x14ac:dyDescent="0.25">
      <c r="C30" s="16" t="s">
        <v>214</v>
      </c>
      <c r="D30" s="143" t="s">
        <v>71</v>
      </c>
      <c r="E30" s="2">
        <v>0</v>
      </c>
      <c r="F30" s="199">
        <v>3000000</v>
      </c>
      <c r="G30" s="210" t="s">
        <v>8</v>
      </c>
      <c r="H30" s="40" t="s">
        <v>293</v>
      </c>
      <c r="X30" s="143"/>
      <c r="Y30" s="143"/>
    </row>
    <row r="31" spans="2:26" s="40" customFormat="1" x14ac:dyDescent="0.25">
      <c r="C31" s="16" t="s">
        <v>8</v>
      </c>
      <c r="D31" s="143"/>
      <c r="E31" s="2" t="s">
        <v>8</v>
      </c>
      <c r="F31" s="2" t="s">
        <v>8</v>
      </c>
      <c r="G31" s="210" t="s">
        <v>8</v>
      </c>
      <c r="H31" s="40" t="s">
        <v>8</v>
      </c>
      <c r="X31" s="143"/>
      <c r="Y31" s="143"/>
    </row>
    <row r="32" spans="2:26" s="40" customFormat="1" x14ac:dyDescent="0.25">
      <c r="C32" s="16" t="s">
        <v>229</v>
      </c>
      <c r="D32" s="143" t="s">
        <v>72</v>
      </c>
      <c r="E32" s="2">
        <v>1009800</v>
      </c>
      <c r="F32" s="2">
        <v>990000</v>
      </c>
      <c r="G32" s="210" t="s">
        <v>8</v>
      </c>
      <c r="H32" s="40" t="s">
        <v>293</v>
      </c>
      <c r="X32" s="143"/>
      <c r="Y32" s="143"/>
    </row>
    <row r="33" spans="3:25" s="40" customFormat="1" x14ac:dyDescent="0.25">
      <c r="C33" s="16" t="s">
        <v>214</v>
      </c>
      <c r="D33" s="143" t="s">
        <v>72</v>
      </c>
      <c r="E33" s="2">
        <v>0</v>
      </c>
      <c r="F33" s="2">
        <v>100000</v>
      </c>
      <c r="G33" s="210" t="s">
        <v>8</v>
      </c>
      <c r="H33" s="40" t="s">
        <v>293</v>
      </c>
      <c r="X33" s="143"/>
      <c r="Y33" s="143"/>
    </row>
    <row r="34" spans="3:25" x14ac:dyDescent="0.25">
      <c r="G34" s="210" t="s">
        <v>8</v>
      </c>
    </row>
    <row r="35" spans="3:25" x14ac:dyDescent="0.25">
      <c r="C35" s="16" t="s">
        <v>229</v>
      </c>
      <c r="D35" s="15" t="s">
        <v>230</v>
      </c>
      <c r="E35" s="2">
        <v>1047800</v>
      </c>
      <c r="F35" s="2">
        <v>0</v>
      </c>
      <c r="G35" s="12"/>
      <c r="H35" t="s">
        <v>232</v>
      </c>
    </row>
    <row r="36" spans="3:25" x14ac:dyDescent="0.25">
      <c r="C36" s="16" t="s">
        <v>214</v>
      </c>
      <c r="D36" s="15" t="s">
        <v>231</v>
      </c>
      <c r="E36" s="2">
        <v>3010600</v>
      </c>
      <c r="F36" s="2">
        <v>0</v>
      </c>
      <c r="G36" s="12"/>
      <c r="H36" s="40" t="s">
        <v>232</v>
      </c>
    </row>
    <row r="37" spans="3:25" x14ac:dyDescent="0.25">
      <c r="F37" s="69">
        <f>SUM(F29:F36)</f>
        <v>16575000</v>
      </c>
      <c r="G37" s="203" t="s">
        <v>8</v>
      </c>
    </row>
    <row r="38" spans="3:25" x14ac:dyDescent="0.25">
      <c r="G38" s="2" t="s">
        <v>8</v>
      </c>
    </row>
    <row r="39" spans="3:25" x14ac:dyDescent="0.25">
      <c r="G39" s="26" t="s">
        <v>8</v>
      </c>
    </row>
    <row r="40" spans="3:25" x14ac:dyDescent="0.25">
      <c r="G40" t="s">
        <v>8</v>
      </c>
    </row>
  </sheetData>
  <mergeCells count="1">
    <mergeCell ref="W6:Z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68"/>
  <sheetViews>
    <sheetView topLeftCell="O1" workbookViewId="0">
      <selection activeCell="V1" sqref="V1:W1048576"/>
    </sheetView>
  </sheetViews>
  <sheetFormatPr defaultRowHeight="15" x14ac:dyDescent="0.25"/>
  <cols>
    <col min="1" max="1" width="5.85546875" customWidth="1"/>
    <col min="2" max="2" width="25.7109375" customWidth="1"/>
    <col min="3" max="3" width="36.85546875" customWidth="1"/>
    <col min="4" max="4" width="23.28515625" style="15" customWidth="1"/>
    <col min="5" max="5" width="25.5703125" customWidth="1"/>
    <col min="6" max="6" width="29" bestFit="1" customWidth="1"/>
    <col min="7" max="7" width="27.85546875" customWidth="1"/>
    <col min="8" max="8" width="25" bestFit="1" customWidth="1"/>
    <col min="9" max="13" width="20.7109375" hidden="1" customWidth="1"/>
    <col min="14" max="14" width="20.7109375" style="40" hidden="1" customWidth="1"/>
    <col min="15" max="19" width="20.7109375" style="40" customWidth="1"/>
    <col min="21" max="21" width="20.7109375" hidden="1" customWidth="1"/>
    <col min="23" max="23" width="22.42578125" bestFit="1" customWidth="1"/>
    <col min="24" max="24" width="22.42578125" customWidth="1"/>
    <col min="25" max="25" width="12.42578125" style="3" customWidth="1"/>
    <col min="26" max="26" width="12.85546875" style="3" customWidth="1"/>
  </cols>
  <sheetData>
    <row r="2" spans="2:26" ht="18.75" x14ac:dyDescent="0.3">
      <c r="B2" s="37" t="s">
        <v>76</v>
      </c>
      <c r="C2" s="5"/>
      <c r="D2"/>
      <c r="E2" s="5"/>
      <c r="F2" s="5"/>
      <c r="G2" s="5"/>
    </row>
    <row r="3" spans="2:26" x14ac:dyDescent="0.25">
      <c r="U3" s="23" t="s">
        <v>147</v>
      </c>
    </row>
    <row r="4" spans="2:26" ht="15.75" thickBot="1" x14ac:dyDescent="0.3">
      <c r="B4" t="s">
        <v>6</v>
      </c>
      <c r="C4" t="s">
        <v>21</v>
      </c>
      <c r="U4" s="24">
        <f>(Totaal!D9*Totaal!F9)+(Totaal!D10*Totaal!F10)</f>
        <v>0</v>
      </c>
    </row>
    <row r="5" spans="2:26" ht="15.75" thickBot="1" x14ac:dyDescent="0.3">
      <c r="B5" t="s">
        <v>8</v>
      </c>
      <c r="P5" s="76"/>
      <c r="Q5" s="68" t="s">
        <v>167</v>
      </c>
      <c r="R5" s="76"/>
      <c r="S5" s="76"/>
    </row>
    <row r="6" spans="2:26" ht="15.75" thickBot="1" x14ac:dyDescent="0.3">
      <c r="B6" s="7" t="s">
        <v>19</v>
      </c>
      <c r="C6" s="7" t="s">
        <v>0</v>
      </c>
      <c r="D6" s="14" t="s">
        <v>17</v>
      </c>
      <c r="E6" s="7" t="s">
        <v>18</v>
      </c>
      <c r="F6" s="7" t="s">
        <v>108</v>
      </c>
      <c r="G6" s="7" t="s">
        <v>12</v>
      </c>
      <c r="H6" s="7" t="s">
        <v>38</v>
      </c>
      <c r="I6" s="86">
        <v>2017</v>
      </c>
      <c r="J6" s="87" t="s">
        <v>132</v>
      </c>
      <c r="K6" s="87">
        <v>2018</v>
      </c>
      <c r="L6" s="87" t="s">
        <v>142</v>
      </c>
      <c r="M6" s="87">
        <v>2019</v>
      </c>
      <c r="N6" s="108" t="s">
        <v>149</v>
      </c>
      <c r="O6" s="109">
        <v>2020</v>
      </c>
      <c r="P6" s="97" t="s">
        <v>178</v>
      </c>
      <c r="Q6" s="206" t="s">
        <v>299</v>
      </c>
      <c r="R6" s="174" t="s">
        <v>183</v>
      </c>
      <c r="S6" s="148" t="s">
        <v>200</v>
      </c>
      <c r="U6" s="106" t="s">
        <v>154</v>
      </c>
      <c r="W6" s="217" t="s">
        <v>20</v>
      </c>
      <c r="X6" s="217"/>
      <c r="Y6" s="217"/>
      <c r="Z6" s="217"/>
    </row>
    <row r="7" spans="2:26" x14ac:dyDescent="0.25">
      <c r="I7" s="85"/>
      <c r="J7" s="85"/>
      <c r="K7" s="85"/>
      <c r="L7" s="85"/>
      <c r="M7" s="85"/>
      <c r="N7" s="85"/>
      <c r="O7" s="92"/>
      <c r="P7" s="98"/>
      <c r="Q7" s="92"/>
      <c r="R7" s="175"/>
      <c r="S7" s="163"/>
      <c r="U7" s="103"/>
      <c r="X7" s="3"/>
    </row>
    <row r="8" spans="2:26" x14ac:dyDescent="0.25">
      <c r="B8" t="s">
        <v>7</v>
      </c>
      <c r="C8" t="s">
        <v>79</v>
      </c>
      <c r="D8" s="28" t="s">
        <v>80</v>
      </c>
      <c r="E8" s="1" t="s">
        <v>81</v>
      </c>
      <c r="F8" s="1" t="s">
        <v>5</v>
      </c>
      <c r="G8" t="s">
        <v>13</v>
      </c>
      <c r="H8" s="13" t="s">
        <v>8</v>
      </c>
      <c r="I8" s="70">
        <v>21342590</v>
      </c>
      <c r="J8" s="70">
        <v>0</v>
      </c>
      <c r="K8" s="77">
        <f>(I8+J8)*(Totaal!$M$7/Totaal!$M$6)</f>
        <v>21810705.296506908</v>
      </c>
      <c r="L8" s="77">
        <v>0</v>
      </c>
      <c r="M8" s="77">
        <f>(K8+L8)*(Totaal!$M$8/Totaal!$M$7)</f>
        <v>24515371.45410236</v>
      </c>
      <c r="N8" s="77">
        <v>0</v>
      </c>
      <c r="O8" s="93">
        <f>CEILING((M8+N8)*(Totaal!$M$10/Totaal!$M$9),100)</f>
        <v>25741200</v>
      </c>
      <c r="P8" s="99"/>
      <c r="Q8" s="150">
        <f>CEILING((O8+P8)*(Totaal!M11/Totaal!M10),100)</f>
        <v>26476700</v>
      </c>
      <c r="R8" s="176"/>
      <c r="S8" s="154">
        <f t="shared" ref="S8:S16" si="0">Q8+R8</f>
        <v>26476700</v>
      </c>
      <c r="T8" s="13" t="s">
        <v>8</v>
      </c>
      <c r="U8" s="70">
        <f>M8/1000*$U$4</f>
        <v>0</v>
      </c>
      <c r="W8" s="40" t="s">
        <v>203</v>
      </c>
      <c r="Y8" s="4" t="s">
        <v>43</v>
      </c>
      <c r="Z8" s="4" t="s">
        <v>82</v>
      </c>
    </row>
    <row r="9" spans="2:26" x14ac:dyDescent="0.25">
      <c r="B9" t="s">
        <v>7</v>
      </c>
      <c r="C9" t="s">
        <v>79</v>
      </c>
      <c r="D9" s="28" t="s">
        <v>80</v>
      </c>
      <c r="E9" s="1" t="s">
        <v>81</v>
      </c>
      <c r="F9" t="s">
        <v>83</v>
      </c>
      <c r="G9" t="s">
        <v>13</v>
      </c>
      <c r="H9" s="146"/>
      <c r="I9" s="70">
        <v>750324</v>
      </c>
      <c r="J9" s="70">
        <v>0</v>
      </c>
      <c r="K9" s="77">
        <f>(I9+J9)*(Totaal!$M$7/Totaal!$M$6)</f>
        <v>766781.147034931</v>
      </c>
      <c r="L9" s="77">
        <v>0</v>
      </c>
      <c r="M9" s="77">
        <f>(K9+L9)*(Totaal!$M$8/Totaal!$M$7)</f>
        <v>861866.8854589765</v>
      </c>
      <c r="N9" s="77">
        <v>0</v>
      </c>
      <c r="O9" s="93">
        <f>CEILING((M9+N9)*(Totaal!$M$10/Totaal!$M$9),100)</f>
        <v>905000</v>
      </c>
      <c r="P9" s="99"/>
      <c r="Q9" s="150">
        <f>CEILING((O9+P9)*(Totaal!M11/Totaal!M10),100)</f>
        <v>930900</v>
      </c>
      <c r="R9" s="176"/>
      <c r="S9" s="154">
        <f t="shared" si="0"/>
        <v>930900</v>
      </c>
      <c r="U9" s="70">
        <f t="shared" ref="U9:U23" si="1">M9/1000*$U$4</f>
        <v>0</v>
      </c>
      <c r="W9" s="40" t="s">
        <v>203</v>
      </c>
      <c r="Y9" s="4" t="s">
        <v>43</v>
      </c>
      <c r="Z9" s="4" t="s">
        <v>82</v>
      </c>
    </row>
    <row r="10" spans="2:26" x14ac:dyDescent="0.25">
      <c r="B10" t="s">
        <v>7</v>
      </c>
      <c r="C10" t="s">
        <v>79</v>
      </c>
      <c r="D10" s="28" t="s">
        <v>80</v>
      </c>
      <c r="E10" s="1" t="s">
        <v>81</v>
      </c>
      <c r="G10" t="s">
        <v>13</v>
      </c>
      <c r="H10" s="146" t="s">
        <v>88</v>
      </c>
      <c r="I10" s="70">
        <v>21368</v>
      </c>
      <c r="J10" s="70">
        <v>0</v>
      </c>
      <c r="K10" s="77">
        <f>(I10+J10)*(Totaal!$M$7/Totaal!$M$6)</f>
        <v>21836.672623883023</v>
      </c>
      <c r="L10" s="77">
        <v>0</v>
      </c>
      <c r="M10" s="77">
        <f>(K10+L10)*(Totaal!$M$8/Totaal!$M$7)</f>
        <v>24544.558895207152</v>
      </c>
      <c r="N10" s="77">
        <v>0</v>
      </c>
      <c r="O10" s="93">
        <f>CEILING((M10+N10)*(Totaal!$M$10/Totaal!$M$9),100)</f>
        <v>25800</v>
      </c>
      <c r="P10" s="99"/>
      <c r="Q10" s="150">
        <f>CEILING((O10+P10)*(Totaal!M11/Totaal!M10),100)</f>
        <v>26600</v>
      </c>
      <c r="R10" s="176"/>
      <c r="S10" s="154">
        <f t="shared" si="0"/>
        <v>26600</v>
      </c>
      <c r="U10" s="70">
        <f t="shared" si="1"/>
        <v>0</v>
      </c>
      <c r="Y10" s="4"/>
      <c r="Z10" s="4"/>
    </row>
    <row r="11" spans="2:26" x14ac:dyDescent="0.25">
      <c r="B11" t="s">
        <v>7</v>
      </c>
      <c r="C11" t="s">
        <v>79</v>
      </c>
      <c r="D11" s="28" t="s">
        <v>80</v>
      </c>
      <c r="E11" s="1" t="s">
        <v>81</v>
      </c>
      <c r="G11" t="s">
        <v>13</v>
      </c>
      <c r="H11" s="146" t="s">
        <v>141</v>
      </c>
      <c r="I11" s="70">
        <v>0</v>
      </c>
      <c r="J11" s="70">
        <v>90000</v>
      </c>
      <c r="K11" s="77">
        <f>J11</f>
        <v>90000</v>
      </c>
      <c r="L11" s="77">
        <v>0</v>
      </c>
      <c r="M11" s="77">
        <f>(K11+L11)*(Totaal!$M$8/Totaal!$M$7)</f>
        <v>101160.57233704293</v>
      </c>
      <c r="N11" s="77">
        <v>0</v>
      </c>
      <c r="O11" s="93">
        <f>CEILING((M11+N11)*(Totaal!$M$10/Totaal!$M$9),100)</f>
        <v>106300</v>
      </c>
      <c r="P11" s="99"/>
      <c r="Q11" s="150">
        <f>CEILING((O11+P11)*(Totaal!M11/Totaal!M10),100)</f>
        <v>109400</v>
      </c>
      <c r="R11" s="176"/>
      <c r="S11" s="154">
        <f t="shared" si="0"/>
        <v>109400</v>
      </c>
      <c r="U11" s="70">
        <f t="shared" si="1"/>
        <v>0</v>
      </c>
      <c r="Y11" s="4"/>
      <c r="Z11" s="4"/>
    </row>
    <row r="12" spans="2:26" x14ac:dyDescent="0.25">
      <c r="B12" t="s">
        <v>7</v>
      </c>
      <c r="C12" t="s">
        <v>86</v>
      </c>
      <c r="D12" s="28" t="s">
        <v>80</v>
      </c>
      <c r="E12" s="1" t="s">
        <v>81</v>
      </c>
      <c r="F12" t="s">
        <v>87</v>
      </c>
      <c r="G12" t="s">
        <v>13</v>
      </c>
      <c r="H12" s="146"/>
      <c r="I12" s="70">
        <f>162195+78056+32439</f>
        <v>272690</v>
      </c>
      <c r="J12" s="70">
        <v>0</v>
      </c>
      <c r="K12" s="77">
        <f>(I12+J12)*(Totaal!$M$7/Totaal!$M$6)</f>
        <v>278671.01543460606</v>
      </c>
      <c r="L12" s="77">
        <v>0</v>
      </c>
      <c r="M12" s="77">
        <f>(K12+L12)*(Totaal!$M$8/Totaal!$M$7)</f>
        <v>313227.99350121856</v>
      </c>
      <c r="N12" s="77">
        <v>0</v>
      </c>
      <c r="O12" s="93">
        <f>CEILING((M12+N12)*(Totaal!$M$10/Totaal!$M$9),100)</f>
        <v>328900</v>
      </c>
      <c r="P12" s="99"/>
      <c r="Q12" s="150">
        <f>CEILING((O12+P12)*(Totaal!M11/Totaal!M10),100)</f>
        <v>338300</v>
      </c>
      <c r="R12" s="176"/>
      <c r="S12" s="154">
        <f t="shared" si="0"/>
        <v>338300</v>
      </c>
      <c r="U12" s="70">
        <f t="shared" si="1"/>
        <v>0</v>
      </c>
      <c r="W12" s="40" t="s">
        <v>203</v>
      </c>
      <c r="Y12" s="4" t="s">
        <v>43</v>
      </c>
      <c r="Z12" s="4" t="s">
        <v>82</v>
      </c>
    </row>
    <row r="13" spans="2:26" x14ac:dyDescent="0.25">
      <c r="B13" t="s">
        <v>7</v>
      </c>
      <c r="C13" t="s">
        <v>86</v>
      </c>
      <c r="D13" s="28" t="s">
        <v>80</v>
      </c>
      <c r="E13" s="1" t="s">
        <v>81</v>
      </c>
      <c r="F13" t="s">
        <v>94</v>
      </c>
      <c r="G13" t="s">
        <v>13</v>
      </c>
      <c r="H13" s="147" t="s">
        <v>96</v>
      </c>
      <c r="I13" s="70">
        <v>344673</v>
      </c>
      <c r="J13" s="70">
        <v>0</v>
      </c>
      <c r="K13" s="77">
        <f>(I13+J13)*(Totaal!$M$7/Totaal!$M$6)</f>
        <v>352232.84646628762</v>
      </c>
      <c r="L13" s="77">
        <v>0</v>
      </c>
      <c r="M13" s="77">
        <f>(K13+L13)*(Totaal!$M$8/Totaal!$M$7)</f>
        <v>395911.95938261581</v>
      </c>
      <c r="N13" s="77">
        <v>0</v>
      </c>
      <c r="O13" s="93">
        <f>CEILING((M13+N13)*(Totaal!$M$10/Totaal!$M$9),100)</f>
        <v>415800</v>
      </c>
      <c r="P13" s="99"/>
      <c r="Q13" s="150">
        <f>CEILING((O13+P13)*(Totaal!M11/Totaal!M10),100)</f>
        <v>427700</v>
      </c>
      <c r="R13" s="176"/>
      <c r="S13" s="154">
        <f t="shared" si="0"/>
        <v>427700</v>
      </c>
      <c r="U13" s="70">
        <f t="shared" si="1"/>
        <v>0</v>
      </c>
      <c r="W13" s="40" t="s">
        <v>203</v>
      </c>
      <c r="Y13" s="4" t="s">
        <v>43</v>
      </c>
      <c r="Z13" s="4" t="s">
        <v>82</v>
      </c>
    </row>
    <row r="14" spans="2:26" x14ac:dyDescent="0.25">
      <c r="B14" t="s">
        <v>7</v>
      </c>
      <c r="C14" t="s">
        <v>86</v>
      </c>
      <c r="D14" s="28" t="s">
        <v>80</v>
      </c>
      <c r="E14" s="1" t="s">
        <v>81</v>
      </c>
      <c r="G14" t="s">
        <v>13</v>
      </c>
      <c r="H14" s="147" t="s">
        <v>88</v>
      </c>
      <c r="I14" s="70">
        <v>76935</v>
      </c>
      <c r="J14" s="70">
        <v>0</v>
      </c>
      <c r="K14" s="77">
        <f>(I14+J14)*(Totaal!$M$7/Totaal!$M$6)</f>
        <v>78622.445166531281</v>
      </c>
      <c r="L14" s="77">
        <v>0</v>
      </c>
      <c r="M14" s="77">
        <f>(K14+L14)*(Totaal!$M$8/Totaal!$M$7)</f>
        <v>88372.128350934203</v>
      </c>
      <c r="N14" s="77">
        <v>0</v>
      </c>
      <c r="O14" s="93">
        <f>CEILING((M14+N14)*(Totaal!$M$10/Totaal!$M$9),100)</f>
        <v>92800</v>
      </c>
      <c r="P14" s="99"/>
      <c r="Q14" s="150">
        <f>CEILING((O14+P14)*(Totaal!M11/Totaal!M10),100)</f>
        <v>95500</v>
      </c>
      <c r="R14" s="176"/>
      <c r="S14" s="154">
        <f t="shared" si="0"/>
        <v>95500</v>
      </c>
      <c r="U14" s="70">
        <f t="shared" si="1"/>
        <v>0</v>
      </c>
      <c r="Y14" s="4"/>
      <c r="Z14" s="4"/>
    </row>
    <row r="15" spans="2:26" s="40" customFormat="1" x14ac:dyDescent="0.25">
      <c r="B15" s="40" t="s">
        <v>7</v>
      </c>
      <c r="C15" s="40" t="s">
        <v>86</v>
      </c>
      <c r="D15" s="28" t="s">
        <v>80</v>
      </c>
      <c r="E15" s="1" t="s">
        <v>81</v>
      </c>
      <c r="H15" s="147" t="s">
        <v>165</v>
      </c>
      <c r="I15" s="70" t="s">
        <v>8</v>
      </c>
      <c r="J15" s="70" t="s">
        <v>8</v>
      </c>
      <c r="K15" s="77" t="s">
        <v>8</v>
      </c>
      <c r="L15" s="77"/>
      <c r="M15" s="77">
        <v>0</v>
      </c>
      <c r="N15" s="77">
        <v>68500.259999999995</v>
      </c>
      <c r="O15" s="93">
        <f>CEILING((M15+N15)*(Totaal!$M$10/Totaal!$M$9),100)</f>
        <v>72000</v>
      </c>
      <c r="P15" s="99"/>
      <c r="Q15" s="150">
        <f>CEILING((O15+P15)*(Totaal!M11/Totaal!M10),100)</f>
        <v>74100</v>
      </c>
      <c r="R15" s="176"/>
      <c r="S15" s="154">
        <f t="shared" si="0"/>
        <v>74100</v>
      </c>
      <c r="U15" s="70"/>
      <c r="Y15" s="4"/>
      <c r="Z15" s="4"/>
    </row>
    <row r="16" spans="2:26" s="40" customFormat="1" x14ac:dyDescent="0.25">
      <c r="B16" s="40" t="s">
        <v>7</v>
      </c>
      <c r="C16" s="40" t="s">
        <v>168</v>
      </c>
      <c r="D16" s="28" t="s">
        <v>80</v>
      </c>
      <c r="E16" s="1" t="s">
        <v>81</v>
      </c>
      <c r="F16" s="40" t="s">
        <v>83</v>
      </c>
      <c r="H16" s="147" t="s">
        <v>165</v>
      </c>
      <c r="I16" s="70"/>
      <c r="J16" s="70"/>
      <c r="K16" s="77"/>
      <c r="L16" s="77"/>
      <c r="M16" s="77"/>
      <c r="N16" s="77">
        <v>3643.12</v>
      </c>
      <c r="O16" s="93">
        <f>CEILING((M16+N16)*(Totaal!$M$10/Totaal!$M$9),100)</f>
        <v>3900</v>
      </c>
      <c r="P16" s="99"/>
      <c r="Q16" s="150">
        <f>CEILING((O16+P16)*(Totaal!M11/Totaal!M10),100)</f>
        <v>4100</v>
      </c>
      <c r="R16" s="176"/>
      <c r="S16" s="154">
        <f t="shared" si="0"/>
        <v>4100</v>
      </c>
      <c r="U16" s="70"/>
      <c r="Y16" s="4"/>
      <c r="Z16" s="4"/>
    </row>
    <row r="17" spans="2:26" x14ac:dyDescent="0.25">
      <c r="B17" t="s">
        <v>33</v>
      </c>
      <c r="C17" s="40" t="s">
        <v>86</v>
      </c>
      <c r="D17" s="28" t="s">
        <v>80</v>
      </c>
      <c r="E17" s="1" t="s">
        <v>81</v>
      </c>
      <c r="G17" t="s">
        <v>13</v>
      </c>
      <c r="H17" s="146"/>
      <c r="I17" s="70">
        <v>15541812</v>
      </c>
      <c r="J17" s="70">
        <v>0</v>
      </c>
      <c r="K17" s="77">
        <f>(I17+J17)*(Totaal!$N$7/Totaal!$N$6)</f>
        <v>15755078.716981132</v>
      </c>
      <c r="L17" s="77">
        <v>0</v>
      </c>
      <c r="M17" s="77">
        <f>(K17+L17)*(Totaal!$N$8/Totaal!$N$7)</f>
        <v>16474853.886792453</v>
      </c>
      <c r="N17" s="77">
        <v>0</v>
      </c>
      <c r="O17" s="93">
        <f>CEILING((M17+N17)*(Totaal!$N$10/Totaal!$N$9),100)</f>
        <v>16738500</v>
      </c>
      <c r="P17" s="99">
        <v>0</v>
      </c>
      <c r="Q17" s="150">
        <f>CEILING((O17+P17)*(Totaal!N11/Totaal!N10),100)</f>
        <v>17051600</v>
      </c>
      <c r="R17" s="176"/>
      <c r="S17" s="154">
        <v>15667000</v>
      </c>
      <c r="U17" s="70">
        <f t="shared" si="1"/>
        <v>0</v>
      </c>
      <c r="W17" s="40" t="s">
        <v>203</v>
      </c>
      <c r="X17" s="145" t="s">
        <v>246</v>
      </c>
      <c r="Y17" s="4" t="s">
        <v>235</v>
      </c>
      <c r="Z17" s="9" t="s">
        <v>247</v>
      </c>
    </row>
    <row r="18" spans="2:26" x14ac:dyDescent="0.25">
      <c r="B18" t="s">
        <v>33</v>
      </c>
      <c r="C18" s="40" t="s">
        <v>86</v>
      </c>
      <c r="D18" s="28" t="s">
        <v>80</v>
      </c>
      <c r="E18" s="1" t="s">
        <v>81</v>
      </c>
      <c r="G18" t="s">
        <v>13</v>
      </c>
      <c r="H18" s="146" t="s">
        <v>85</v>
      </c>
      <c r="I18" s="70">
        <v>280755</v>
      </c>
      <c r="J18" s="70">
        <v>0</v>
      </c>
      <c r="K18" s="77">
        <f>(I18+J18)*(Totaal!$N$7/Totaal!$N$6)</f>
        <v>284607.55574614066</v>
      </c>
      <c r="L18" s="77">
        <v>0</v>
      </c>
      <c r="M18" s="77">
        <f>(K18+L18)*(Totaal!$N$8/Totaal!$N$7)</f>
        <v>297609.93138936535</v>
      </c>
      <c r="N18" s="77">
        <v>0</v>
      </c>
      <c r="O18" s="93">
        <f>CEILING((M18+N18)*(Totaal!$N$10/Totaal!$N$9),100)</f>
        <v>302400</v>
      </c>
      <c r="P18" s="99">
        <v>0</v>
      </c>
      <c r="Q18" s="150">
        <f>CEILING((O18+P18)*(Totaal!N11/Totaal!N10),100)</f>
        <v>308100</v>
      </c>
      <c r="R18" s="176"/>
      <c r="S18" s="154">
        <v>800000</v>
      </c>
      <c r="U18" s="70">
        <f t="shared" si="1"/>
        <v>0</v>
      </c>
      <c r="W18" s="40" t="s">
        <v>203</v>
      </c>
      <c r="X18" s="145" t="s">
        <v>246</v>
      </c>
      <c r="Y18" s="4" t="s">
        <v>235</v>
      </c>
      <c r="Z18" s="9" t="s">
        <v>247</v>
      </c>
    </row>
    <row r="19" spans="2:26" x14ac:dyDescent="0.25">
      <c r="B19" s="64" t="s">
        <v>33</v>
      </c>
      <c r="C19" s="64" t="s">
        <v>86</v>
      </c>
      <c r="D19" s="66" t="s">
        <v>80</v>
      </c>
      <c r="E19" s="67" t="s">
        <v>81</v>
      </c>
      <c r="F19" s="64"/>
      <c r="G19" s="64" t="s">
        <v>13</v>
      </c>
      <c r="H19" s="207" t="s">
        <v>141</v>
      </c>
      <c r="I19" s="70">
        <v>0</v>
      </c>
      <c r="J19" s="70">
        <v>33000</v>
      </c>
      <c r="K19" s="77">
        <f>J19</f>
        <v>33000</v>
      </c>
      <c r="L19" s="77">
        <v>0</v>
      </c>
      <c r="M19" s="77">
        <f>(K19+L19)*(Totaal!$N$8/Totaal!$N$7)</f>
        <v>34507.614213197972</v>
      </c>
      <c r="N19" s="77">
        <v>0</v>
      </c>
      <c r="O19" s="93">
        <f>CEILING((M19+N19)*(Totaal!$N$10/Totaal!$N$9),100)</f>
        <v>35100</v>
      </c>
      <c r="P19" s="99">
        <v>0</v>
      </c>
      <c r="Q19" s="150">
        <f>CEILING((O19+P19)*(Totaal!N11/Totaal!N10),100)</f>
        <v>35800</v>
      </c>
      <c r="R19" s="176"/>
      <c r="S19" s="154">
        <v>0</v>
      </c>
      <c r="U19" s="70">
        <f t="shared" si="1"/>
        <v>0</v>
      </c>
      <c r="Y19" s="4"/>
      <c r="Z19" s="10"/>
    </row>
    <row r="20" spans="2:26" s="40" customFormat="1" x14ac:dyDescent="0.25">
      <c r="B20" s="64" t="s">
        <v>33</v>
      </c>
      <c r="C20" s="64" t="s">
        <v>86</v>
      </c>
      <c r="D20" s="66" t="s">
        <v>80</v>
      </c>
      <c r="E20" s="67" t="s">
        <v>81</v>
      </c>
      <c r="F20" s="64"/>
      <c r="G20" s="64" t="s">
        <v>8</v>
      </c>
      <c r="H20" s="207" t="s">
        <v>165</v>
      </c>
      <c r="I20" s="70"/>
      <c r="J20" s="70"/>
      <c r="K20" s="77"/>
      <c r="L20" s="77"/>
      <c r="M20" s="77"/>
      <c r="N20" s="77">
        <v>58563.91</v>
      </c>
      <c r="O20" s="93">
        <f>CEILING((M20+N20)*(Totaal!$N$10/Totaal!$N$9),100)</f>
        <v>59600</v>
      </c>
      <c r="P20" s="99">
        <v>0</v>
      </c>
      <c r="Q20" s="150">
        <f>CEILING((O20+P20)*(Totaal!N11/Totaal!N10),100)</f>
        <v>60800</v>
      </c>
      <c r="R20" s="176"/>
      <c r="S20" s="154">
        <v>0</v>
      </c>
      <c r="U20" s="70"/>
      <c r="Y20" s="4"/>
      <c r="Z20" s="10"/>
    </row>
    <row r="21" spans="2:26" s="40" customFormat="1" x14ac:dyDescent="0.25">
      <c r="B21" s="40" t="s">
        <v>33</v>
      </c>
      <c r="C21" s="40" t="s">
        <v>86</v>
      </c>
      <c r="D21" s="28" t="s">
        <v>80</v>
      </c>
      <c r="E21" s="1" t="s">
        <v>81</v>
      </c>
      <c r="F21" s="40" t="s">
        <v>93</v>
      </c>
      <c r="H21" s="146" t="s">
        <v>165</v>
      </c>
      <c r="I21" s="70"/>
      <c r="J21" s="70"/>
      <c r="K21" s="77"/>
      <c r="L21" s="77"/>
      <c r="M21" s="77"/>
      <c r="N21" s="77">
        <v>246187.81</v>
      </c>
      <c r="O21" s="93">
        <f>CEILING((M21+N21)*(Totaal!$N$10/Totaal!$N$9),100)</f>
        <v>250200</v>
      </c>
      <c r="P21" s="99">
        <v>0</v>
      </c>
      <c r="Q21" s="150">
        <f>CEILING((O21+P21)*(Totaal!N11/Totaal!N10),100)</f>
        <v>254900</v>
      </c>
      <c r="R21" s="176"/>
      <c r="S21" s="154">
        <v>5000000</v>
      </c>
      <c r="U21" s="70"/>
      <c r="W21" s="40" t="s">
        <v>203</v>
      </c>
      <c r="X21" s="145" t="s">
        <v>246</v>
      </c>
      <c r="Y21" s="4" t="s">
        <v>235</v>
      </c>
      <c r="Z21" s="9" t="s">
        <v>247</v>
      </c>
    </row>
    <row r="22" spans="2:26" x14ac:dyDescent="0.25">
      <c r="B22" t="s">
        <v>35</v>
      </c>
      <c r="C22" s="40" t="s">
        <v>86</v>
      </c>
      <c r="D22" s="28" t="s">
        <v>80</v>
      </c>
      <c r="E22" s="1" t="s">
        <v>81</v>
      </c>
      <c r="G22" t="s">
        <v>13</v>
      </c>
      <c r="H22" s="146" t="s">
        <v>84</v>
      </c>
      <c r="I22" s="70">
        <v>3008093</v>
      </c>
      <c r="J22" s="70">
        <v>0</v>
      </c>
      <c r="K22" s="77">
        <f>(I22+J22)*(Totaal!$N$7/Totaal!$N$6)</f>
        <v>3049370.4339622641</v>
      </c>
      <c r="L22" s="77">
        <v>0</v>
      </c>
      <c r="M22" s="77">
        <f>(K22+L22)*(Totaal!$N$8/Totaal!$N$7)</f>
        <v>3188681.7735849055</v>
      </c>
      <c r="N22" s="77">
        <v>117395.85</v>
      </c>
      <c r="O22" s="93">
        <f>CEILING((M22+N22)*(Totaal!$N$10/Totaal!$N$9),100)</f>
        <v>3359000</v>
      </c>
      <c r="P22" s="99">
        <v>0</v>
      </c>
      <c r="Q22" s="150">
        <f>CEILING((O22+P22)*(Totaal!N11/Totaal!N10),100)</f>
        <v>3421900</v>
      </c>
      <c r="R22" s="176"/>
      <c r="S22" s="154">
        <v>2750000</v>
      </c>
      <c r="U22" s="70">
        <f t="shared" si="1"/>
        <v>0</v>
      </c>
      <c r="W22" t="s">
        <v>203</v>
      </c>
      <c r="X22" s="145" t="s">
        <v>246</v>
      </c>
      <c r="Y22" s="4" t="s">
        <v>235</v>
      </c>
      <c r="Z22" s="9" t="s">
        <v>247</v>
      </c>
    </row>
    <row r="23" spans="2:26" x14ac:dyDescent="0.25">
      <c r="B23" t="s">
        <v>35</v>
      </c>
      <c r="C23" s="40" t="s">
        <v>86</v>
      </c>
      <c r="D23" s="28" t="s">
        <v>80</v>
      </c>
      <c r="E23" s="1" t="s">
        <v>81</v>
      </c>
      <c r="G23" t="s">
        <v>13</v>
      </c>
      <c r="H23" s="146" t="s">
        <v>85</v>
      </c>
      <c r="I23" s="70">
        <v>3008093</v>
      </c>
      <c r="J23" s="70">
        <v>0</v>
      </c>
      <c r="K23" s="77">
        <f>(I23+J23)*(Totaal!$N$7/Totaal!$N$6)</f>
        <v>3049370.4339622641</v>
      </c>
      <c r="L23" s="77">
        <v>0</v>
      </c>
      <c r="M23" s="77">
        <f>(K23+L23)*(Totaal!$N$8/Totaal!$N$7)</f>
        <v>3188681.7735849055</v>
      </c>
      <c r="N23" s="77">
        <v>15686.56</v>
      </c>
      <c r="O23" s="93">
        <f>CEILING((M23+N23)*(Totaal!$N$10/Totaal!$N$9),100)</f>
        <v>3255700</v>
      </c>
      <c r="P23" s="99">
        <v>0</v>
      </c>
      <c r="Q23" s="150">
        <f>CEILING((O23+P23)*(Totaal!N11/Totaal!N10),100)</f>
        <v>3316600</v>
      </c>
      <c r="R23" s="176"/>
      <c r="S23" s="154">
        <v>3500000</v>
      </c>
      <c r="U23" s="70">
        <f t="shared" si="1"/>
        <v>0</v>
      </c>
      <c r="W23" s="40" t="s">
        <v>203</v>
      </c>
      <c r="X23" s="145" t="s">
        <v>246</v>
      </c>
      <c r="Y23" s="4" t="s">
        <v>235</v>
      </c>
      <c r="Z23" s="9" t="s">
        <v>247</v>
      </c>
    </row>
    <row r="24" spans="2:26" x14ac:dyDescent="0.25">
      <c r="H24" s="146"/>
      <c r="I24" s="70"/>
      <c r="J24" s="70" t="s">
        <v>8</v>
      </c>
      <c r="K24" s="77"/>
      <c r="L24" s="77"/>
      <c r="M24" s="77"/>
      <c r="N24" s="77"/>
      <c r="O24" s="93"/>
      <c r="P24" s="99"/>
      <c r="Q24" s="150"/>
      <c r="R24" s="176"/>
      <c r="S24" s="154"/>
      <c r="U24" s="70"/>
    </row>
    <row r="25" spans="2:26" s="40" customFormat="1" x14ac:dyDescent="0.25">
      <c r="B25" s="40" t="s">
        <v>33</v>
      </c>
      <c r="C25" s="40" t="s">
        <v>169</v>
      </c>
      <c r="D25" s="62" t="s">
        <v>170</v>
      </c>
      <c r="E25" s="13" t="s">
        <v>171</v>
      </c>
      <c r="G25" s="40" t="s">
        <v>13</v>
      </c>
      <c r="H25" s="146" t="s">
        <v>165</v>
      </c>
      <c r="I25" s="70"/>
      <c r="J25" s="70"/>
      <c r="K25" s="77"/>
      <c r="L25" s="77"/>
      <c r="M25" s="77"/>
      <c r="N25" s="77">
        <v>54650.51</v>
      </c>
      <c r="O25" s="93">
        <f>CEILING((M25+N25)*(Totaal!$N$10/Totaal!$N$9),100)</f>
        <v>55600</v>
      </c>
      <c r="P25" s="99"/>
      <c r="Q25" s="150">
        <f>CEILING((O25+P25)*(Totaal!N11/Totaal!N10),100)</f>
        <v>56700</v>
      </c>
      <c r="R25" s="176"/>
      <c r="S25" s="154">
        <f>Q25+R25</f>
        <v>56700</v>
      </c>
      <c r="U25" s="70"/>
      <c r="Y25" s="62"/>
      <c r="Z25" s="62"/>
    </row>
    <row r="26" spans="2:26" s="40" customFormat="1" x14ac:dyDescent="0.25">
      <c r="D26" s="62"/>
      <c r="H26" s="146"/>
      <c r="I26" s="70"/>
      <c r="J26" s="70"/>
      <c r="K26" s="77"/>
      <c r="L26" s="77"/>
      <c r="M26" s="77"/>
      <c r="N26" s="77"/>
      <c r="O26" s="93"/>
      <c r="P26" s="99"/>
      <c r="Q26" s="150"/>
      <c r="R26" s="176"/>
      <c r="S26" s="154"/>
      <c r="U26" s="70"/>
      <c r="Y26" s="62"/>
      <c r="Z26" s="62"/>
    </row>
    <row r="27" spans="2:26" x14ac:dyDescent="0.25">
      <c r="B27" t="s">
        <v>7</v>
      </c>
      <c r="C27" t="s">
        <v>89</v>
      </c>
      <c r="D27" s="39" t="s">
        <v>90</v>
      </c>
      <c r="E27" s="13" t="s">
        <v>91</v>
      </c>
      <c r="F27" t="s">
        <v>92</v>
      </c>
      <c r="G27" t="s">
        <v>13</v>
      </c>
      <c r="H27" s="146"/>
      <c r="I27" s="70">
        <f>4187328+618467</f>
        <v>4805795</v>
      </c>
      <c r="J27" s="70">
        <v>0</v>
      </c>
      <c r="K27" s="77">
        <f>(I27+J27)*(Totaal!$M$7/Totaal!$M$6)</f>
        <v>4911202.363931763</v>
      </c>
      <c r="L27" s="77">
        <v>0</v>
      </c>
      <c r="M27" s="77">
        <f>(K27+L27)*(Totaal!$M$8/Totaal!$M$7)</f>
        <v>5520222.688870837</v>
      </c>
      <c r="N27" s="77">
        <v>16407.75</v>
      </c>
      <c r="O27" s="93">
        <f>CEILING((M27+N27)*(Totaal!$M$10/Totaal!$M$9),100)</f>
        <v>5813500</v>
      </c>
      <c r="P27" s="99"/>
      <c r="Q27" s="150">
        <f>CEILING((O27+P27)*(Totaal!M11/Totaal!M10),100)</f>
        <v>5979600</v>
      </c>
      <c r="R27" s="176"/>
      <c r="S27" s="154">
        <f>Q27+R27</f>
        <v>5979600</v>
      </c>
      <c r="U27" s="70">
        <f t="shared" ref="U27:U29" si="2">M27/1000*$U$4</f>
        <v>0</v>
      </c>
      <c r="W27" s="40" t="s">
        <v>203</v>
      </c>
      <c r="X27" s="145" t="s">
        <v>8</v>
      </c>
      <c r="Y27" s="4" t="s">
        <v>43</v>
      </c>
      <c r="Z27" s="4" t="s">
        <v>82</v>
      </c>
    </row>
    <row r="28" spans="2:26" x14ac:dyDescent="0.25">
      <c r="B28" t="s">
        <v>33</v>
      </c>
      <c r="C28" t="s">
        <v>89</v>
      </c>
      <c r="D28" s="39" t="s">
        <v>90</v>
      </c>
      <c r="E28" s="13" t="s">
        <v>91</v>
      </c>
      <c r="G28" t="s">
        <v>13</v>
      </c>
      <c r="H28" s="146"/>
      <c r="I28" s="70">
        <v>2406468</v>
      </c>
      <c r="J28" s="70">
        <v>0</v>
      </c>
      <c r="K28" s="77">
        <f>(I28+J28)*(Totaal!$N$7/Totaal!$N$6)</f>
        <v>2439489.8593481989</v>
      </c>
      <c r="L28" s="77">
        <v>0</v>
      </c>
      <c r="M28" s="77">
        <f>(K28+L28)*(Totaal!$N$8/Totaal!$N$7)</f>
        <v>2550938.6346483706</v>
      </c>
      <c r="N28" s="77">
        <v>16256.59</v>
      </c>
      <c r="O28" s="93">
        <f>CEILING((M28+N28)*(Totaal!$N$10/Totaal!$N$9),100)</f>
        <v>2608300</v>
      </c>
      <c r="P28" s="99">
        <v>0</v>
      </c>
      <c r="Q28" s="150">
        <f>CEILING((O28+P28)*(Totaal!N11/Totaal!N10),100)</f>
        <v>2657100</v>
      </c>
      <c r="R28" s="176"/>
      <c r="S28" s="154">
        <v>2153000</v>
      </c>
      <c r="U28" s="70">
        <f t="shared" si="2"/>
        <v>0</v>
      </c>
      <c r="W28" t="s">
        <v>203</v>
      </c>
      <c r="X28" s="145" t="s">
        <v>246</v>
      </c>
      <c r="Y28" s="4" t="s">
        <v>235</v>
      </c>
      <c r="Z28" s="9" t="s">
        <v>247</v>
      </c>
    </row>
    <row r="29" spans="2:26" x14ac:dyDescent="0.25">
      <c r="B29" t="s">
        <v>33</v>
      </c>
      <c r="C29" t="s">
        <v>89</v>
      </c>
      <c r="D29" s="39" t="s">
        <v>90</v>
      </c>
      <c r="E29" s="13" t="s">
        <v>91</v>
      </c>
      <c r="F29" t="s">
        <v>93</v>
      </c>
      <c r="G29" t="s">
        <v>13</v>
      </c>
      <c r="H29" s="146"/>
      <c r="I29" s="70">
        <v>7520213</v>
      </c>
      <c r="J29" s="70">
        <v>0</v>
      </c>
      <c r="K29" s="77">
        <f>(I29+J29)*(Totaal!$N$7/Totaal!$N$6)</f>
        <v>7623406.3173241857</v>
      </c>
      <c r="L29" s="77">
        <v>0</v>
      </c>
      <c r="M29" s="77">
        <f>(K29+L29)*(Totaal!$N$8/Totaal!$N$7)</f>
        <v>7971683.763293311</v>
      </c>
      <c r="N29" s="77">
        <v>0</v>
      </c>
      <c r="O29" s="93">
        <f>CEILING((M29+N29)*(Totaal!$N$10/Totaal!$N$9),100)</f>
        <v>8099300</v>
      </c>
      <c r="P29" s="99">
        <v>0</v>
      </c>
      <c r="Q29" s="150">
        <f>CEILING((O29+P29)*(Totaal!N11/Totaal!N10),100)</f>
        <v>8250800</v>
      </c>
      <c r="R29" s="176"/>
      <c r="S29" s="154">
        <v>6500000</v>
      </c>
      <c r="U29" s="70">
        <f t="shared" si="2"/>
        <v>0</v>
      </c>
      <c r="W29" s="40" t="s">
        <v>203</v>
      </c>
      <c r="X29" s="145" t="s">
        <v>246</v>
      </c>
      <c r="Y29" s="4" t="s">
        <v>235</v>
      </c>
      <c r="Z29" s="9" t="s">
        <v>247</v>
      </c>
    </row>
    <row r="30" spans="2:26" x14ac:dyDescent="0.25">
      <c r="H30" s="146"/>
      <c r="I30" s="78"/>
      <c r="J30" s="78"/>
      <c r="K30" s="83"/>
      <c r="L30" s="83"/>
      <c r="M30" s="83"/>
      <c r="N30" s="83"/>
      <c r="O30" s="110"/>
      <c r="P30" s="111"/>
      <c r="Q30" s="159"/>
      <c r="R30" s="184"/>
      <c r="S30" s="162"/>
      <c r="U30" s="70"/>
    </row>
    <row r="31" spans="2:26" x14ac:dyDescent="0.25">
      <c r="B31" t="s">
        <v>7</v>
      </c>
      <c r="C31" s="12" t="s">
        <v>292</v>
      </c>
      <c r="D31" s="28" t="s">
        <v>8</v>
      </c>
      <c r="E31" s="13" t="s">
        <v>95</v>
      </c>
      <c r="F31" t="s">
        <v>94</v>
      </c>
      <c r="G31" t="s">
        <v>13</v>
      </c>
      <c r="H31" s="146"/>
      <c r="I31" s="70">
        <v>173500</v>
      </c>
      <c r="J31" s="70">
        <v>0</v>
      </c>
      <c r="K31" s="77">
        <f>(I31+J31)*(Totaal!$M$7/Totaal!$M$6)</f>
        <v>177305.44272948825</v>
      </c>
      <c r="L31" s="77">
        <v>0</v>
      </c>
      <c r="M31" s="77">
        <f>(K31+L31)*(Totaal!$M$8/Totaal!$M$7)</f>
        <v>199292.44516653131</v>
      </c>
      <c r="N31" s="77">
        <v>0</v>
      </c>
      <c r="O31" s="93">
        <f>CEILING((M31+N31)*(Totaal!$M$10/Totaal!$M$9),100)</f>
        <v>209300</v>
      </c>
      <c r="P31" s="99"/>
      <c r="Q31" s="150">
        <f>CEILING((O31+P31)*(Totaal!M11/Totaal!M10),100)</f>
        <v>215300</v>
      </c>
      <c r="R31" s="176"/>
      <c r="S31" s="154">
        <f>Q31+R31</f>
        <v>215300</v>
      </c>
      <c r="U31" s="70">
        <f>M31/1000*$U$4</f>
        <v>0</v>
      </c>
      <c r="W31" t="s">
        <v>32</v>
      </c>
    </row>
    <row r="32" spans="2:26" x14ac:dyDescent="0.25">
      <c r="H32" s="146"/>
      <c r="I32" s="78"/>
      <c r="J32" s="70" t="s">
        <v>8</v>
      </c>
      <c r="K32" s="83"/>
      <c r="L32" s="83"/>
      <c r="M32" s="83"/>
      <c r="N32" s="83"/>
      <c r="O32" s="110"/>
      <c r="P32" s="111"/>
      <c r="Q32" s="159"/>
      <c r="R32" s="184"/>
      <c r="S32" s="162"/>
      <c r="U32" s="70"/>
    </row>
    <row r="33" spans="2:26" x14ac:dyDescent="0.25">
      <c r="B33" t="s">
        <v>33</v>
      </c>
      <c r="C33" s="218" t="s">
        <v>97</v>
      </c>
      <c r="D33" s="218"/>
      <c r="E33" s="218"/>
      <c r="F33" t="s">
        <v>98</v>
      </c>
      <c r="H33" s="146" t="s">
        <v>100</v>
      </c>
      <c r="I33" s="70">
        <v>12182770</v>
      </c>
      <c r="J33" s="70">
        <v>0</v>
      </c>
      <c r="K33" s="77">
        <f>(I33+J33)*(Totaal!$N$7/Totaal!$N$6)</f>
        <v>12349943.516295025</v>
      </c>
      <c r="L33" s="77">
        <v>0</v>
      </c>
      <c r="M33" s="77">
        <f>(K33+L33)*(Totaal!$N$8/Totaal!$N$7)</f>
        <v>12914154.133790737</v>
      </c>
      <c r="N33" s="77">
        <v>0</v>
      </c>
      <c r="O33" s="93">
        <f>CEILING((M33+N33)*(Totaal!$N$10/Totaal!$N$9),100)</f>
        <v>13120800</v>
      </c>
      <c r="P33" s="99">
        <v>0</v>
      </c>
      <c r="Q33" s="150">
        <f>CEILING((O33+P33)*(Totaal!N11/Totaal!N10),100)</f>
        <v>13366200</v>
      </c>
      <c r="R33" s="176"/>
      <c r="S33" s="154">
        <v>11400000</v>
      </c>
      <c r="U33" s="70">
        <f>M33/1000*$U$4</f>
        <v>0</v>
      </c>
      <c r="W33" t="s">
        <v>203</v>
      </c>
      <c r="X33" s="145" t="s">
        <v>246</v>
      </c>
      <c r="Y33" s="4" t="s">
        <v>235</v>
      </c>
      <c r="Z33" s="9" t="s">
        <v>247</v>
      </c>
    </row>
    <row r="34" spans="2:26" x14ac:dyDescent="0.25">
      <c r="B34" t="s">
        <v>33</v>
      </c>
      <c r="C34" t="s">
        <v>8</v>
      </c>
      <c r="E34" t="s">
        <v>101</v>
      </c>
      <c r="H34" s="146" t="s">
        <v>99</v>
      </c>
      <c r="I34" s="70">
        <v>60160</v>
      </c>
      <c r="J34" s="70">
        <v>0</v>
      </c>
      <c r="K34" s="77">
        <f>(I34+J34)*(Totaal!$N$7/Totaal!$N$6)</f>
        <v>60985.523156089192</v>
      </c>
      <c r="L34" s="77">
        <v>0</v>
      </c>
      <c r="M34" s="77">
        <f>(K34+L34)*(Totaal!$N$8/Totaal!$N$7)</f>
        <v>63771.663807890225</v>
      </c>
      <c r="N34" s="77">
        <v>0</v>
      </c>
      <c r="O34" s="93">
        <f>CEILING((M34+N34)*(Totaal!$N$10/Totaal!$N$9),100)</f>
        <v>64800</v>
      </c>
      <c r="P34" s="99">
        <v>0</v>
      </c>
      <c r="Q34" s="150">
        <f>CEILING((O34+P34)*(Totaal!N11/Totaal!N10),100)</f>
        <v>66100</v>
      </c>
      <c r="R34" s="176"/>
      <c r="S34" s="154">
        <v>0</v>
      </c>
      <c r="U34" s="70">
        <f>M34/1000*$U$4</f>
        <v>0</v>
      </c>
      <c r="W34" t="s">
        <v>8</v>
      </c>
      <c r="Y34" s="4" t="s">
        <v>8</v>
      </c>
      <c r="Z34" s="10" t="s">
        <v>8</v>
      </c>
    </row>
    <row r="35" spans="2:26" x14ac:dyDescent="0.25">
      <c r="H35" s="146"/>
      <c r="I35" s="78"/>
      <c r="J35" s="78"/>
      <c r="K35" s="78"/>
      <c r="L35" s="78"/>
      <c r="M35" s="78"/>
      <c r="N35" s="78"/>
      <c r="O35" s="94"/>
      <c r="P35" s="100"/>
      <c r="Q35" s="151"/>
      <c r="R35" s="182"/>
      <c r="S35" s="155"/>
      <c r="U35" s="70"/>
    </row>
    <row r="36" spans="2:26" ht="15.75" thickBot="1" x14ac:dyDescent="0.3">
      <c r="H36" s="146"/>
      <c r="I36" s="88"/>
      <c r="J36" s="88"/>
      <c r="K36" s="88"/>
      <c r="L36" s="88"/>
      <c r="M36" s="88"/>
      <c r="N36" s="88"/>
      <c r="O36" s="95"/>
      <c r="P36" s="101"/>
      <c r="Q36" s="95"/>
      <c r="R36" s="179"/>
      <c r="S36" s="164"/>
      <c r="U36" s="70"/>
    </row>
    <row r="37" spans="2:26" ht="15.75" thickBot="1" x14ac:dyDescent="0.3">
      <c r="H37" s="146"/>
      <c r="I37" s="79">
        <f t="shared" ref="I37:N37" si="3">SUM(I8:I36)</f>
        <v>71796239</v>
      </c>
      <c r="J37" s="80">
        <f t="shared" si="3"/>
        <v>123000</v>
      </c>
      <c r="K37" s="80">
        <f t="shared" si="3"/>
        <v>73132609.586669698</v>
      </c>
      <c r="L37" s="80">
        <f t="shared" si="3"/>
        <v>0</v>
      </c>
      <c r="M37" s="80">
        <f t="shared" si="3"/>
        <v>78704853.861170843</v>
      </c>
      <c r="N37" s="80">
        <f t="shared" si="3"/>
        <v>597292.35999999987</v>
      </c>
      <c r="O37" s="96">
        <f>SUM(O8:O35)</f>
        <v>81663800</v>
      </c>
      <c r="P37" s="102">
        <f>SUM(P8:P35)</f>
        <v>0</v>
      </c>
      <c r="Q37" s="152">
        <f>SUM(Q8:Q35)</f>
        <v>83524800</v>
      </c>
      <c r="R37" s="183"/>
      <c r="S37" s="165">
        <f>SUM(S8:S35)</f>
        <v>82504900</v>
      </c>
      <c r="U37" s="48">
        <f>SUM(U8:U36)</f>
        <v>0</v>
      </c>
    </row>
    <row r="38" spans="2:26" x14ac:dyDescent="0.25">
      <c r="U38" s="35">
        <f>(M37/1000*U4)-U37</f>
        <v>0</v>
      </c>
    </row>
    <row r="39" spans="2:26" ht="15.75" thickBot="1" x14ac:dyDescent="0.3"/>
    <row r="40" spans="2:26" s="40" customFormat="1" ht="15.75" thickBot="1" x14ac:dyDescent="0.3">
      <c r="B40" s="173" t="s">
        <v>185</v>
      </c>
      <c r="D40" s="145"/>
      <c r="X40" s="145"/>
      <c r="Y40" s="145"/>
    </row>
    <row r="41" spans="2:26" s="40" customFormat="1" ht="15.75" thickBot="1" x14ac:dyDescent="0.3">
      <c r="D41" s="145"/>
      <c r="E41" s="190" t="s">
        <v>206</v>
      </c>
      <c r="F41" s="191" t="s">
        <v>207</v>
      </c>
      <c r="X41" s="145"/>
      <c r="Y41" s="145"/>
    </row>
    <row r="42" spans="2:26" s="40" customFormat="1" x14ac:dyDescent="0.25">
      <c r="B42" s="16" t="s">
        <v>235</v>
      </c>
      <c r="C42" s="25" t="s">
        <v>227</v>
      </c>
      <c r="D42" s="145"/>
      <c r="X42" s="145"/>
      <c r="Y42" s="145"/>
    </row>
    <row r="43" spans="2:26" s="40" customFormat="1" x14ac:dyDescent="0.25">
      <c r="C43" s="196" t="s">
        <v>236</v>
      </c>
      <c r="D43" s="145"/>
      <c r="X43" s="145"/>
      <c r="Y43" s="145"/>
    </row>
    <row r="44" spans="2:26" s="40" customFormat="1" x14ac:dyDescent="0.25">
      <c r="C44" s="196" t="s">
        <v>237</v>
      </c>
      <c r="D44" s="145"/>
      <c r="X44" s="145"/>
      <c r="Y44" s="145"/>
    </row>
    <row r="46" spans="2:26" x14ac:dyDescent="0.25">
      <c r="C46" s="25" t="s">
        <v>238</v>
      </c>
    </row>
    <row r="47" spans="2:26" s="40" customFormat="1" x14ac:dyDescent="0.25">
      <c r="C47" s="205" t="s">
        <v>269</v>
      </c>
      <c r="D47" s="200" t="s">
        <v>289</v>
      </c>
      <c r="Y47" s="145"/>
      <c r="Z47" s="145"/>
    </row>
    <row r="48" spans="2:26" s="40" customFormat="1" x14ac:dyDescent="0.25">
      <c r="C48" s="25"/>
      <c r="D48" s="145"/>
      <c r="Y48" s="145"/>
      <c r="Z48" s="145"/>
    </row>
    <row r="49" spans="3:26" x14ac:dyDescent="0.25">
      <c r="C49" s="16" t="s">
        <v>239</v>
      </c>
      <c r="E49" s="2">
        <v>16738500</v>
      </c>
      <c r="F49" s="2">
        <f>(995000+220000+75000+65000+115000+790000+980000+300000+280000+70000+35000)+4176120+7565880</f>
        <v>15667000</v>
      </c>
      <c r="G49" s="12" t="s">
        <v>244</v>
      </c>
      <c r="H49" s="40" t="s">
        <v>290</v>
      </c>
    </row>
    <row r="50" spans="3:26" s="40" customFormat="1" x14ac:dyDescent="0.25">
      <c r="C50" s="16" t="s">
        <v>239</v>
      </c>
      <c r="D50" s="200" t="s">
        <v>85</v>
      </c>
      <c r="E50" s="2">
        <v>302400</v>
      </c>
      <c r="F50" s="2">
        <f>295000+505000</f>
        <v>800000</v>
      </c>
      <c r="H50" s="40" t="s">
        <v>290</v>
      </c>
      <c r="Y50" s="145"/>
      <c r="Z50" s="145"/>
    </row>
    <row r="51" spans="3:26" s="40" customFormat="1" x14ac:dyDescent="0.25">
      <c r="C51" s="16" t="s">
        <v>239</v>
      </c>
      <c r="D51" s="200" t="s">
        <v>141</v>
      </c>
      <c r="E51" s="2">
        <v>35100</v>
      </c>
      <c r="F51" s="2">
        <v>0</v>
      </c>
      <c r="H51" s="40" t="s">
        <v>243</v>
      </c>
      <c r="Y51" s="145"/>
      <c r="Z51" s="145"/>
    </row>
    <row r="52" spans="3:26" s="40" customFormat="1" x14ac:dyDescent="0.25">
      <c r="C52" s="16" t="s">
        <v>239</v>
      </c>
      <c r="D52" s="200" t="s">
        <v>165</v>
      </c>
      <c r="E52" s="2">
        <v>59600</v>
      </c>
      <c r="F52" s="2">
        <v>0</v>
      </c>
      <c r="H52" s="40" t="s">
        <v>243</v>
      </c>
      <c r="Y52" s="145"/>
      <c r="Z52" s="145"/>
    </row>
    <row r="53" spans="3:26" s="40" customFormat="1" x14ac:dyDescent="0.25">
      <c r="C53" s="16" t="s">
        <v>241</v>
      </c>
      <c r="D53" s="200" t="s">
        <v>165</v>
      </c>
      <c r="E53" s="2">
        <v>250200</v>
      </c>
      <c r="F53" s="2">
        <v>5000000</v>
      </c>
      <c r="G53" s="201" t="s">
        <v>242</v>
      </c>
      <c r="H53" s="40" t="s">
        <v>290</v>
      </c>
      <c r="Y53" s="145"/>
      <c r="Z53" s="145"/>
    </row>
    <row r="54" spans="3:26" s="40" customFormat="1" x14ac:dyDescent="0.25">
      <c r="C54" s="16" t="s">
        <v>214</v>
      </c>
      <c r="D54" s="200" t="s">
        <v>84</v>
      </c>
      <c r="E54" s="2">
        <v>3359000</v>
      </c>
      <c r="F54" s="2">
        <v>2750000</v>
      </c>
      <c r="H54" s="40" t="s">
        <v>290</v>
      </c>
      <c r="Y54" s="145"/>
      <c r="Z54" s="145"/>
    </row>
    <row r="55" spans="3:26" x14ac:dyDescent="0.25">
      <c r="C55" s="16" t="s">
        <v>214</v>
      </c>
      <c r="D55" s="200" t="s">
        <v>85</v>
      </c>
      <c r="E55" s="2">
        <v>3255700</v>
      </c>
      <c r="F55" s="2">
        <f>450000+3050000</f>
        <v>3500000</v>
      </c>
      <c r="H55" s="40" t="s">
        <v>290</v>
      </c>
    </row>
    <row r="56" spans="3:26" x14ac:dyDescent="0.25">
      <c r="E56" s="2"/>
      <c r="F56" s="2"/>
    </row>
    <row r="57" spans="3:26" x14ac:dyDescent="0.25">
      <c r="E57" s="2"/>
      <c r="F57" s="2"/>
    </row>
    <row r="58" spans="3:26" s="40" customFormat="1" x14ac:dyDescent="0.25">
      <c r="C58" s="25" t="s">
        <v>240</v>
      </c>
      <c r="D58" s="145"/>
      <c r="E58" s="2"/>
      <c r="F58" s="2"/>
      <c r="Y58" s="145"/>
      <c r="Z58" s="145"/>
    </row>
    <row r="59" spans="3:26" s="40" customFormat="1" x14ac:dyDescent="0.25">
      <c r="C59" s="16" t="s">
        <v>239</v>
      </c>
      <c r="D59" s="145"/>
      <c r="E59" s="2">
        <v>2608300</v>
      </c>
      <c r="F59" s="2">
        <f>8653000-F60</f>
        <v>2153000</v>
      </c>
      <c r="H59" s="40" t="s">
        <v>290</v>
      </c>
      <c r="Y59" s="145"/>
      <c r="Z59" s="145"/>
    </row>
    <row r="60" spans="3:26" s="40" customFormat="1" x14ac:dyDescent="0.25">
      <c r="C60" s="16" t="s">
        <v>239</v>
      </c>
      <c r="D60" s="200" t="s">
        <v>242</v>
      </c>
      <c r="E60" s="2">
        <v>8099300</v>
      </c>
      <c r="F60" s="2">
        <v>6500000</v>
      </c>
      <c r="G60" s="12" t="s">
        <v>245</v>
      </c>
      <c r="H60" s="40" t="s">
        <v>290</v>
      </c>
      <c r="Y60" s="145"/>
      <c r="Z60" s="145"/>
    </row>
    <row r="61" spans="3:26" x14ac:dyDescent="0.25">
      <c r="E61" s="2"/>
      <c r="F61" s="2"/>
    </row>
    <row r="62" spans="3:26" x14ac:dyDescent="0.25">
      <c r="C62" s="25" t="s">
        <v>97</v>
      </c>
      <c r="E62" s="2"/>
      <c r="F62" s="2"/>
    </row>
    <row r="63" spans="3:26" x14ac:dyDescent="0.25">
      <c r="C63" s="16" t="s">
        <v>239</v>
      </c>
      <c r="E63" s="2">
        <v>13120800</v>
      </c>
      <c r="F63" s="2">
        <v>11400000</v>
      </c>
      <c r="H63" s="40" t="s">
        <v>290</v>
      </c>
    </row>
    <row r="64" spans="3:26" x14ac:dyDescent="0.25">
      <c r="C64" s="16" t="s">
        <v>239</v>
      </c>
      <c r="E64" s="2">
        <v>64800</v>
      </c>
      <c r="F64" s="2">
        <v>0</v>
      </c>
      <c r="H64" t="s">
        <v>291</v>
      </c>
    </row>
    <row r="65" spans="3:26" s="40" customFormat="1" x14ac:dyDescent="0.25">
      <c r="C65" s="16"/>
      <c r="D65" s="145"/>
      <c r="E65" s="2"/>
      <c r="F65" s="2"/>
      <c r="Y65" s="145"/>
      <c r="Z65" s="145"/>
    </row>
    <row r="66" spans="3:26" x14ac:dyDescent="0.25">
      <c r="E66" s="2"/>
      <c r="F66" s="70">
        <f>SUM(F49:F65)</f>
        <v>47770000</v>
      </c>
    </row>
    <row r="67" spans="3:26" x14ac:dyDescent="0.25">
      <c r="E67" s="2"/>
      <c r="F67" s="2" t="s">
        <v>8</v>
      </c>
    </row>
    <row r="68" spans="3:26" x14ac:dyDescent="0.25">
      <c r="F68" s="26" t="s">
        <v>8</v>
      </c>
    </row>
  </sheetData>
  <mergeCells count="2">
    <mergeCell ref="W6:Z6"/>
    <mergeCell ref="C33:E33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Totaal</vt:lpstr>
      <vt:lpstr>NIKHEF</vt:lpstr>
      <vt:lpstr>AMOLF</vt:lpstr>
      <vt:lpstr>SRON</vt:lpstr>
      <vt:lpstr>ARCNL</vt:lpstr>
      <vt:lpstr>DIFFER</vt:lpstr>
      <vt:lpstr>BUW</vt:lpstr>
      <vt:lpstr>CWI</vt:lpstr>
      <vt:lpstr>ASTRON</vt:lpstr>
      <vt:lpstr>NIOZ</vt:lpstr>
      <vt:lpstr>NSCR</vt:lpstr>
      <vt:lpstr>Blanco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Drijver, P.F.</cp:lastModifiedBy>
  <dcterms:created xsi:type="dcterms:W3CDTF">2020-03-12T09:23:47Z</dcterms:created>
  <dcterms:modified xsi:type="dcterms:W3CDTF">2021-05-11T11:36:52Z</dcterms:modified>
</cp:coreProperties>
</file>