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Desktop\Divers\1 Inkoop\1 Zaken DGLM\EA label binnenvaart MZ RENS V\Def stukken\"/>
    </mc:Choice>
  </mc:AlternateContent>
  <bookViews>
    <workbookView xWindow="-105" yWindow="-105" windowWidth="25815" windowHeight="14025"/>
  </bookViews>
  <sheets>
    <sheet name="Emissie paspoort voorbeeld" sheetId="4" r:id="rId1"/>
    <sheet name="Gegevens inzet schip" sheetId="3" r:id="rId2"/>
    <sheet name="Basis gegevens motoren" sheetId="2" r:id="rId3"/>
    <sheet name="Bijlage_Label waarden" sheetId="5" r:id="rId4"/>
    <sheet name="Bijlage_specifiek verbruik BSFC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3" l="1"/>
  <c r="C5" i="4"/>
  <c r="C4" i="4"/>
  <c r="C3" i="4"/>
  <c r="C2" i="4"/>
  <c r="C36" i="4"/>
  <c r="C7" i="3"/>
  <c r="C39" i="4" s="1"/>
  <c r="C13" i="3"/>
  <c r="C11" i="3" s="1"/>
  <c r="C19" i="3" s="1"/>
  <c r="B29" i="3"/>
  <c r="B28" i="3"/>
  <c r="B27" i="3"/>
  <c r="B26" i="3"/>
  <c r="B25" i="3"/>
  <c r="B24" i="3"/>
  <c r="D29" i="3"/>
  <c r="D28" i="3"/>
  <c r="D27" i="3"/>
  <c r="E27" i="3" s="1"/>
  <c r="AA38" i="2"/>
  <c r="AA37" i="2"/>
  <c r="AA36" i="2"/>
  <c r="AA35" i="2"/>
  <c r="AA39" i="2" s="1"/>
  <c r="Z31" i="2"/>
  <c r="AA30" i="2"/>
  <c r="AA29" i="2"/>
  <c r="AA28" i="2"/>
  <c r="AA27" i="2"/>
  <c r="Z22" i="2"/>
  <c r="AA22" i="2" s="1"/>
  <c r="Z21" i="2"/>
  <c r="AA21" i="2" s="1"/>
  <c r="Z20" i="2"/>
  <c r="AA20" i="2" s="1"/>
  <c r="Z19" i="2"/>
  <c r="AA19" i="2" s="1"/>
  <c r="AA23" i="2" s="1"/>
  <c r="Z15" i="2"/>
  <c r="W38" i="2"/>
  <c r="W37" i="2"/>
  <c r="W36" i="2"/>
  <c r="W35" i="2"/>
  <c r="W39" i="2" s="1"/>
  <c r="V31" i="2"/>
  <c r="W30" i="2"/>
  <c r="W29" i="2"/>
  <c r="W28" i="2"/>
  <c r="W27" i="2"/>
  <c r="V22" i="2"/>
  <c r="W22" i="2" s="1"/>
  <c r="V21" i="2"/>
  <c r="W21" i="2" s="1"/>
  <c r="V20" i="2"/>
  <c r="W20" i="2" s="1"/>
  <c r="V19" i="2"/>
  <c r="W19" i="2" s="1"/>
  <c r="V15" i="2"/>
  <c r="D10" i="2"/>
  <c r="R15" i="2" s="1"/>
  <c r="C29" i="4" l="1"/>
  <c r="AA31" i="2"/>
  <c r="Z39" i="2"/>
  <c r="V39" i="2"/>
  <c r="E29" i="3"/>
  <c r="E28" i="3"/>
  <c r="W31" i="2"/>
  <c r="Z23" i="2"/>
  <c r="W23" i="2"/>
  <c r="V23" i="2"/>
  <c r="N31" i="2"/>
  <c r="R31" i="2"/>
  <c r="F31" i="2"/>
  <c r="R39" i="2"/>
  <c r="J31" i="2"/>
  <c r="J15" i="2"/>
  <c r="N39" i="2"/>
  <c r="J39" i="2"/>
  <c r="N15" i="2"/>
  <c r="F39" i="2"/>
  <c r="F15" i="2"/>
  <c r="S38" i="2" l="1"/>
  <c r="S37" i="2"/>
  <c r="S36" i="2"/>
  <c r="S35" i="2"/>
  <c r="S30" i="2"/>
  <c r="S29" i="2"/>
  <c r="S28" i="2"/>
  <c r="S27" i="2"/>
  <c r="R22" i="2"/>
  <c r="S22" i="2" s="1"/>
  <c r="R21" i="2"/>
  <c r="S21" i="2" s="1"/>
  <c r="R20" i="2"/>
  <c r="S20" i="2" s="1"/>
  <c r="R19" i="2"/>
  <c r="S39" i="2" l="1"/>
  <c r="S31" i="2"/>
  <c r="S19" i="2"/>
  <c r="S23" i="2" s="1"/>
  <c r="R23" i="2"/>
  <c r="C9" i="3" l="1"/>
  <c r="C37" i="4" s="1"/>
  <c r="C8" i="3"/>
  <c r="C38" i="4" s="1"/>
  <c r="D26" i="3"/>
  <c r="D25" i="3"/>
  <c r="D24" i="3"/>
  <c r="O38" i="2"/>
  <c r="O37" i="2"/>
  <c r="O36" i="2"/>
  <c r="O35" i="2"/>
  <c r="O30" i="2"/>
  <c r="O29" i="2"/>
  <c r="O28" i="2"/>
  <c r="O27" i="2"/>
  <c r="N22" i="2"/>
  <c r="O22" i="2" s="1"/>
  <c r="N21" i="2"/>
  <c r="O21" i="2" s="1"/>
  <c r="N20" i="2"/>
  <c r="O20" i="2" s="1"/>
  <c r="N19" i="2"/>
  <c r="K38" i="2"/>
  <c r="K37" i="2"/>
  <c r="K36" i="2"/>
  <c r="K35" i="2"/>
  <c r="K30" i="2"/>
  <c r="K31" i="2" s="1"/>
  <c r="K29" i="2"/>
  <c r="K28" i="2"/>
  <c r="K27" i="2"/>
  <c r="J22" i="2"/>
  <c r="K22" i="2" s="1"/>
  <c r="J21" i="2"/>
  <c r="K21" i="2" s="1"/>
  <c r="J20" i="2"/>
  <c r="K20" i="2" s="1"/>
  <c r="J19" i="2"/>
  <c r="G38" i="2"/>
  <c r="G37" i="2"/>
  <c r="G36" i="2"/>
  <c r="G35" i="2"/>
  <c r="G30" i="2"/>
  <c r="G29" i="2"/>
  <c r="G28" i="2"/>
  <c r="G27" i="2"/>
  <c r="F22" i="2"/>
  <c r="G22" i="2" s="1"/>
  <c r="F21" i="2"/>
  <c r="G21" i="2" s="1"/>
  <c r="F20" i="2"/>
  <c r="G20" i="2" s="1"/>
  <c r="F19" i="2"/>
  <c r="G19" i="2" s="1"/>
  <c r="G31" i="2" l="1"/>
  <c r="K39" i="2"/>
  <c r="O31" i="2"/>
  <c r="G23" i="2"/>
  <c r="G39" i="2"/>
  <c r="N23" i="2"/>
  <c r="O39" i="2"/>
  <c r="F23" i="2"/>
  <c r="K19" i="2"/>
  <c r="K23" i="2" s="1"/>
  <c r="J23" i="2"/>
  <c r="O19" i="2"/>
  <c r="O23" i="2" s="1"/>
  <c r="E24" i="3"/>
  <c r="E26" i="3"/>
  <c r="E25" i="3"/>
  <c r="E31" i="3" l="1"/>
  <c r="F26" i="3" s="1"/>
  <c r="G26" i="3" s="1"/>
  <c r="C40" i="4"/>
  <c r="C30" i="4" s="1"/>
  <c r="F25" i="3" l="1"/>
  <c r="J25" i="3" s="1"/>
  <c r="F24" i="3"/>
  <c r="G24" i="3" s="1"/>
  <c r="F27" i="3"/>
  <c r="F29" i="3"/>
  <c r="F28" i="3"/>
  <c r="C16" i="4"/>
  <c r="C23" i="4"/>
  <c r="C16" i="3"/>
  <c r="C17" i="3"/>
  <c r="C22" i="4"/>
  <c r="I26" i="3"/>
  <c r="J26" i="3"/>
  <c r="H26" i="3"/>
  <c r="G25" i="3"/>
  <c r="I24" i="3" l="1"/>
  <c r="H24" i="3"/>
  <c r="I25" i="3"/>
  <c r="J24" i="3"/>
  <c r="H25" i="3"/>
  <c r="J28" i="3"/>
  <c r="G28" i="3"/>
  <c r="H28" i="3"/>
  <c r="I28" i="3"/>
  <c r="J29" i="3"/>
  <c r="G29" i="3"/>
  <c r="H29" i="3"/>
  <c r="I29" i="3"/>
  <c r="H27" i="3"/>
  <c r="J27" i="3"/>
  <c r="G27" i="3"/>
  <c r="I27" i="3"/>
  <c r="I31" i="3" l="1"/>
  <c r="C12" i="4" s="1"/>
  <c r="F12" i="4" s="1"/>
  <c r="G31" i="3"/>
  <c r="J31" i="3"/>
  <c r="C13" i="4" s="1"/>
  <c r="F13" i="4" s="1"/>
  <c r="H31" i="3"/>
  <c r="C7" i="4" l="1"/>
  <c r="C10" i="4"/>
  <c r="C32" i="3"/>
  <c r="C21" i="3" s="1"/>
  <c r="C34" i="3"/>
  <c r="C42" i="4" s="1"/>
  <c r="C32" i="4" s="1"/>
  <c r="C35" i="4"/>
  <c r="C11" i="4"/>
  <c r="B7" i="4" s="1"/>
  <c r="C33" i="3" l="1"/>
  <c r="C41" i="4" s="1"/>
  <c r="C31" i="4" s="1"/>
  <c r="C21" i="4"/>
  <c r="C28" i="4"/>
  <c r="C17" i="4"/>
  <c r="C24" i="4"/>
  <c r="C25" i="4"/>
  <c r="C18" i="4"/>
</calcChain>
</file>

<file path=xl/sharedStrings.xml><?xml version="1.0" encoding="utf-8"?>
<sst xmlns="http://schemas.openxmlformats.org/spreadsheetml/2006/main" count="297" uniqueCount="142">
  <si>
    <t>Vermogen</t>
  </si>
  <si>
    <t>kW</t>
  </si>
  <si>
    <t>Specifiek verbruik</t>
  </si>
  <si>
    <t>Belasting motor</t>
  </si>
  <si>
    <t>gram diesel per kWh</t>
  </si>
  <si>
    <t>Emissie CO2</t>
  </si>
  <si>
    <t>Emissie NOx</t>
  </si>
  <si>
    <t>Emissie PM (fijnstof)</t>
  </si>
  <si>
    <t>gram per kWh</t>
  </si>
  <si>
    <t>kg per uur</t>
  </si>
  <si>
    <t>E3 weging</t>
  </si>
  <si>
    <t>Type gekeurd</t>
  </si>
  <si>
    <t>CCR2</t>
  </si>
  <si>
    <t>Motor 1</t>
  </si>
  <si>
    <t>Motor 2</t>
  </si>
  <si>
    <t>Type</t>
  </si>
  <si>
    <t>Lengte</t>
  </si>
  <si>
    <t>Breedte</t>
  </si>
  <si>
    <t>Motorvrachtschip droge lading</t>
  </si>
  <si>
    <t>Verbruik</t>
  </si>
  <si>
    <t>Motor 3</t>
  </si>
  <si>
    <t>m3 fossiele diesel</t>
  </si>
  <si>
    <t>m3 HVO</t>
  </si>
  <si>
    <t>Maximaal vermogen</t>
  </si>
  <si>
    <t>m3</t>
  </si>
  <si>
    <t>CO2 uitstoot IPCC</t>
  </si>
  <si>
    <t>Draaiuren per jaar</t>
  </si>
  <si>
    <t>kg</t>
  </si>
  <si>
    <t>kWh max</t>
  </si>
  <si>
    <t>Aandeel in totaal maximum geleverd vermogen</t>
  </si>
  <si>
    <t>gram brandstof per kWh</t>
  </si>
  <si>
    <t>gram CO2 per kWh</t>
  </si>
  <si>
    <t>gewogen gemiddelde</t>
  </si>
  <si>
    <t>gram NOx per kWh</t>
  </si>
  <si>
    <t>gram PM per kWh</t>
  </si>
  <si>
    <t>Geschat geleverd mechanisch vermogen (kWh) op basis van jaarlijks verbruik en weging specifiek verbruik per motor op basis van E3 cyclus</t>
  </si>
  <si>
    <t>Geschat NOx emissie (kg) op basis van jaarlijks verbruik en weging specifieke emissie factor per motor op basis van E3 cyclus</t>
  </si>
  <si>
    <t>Geschat PM emissie (kg) op basis van jaarlijks verbruik en weging specifieke emissie factor per motor op basis van E3 cyclus</t>
  </si>
  <si>
    <t>Bruto uitstoot CO2</t>
  </si>
  <si>
    <t>Totaal verbruik</t>
  </si>
  <si>
    <t>Laadvermogen</t>
  </si>
  <si>
    <t>Vervoerd gewicht</t>
  </si>
  <si>
    <t>km</t>
  </si>
  <si>
    <t>ton</t>
  </si>
  <si>
    <t>tonkm</t>
  </si>
  <si>
    <t>gemiddeld verbruik (gram brandstof per kWh)</t>
  </si>
  <si>
    <t>gemiddelde NOx uitstoot (gram per kWh)</t>
  </si>
  <si>
    <t>gemiddelde PM uitstoot (gram per kWh)</t>
  </si>
  <si>
    <t>D</t>
  </si>
  <si>
    <t>CO2 uitstoot IPCC per kWh</t>
  </si>
  <si>
    <t>Label categorie klimaat emissies</t>
  </si>
  <si>
    <r>
      <t>Limiet waarde in gram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per kWh (maximaal)</t>
    </r>
  </si>
  <si>
    <t>A</t>
  </si>
  <si>
    <t>0,00 (nul-emissie)</t>
  </si>
  <si>
    <t>B</t>
  </si>
  <si>
    <t>0,01 - 265</t>
  </si>
  <si>
    <t>C</t>
  </si>
  <si>
    <t>266 - 530</t>
  </si>
  <si>
    <t>531 - 795</t>
  </si>
  <si>
    <t>E</t>
  </si>
  <si>
    <t>&gt; 795</t>
  </si>
  <si>
    <t>Label categorie luchtkwaliteit emissies</t>
  </si>
  <si>
    <t xml:space="preserve">Limiet waarde </t>
  </si>
  <si>
    <t>in gram of aantal (#) per kWh</t>
  </si>
  <si>
    <t>(gewogen gemiddelde van de motoren aan boord &gt;19 kW)</t>
  </si>
  <si>
    <t>(100% elektrisch)</t>
  </si>
  <si>
    <t>NOx: &lt;0,46</t>
  </si>
  <si>
    <t>PM: &lt;0,015</t>
  </si>
  <si>
    <r>
      <t>PN (#): &lt; 1*10</t>
    </r>
    <r>
      <rPr>
        <b/>
        <vertAlign val="superscript"/>
        <sz val="14"/>
        <color rgb="FF203864"/>
        <rFont val="Agency FB"/>
        <family val="2"/>
      </rPr>
      <t>12</t>
    </r>
  </si>
  <si>
    <t>Of gecertificeerde Stage V equivalenten (Euro VI, NRE &gt;56 kW)</t>
  </si>
  <si>
    <t>NOx: &lt;1,8</t>
  </si>
  <si>
    <t>Of gecertificeerde Stage V equivalenten (IWA, IWP ≥ 300 kW)</t>
  </si>
  <si>
    <t>NOx: &lt;2,1</t>
  </si>
  <si>
    <t>PM: &lt;0,10</t>
  </si>
  <si>
    <t>Of gecertificeerde Stage V equivalenten (IWA, IWP 130 kW - 300 kW)</t>
  </si>
  <si>
    <t>NOx: &lt;6,0</t>
  </si>
  <si>
    <t>PM: &lt;0,20</t>
  </si>
  <si>
    <t>Of certificaat CCR2 / STAGE 3A</t>
  </si>
  <si>
    <t>NOx: &gt;6,0</t>
  </si>
  <si>
    <t>PM: &gt;0,20</t>
  </si>
  <si>
    <t>(en geen CCR2 / STAGE 3A certificaat)</t>
  </si>
  <si>
    <t>NOx uitstoot per jaar (kg)</t>
  </si>
  <si>
    <t>CO2 uitstoot per jaar conform IPCC (kg)</t>
  </si>
  <si>
    <t>PM uitstoot per jaar (kg)</t>
  </si>
  <si>
    <t>NOx uitstoot (gram per tonkm)</t>
  </si>
  <si>
    <t>PM uitstoot (miligram per tonkm)</t>
  </si>
  <si>
    <t>NOx uitstoot per kilometer (gram)</t>
  </si>
  <si>
    <t>PM uitstoot per kilometer (gram)</t>
  </si>
  <si>
    <t>is invullen op basis van meetrapport</t>
  </si>
  <si>
    <t>meter</t>
  </si>
  <si>
    <t>Aandeel hernieuwbare brandstof</t>
  </si>
  <si>
    <t>Aandeel fossiele brandstof</t>
  </si>
  <si>
    <t>Geleverd mechanish vermogen (kWh)</t>
  </si>
  <si>
    <t>NOx</t>
  </si>
  <si>
    <t>PM</t>
  </si>
  <si>
    <t>Indicatoren per kWh</t>
  </si>
  <si>
    <t>Indicatoren per afgelegde kilometer</t>
  </si>
  <si>
    <t>Verbruik brandstof per kilometer (liter)</t>
  </si>
  <si>
    <t>Mechanisch vermogen per kilometer (kWh)</t>
  </si>
  <si>
    <t>Jaartotalen</t>
  </si>
  <si>
    <t>Indicatoren per tonkilometer</t>
  </si>
  <si>
    <t>label AQ</t>
  </si>
  <si>
    <t>gemiddelde CO2 uitstoot IPCC (gram per kWh)</t>
  </si>
  <si>
    <t>Powerfactor</t>
  </si>
  <si>
    <r>
      <t>P</t>
    </r>
    <r>
      <rPr>
        <vertAlign val="subscript"/>
        <sz val="10"/>
        <rFont val="Arial"/>
        <family val="2"/>
      </rPr>
      <t>e</t>
    </r>
    <r>
      <rPr>
        <sz val="10"/>
        <color theme="1"/>
        <rFont val="Arial"/>
        <family val="2"/>
      </rPr>
      <t>/P</t>
    </r>
    <r>
      <rPr>
        <vertAlign val="subscript"/>
        <sz val="10"/>
        <rFont val="Arial"/>
        <family val="2"/>
      </rPr>
      <t>en</t>
    </r>
  </si>
  <si>
    <t>Mode i</t>
  </si>
  <si>
    <t>WFi</t>
  </si>
  <si>
    <t>0,25P</t>
  </si>
  <si>
    <t>0,50P</t>
  </si>
  <si>
    <t>0,75P</t>
  </si>
  <si>
    <t>Motor 4</t>
  </si>
  <si>
    <t>Generatorset 1</t>
  </si>
  <si>
    <t>Generatorset 2</t>
  </si>
  <si>
    <t>Boegschroef 1</t>
  </si>
  <si>
    <t>Motor 5</t>
  </si>
  <si>
    <t>Boegschroef2</t>
  </si>
  <si>
    <t>Motor 6</t>
  </si>
  <si>
    <t>Hoofdmotor 1</t>
  </si>
  <si>
    <t>Hoofdmotor 2</t>
  </si>
  <si>
    <t>Aandeel duurzaam in m3</t>
  </si>
  <si>
    <t>B30</t>
  </si>
  <si>
    <t>Afgelegde afstand</t>
  </si>
  <si>
    <t>Tonkilometer prestatie</t>
  </si>
  <si>
    <t>Vervoersprestatie (tonkms)</t>
  </si>
  <si>
    <t>Afgelegde afstand (km)</t>
  </si>
  <si>
    <t>Vervoerd gewicht (ton)</t>
  </si>
  <si>
    <t>Indicatoren per vervoerde ton</t>
  </si>
  <si>
    <t>Mechanisch vermogen per ton (kWh)</t>
  </si>
  <si>
    <t>Verbruik brandstof per ton (liters)</t>
  </si>
  <si>
    <t>NOx uitstoot per ton (gram)</t>
  </si>
  <si>
    <t>PM uitstoot per ton (gram)</t>
  </si>
  <si>
    <t>Type schip</t>
  </si>
  <si>
    <t>Laadvermogen (ton)</t>
  </si>
  <si>
    <t>Lengte (m)</t>
  </si>
  <si>
    <t>Breedte (m)</t>
  </si>
  <si>
    <t>Klimaat emissielabel</t>
  </si>
  <si>
    <t>Luchtkwaliteit emissielabel</t>
  </si>
  <si>
    <t>Totaal bruto verbruik brandstof (m3)</t>
  </si>
  <si>
    <t>CO2 uitstoot per ton IPCC (kg)</t>
  </si>
  <si>
    <t>CO2 uitstoot per kilometer IPCC (kilogram)</t>
  </si>
  <si>
    <t>CO2 uitstoot IPCC (gram per tonkm)</t>
  </si>
  <si>
    <t>berekende gewogen gemiddelde waarden als input voor kengetallen en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</si>
</sst>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64" formatCode="0.0"/>
    <numFmt numFmtId="165" formatCode="0.000"/>
    <numFmt numFmtId="166" formatCode="_ * #,##0_ ;_ * \-#,##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_ * #,##0.0_ ;_ * \-#,##0.0_ ;_ * &quot;-&quot;?_ ;_ @_ "/>
    <numFmt numFmtId="170" formatCode="0.0%"/>
    <numFmt numFmtId="171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color rgb="FFFFFFFF"/>
      <name val="Agency FB"/>
      <family val="2"/>
    </font>
    <font>
      <b/>
      <sz val="20"/>
      <color rgb="FFFFFFFF"/>
      <name val="Agency FB"/>
      <family val="2"/>
    </font>
    <font>
      <b/>
      <sz val="14"/>
      <color rgb="FF203864"/>
      <name val="Agency FB"/>
      <family val="2"/>
    </font>
    <font>
      <b/>
      <vertAlign val="superscript"/>
      <sz val="14"/>
      <color rgb="FF203864"/>
      <name val="Agency FB"/>
      <family val="2"/>
    </font>
    <font>
      <b/>
      <sz val="11"/>
      <color rgb="FF203864"/>
      <name val="Agency FB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129">
    <xf numFmtId="0" fontId="0" fillId="0" borderId="0" xfId="0"/>
    <xf numFmtId="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horizontal="right"/>
    </xf>
    <xf numFmtId="9" fontId="0" fillId="0" borderId="5" xfId="0" applyNumberFormat="1" applyBorder="1"/>
    <xf numFmtId="9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164" fontId="0" fillId="0" borderId="6" xfId="0" applyNumberFormat="1" applyBorder="1" applyAlignment="1"/>
    <xf numFmtId="2" fontId="0" fillId="0" borderId="6" xfId="0" applyNumberFormat="1" applyBorder="1"/>
    <xf numFmtId="9" fontId="0" fillId="0" borderId="7" xfId="0" applyNumberFormat="1" applyBorder="1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  <xf numFmtId="164" fontId="0" fillId="0" borderId="6" xfId="0" applyNumberFormat="1" applyBorder="1"/>
    <xf numFmtId="9" fontId="0" fillId="0" borderId="0" xfId="2" applyFont="1"/>
    <xf numFmtId="165" fontId="0" fillId="0" borderId="0" xfId="0" applyNumberFormat="1"/>
    <xf numFmtId="164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Alignment="1" applyProtection="1">
      <alignment horizontal="center" wrapText="1"/>
      <protection locked="0"/>
    </xf>
    <xf numFmtId="166" fontId="0" fillId="0" borderId="0" xfId="1" applyNumberFormat="1" applyFont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170" fontId="0" fillId="0" borderId="0" xfId="2" applyNumberFormat="1" applyFont="1"/>
    <xf numFmtId="0" fontId="2" fillId="0" borderId="0" xfId="0" applyFont="1" applyAlignment="1">
      <alignment horizontal="right"/>
    </xf>
    <xf numFmtId="164" fontId="2" fillId="7" borderId="0" xfId="0" applyNumberFormat="1" applyFont="1" applyFill="1" applyBorder="1" applyAlignment="1"/>
    <xf numFmtId="2" fontId="2" fillId="7" borderId="8" xfId="0" applyNumberFormat="1" applyFont="1" applyFill="1" applyBorder="1" applyAlignment="1"/>
    <xf numFmtId="0" fontId="0" fillId="8" borderId="0" xfId="0" applyFill="1" applyBorder="1"/>
    <xf numFmtId="2" fontId="0" fillId="8" borderId="0" xfId="0" applyNumberFormat="1" applyFill="1" applyBorder="1"/>
    <xf numFmtId="0" fontId="0" fillId="8" borderId="0" xfId="0" applyFill="1"/>
    <xf numFmtId="0" fontId="0" fillId="7" borderId="0" xfId="0" applyFill="1"/>
    <xf numFmtId="2" fontId="0" fillId="8" borderId="0" xfId="0" applyNumberFormat="1" applyFill="1"/>
    <xf numFmtId="1" fontId="2" fillId="7" borderId="0" xfId="0" applyNumberFormat="1" applyFont="1" applyFill="1"/>
    <xf numFmtId="166" fontId="2" fillId="7" borderId="0" xfId="1" applyNumberFormat="1" applyFont="1" applyFill="1" applyAlignment="1">
      <alignment horizontal="right"/>
    </xf>
    <xf numFmtId="164" fontId="2" fillId="7" borderId="0" xfId="0" applyNumberFormat="1" applyFont="1" applyFill="1"/>
    <xf numFmtId="166" fontId="2" fillId="7" borderId="0" xfId="1" applyNumberFormat="1" applyFont="1" applyFill="1" applyAlignment="1">
      <alignment horizontal="left" indent="3"/>
    </xf>
    <xf numFmtId="1" fontId="2" fillId="7" borderId="0" xfId="0" applyNumberFormat="1" applyFont="1" applyFill="1" applyAlignment="1">
      <alignment horizontal="right" indent="1"/>
    </xf>
    <xf numFmtId="169" fontId="2" fillId="7" borderId="0" xfId="0" applyNumberFormat="1" applyFont="1" applyFill="1"/>
    <xf numFmtId="1" fontId="0" fillId="0" borderId="0" xfId="0" applyNumberFormat="1" applyFont="1" applyAlignment="1">
      <alignment horizontal="left"/>
    </xf>
    <xf numFmtId="0" fontId="9" fillId="10" borderId="21" xfId="0" applyFont="1" applyFill="1" applyBorder="1" applyAlignment="1">
      <alignment horizontal="center"/>
    </xf>
    <xf numFmtId="0" fontId="9" fillId="10" borderId="22" xfId="0" applyFont="1" applyFill="1" applyBorder="1" applyAlignment="1">
      <alignment horizontal="center"/>
    </xf>
    <xf numFmtId="0" fontId="9" fillId="10" borderId="23" xfId="0" applyFont="1" applyFill="1" applyBorder="1" applyAlignment="1">
      <alignment horizontal="center"/>
    </xf>
    <xf numFmtId="0" fontId="9" fillId="10" borderId="24" xfId="0" applyFont="1" applyFill="1" applyBorder="1" applyAlignment="1">
      <alignment horizontal="center"/>
    </xf>
    <xf numFmtId="0" fontId="0" fillId="0" borderId="5" xfId="0" applyBorder="1" applyAlignment="1">
      <alignment horizontal="right"/>
    </xf>
    <xf numFmtId="164" fontId="2" fillId="10" borderId="6" xfId="0" applyNumberFormat="1" applyFont="1" applyFill="1" applyBorder="1"/>
    <xf numFmtId="0" fontId="0" fillId="0" borderId="7" xfId="0" applyBorder="1" applyAlignment="1">
      <alignment horizontal="right"/>
    </xf>
    <xf numFmtId="0" fontId="0" fillId="0" borderId="27" xfId="0" applyBorder="1" applyAlignment="1">
      <alignment horizontal="right"/>
    </xf>
    <xf numFmtId="165" fontId="2" fillId="10" borderId="6" xfId="0" applyNumberFormat="1" applyFont="1" applyFill="1" applyBorder="1"/>
    <xf numFmtId="165" fontId="2" fillId="10" borderId="28" xfId="0" applyNumberFormat="1" applyFont="1" applyFill="1" applyBorder="1"/>
    <xf numFmtId="164" fontId="2" fillId="10" borderId="6" xfId="0" applyNumberFormat="1" applyFont="1" applyFill="1" applyBorder="1" applyAlignment="1"/>
    <xf numFmtId="164" fontId="2" fillId="10" borderId="28" xfId="0" applyNumberFormat="1" applyFont="1" applyFill="1" applyBorder="1" applyAlignment="1"/>
    <xf numFmtId="166" fontId="2" fillId="10" borderId="6" xfId="1" applyNumberFormat="1" applyFont="1" applyFill="1" applyBorder="1"/>
    <xf numFmtId="166" fontId="2" fillId="10" borderId="6" xfId="0" applyNumberFormat="1" applyFont="1" applyFill="1" applyBorder="1"/>
    <xf numFmtId="166" fontId="2" fillId="10" borderId="9" xfId="0" applyNumberFormat="1" applyFont="1" applyFill="1" applyBorder="1"/>
    <xf numFmtId="0" fontId="0" fillId="0" borderId="0" xfId="0" applyFill="1"/>
    <xf numFmtId="164" fontId="0" fillId="0" borderId="0" xfId="0" applyNumberFormat="1" applyBorder="1"/>
    <xf numFmtId="164" fontId="0" fillId="0" borderId="0" xfId="0" applyNumberFormat="1" applyBorder="1" applyAlignment="1"/>
    <xf numFmtId="2" fontId="0" fillId="0" borderId="0" xfId="0" applyNumberFormat="1" applyBorder="1"/>
    <xf numFmtId="2" fontId="0" fillId="0" borderId="0" xfId="0" applyNumberFormat="1" applyBorder="1" applyAlignment="1"/>
    <xf numFmtId="0" fontId="0" fillId="8" borderId="3" xfId="0" applyFill="1" applyBorder="1" applyAlignment="1">
      <alignment horizontal="right"/>
    </xf>
    <xf numFmtId="0" fontId="15" fillId="0" borderId="0" xfId="0" applyFont="1"/>
    <xf numFmtId="0" fontId="12" fillId="0" borderId="31" xfId="3" applyFont="1" applyBorder="1" applyAlignment="1">
      <alignment horizontal="center"/>
    </xf>
    <xf numFmtId="2" fontId="12" fillId="0" borderId="31" xfId="3" applyNumberFormat="1" applyFont="1" applyBorder="1" applyAlignment="1">
      <alignment horizontal="center"/>
    </xf>
    <xf numFmtId="0" fontId="12" fillId="0" borderId="21" xfId="3" applyFont="1" applyBorder="1" applyAlignment="1">
      <alignment horizontal="center" wrapText="1"/>
    </xf>
    <xf numFmtId="0" fontId="12" fillId="0" borderId="32" xfId="3" applyFont="1" applyBorder="1" applyAlignment="1">
      <alignment horizontal="center"/>
    </xf>
    <xf numFmtId="0" fontId="12" fillId="0" borderId="23" xfId="3" applyFont="1" applyBorder="1" applyAlignment="1">
      <alignment horizontal="center"/>
    </xf>
    <xf numFmtId="2" fontId="12" fillId="0" borderId="23" xfId="3" applyNumberFormat="1" applyFon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9" fontId="0" fillId="0" borderId="36" xfId="0" applyNumberFormat="1" applyBorder="1"/>
    <xf numFmtId="171" fontId="12" fillId="0" borderId="37" xfId="3" applyNumberFormat="1" applyFont="1" applyBorder="1" applyAlignment="1">
      <alignment horizontal="center"/>
    </xf>
    <xf numFmtId="165" fontId="0" fillId="0" borderId="9" xfId="0" applyNumberFormat="1" applyBorder="1" applyAlignment="1"/>
    <xf numFmtId="0" fontId="0" fillId="8" borderId="0" xfId="0" applyFill="1" applyAlignment="1">
      <alignment horizontal="right"/>
    </xf>
    <xf numFmtId="171" fontId="2" fillId="7" borderId="0" xfId="0" applyNumberFormat="1" applyFont="1" applyFill="1"/>
    <xf numFmtId="9" fontId="0" fillId="8" borderId="0" xfId="2" applyFont="1" applyFill="1"/>
    <xf numFmtId="9" fontId="0" fillId="0" borderId="0" xfId="2" applyNumberFormat="1" applyFont="1"/>
    <xf numFmtId="164" fontId="2" fillId="11" borderId="6" xfId="0" applyNumberFormat="1" applyFont="1" applyFill="1" applyBorder="1" applyAlignment="1"/>
    <xf numFmtId="2" fontId="2" fillId="10" borderId="6" xfId="0" applyNumberFormat="1" applyFont="1" applyFill="1" applyBorder="1" applyAlignment="1"/>
    <xf numFmtId="0" fontId="2" fillId="11" borderId="2" xfId="0" applyFont="1" applyFill="1" applyBorder="1" applyAlignment="1">
      <alignment horizontal="right"/>
    </xf>
    <xf numFmtId="0" fontId="2" fillId="11" borderId="5" xfId="0" applyFont="1" applyFill="1" applyBorder="1" applyAlignment="1">
      <alignment horizontal="right"/>
    </xf>
    <xf numFmtId="0" fontId="2" fillId="11" borderId="7" xfId="0" applyFont="1" applyFill="1" applyBorder="1" applyAlignment="1">
      <alignment horizontal="right"/>
    </xf>
    <xf numFmtId="0" fontId="9" fillId="11" borderId="25" xfId="0" applyFont="1" applyFill="1" applyBorder="1" applyAlignment="1">
      <alignment horizontal="center"/>
    </xf>
    <xf numFmtId="0" fontId="9" fillId="11" borderId="26" xfId="0" applyFont="1" applyFill="1" applyBorder="1" applyAlignment="1">
      <alignment horizontal="center"/>
    </xf>
    <xf numFmtId="0" fontId="2" fillId="11" borderId="38" xfId="0" applyFont="1" applyFill="1" applyBorder="1" applyAlignment="1">
      <alignment horizontal="left"/>
    </xf>
    <xf numFmtId="0" fontId="2" fillId="11" borderId="39" xfId="0" applyFont="1" applyFill="1" applyBorder="1" applyAlignment="1">
      <alignment horizontal="left"/>
    </xf>
    <xf numFmtId="2" fontId="2" fillId="11" borderId="39" xfId="0" applyNumberFormat="1" applyFont="1" applyFill="1" applyBorder="1" applyAlignment="1">
      <alignment horizontal="left"/>
    </xf>
    <xf numFmtId="0" fontId="2" fillId="11" borderId="11" xfId="0" applyFont="1" applyFill="1" applyBorder="1" applyAlignment="1">
      <alignment horizontal="left"/>
    </xf>
    <xf numFmtId="166" fontId="0" fillId="12" borderId="0" xfId="1" applyNumberFormat="1" applyFont="1" applyFill="1"/>
    <xf numFmtId="0" fontId="0" fillId="0" borderId="0" xfId="0" applyAlignment="1">
      <alignment wrapText="1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</cellXfs>
  <cellStyles count="4">
    <cellStyle name="Komma" xfId="1" builtinId="3"/>
    <cellStyle name="Normal 2" xf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107950</xdr:rowOff>
    </xdr:from>
    <xdr:to>
      <xdr:col>11</xdr:col>
      <xdr:colOff>285750</xdr:colOff>
      <xdr:row>48</xdr:row>
      <xdr:rowOff>89072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C54E9E-B6F3-455D-9065-076E7F09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07950"/>
          <a:ext cx="6946900" cy="8820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2" max="2" width="39.7109375" bestFit="1" customWidth="1"/>
    <col min="3" max="3" width="43" bestFit="1" customWidth="1"/>
    <col min="4" max="4" width="6.42578125" customWidth="1"/>
    <col min="5" max="5" width="4.42578125" hidden="1" customWidth="1"/>
    <col min="6" max="6" width="1.85546875" hidden="1" customWidth="1"/>
    <col min="7" max="8" width="0" hidden="1" customWidth="1"/>
  </cols>
  <sheetData>
    <row r="1" spans="2:7" ht="15.75" thickBot="1" x14ac:dyDescent="0.3"/>
    <row r="2" spans="2:7" x14ac:dyDescent="0.25">
      <c r="B2" s="96" t="s">
        <v>131</v>
      </c>
      <c r="C2" s="101" t="str">
        <f>'Gegevens inzet schip'!C2</f>
        <v>Motorvrachtschip droge lading</v>
      </c>
    </row>
    <row r="3" spans="2:7" x14ac:dyDescent="0.25">
      <c r="B3" s="97" t="s">
        <v>133</v>
      </c>
      <c r="C3" s="102">
        <f>'Gegevens inzet schip'!C3</f>
        <v>110</v>
      </c>
    </row>
    <row r="4" spans="2:7" x14ac:dyDescent="0.25">
      <c r="B4" s="97" t="s">
        <v>134</v>
      </c>
      <c r="C4" s="103">
        <f>'Gegevens inzet schip'!C4</f>
        <v>11.4</v>
      </c>
    </row>
    <row r="5" spans="2:7" ht="15.75" thickBot="1" x14ac:dyDescent="0.3">
      <c r="B5" s="98" t="s">
        <v>132</v>
      </c>
      <c r="C5" s="104">
        <f>'Gegevens inzet schip'!C5</f>
        <v>2500</v>
      </c>
    </row>
    <row r="6" spans="2:7" ht="26.25" x14ac:dyDescent="0.4">
      <c r="B6" s="56" t="s">
        <v>135</v>
      </c>
      <c r="C6" s="57" t="s">
        <v>136</v>
      </c>
    </row>
    <row r="7" spans="2:7" ht="26.25" x14ac:dyDescent="0.4">
      <c r="B7" s="58" t="str">
        <f>IF($C$11=0,"A",IF($C$11&lt;265,"B",IF($C$11&lt;531,"C",IF($C$11&lt;795,"D","E"))))</f>
        <v>C</v>
      </c>
      <c r="C7" s="59">
        <f>MAX(F12:F13)</f>
        <v>4</v>
      </c>
    </row>
    <row r="8" spans="2:7" ht="8.4499999999999993" customHeight="1" x14ac:dyDescent="0.4">
      <c r="B8" s="99"/>
      <c r="C8" s="100"/>
    </row>
    <row r="9" spans="2:7" ht="18.75" x14ac:dyDescent="0.3">
      <c r="B9" s="107" t="s">
        <v>95</v>
      </c>
      <c r="C9" s="108"/>
      <c r="D9" s="41"/>
    </row>
    <row r="10" spans="2:7" x14ac:dyDescent="0.25">
      <c r="B10" s="60" t="s">
        <v>45</v>
      </c>
      <c r="C10" s="61">
        <f>'Gegevens inzet schip'!G31</f>
        <v>208.491789202533</v>
      </c>
      <c r="D10" s="41"/>
    </row>
    <row r="11" spans="2:7" x14ac:dyDescent="0.25">
      <c r="B11" s="60" t="s">
        <v>102</v>
      </c>
      <c r="C11" s="61">
        <f>'Gegevens inzet schip'!C21</f>
        <v>464.1027227648384</v>
      </c>
    </row>
    <row r="12" spans="2:7" x14ac:dyDescent="0.25">
      <c r="B12" s="60" t="s">
        <v>46</v>
      </c>
      <c r="C12" s="64">
        <f>'Gegevens inzet schip'!I31</f>
        <v>5.7315273156595463</v>
      </c>
      <c r="E12" s="18" t="s">
        <v>93</v>
      </c>
      <c r="F12" s="55">
        <f>IF($C$12=0,0,IF($C$12&lt;0.47,1,IF($C$12&lt;1.8,2,IF($C$12&lt;2.1,3,IF($C$12&lt;6,4,5)))))</f>
        <v>4</v>
      </c>
      <c r="G12" t="s">
        <v>101</v>
      </c>
    </row>
    <row r="13" spans="2:7" x14ac:dyDescent="0.25">
      <c r="B13" s="63" t="s">
        <v>47</v>
      </c>
      <c r="C13" s="65">
        <f>'Gegevens inzet schip'!J31</f>
        <v>0.14818181818181819</v>
      </c>
      <c r="E13" s="18" t="s">
        <v>94</v>
      </c>
      <c r="F13" s="55">
        <f>IF($C$13=0,0,IF($C$13&lt;0.015,1,IF($C$13&lt;0.1,3,IF($C$13&lt;0.2,4,5))))</f>
        <v>4</v>
      </c>
      <c r="G13" t="s">
        <v>101</v>
      </c>
    </row>
    <row r="14" spans="2:7" x14ac:dyDescent="0.25">
      <c r="B14" s="60"/>
      <c r="C14" s="9"/>
    </row>
    <row r="15" spans="2:7" ht="18.75" x14ac:dyDescent="0.3">
      <c r="B15" s="107" t="s">
        <v>100</v>
      </c>
      <c r="C15" s="108"/>
    </row>
    <row r="16" spans="2:7" x14ac:dyDescent="0.25">
      <c r="B16" s="60" t="s">
        <v>140</v>
      </c>
      <c r="C16" s="61">
        <f>1000*(C40/'Gegevens inzet schip'!C9)</f>
        <v>17.547297297297295</v>
      </c>
    </row>
    <row r="17" spans="2:3" x14ac:dyDescent="0.25">
      <c r="B17" s="60" t="s">
        <v>84</v>
      </c>
      <c r="C17" s="64">
        <f>1000*(C41/'Gegevens inzet schip'!C9)</f>
        <v>0.21670377880204503</v>
      </c>
    </row>
    <row r="18" spans="2:3" x14ac:dyDescent="0.25">
      <c r="B18" s="63" t="s">
        <v>85</v>
      </c>
      <c r="C18" s="65">
        <f>1000*(C42/'Gegevens inzet schip'!C9)*1000</f>
        <v>5.6026183216510415</v>
      </c>
    </row>
    <row r="19" spans="2:3" x14ac:dyDescent="0.25">
      <c r="B19" s="60"/>
      <c r="C19" s="9"/>
    </row>
    <row r="20" spans="2:3" ht="18.75" x14ac:dyDescent="0.3">
      <c r="B20" s="107" t="s">
        <v>96</v>
      </c>
      <c r="C20" s="108"/>
    </row>
    <row r="21" spans="2:3" x14ac:dyDescent="0.25">
      <c r="B21" s="60" t="s">
        <v>98</v>
      </c>
      <c r="C21" s="66">
        <f>C35/'Gegevens inzet schip'!C8</f>
        <v>42.535215785540878</v>
      </c>
    </row>
    <row r="22" spans="2:3" x14ac:dyDescent="0.25">
      <c r="B22" s="60" t="s">
        <v>97</v>
      </c>
      <c r="C22" s="66">
        <f>1000*('Gegevens inzet schip'!C14/'Gegevens inzet schip'!C8)</f>
        <v>10.557432432432432</v>
      </c>
    </row>
    <row r="23" spans="2:3" x14ac:dyDescent="0.25">
      <c r="B23" s="60" t="s">
        <v>139</v>
      </c>
      <c r="C23" s="61">
        <f>(C40/'Gegevens inzet schip'!C8)</f>
        <v>19.740709459459456</v>
      </c>
    </row>
    <row r="24" spans="2:3" x14ac:dyDescent="0.25">
      <c r="B24" s="60" t="s">
        <v>86</v>
      </c>
      <c r="C24" s="66">
        <f>1000*(C41/'Gegevens inzet schip'!C8)</f>
        <v>243.79175115230063</v>
      </c>
    </row>
    <row r="25" spans="2:3" x14ac:dyDescent="0.25">
      <c r="B25" s="63" t="s">
        <v>87</v>
      </c>
      <c r="C25" s="67">
        <f>1000*(C42/'Gegevens inzet schip'!C8)</f>
        <v>6.302945611857421</v>
      </c>
    </row>
    <row r="26" spans="2:3" x14ac:dyDescent="0.25">
      <c r="B26" s="60"/>
      <c r="C26" s="94"/>
    </row>
    <row r="27" spans="2:3" ht="18.75" x14ac:dyDescent="0.3">
      <c r="B27" s="107" t="s">
        <v>126</v>
      </c>
      <c r="C27" s="108"/>
    </row>
    <row r="28" spans="2:3" x14ac:dyDescent="0.25">
      <c r="B28" s="60" t="s">
        <v>127</v>
      </c>
      <c r="C28" s="95">
        <f>C35/C39</f>
        <v>8.3936159150133989</v>
      </c>
    </row>
    <row r="29" spans="2:3" x14ac:dyDescent="0.25">
      <c r="B29" s="60" t="s">
        <v>128</v>
      </c>
      <c r="C29" s="95">
        <f>1000*(C36/C39)</f>
        <v>2.0833333333333335</v>
      </c>
    </row>
    <row r="30" spans="2:3" x14ac:dyDescent="0.25">
      <c r="B30" s="60" t="s">
        <v>138</v>
      </c>
      <c r="C30" s="95">
        <f>C40/C39</f>
        <v>3.8954999999999993</v>
      </c>
    </row>
    <row r="31" spans="2:3" x14ac:dyDescent="0.25">
      <c r="B31" s="60" t="s">
        <v>129</v>
      </c>
      <c r="C31" s="95">
        <f>1000*(C41/C39)</f>
        <v>48.108238894053997</v>
      </c>
    </row>
    <row r="32" spans="2:3" x14ac:dyDescent="0.25">
      <c r="B32" s="60" t="s">
        <v>130</v>
      </c>
      <c r="C32" s="95">
        <f>1000*(C42/C39)</f>
        <v>1.2437812674065312</v>
      </c>
    </row>
    <row r="33" spans="2:3" x14ac:dyDescent="0.25">
      <c r="B33" s="60"/>
      <c r="C33" s="9"/>
    </row>
    <row r="34" spans="2:3" ht="18.75" x14ac:dyDescent="0.3">
      <c r="B34" s="107" t="s">
        <v>99</v>
      </c>
      <c r="C34" s="108"/>
    </row>
    <row r="35" spans="2:3" x14ac:dyDescent="0.25">
      <c r="B35" s="60" t="s">
        <v>92</v>
      </c>
      <c r="C35" s="68">
        <f>'Gegevens inzet schip'!C32</f>
        <v>1813021.0376428943</v>
      </c>
    </row>
    <row r="36" spans="2:3" x14ac:dyDescent="0.25">
      <c r="B36" s="60" t="s">
        <v>137</v>
      </c>
      <c r="C36" s="68">
        <f>'Gegevens inzet schip'!C14</f>
        <v>450</v>
      </c>
    </row>
    <row r="37" spans="2:3" x14ac:dyDescent="0.25">
      <c r="B37" s="60" t="s">
        <v>123</v>
      </c>
      <c r="C37" s="68">
        <f>'Gegevens inzet schip'!C9</f>
        <v>47952000</v>
      </c>
    </row>
    <row r="38" spans="2:3" x14ac:dyDescent="0.25">
      <c r="B38" s="60" t="s">
        <v>124</v>
      </c>
      <c r="C38" s="68">
        <f>'Gegevens inzet schip'!C8</f>
        <v>42624</v>
      </c>
    </row>
    <row r="39" spans="2:3" x14ac:dyDescent="0.25">
      <c r="B39" s="60" t="s">
        <v>125</v>
      </c>
      <c r="C39" s="68">
        <f>'Gegevens inzet schip'!C7</f>
        <v>216000</v>
      </c>
    </row>
    <row r="40" spans="2:3" x14ac:dyDescent="0.25">
      <c r="B40" s="60" t="s">
        <v>82</v>
      </c>
      <c r="C40" s="69">
        <f>'Gegevens inzet schip'!C20</f>
        <v>841427.99999999988</v>
      </c>
    </row>
    <row r="41" spans="2:3" x14ac:dyDescent="0.25">
      <c r="B41" s="60" t="s">
        <v>81</v>
      </c>
      <c r="C41" s="68">
        <f>'Gegevens inzet schip'!C33</f>
        <v>10391.379601115663</v>
      </c>
    </row>
    <row r="42" spans="2:3" ht="15.75" thickBot="1" x14ac:dyDescent="0.3">
      <c r="B42" s="62" t="s">
        <v>83</v>
      </c>
      <c r="C42" s="70">
        <f>'Gegevens inzet schip'!C34</f>
        <v>268.65675375981073</v>
      </c>
    </row>
  </sheetData>
  <mergeCells count="5">
    <mergeCell ref="B15:C15"/>
    <mergeCell ref="B20:C20"/>
    <mergeCell ref="B34:C34"/>
    <mergeCell ref="B9:C9"/>
    <mergeCell ref="B27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3" zoomScale="80" zoomScaleNormal="80" workbookViewId="0">
      <selection activeCell="G34" sqref="G34"/>
    </sheetView>
  </sheetViews>
  <sheetFormatPr defaultRowHeight="15" x14ac:dyDescent="0.25"/>
  <cols>
    <col min="1" max="1" width="10.7109375" bestFit="1" customWidth="1"/>
    <col min="2" max="2" width="32.5703125" bestFit="1" customWidth="1"/>
    <col min="3" max="3" width="16.5703125" customWidth="1"/>
    <col min="4" max="4" width="18" bestFit="1" customWidth="1"/>
    <col min="5" max="5" width="12.7109375" bestFit="1" customWidth="1"/>
    <col min="6" max="6" width="19.85546875" customWidth="1"/>
    <col min="7" max="7" width="14.7109375" customWidth="1"/>
    <col min="8" max="8" width="11.42578125" customWidth="1"/>
    <col min="9" max="9" width="12" customWidth="1"/>
    <col min="10" max="10" width="9.5703125" customWidth="1"/>
  </cols>
  <sheetData>
    <row r="1" spans="2:4" x14ac:dyDescent="0.25">
      <c r="B1" s="3"/>
    </row>
    <row r="2" spans="2:4" x14ac:dyDescent="0.25">
      <c r="B2" s="3" t="s">
        <v>15</v>
      </c>
      <c r="C2" s="4" t="s">
        <v>18</v>
      </c>
    </row>
    <row r="3" spans="2:4" x14ac:dyDescent="0.25">
      <c r="B3" s="3" t="s">
        <v>16</v>
      </c>
      <c r="C3" s="46">
        <v>110</v>
      </c>
      <c r="D3" t="s">
        <v>89</v>
      </c>
    </row>
    <row r="4" spans="2:4" x14ac:dyDescent="0.25">
      <c r="B4" s="3" t="s">
        <v>17</v>
      </c>
      <c r="C4" s="48">
        <v>11.4</v>
      </c>
      <c r="D4" t="s">
        <v>89</v>
      </c>
    </row>
    <row r="5" spans="2:4" x14ac:dyDescent="0.25">
      <c r="B5" s="3" t="s">
        <v>40</v>
      </c>
      <c r="C5" s="46">
        <v>2500</v>
      </c>
      <c r="D5" t="s">
        <v>43</v>
      </c>
    </row>
    <row r="6" spans="2:4" x14ac:dyDescent="0.25">
      <c r="B6" s="3"/>
    </row>
    <row r="7" spans="2:4" x14ac:dyDescent="0.25">
      <c r="B7" s="3" t="s">
        <v>41</v>
      </c>
      <c r="C7" s="105">
        <f>48*2*90%*C5</f>
        <v>216000</v>
      </c>
      <c r="D7" t="s">
        <v>43</v>
      </c>
    </row>
    <row r="8" spans="2:4" x14ac:dyDescent="0.25">
      <c r="B8" s="3" t="s">
        <v>121</v>
      </c>
      <c r="C8" s="105">
        <f>48*2*444</f>
        <v>42624</v>
      </c>
      <c r="D8" t="s">
        <v>42</v>
      </c>
    </row>
    <row r="9" spans="2:4" x14ac:dyDescent="0.25">
      <c r="B9" s="3" t="s">
        <v>122</v>
      </c>
      <c r="C9" s="105">
        <f>90%*C5*222*2*48</f>
        <v>47952000</v>
      </c>
      <c r="D9" t="s">
        <v>44</v>
      </c>
    </row>
    <row r="10" spans="2:4" x14ac:dyDescent="0.25">
      <c r="B10" s="3"/>
    </row>
    <row r="11" spans="2:4" x14ac:dyDescent="0.25">
      <c r="B11" s="3" t="s">
        <v>19</v>
      </c>
      <c r="C11" s="46">
        <f>C14-C13</f>
        <v>315</v>
      </c>
      <c r="D11" t="s">
        <v>21</v>
      </c>
    </row>
    <row r="12" spans="2:4" x14ac:dyDescent="0.25">
      <c r="B12" s="3" t="s">
        <v>119</v>
      </c>
      <c r="C12" s="92">
        <v>0.3</v>
      </c>
      <c r="D12" t="s">
        <v>120</v>
      </c>
    </row>
    <row r="13" spans="2:4" x14ac:dyDescent="0.25">
      <c r="C13" s="46">
        <f>C12*C14</f>
        <v>135</v>
      </c>
      <c r="D13" t="s">
        <v>22</v>
      </c>
    </row>
    <row r="14" spans="2:4" x14ac:dyDescent="0.25">
      <c r="B14" s="3" t="s">
        <v>39</v>
      </c>
      <c r="C14">
        <v>450</v>
      </c>
      <c r="D14" t="s">
        <v>24</v>
      </c>
    </row>
    <row r="16" spans="2:4" x14ac:dyDescent="0.25">
      <c r="B16" s="3" t="s">
        <v>91</v>
      </c>
      <c r="C16" s="93">
        <f>C11/C14</f>
        <v>0.7</v>
      </c>
    </row>
    <row r="17" spans="1:10" x14ac:dyDescent="0.25">
      <c r="B17" s="3" t="s">
        <v>90</v>
      </c>
      <c r="C17" s="93">
        <f>C13/C14</f>
        <v>0.3</v>
      </c>
    </row>
    <row r="18" spans="1:10" x14ac:dyDescent="0.25">
      <c r="B18" s="3"/>
      <c r="D18" s="23"/>
      <c r="E18" s="24"/>
    </row>
    <row r="19" spans="1:10" x14ac:dyDescent="0.25">
      <c r="B19" s="3" t="s">
        <v>38</v>
      </c>
      <c r="C19" s="28">
        <f>1*(C11*0.84*3.18*1000)+1*(C13*0.84*3.18*1000)</f>
        <v>1202039.9999999998</v>
      </c>
      <c r="D19" t="s">
        <v>27</v>
      </c>
    </row>
    <row r="20" spans="1:10" x14ac:dyDescent="0.25">
      <c r="B20" s="3" t="s">
        <v>25</v>
      </c>
      <c r="C20" s="50">
        <f>1*(C11*0.84*3.18*1000)+0*(C18*0.84*3.18*1000)</f>
        <v>841427.99999999988</v>
      </c>
      <c r="D20" t="s">
        <v>27</v>
      </c>
    </row>
    <row r="21" spans="1:10" x14ac:dyDescent="0.25">
      <c r="B21" s="3" t="s">
        <v>49</v>
      </c>
      <c r="C21" s="49">
        <f>(C20*1000)/C32</f>
        <v>464.1027227648384</v>
      </c>
    </row>
    <row r="22" spans="1:10" x14ac:dyDescent="0.25">
      <c r="G22" t="s">
        <v>32</v>
      </c>
    </row>
    <row r="23" spans="1:10" ht="42.95" customHeight="1" x14ac:dyDescent="0.25">
      <c r="C23" t="s">
        <v>26</v>
      </c>
      <c r="D23" t="s">
        <v>23</v>
      </c>
      <c r="E23" t="s">
        <v>28</v>
      </c>
      <c r="F23" s="106" t="s">
        <v>29</v>
      </c>
      <c r="G23" s="106" t="s">
        <v>30</v>
      </c>
      <c r="H23" s="106" t="s">
        <v>31</v>
      </c>
      <c r="I23" s="106" t="s">
        <v>33</v>
      </c>
      <c r="J23" s="106" t="s">
        <v>34</v>
      </c>
    </row>
    <row r="24" spans="1:10" x14ac:dyDescent="0.25">
      <c r="A24" s="3"/>
      <c r="B24" s="90" t="str">
        <f>'Basis gegevens motoren'!F5</f>
        <v>Hoofdmotor 1</v>
      </c>
      <c r="C24" s="46">
        <v>3200</v>
      </c>
      <c r="D24" s="71">
        <f>'Basis gegevens motoren'!F6</f>
        <v>800</v>
      </c>
      <c r="E24" s="23">
        <f>C24*D24</f>
        <v>2560000</v>
      </c>
      <c r="F24" s="40">
        <f>E24/($E$31)</f>
        <v>0.60448642266824082</v>
      </c>
      <c r="G24" s="22">
        <f>F24*'Basis gegevens motoren'!F15</f>
        <v>124.74401631426424</v>
      </c>
      <c r="H24" s="22">
        <f>F24*'Basis gegevens motoren'!F23</f>
        <v>396.68597187936024</v>
      </c>
      <c r="I24" s="2">
        <f>F24*'Basis gegevens motoren'!F31</f>
        <v>3.4642567350005362</v>
      </c>
      <c r="J24" s="21">
        <f>F24*'Basis gegevens motoren'!F39</f>
        <v>8.957389717720296E-2</v>
      </c>
    </row>
    <row r="25" spans="1:10" x14ac:dyDescent="0.25">
      <c r="A25" s="3"/>
      <c r="B25" s="90" t="str">
        <f>'Basis gegevens motoren'!J5</f>
        <v>Hoofdmotor 2</v>
      </c>
      <c r="C25" s="46">
        <v>1600</v>
      </c>
      <c r="D25" s="71">
        <f>'Basis gegevens motoren'!J6</f>
        <v>800</v>
      </c>
      <c r="E25" s="23">
        <f>C25*D25</f>
        <v>1280000</v>
      </c>
      <c r="F25" s="40">
        <f t="shared" ref="F25:F29" si="0">E25/($E$31)</f>
        <v>0.30224321133412041</v>
      </c>
      <c r="G25" s="22">
        <f>F25*'Basis gegevens motoren'!J15</f>
        <v>62.372008157132122</v>
      </c>
      <c r="H25" s="22">
        <f>F25*'Basis gegevens motoren'!J23</f>
        <v>198.34298593968012</v>
      </c>
      <c r="I25" s="2">
        <f>F25*'Basis gegevens motoren'!J31</f>
        <v>1.7321283675002681</v>
      </c>
      <c r="J25" s="21">
        <f>F25*'Basis gegevens motoren'!J39</f>
        <v>4.478694858860148E-2</v>
      </c>
    </row>
    <row r="26" spans="1:10" x14ac:dyDescent="0.25">
      <c r="A26" s="3"/>
      <c r="B26" s="90" t="str">
        <f>'Basis gegevens motoren'!N5</f>
        <v>Generatorset 1</v>
      </c>
      <c r="C26" s="46">
        <v>5000</v>
      </c>
      <c r="D26" s="71">
        <f>'Basis gegevens motoren'!N6</f>
        <v>50</v>
      </c>
      <c r="E26" s="23">
        <f>C26*D26</f>
        <v>250000</v>
      </c>
      <c r="F26" s="40">
        <f t="shared" si="0"/>
        <v>5.9031877213695398E-2</v>
      </c>
      <c r="G26" s="22">
        <f>F26*'Basis gegevens motoren'!N15</f>
        <v>13.620264033487175</v>
      </c>
      <c r="H26" s="22">
        <f>F26*'Basis gegevens motoren'!N23</f>
        <v>43.312439626489216</v>
      </c>
      <c r="I26" s="2">
        <f>F26*'Basis gegevens motoren'!N31</f>
        <v>0.34174090372437482</v>
      </c>
      <c r="J26" s="21">
        <f>F26*'Basis gegevens motoren'!N39</f>
        <v>8.7474508962112271E-3</v>
      </c>
    </row>
    <row r="27" spans="1:10" x14ac:dyDescent="0.25">
      <c r="A27" s="3"/>
      <c r="B27" s="90" t="str">
        <f>'Basis gegevens motoren'!R5</f>
        <v>Generatorset 2</v>
      </c>
      <c r="C27" s="46">
        <v>100</v>
      </c>
      <c r="D27" s="71">
        <f>'Basis gegevens motoren'!R6</f>
        <v>50</v>
      </c>
      <c r="E27" s="23">
        <f t="shared" ref="E27:E29" si="1">C27*D27</f>
        <v>5000</v>
      </c>
      <c r="F27" s="40">
        <f t="shared" si="0"/>
        <v>1.1806375442739079E-3</v>
      </c>
      <c r="G27" s="22">
        <f>F27*'Basis gegevens motoren'!R15</f>
        <v>0.27240528066974345</v>
      </c>
      <c r="H27" s="22">
        <f>F27*'Basis gegevens motoren'!R23</f>
        <v>0.86624879252978426</v>
      </c>
      <c r="I27" s="2">
        <f>F27*'Basis gegevens motoren'!R31</f>
        <v>6.8348180744874955E-3</v>
      </c>
      <c r="J27" s="21">
        <f>F27*'Basis gegevens motoren'!R39</f>
        <v>1.7494901792422453E-4</v>
      </c>
    </row>
    <row r="28" spans="1:10" x14ac:dyDescent="0.25">
      <c r="A28" s="3"/>
      <c r="B28" s="90" t="str">
        <f>'Basis gegevens motoren'!V5</f>
        <v>Boegschroef 1</v>
      </c>
      <c r="C28" s="46">
        <v>500</v>
      </c>
      <c r="D28" s="71">
        <f>'Basis gegevens motoren'!V6</f>
        <v>200</v>
      </c>
      <c r="E28" s="23">
        <f t="shared" si="1"/>
        <v>100000</v>
      </c>
      <c r="F28" s="40">
        <f t="shared" si="0"/>
        <v>2.3612750885478158E-2</v>
      </c>
      <c r="G28" s="22">
        <f>F28*'Basis gegevens motoren'!V15</f>
        <v>5.3450681549855101</v>
      </c>
      <c r="H28" s="22">
        <f>F28*'Basis gegevens motoren'!V23</f>
        <v>16.997316732853925</v>
      </c>
      <c r="I28" s="2">
        <f>F28*'Basis gegevens motoren'!V31</f>
        <v>0.13326177954277127</v>
      </c>
      <c r="J28" s="21">
        <f>F28*'Basis gegevens motoren'!V39</f>
        <v>3.4989803584844908E-3</v>
      </c>
    </row>
    <row r="29" spans="1:10" x14ac:dyDescent="0.25">
      <c r="A29" s="3"/>
      <c r="B29" s="90" t="str">
        <f>'Basis gegevens motoren'!Z5</f>
        <v>Boegschroef2</v>
      </c>
      <c r="C29" s="46">
        <v>200</v>
      </c>
      <c r="D29" s="71">
        <f>'Basis gegevens motoren'!Z6</f>
        <v>200</v>
      </c>
      <c r="E29" s="23">
        <f t="shared" si="1"/>
        <v>40000</v>
      </c>
      <c r="F29" s="40">
        <f t="shared" si="0"/>
        <v>9.4451003541912628E-3</v>
      </c>
      <c r="G29" s="22">
        <f>F29*'Basis gegevens motoren'!Z15</f>
        <v>2.1380272619942042</v>
      </c>
      <c r="H29" s="22">
        <f>F29*'Basis gegevens motoren'!Z23</f>
        <v>6.7989266931415688</v>
      </c>
      <c r="I29" s="2">
        <f>F29*'Basis gegevens motoren'!Z31</f>
        <v>5.330471181710851E-2</v>
      </c>
      <c r="J29" s="21">
        <f>F29*'Basis gegevens motoren'!Z39</f>
        <v>1.3995921433937963E-3</v>
      </c>
    </row>
    <row r="30" spans="1:10" x14ac:dyDescent="0.25">
      <c r="A30" s="3"/>
      <c r="B30" s="3"/>
      <c r="C30" s="71"/>
      <c r="D30" s="71"/>
      <c r="E30" s="23"/>
      <c r="F30" s="20"/>
      <c r="G30" s="22"/>
      <c r="H30" s="22"/>
      <c r="I30" s="2"/>
      <c r="J30" s="21"/>
    </row>
    <row r="31" spans="1:10" x14ac:dyDescent="0.25">
      <c r="E31" s="23">
        <f>SUM(E24:E29)</f>
        <v>4235000</v>
      </c>
      <c r="F31" s="1">
        <v>1</v>
      </c>
      <c r="G31" s="51">
        <f>SUM(G24:G29)</f>
        <v>208.491789202533</v>
      </c>
      <c r="H31" s="51">
        <f>SUM(H24:H29)</f>
        <v>663.00388966405478</v>
      </c>
      <c r="I31" s="51">
        <f>SUM(I24:I29)</f>
        <v>5.7315273156595463</v>
      </c>
      <c r="J31" s="91">
        <f>SUM(J24:J29)</f>
        <v>0.14818181818181819</v>
      </c>
    </row>
    <row r="32" spans="1:10" ht="75" x14ac:dyDescent="0.25">
      <c r="B32" s="27" t="s">
        <v>35</v>
      </c>
      <c r="C32" s="52">
        <f>(C14*1000000)/G31*0.84</f>
        <v>1813021.0376428943</v>
      </c>
    </row>
    <row r="33" spans="2:3" ht="60" x14ac:dyDescent="0.25">
      <c r="B33" s="27" t="s">
        <v>36</v>
      </c>
      <c r="C33" s="53">
        <f>C32*I31/1000</f>
        <v>10391.379601115663</v>
      </c>
    </row>
    <row r="34" spans="2:3" ht="60" x14ac:dyDescent="0.25">
      <c r="B34" s="27" t="s">
        <v>37</v>
      </c>
      <c r="C34" s="54">
        <f>C32*J31/1000</f>
        <v>268.65675375981073</v>
      </c>
    </row>
    <row r="35" spans="2:3" x14ac:dyDescent="0.25">
      <c r="C35" s="17"/>
    </row>
    <row r="38" spans="2:3" x14ac:dyDescent="0.25">
      <c r="C38" s="17"/>
    </row>
    <row r="39" spans="2:3" x14ac:dyDescent="0.25">
      <c r="C39" s="17"/>
    </row>
    <row r="41" spans="2:3" x14ac:dyDescent="0.25">
      <c r="C41" s="26"/>
    </row>
    <row r="42" spans="2:3" x14ac:dyDescent="0.25">
      <c r="C42" s="2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9"/>
  <sheetViews>
    <sheetView topLeftCell="B1" zoomScale="60" zoomScaleNormal="60" workbookViewId="0">
      <selection activeCell="G45" sqref="G45"/>
    </sheetView>
  </sheetViews>
  <sheetFormatPr defaultRowHeight="15" x14ac:dyDescent="0.25"/>
  <cols>
    <col min="2" max="2" width="13.5703125" bestFit="1" customWidth="1"/>
    <col min="4" max="4" width="11" customWidth="1"/>
    <col min="5" max="5" width="17.85546875" bestFit="1" customWidth="1"/>
    <col min="6" max="6" width="17.140625" bestFit="1" customWidth="1"/>
    <col min="7" max="7" width="21.42578125" bestFit="1" customWidth="1"/>
    <col min="8" max="8" width="3.42578125" customWidth="1"/>
    <col min="9" max="9" width="17.85546875" bestFit="1" customWidth="1"/>
    <col min="10" max="10" width="12.5703125" bestFit="1" customWidth="1"/>
    <col min="11" max="11" width="21.42578125" bestFit="1" customWidth="1"/>
    <col min="12" max="12" width="4.42578125" customWidth="1"/>
    <col min="13" max="13" width="17.85546875" bestFit="1" customWidth="1"/>
    <col min="14" max="14" width="12.5703125" bestFit="1" customWidth="1"/>
    <col min="15" max="15" width="21.42578125" bestFit="1" customWidth="1"/>
    <col min="16" max="16" width="4.42578125" customWidth="1"/>
    <col min="17" max="17" width="17.85546875" bestFit="1" customWidth="1"/>
    <col min="18" max="18" width="18.140625" customWidth="1"/>
    <col min="19" max="19" width="21.42578125" bestFit="1" customWidth="1"/>
    <col min="20" max="20" width="3.7109375" customWidth="1"/>
    <col min="21" max="21" width="17.140625" bestFit="1" customWidth="1"/>
    <col min="22" max="22" width="12.5703125" bestFit="1" customWidth="1"/>
    <col min="23" max="23" width="21.42578125" bestFit="1" customWidth="1"/>
    <col min="24" max="24" width="3.5703125" customWidth="1"/>
    <col min="25" max="25" width="17.85546875" bestFit="1" customWidth="1"/>
    <col min="26" max="26" width="12.5703125" bestFit="1" customWidth="1"/>
    <col min="27" max="27" width="21.42578125" bestFit="1" customWidth="1"/>
  </cols>
  <sheetData>
    <row r="2" spans="1:27" x14ac:dyDescent="0.25">
      <c r="E2" s="46"/>
      <c r="F2" s="4" t="s">
        <v>88</v>
      </c>
    </row>
    <row r="3" spans="1:27" x14ac:dyDescent="0.25">
      <c r="E3" s="47"/>
      <c r="F3" s="4" t="s">
        <v>141</v>
      </c>
    </row>
    <row r="4" spans="1:27" ht="15.75" thickBot="1" x14ac:dyDescent="0.3">
      <c r="E4" s="1"/>
    </row>
    <row r="5" spans="1:27" ht="15.75" x14ac:dyDescent="0.3">
      <c r="A5" s="80" t="s">
        <v>104</v>
      </c>
      <c r="B5" s="81" t="s">
        <v>105</v>
      </c>
      <c r="C5" s="81" t="s">
        <v>106</v>
      </c>
      <c r="D5" s="86" t="s">
        <v>103</v>
      </c>
      <c r="E5" s="5" t="s">
        <v>13</v>
      </c>
      <c r="F5" s="76" t="s">
        <v>117</v>
      </c>
      <c r="G5" s="6"/>
      <c r="I5" s="5" t="s">
        <v>14</v>
      </c>
      <c r="J5" s="76" t="s">
        <v>118</v>
      </c>
      <c r="K5" s="6"/>
      <c r="M5" s="5" t="s">
        <v>20</v>
      </c>
      <c r="N5" s="76" t="s">
        <v>111</v>
      </c>
      <c r="O5" s="6"/>
      <c r="P5" s="8"/>
      <c r="Q5" s="5" t="s">
        <v>110</v>
      </c>
      <c r="R5" s="76" t="s">
        <v>112</v>
      </c>
      <c r="S5" s="6"/>
      <c r="U5" s="5" t="s">
        <v>114</v>
      </c>
      <c r="V5" s="76" t="s">
        <v>113</v>
      </c>
      <c r="W5" s="6"/>
      <c r="Y5" s="5" t="s">
        <v>116</v>
      </c>
      <c r="Z5" s="76" t="s">
        <v>115</v>
      </c>
      <c r="AA5" s="6"/>
    </row>
    <row r="6" spans="1:27" x14ac:dyDescent="0.25">
      <c r="A6" s="82" t="s">
        <v>107</v>
      </c>
      <c r="B6" s="78">
        <v>4</v>
      </c>
      <c r="C6" s="79">
        <v>0.15</v>
      </c>
      <c r="D6" s="87">
        <v>0.25</v>
      </c>
      <c r="E6" s="7" t="s">
        <v>0</v>
      </c>
      <c r="F6" s="44">
        <v>800</v>
      </c>
      <c r="G6" s="9" t="s">
        <v>1</v>
      </c>
      <c r="I6" s="7" t="s">
        <v>0</v>
      </c>
      <c r="J6" s="44">
        <v>800</v>
      </c>
      <c r="K6" s="9" t="s">
        <v>1</v>
      </c>
      <c r="M6" s="7" t="s">
        <v>0</v>
      </c>
      <c r="N6" s="44">
        <v>50</v>
      </c>
      <c r="O6" s="9" t="s">
        <v>1</v>
      </c>
      <c r="P6" s="8"/>
      <c r="Q6" s="7" t="s">
        <v>0</v>
      </c>
      <c r="R6" s="44">
        <v>50</v>
      </c>
      <c r="S6" s="9" t="s">
        <v>1</v>
      </c>
      <c r="U6" s="7" t="s">
        <v>0</v>
      </c>
      <c r="V6" s="44">
        <v>200</v>
      </c>
      <c r="W6" s="9" t="s">
        <v>1</v>
      </c>
      <c r="Y6" s="7" t="s">
        <v>0</v>
      </c>
      <c r="Z6" s="44">
        <v>200</v>
      </c>
      <c r="AA6" s="9" t="s">
        <v>1</v>
      </c>
    </row>
    <row r="7" spans="1:27" x14ac:dyDescent="0.25">
      <c r="A7" s="82" t="s">
        <v>108</v>
      </c>
      <c r="B7" s="78">
        <v>3</v>
      </c>
      <c r="C7" s="79">
        <v>0.15</v>
      </c>
      <c r="D7" s="87">
        <v>0.5</v>
      </c>
      <c r="E7" s="7" t="s">
        <v>11</v>
      </c>
      <c r="F7" s="10" t="s">
        <v>12</v>
      </c>
      <c r="G7" s="9"/>
      <c r="I7" s="7" t="s">
        <v>11</v>
      </c>
      <c r="J7" s="10" t="s">
        <v>12</v>
      </c>
      <c r="K7" s="9"/>
      <c r="M7" s="7" t="s">
        <v>11</v>
      </c>
      <c r="N7" s="10" t="s">
        <v>12</v>
      </c>
      <c r="O7" s="9"/>
      <c r="P7" s="8"/>
      <c r="Q7" s="7" t="s">
        <v>11</v>
      </c>
      <c r="R7" s="10" t="s">
        <v>12</v>
      </c>
      <c r="S7" s="9"/>
      <c r="U7" s="7" t="s">
        <v>11</v>
      </c>
      <c r="V7" s="10" t="s">
        <v>12</v>
      </c>
      <c r="W7" s="9"/>
      <c r="Y7" s="7" t="s">
        <v>11</v>
      </c>
      <c r="Z7" s="10" t="s">
        <v>12</v>
      </c>
      <c r="AA7" s="9"/>
    </row>
    <row r="8" spans="1:27" x14ac:dyDescent="0.25">
      <c r="A8" s="82" t="s">
        <v>109</v>
      </c>
      <c r="B8" s="78">
        <v>2</v>
      </c>
      <c r="C8" s="79">
        <v>0.5</v>
      </c>
      <c r="D8" s="87">
        <v>0.75</v>
      </c>
      <c r="E8" s="7"/>
      <c r="F8" s="8"/>
      <c r="G8" s="9"/>
      <c r="I8" s="7"/>
      <c r="J8" s="8"/>
      <c r="K8" s="9"/>
      <c r="M8" s="7"/>
      <c r="N8" s="8"/>
      <c r="O8" s="9"/>
      <c r="P8" s="8"/>
      <c r="Q8" s="7"/>
      <c r="R8" s="8"/>
      <c r="S8" s="9"/>
      <c r="U8" s="7"/>
      <c r="V8" s="8"/>
      <c r="W8" s="9"/>
      <c r="Y8" s="7"/>
      <c r="Z8" s="8"/>
      <c r="AA8" s="9"/>
    </row>
    <row r="9" spans="1:27" x14ac:dyDescent="0.25">
      <c r="A9" s="83">
        <v>1</v>
      </c>
      <c r="B9" s="78">
        <v>1</v>
      </c>
      <c r="C9" s="79">
        <v>0.2</v>
      </c>
      <c r="D9" s="87">
        <v>1</v>
      </c>
      <c r="E9" s="7" t="s">
        <v>2</v>
      </c>
      <c r="F9" s="8"/>
      <c r="G9" s="9"/>
      <c r="I9" s="7" t="s">
        <v>2</v>
      </c>
      <c r="J9" s="8"/>
      <c r="K9" s="9"/>
      <c r="M9" s="7" t="s">
        <v>2</v>
      </c>
      <c r="N9" s="8"/>
      <c r="O9" s="9"/>
      <c r="P9" s="8"/>
      <c r="Q9" s="7" t="s">
        <v>2</v>
      </c>
      <c r="R9" s="8"/>
      <c r="S9" s="9"/>
      <c r="U9" s="7" t="s">
        <v>2</v>
      </c>
      <c r="V9" s="8"/>
      <c r="W9" s="9"/>
      <c r="Y9" s="7" t="s">
        <v>2</v>
      </c>
      <c r="Z9" s="8"/>
      <c r="AA9" s="9"/>
    </row>
    <row r="10" spans="1:27" ht="15.75" thickBot="1" x14ac:dyDescent="0.3">
      <c r="A10" s="84"/>
      <c r="B10" s="85"/>
      <c r="C10" s="85"/>
      <c r="D10" s="88">
        <f>C6*D6+C7*D7+C8*D8+C9*D9</f>
        <v>0.6875</v>
      </c>
      <c r="E10" s="7" t="s">
        <v>3</v>
      </c>
      <c r="F10" s="8"/>
      <c r="G10" s="9"/>
      <c r="I10" s="7" t="s">
        <v>3</v>
      </c>
      <c r="J10" s="8"/>
      <c r="K10" s="9"/>
      <c r="M10" s="7" t="s">
        <v>3</v>
      </c>
      <c r="N10" s="8"/>
      <c r="O10" s="9"/>
      <c r="P10" s="8"/>
      <c r="Q10" s="7" t="s">
        <v>3</v>
      </c>
      <c r="R10" s="8"/>
      <c r="S10" s="9"/>
      <c r="U10" s="7" t="s">
        <v>3</v>
      </c>
      <c r="V10" s="8"/>
      <c r="W10" s="9"/>
      <c r="Y10" s="7" t="s">
        <v>3</v>
      </c>
      <c r="Z10" s="8"/>
      <c r="AA10" s="9"/>
    </row>
    <row r="11" spans="1:27" x14ac:dyDescent="0.25">
      <c r="E11" s="11">
        <v>0.25</v>
      </c>
      <c r="F11" s="44">
        <v>220</v>
      </c>
      <c r="G11" s="9" t="s">
        <v>4</v>
      </c>
      <c r="I11" s="11">
        <v>0.25</v>
      </c>
      <c r="J11" s="44">
        <v>220</v>
      </c>
      <c r="K11" s="9" t="s">
        <v>4</v>
      </c>
      <c r="M11" s="11">
        <v>0.25</v>
      </c>
      <c r="N11" s="44">
        <v>250</v>
      </c>
      <c r="O11" s="9" t="s">
        <v>4</v>
      </c>
      <c r="P11" s="8"/>
      <c r="Q11" s="11">
        <v>0.25</v>
      </c>
      <c r="R11" s="44">
        <v>250</v>
      </c>
      <c r="S11" s="9" t="s">
        <v>4</v>
      </c>
      <c r="U11" s="11">
        <v>0.25</v>
      </c>
      <c r="V11" s="44">
        <v>240</v>
      </c>
      <c r="W11" s="9" t="s">
        <v>4</v>
      </c>
      <c r="Y11" s="11">
        <v>0.25</v>
      </c>
      <c r="Z11" s="44">
        <v>240</v>
      </c>
      <c r="AA11" s="9" t="s">
        <v>4</v>
      </c>
    </row>
    <row r="12" spans="1:27" x14ac:dyDescent="0.25">
      <c r="E12" s="11">
        <v>0.5</v>
      </c>
      <c r="F12" s="44">
        <v>210</v>
      </c>
      <c r="G12" s="9" t="s">
        <v>4</v>
      </c>
      <c r="I12" s="11">
        <v>0.5</v>
      </c>
      <c r="J12" s="44">
        <v>210</v>
      </c>
      <c r="K12" s="9" t="s">
        <v>4</v>
      </c>
      <c r="M12" s="11">
        <v>0.5</v>
      </c>
      <c r="N12" s="44">
        <v>240</v>
      </c>
      <c r="O12" s="9" t="s">
        <v>4</v>
      </c>
      <c r="P12" s="8"/>
      <c r="Q12" s="11">
        <v>0.5</v>
      </c>
      <c r="R12" s="44">
        <v>240</v>
      </c>
      <c r="S12" s="9" t="s">
        <v>4</v>
      </c>
      <c r="U12" s="11">
        <v>0.5</v>
      </c>
      <c r="V12" s="44">
        <v>230</v>
      </c>
      <c r="W12" s="9" t="s">
        <v>4</v>
      </c>
      <c r="Y12" s="11">
        <v>0.5</v>
      </c>
      <c r="Z12" s="44">
        <v>230</v>
      </c>
      <c r="AA12" s="9" t="s">
        <v>4</v>
      </c>
    </row>
    <row r="13" spans="1:27" x14ac:dyDescent="0.25">
      <c r="B13" s="1"/>
      <c r="E13" s="11">
        <v>0.75</v>
      </c>
      <c r="F13" s="44">
        <v>205</v>
      </c>
      <c r="G13" s="9" t="s">
        <v>4</v>
      </c>
      <c r="I13" s="11">
        <v>0.75</v>
      </c>
      <c r="J13" s="44">
        <v>205</v>
      </c>
      <c r="K13" s="9" t="s">
        <v>4</v>
      </c>
      <c r="M13" s="11">
        <v>0.75</v>
      </c>
      <c r="N13" s="44">
        <v>230</v>
      </c>
      <c r="O13" s="9" t="s">
        <v>4</v>
      </c>
      <c r="P13" s="8"/>
      <c r="Q13" s="11">
        <v>0.75</v>
      </c>
      <c r="R13" s="44">
        <v>230</v>
      </c>
      <c r="S13" s="9" t="s">
        <v>4</v>
      </c>
      <c r="U13" s="11">
        <v>0.75</v>
      </c>
      <c r="V13" s="44">
        <v>225</v>
      </c>
      <c r="W13" s="9" t="s">
        <v>4</v>
      </c>
      <c r="Y13" s="11">
        <v>0.75</v>
      </c>
      <c r="Z13" s="44">
        <v>225</v>
      </c>
      <c r="AA13" s="9" t="s">
        <v>4</v>
      </c>
    </row>
    <row r="14" spans="1:27" x14ac:dyDescent="0.25">
      <c r="B14" s="1"/>
      <c r="E14" s="11">
        <v>1</v>
      </c>
      <c r="F14" s="44">
        <v>205</v>
      </c>
      <c r="G14" s="9" t="s">
        <v>4</v>
      </c>
      <c r="I14" s="11">
        <v>1</v>
      </c>
      <c r="J14" s="44">
        <v>205</v>
      </c>
      <c r="K14" s="9" t="s">
        <v>4</v>
      </c>
      <c r="M14" s="11">
        <v>1</v>
      </c>
      <c r="N14" s="44">
        <v>225</v>
      </c>
      <c r="O14" s="9" t="s">
        <v>4</v>
      </c>
      <c r="P14" s="8"/>
      <c r="Q14" s="11">
        <v>1</v>
      </c>
      <c r="R14" s="44">
        <v>225</v>
      </c>
      <c r="S14" s="9" t="s">
        <v>4</v>
      </c>
      <c r="U14" s="11">
        <v>1</v>
      </c>
      <c r="V14" s="44">
        <v>225</v>
      </c>
      <c r="W14" s="9" t="s">
        <v>4</v>
      </c>
      <c r="Y14" s="11">
        <v>1</v>
      </c>
      <c r="Z14" s="44">
        <v>225</v>
      </c>
      <c r="AA14" s="9" t="s">
        <v>4</v>
      </c>
    </row>
    <row r="15" spans="1:27" x14ac:dyDescent="0.25">
      <c r="A15" s="77"/>
      <c r="B15" s="1"/>
      <c r="D15" s="77"/>
      <c r="E15" s="12" t="s">
        <v>10</v>
      </c>
      <c r="F15" s="42">
        <f>($C$6*$D$6*F11+$C$7*$D$7*F12+$C$8*$D$8*F13+$C$9*$D$9*F14)/$D$10</f>
        <v>206.36363636363637</v>
      </c>
      <c r="G15" s="9" t="s">
        <v>4</v>
      </c>
      <c r="I15" s="12" t="s">
        <v>10</v>
      </c>
      <c r="J15" s="42">
        <f>($C$6*$D$6*J11+$C$7*$D$7*J12+$C$8*$D$8*J13+$C$9*$D$9*J14)/$D$10</f>
        <v>206.36363636363637</v>
      </c>
      <c r="K15" s="9" t="s">
        <v>4</v>
      </c>
      <c r="M15" s="12" t="s">
        <v>10</v>
      </c>
      <c r="N15" s="42">
        <f>($C$6*$D$6*N11+$C$7*$D$7*N12+$C$8*$D$8*N13+$C$9*$D$9*N14)/$D$10</f>
        <v>230.72727272727272</v>
      </c>
      <c r="O15" s="9" t="s">
        <v>4</v>
      </c>
      <c r="P15" s="8"/>
      <c r="Q15" s="12" t="s">
        <v>10</v>
      </c>
      <c r="R15" s="42">
        <f>($C$6*$D$6*R11+$C$7*$D$7*R12+$C$8*$D$8*R13+$C$9*$D$9*R14)/$D$10</f>
        <v>230.72727272727272</v>
      </c>
      <c r="S15" s="9" t="s">
        <v>4</v>
      </c>
      <c r="U15" s="12" t="s">
        <v>10</v>
      </c>
      <c r="V15" s="42">
        <f>($C$6*$D$6*V11+$C$7*$D$7*V12+$C$8*$D$8*V13+$C$9*$D$9*V14)/$D$10</f>
        <v>226.36363636363637</v>
      </c>
      <c r="W15" s="9" t="s">
        <v>4</v>
      </c>
      <c r="Y15" s="12" t="s">
        <v>10</v>
      </c>
      <c r="Z15" s="42">
        <f>($C$6*$D$6*Z11+$C$7*$D$7*Z12+$C$8*$D$8*Z13+$C$9*$D$9*Z14)/$D$10</f>
        <v>226.36363636363637</v>
      </c>
      <c r="AA15" s="9" t="s">
        <v>4</v>
      </c>
    </row>
    <row r="16" spans="1:27" x14ac:dyDescent="0.25">
      <c r="B16" s="1"/>
      <c r="E16" s="7"/>
      <c r="F16" s="8"/>
      <c r="G16" s="9"/>
      <c r="I16" s="7"/>
      <c r="J16" s="8"/>
      <c r="K16" s="9"/>
      <c r="M16" s="7"/>
      <c r="N16" s="8"/>
      <c r="O16" s="9"/>
      <c r="P16" s="8"/>
      <c r="Q16" s="7"/>
      <c r="R16" s="8"/>
      <c r="S16" s="9"/>
      <c r="U16" s="7"/>
      <c r="V16" s="8"/>
      <c r="W16" s="9"/>
      <c r="Y16" s="7"/>
      <c r="Z16" s="8"/>
      <c r="AA16" s="9"/>
    </row>
    <row r="17" spans="5:27" x14ac:dyDescent="0.25">
      <c r="E17" s="7" t="s">
        <v>5</v>
      </c>
      <c r="F17" s="8" t="s">
        <v>8</v>
      </c>
      <c r="G17" s="13" t="s">
        <v>9</v>
      </c>
      <c r="I17" s="7" t="s">
        <v>5</v>
      </c>
      <c r="J17" s="8" t="s">
        <v>8</v>
      </c>
      <c r="K17" s="13" t="s">
        <v>9</v>
      </c>
      <c r="M17" s="7" t="s">
        <v>5</v>
      </c>
      <c r="N17" s="8" t="s">
        <v>8</v>
      </c>
      <c r="O17" s="13" t="s">
        <v>9</v>
      </c>
      <c r="P17" s="10"/>
      <c r="Q17" s="7" t="s">
        <v>5</v>
      </c>
      <c r="R17" s="8" t="s">
        <v>8</v>
      </c>
      <c r="S17" s="13" t="s">
        <v>9</v>
      </c>
      <c r="U17" s="7" t="s">
        <v>5</v>
      </c>
      <c r="V17" s="8" t="s">
        <v>8</v>
      </c>
      <c r="W17" s="13" t="s">
        <v>9</v>
      </c>
      <c r="Y17" s="7" t="s">
        <v>5</v>
      </c>
      <c r="Z17" s="8" t="s">
        <v>8</v>
      </c>
      <c r="AA17" s="13" t="s">
        <v>9</v>
      </c>
    </row>
    <row r="18" spans="5:27" x14ac:dyDescent="0.25">
      <c r="E18" s="7" t="s">
        <v>3</v>
      </c>
      <c r="F18" s="8"/>
      <c r="G18" s="13"/>
      <c r="I18" s="7" t="s">
        <v>3</v>
      </c>
      <c r="J18" s="8"/>
      <c r="K18" s="13"/>
      <c r="M18" s="7" t="s">
        <v>3</v>
      </c>
      <c r="N18" s="8"/>
      <c r="O18" s="13"/>
      <c r="P18" s="10"/>
      <c r="Q18" s="7" t="s">
        <v>3</v>
      </c>
      <c r="R18" s="8"/>
      <c r="S18" s="13"/>
      <c r="U18" s="7" t="s">
        <v>3</v>
      </c>
      <c r="V18" s="8"/>
      <c r="W18" s="13"/>
      <c r="Y18" s="7" t="s">
        <v>3</v>
      </c>
      <c r="Z18" s="8"/>
      <c r="AA18" s="13"/>
    </row>
    <row r="19" spans="5:27" x14ac:dyDescent="0.25">
      <c r="E19" s="11">
        <v>0.25</v>
      </c>
      <c r="F19" s="8">
        <f>F11*3.18</f>
        <v>699.6</v>
      </c>
      <c r="G19" s="9">
        <f>(E19*$F$6*F19)/1000</f>
        <v>139.91999999999999</v>
      </c>
      <c r="I19" s="11">
        <v>0.25</v>
      </c>
      <c r="J19" s="8">
        <f>J11*3.18</f>
        <v>699.6</v>
      </c>
      <c r="K19" s="9">
        <f>(I19*$J$6*J19)/1000</f>
        <v>139.91999999999999</v>
      </c>
      <c r="M19" s="11">
        <v>0.25</v>
      </c>
      <c r="N19" s="8">
        <f>N11*3.18</f>
        <v>795</v>
      </c>
      <c r="O19" s="19">
        <f>(M19*$N$6*N19)/1000</f>
        <v>9.9375</v>
      </c>
      <c r="P19" s="72"/>
      <c r="Q19" s="11">
        <v>0.25</v>
      </c>
      <c r="R19" s="8">
        <f>R11*3.18</f>
        <v>795</v>
      </c>
      <c r="S19" s="19">
        <f>(Q19*$N$6*R19)/1000</f>
        <v>9.9375</v>
      </c>
      <c r="U19" s="11">
        <v>0.25</v>
      </c>
      <c r="V19" s="8">
        <f>V11*3.18</f>
        <v>763.2</v>
      </c>
      <c r="W19" s="19">
        <f>(U19*$N$6*V19)/1000</f>
        <v>9.5399999999999991</v>
      </c>
      <c r="Y19" s="11">
        <v>0.25</v>
      </c>
      <c r="Z19" s="8">
        <f>Z11*3.18</f>
        <v>763.2</v>
      </c>
      <c r="AA19" s="19">
        <f>(Y19*$N$6*Z19)/1000</f>
        <v>9.5399999999999991</v>
      </c>
    </row>
    <row r="20" spans="5:27" x14ac:dyDescent="0.25">
      <c r="E20" s="11">
        <v>0.5</v>
      </c>
      <c r="F20" s="8">
        <f>F12*3.18</f>
        <v>667.80000000000007</v>
      </c>
      <c r="G20" s="9">
        <f>(E20*$F$6*F20)/1000</f>
        <v>267.12</v>
      </c>
      <c r="I20" s="11">
        <v>0.5</v>
      </c>
      <c r="J20" s="8">
        <f>J12*3.18</f>
        <v>667.80000000000007</v>
      </c>
      <c r="K20" s="9">
        <f t="shared" ref="K20:K22" si="0">(I20*$J$6*J20)/1000</f>
        <v>267.12</v>
      </c>
      <c r="M20" s="11">
        <v>0.5</v>
      </c>
      <c r="N20" s="8">
        <f>N12*3.18</f>
        <v>763.2</v>
      </c>
      <c r="O20" s="19">
        <f>(M20*$N$6*N20)/1000</f>
        <v>19.079999999999998</v>
      </c>
      <c r="P20" s="72"/>
      <c r="Q20" s="11">
        <v>0.5</v>
      </c>
      <c r="R20" s="8">
        <f>R12*3.18</f>
        <v>763.2</v>
      </c>
      <c r="S20" s="19">
        <f>(Q20*$N$6*R20)/1000</f>
        <v>19.079999999999998</v>
      </c>
      <c r="U20" s="11">
        <v>0.5</v>
      </c>
      <c r="V20" s="8">
        <f>V12*3.18</f>
        <v>731.40000000000009</v>
      </c>
      <c r="W20" s="19">
        <f>(U20*$N$6*V20)/1000</f>
        <v>18.285000000000004</v>
      </c>
      <c r="Y20" s="11">
        <v>0.5</v>
      </c>
      <c r="Z20" s="8">
        <f>Z12*3.18</f>
        <v>731.40000000000009</v>
      </c>
      <c r="AA20" s="19">
        <f>(Y20*$N$6*Z20)/1000</f>
        <v>18.285000000000004</v>
      </c>
    </row>
    <row r="21" spans="5:27" x14ac:dyDescent="0.25">
      <c r="E21" s="11">
        <v>0.75</v>
      </c>
      <c r="F21" s="8">
        <f>F13*3.18</f>
        <v>651.9</v>
      </c>
      <c r="G21" s="9">
        <f>(E21*$F$6*F21)/1000</f>
        <v>391.14</v>
      </c>
      <c r="I21" s="11">
        <v>0.75</v>
      </c>
      <c r="J21" s="8">
        <f>J13*3.18</f>
        <v>651.9</v>
      </c>
      <c r="K21" s="9">
        <f t="shared" si="0"/>
        <v>391.14</v>
      </c>
      <c r="M21" s="11">
        <v>0.75</v>
      </c>
      <c r="N21" s="8">
        <f>N13*3.18</f>
        <v>731.40000000000009</v>
      </c>
      <c r="O21" s="19">
        <f>(M21*$N$6*N21)/1000</f>
        <v>27.427500000000002</v>
      </c>
      <c r="P21" s="72"/>
      <c r="Q21" s="11">
        <v>0.75</v>
      </c>
      <c r="R21" s="8">
        <f>R13*3.18</f>
        <v>731.40000000000009</v>
      </c>
      <c r="S21" s="19">
        <f>(Q21*$N$6*R21)/1000</f>
        <v>27.427500000000002</v>
      </c>
      <c r="U21" s="11">
        <v>0.75</v>
      </c>
      <c r="V21" s="8">
        <f>V13*3.18</f>
        <v>715.5</v>
      </c>
      <c r="W21" s="19">
        <f>(U21*$N$6*V21)/1000</f>
        <v>26.831250000000001</v>
      </c>
      <c r="Y21" s="11">
        <v>0.75</v>
      </c>
      <c r="Z21" s="8">
        <f>Z13*3.18</f>
        <v>715.5</v>
      </c>
      <c r="AA21" s="19">
        <f>(Y21*$N$6*Z21)/1000</f>
        <v>26.831250000000001</v>
      </c>
    </row>
    <row r="22" spans="5:27" x14ac:dyDescent="0.25">
      <c r="E22" s="11">
        <v>1</v>
      </c>
      <c r="F22" s="8">
        <f>F14*3.18</f>
        <v>651.9</v>
      </c>
      <c r="G22" s="9">
        <f>(E22*$F$6*F22)/1000</f>
        <v>521.52</v>
      </c>
      <c r="I22" s="11">
        <v>1</v>
      </c>
      <c r="J22" s="8">
        <f>J14*3.18</f>
        <v>651.9</v>
      </c>
      <c r="K22" s="9">
        <f t="shared" si="0"/>
        <v>521.52</v>
      </c>
      <c r="M22" s="11">
        <v>1</v>
      </c>
      <c r="N22" s="8">
        <f>N14*3.18</f>
        <v>715.5</v>
      </c>
      <c r="O22" s="19">
        <f>(M22*$N$6*N22)/1000</f>
        <v>35.774999999999999</v>
      </c>
      <c r="P22" s="72"/>
      <c r="Q22" s="11">
        <v>1</v>
      </c>
      <c r="R22" s="8">
        <f>R14*3.18</f>
        <v>715.5</v>
      </c>
      <c r="S22" s="19">
        <f>(Q22*$N$6*R22)/1000</f>
        <v>35.774999999999999</v>
      </c>
      <c r="U22" s="11">
        <v>1</v>
      </c>
      <c r="V22" s="8">
        <f>V14*3.18</f>
        <v>715.5</v>
      </c>
      <c r="W22" s="19">
        <f>(U22*$N$6*V22)/1000</f>
        <v>35.774999999999999</v>
      </c>
      <c r="Y22" s="11">
        <v>1</v>
      </c>
      <c r="Z22" s="8">
        <f>Z14*3.18</f>
        <v>715.5</v>
      </c>
      <c r="AA22" s="19">
        <f>(Y22*$N$6*Z22)/1000</f>
        <v>35.774999999999999</v>
      </c>
    </row>
    <row r="23" spans="5:27" x14ac:dyDescent="0.25">
      <c r="E23" s="12" t="s">
        <v>10</v>
      </c>
      <c r="F23" s="42">
        <f>($C$6*$D$6*F19+$C$7*$D$7*F20+$C$8*$D$8*F21+$C$9*$D$9*F22)/$D$10</f>
        <v>656.23636363636354</v>
      </c>
      <c r="G23" s="14">
        <f>G19*$C$6+G20*$C$7+G21*$C$8+G22*$C$9</f>
        <v>360.92999999999995</v>
      </c>
      <c r="I23" s="12" t="s">
        <v>10</v>
      </c>
      <c r="J23" s="42">
        <f>($C$6*$D$6*J19+$C$7*$D$7*J20+$C$8*$D$8*J21+$C$9*$D$9*J22)/$D$10</f>
        <v>656.23636363636354</v>
      </c>
      <c r="K23" s="14">
        <f>K19*$C$6+K20*$C$7+K21*$C$8+K22*$C$9</f>
        <v>360.92999999999995</v>
      </c>
      <c r="M23" s="12" t="s">
        <v>10</v>
      </c>
      <c r="N23" s="42">
        <f>($C$6*$D$6*N19+$C$7*$D$7*N20+$C$8*$D$8*N21+$C$9*$D$9*N22)/$D$10</f>
        <v>733.71272727272731</v>
      </c>
      <c r="O23" s="14">
        <f>O19*$C$6+O20*$C$7+O21*$C$8+O22*$C$9</f>
        <v>25.221375000000002</v>
      </c>
      <c r="P23" s="73"/>
      <c r="Q23" s="12" t="s">
        <v>10</v>
      </c>
      <c r="R23" s="42">
        <f>($C$6*$D$6*R19+$C$7*$D$7*R20+$C$8*$D$8*R21+$C$9*$D$9*R22)/$D$10</f>
        <v>733.71272727272731</v>
      </c>
      <c r="S23" s="14">
        <f>S19*$C$6+S20*$C$7+S21*$C$8+S22*$C$9</f>
        <v>25.221375000000002</v>
      </c>
      <c r="U23" s="12" t="s">
        <v>10</v>
      </c>
      <c r="V23" s="42">
        <f>($C$6*$D$6*V19+$C$7*$D$7*V20+$C$8*$D$8*V21+$C$9*$D$9*V22)/$D$10</f>
        <v>719.83636363636367</v>
      </c>
      <c r="W23" s="14">
        <f>W19*$C$6+W20*$C$7+W21*$C$8+W22*$C$9</f>
        <v>24.744375000000002</v>
      </c>
      <c r="Y23" s="12" t="s">
        <v>10</v>
      </c>
      <c r="Z23" s="42">
        <f>($C$6*$D$6*Z19+$C$7*$D$7*Z20+$C$8*$D$8*Z21+$C$9*$D$9*Z22)/$D$10</f>
        <v>719.83636363636367</v>
      </c>
      <c r="AA23" s="14">
        <f>AA19*$C$6+AA20*$C$7+AA21*$C$8+AA22*$C$9</f>
        <v>24.744375000000002</v>
      </c>
    </row>
    <row r="24" spans="5:27" x14ac:dyDescent="0.25">
      <c r="E24" s="7"/>
      <c r="F24" s="8"/>
      <c r="G24" s="9"/>
      <c r="I24" s="7"/>
      <c r="J24" s="8"/>
      <c r="K24" s="9"/>
      <c r="M24" s="7"/>
      <c r="N24" s="8"/>
      <c r="O24" s="9"/>
      <c r="P24" s="8"/>
      <c r="Q24" s="7"/>
      <c r="R24" s="8"/>
      <c r="S24" s="9"/>
      <c r="U24" s="7"/>
      <c r="V24" s="8"/>
      <c r="W24" s="9"/>
      <c r="Y24" s="7"/>
      <c r="Z24" s="8"/>
      <c r="AA24" s="9"/>
    </row>
    <row r="25" spans="5:27" x14ac:dyDescent="0.25">
      <c r="E25" s="7" t="s">
        <v>6</v>
      </c>
      <c r="F25" s="8" t="s">
        <v>8</v>
      </c>
      <c r="G25" s="9" t="s">
        <v>9</v>
      </c>
      <c r="I25" s="7" t="s">
        <v>6</v>
      </c>
      <c r="J25" s="8" t="s">
        <v>8</v>
      </c>
      <c r="K25" s="13" t="s">
        <v>9</v>
      </c>
      <c r="M25" s="7" t="s">
        <v>6</v>
      </c>
      <c r="N25" s="8" t="s">
        <v>8</v>
      </c>
      <c r="O25" s="13" t="s">
        <v>9</v>
      </c>
      <c r="P25" s="10"/>
      <c r="Q25" s="7" t="s">
        <v>6</v>
      </c>
      <c r="R25" s="8" t="s">
        <v>8</v>
      </c>
      <c r="S25" s="13" t="s">
        <v>9</v>
      </c>
      <c r="U25" s="7" t="s">
        <v>6</v>
      </c>
      <c r="V25" s="8" t="s">
        <v>8</v>
      </c>
      <c r="W25" s="13" t="s">
        <v>9</v>
      </c>
      <c r="Y25" s="7" t="s">
        <v>6</v>
      </c>
      <c r="Z25" s="8" t="s">
        <v>8</v>
      </c>
      <c r="AA25" s="13" t="s">
        <v>9</v>
      </c>
    </row>
    <row r="26" spans="5:27" x14ac:dyDescent="0.25">
      <c r="E26" s="7" t="s">
        <v>3</v>
      </c>
      <c r="F26" s="8"/>
      <c r="G26" s="9"/>
      <c r="I26" s="7" t="s">
        <v>3</v>
      </c>
      <c r="J26" s="8"/>
      <c r="K26" s="9"/>
      <c r="M26" s="7" t="s">
        <v>3</v>
      </c>
      <c r="N26" s="8"/>
      <c r="O26" s="9"/>
      <c r="P26" s="8"/>
      <c r="Q26" s="7" t="s">
        <v>3</v>
      </c>
      <c r="R26" s="8"/>
      <c r="S26" s="9"/>
      <c r="U26" s="7" t="s">
        <v>3</v>
      </c>
      <c r="V26" s="8"/>
      <c r="W26" s="9"/>
      <c r="Y26" s="7" t="s">
        <v>3</v>
      </c>
      <c r="Z26" s="8"/>
      <c r="AA26" s="9"/>
    </row>
    <row r="27" spans="5:27" x14ac:dyDescent="0.25">
      <c r="E27" s="11">
        <v>0.25</v>
      </c>
      <c r="F27" s="44">
        <v>4.2</v>
      </c>
      <c r="G27" s="9">
        <f>(E27*$F$6*F27)/1000</f>
        <v>0.84</v>
      </c>
      <c r="I27" s="11">
        <v>0.25</v>
      </c>
      <c r="J27" s="44">
        <v>4.2</v>
      </c>
      <c r="K27" s="9">
        <f>(I27*$F$6*J27)/1000</f>
        <v>0.84</v>
      </c>
      <c r="M27" s="11">
        <v>0.25</v>
      </c>
      <c r="N27" s="44">
        <v>4.2</v>
      </c>
      <c r="O27" s="9">
        <f>(M27*$F$6*N27)/1000</f>
        <v>0.84</v>
      </c>
      <c r="P27" s="8"/>
      <c r="Q27" s="11">
        <v>0.25</v>
      </c>
      <c r="R27" s="44">
        <v>4.2</v>
      </c>
      <c r="S27" s="9">
        <f>(Q27*$F$6*R27)/1000</f>
        <v>0.84</v>
      </c>
      <c r="U27" s="11">
        <v>0.25</v>
      </c>
      <c r="V27" s="44">
        <v>4.2</v>
      </c>
      <c r="W27" s="9">
        <f>(U27*$F$6*V27)/1000</f>
        <v>0.84</v>
      </c>
      <c r="Y27" s="11">
        <v>0.25</v>
      </c>
      <c r="Z27" s="44">
        <v>4.2</v>
      </c>
      <c r="AA27" s="9">
        <f>(Y27*$F$6*Z27)/1000</f>
        <v>0.84</v>
      </c>
    </row>
    <row r="28" spans="5:27" x14ac:dyDescent="0.25">
      <c r="E28" s="11">
        <v>0.5</v>
      </c>
      <c r="F28" s="44">
        <v>4.9000000000000004</v>
      </c>
      <c r="G28" s="9">
        <f>(E28*$F$6*F28)/1000</f>
        <v>1.9600000000000002</v>
      </c>
      <c r="I28" s="11">
        <v>0.5</v>
      </c>
      <c r="J28" s="44">
        <v>4.9000000000000004</v>
      </c>
      <c r="K28" s="9">
        <f>(I28*$F$6*J28)/1000</f>
        <v>1.9600000000000002</v>
      </c>
      <c r="M28" s="11">
        <v>0.5</v>
      </c>
      <c r="N28" s="44">
        <v>4.9000000000000004</v>
      </c>
      <c r="O28" s="9">
        <f>(M28*$F$6*N28)/1000</f>
        <v>1.9600000000000002</v>
      </c>
      <c r="P28" s="8"/>
      <c r="Q28" s="11">
        <v>0.5</v>
      </c>
      <c r="R28" s="44">
        <v>4.9000000000000004</v>
      </c>
      <c r="S28" s="9">
        <f>(Q28*$F$6*R28)/1000</f>
        <v>1.9600000000000002</v>
      </c>
      <c r="U28" s="11">
        <v>0.5</v>
      </c>
      <c r="V28" s="44">
        <v>4.9000000000000004</v>
      </c>
      <c r="W28" s="9">
        <f>(U28*$F$6*V28)/1000</f>
        <v>1.9600000000000002</v>
      </c>
      <c r="Y28" s="11">
        <v>0.5</v>
      </c>
      <c r="Z28" s="44">
        <v>4.9000000000000004</v>
      </c>
      <c r="AA28" s="9">
        <f>(Y28*$F$6*Z28)/1000</f>
        <v>1.9600000000000002</v>
      </c>
    </row>
    <row r="29" spans="5:27" x14ac:dyDescent="0.25">
      <c r="E29" s="11">
        <v>0.75</v>
      </c>
      <c r="F29" s="44">
        <v>5.8</v>
      </c>
      <c r="G29" s="9">
        <f>(E29*$F$6*F29)/1000</f>
        <v>3.48</v>
      </c>
      <c r="I29" s="11">
        <v>0.75</v>
      </c>
      <c r="J29" s="44">
        <v>5.8</v>
      </c>
      <c r="K29" s="9">
        <f>(I29*$F$6*J29)/1000</f>
        <v>3.48</v>
      </c>
      <c r="M29" s="11">
        <v>0.75</v>
      </c>
      <c r="N29" s="44">
        <v>5.8</v>
      </c>
      <c r="O29" s="9">
        <f>(M29*$F$6*N29)/1000</f>
        <v>3.48</v>
      </c>
      <c r="P29" s="8"/>
      <c r="Q29" s="11">
        <v>0.75</v>
      </c>
      <c r="R29" s="44">
        <v>5.8</v>
      </c>
      <c r="S29" s="9">
        <f>(Q29*$F$6*R29)/1000</f>
        <v>3.48</v>
      </c>
      <c r="U29" s="11">
        <v>0.75</v>
      </c>
      <c r="V29" s="44">
        <v>5.8</v>
      </c>
      <c r="W29" s="9">
        <f>(U29*$F$6*V29)/1000</f>
        <v>3.48</v>
      </c>
      <c r="Y29" s="11">
        <v>0.75</v>
      </c>
      <c r="Z29" s="44">
        <v>5.8</v>
      </c>
      <c r="AA29" s="9">
        <f>(Y29*$F$6*Z29)/1000</f>
        <v>3.48</v>
      </c>
    </row>
    <row r="30" spans="5:27" x14ac:dyDescent="0.25">
      <c r="E30" s="11">
        <v>1</v>
      </c>
      <c r="F30" s="44">
        <v>6.2</v>
      </c>
      <c r="G30" s="9">
        <f>(E30*$F$6*F30)/1000</f>
        <v>4.96</v>
      </c>
      <c r="I30" s="11">
        <v>1</v>
      </c>
      <c r="J30" s="44">
        <v>6.2</v>
      </c>
      <c r="K30" s="9">
        <f>(I30*$F$6*J30)/1000</f>
        <v>4.96</v>
      </c>
      <c r="M30" s="11">
        <v>1</v>
      </c>
      <c r="N30" s="44">
        <v>6.4</v>
      </c>
      <c r="O30" s="9">
        <f>(M30*$F$6*N30)/1000</f>
        <v>5.12</v>
      </c>
      <c r="P30" s="8"/>
      <c r="Q30" s="11">
        <v>1</v>
      </c>
      <c r="R30" s="44">
        <v>6.4</v>
      </c>
      <c r="S30" s="9">
        <f>(Q30*$F$6*R30)/1000</f>
        <v>5.12</v>
      </c>
      <c r="U30" s="11">
        <v>1</v>
      </c>
      <c r="V30" s="44">
        <v>5.9</v>
      </c>
      <c r="W30" s="9">
        <f>(U30*$F$6*V30)/1000</f>
        <v>4.72</v>
      </c>
      <c r="Y30" s="11">
        <v>1</v>
      </c>
      <c r="Z30" s="44">
        <v>5.9</v>
      </c>
      <c r="AA30" s="9">
        <f>(Y30*$F$6*Z30)/1000</f>
        <v>4.72</v>
      </c>
    </row>
    <row r="31" spans="5:27" x14ac:dyDescent="0.25">
      <c r="E31" s="12" t="s">
        <v>10</v>
      </c>
      <c r="F31" s="42">
        <f>($C$6*$D$6*F27+$C$7*$D$7*F28+$C$8*$D$8*F29+$C$9*$D$9*F30)/$D$10</f>
        <v>5.7309090909090905</v>
      </c>
      <c r="G31" s="14">
        <f>G27*$C$6+G28*$C$7+G29*$C$8+G30*$C$9</f>
        <v>3.1520000000000001</v>
      </c>
      <c r="I31" s="12" t="s">
        <v>10</v>
      </c>
      <c r="J31" s="42">
        <f>($C$6*$D$6*J27+$C$7*$D$7*J28+$C$8*$D$8*J29+$C$9*$D$9*J30)/$D$10</f>
        <v>5.7309090909090905</v>
      </c>
      <c r="K31" s="14">
        <f>K27*$C$6+K28*$C$7+K29*$C$8+K30*$C$9</f>
        <v>3.1520000000000001</v>
      </c>
      <c r="M31" s="12" t="s">
        <v>10</v>
      </c>
      <c r="N31" s="42">
        <f>($C$6*$D$6*N27+$C$7*$D$7*N28+$C$8*$D$8*N29+$C$9*$D$9*N30)/$D$10</f>
        <v>5.7890909090909091</v>
      </c>
      <c r="O31" s="14">
        <f>O27*$C$6+O28*$C$7+O29*$C$8+O30*$C$9</f>
        <v>3.1840000000000002</v>
      </c>
      <c r="P31" s="73"/>
      <c r="Q31" s="12" t="s">
        <v>10</v>
      </c>
      <c r="R31" s="42">
        <f>($C$6*$D$6*R27+$C$7*$D$7*R28+$C$8*$D$8*R29+$C$9*$D$9*R30)/$D$10</f>
        <v>5.7890909090909091</v>
      </c>
      <c r="S31" s="14">
        <f>S27*$C$6+S28*$C$7+S29*$C$8+S30*$C$9</f>
        <v>3.1840000000000002</v>
      </c>
      <c r="U31" s="12" t="s">
        <v>10</v>
      </c>
      <c r="V31" s="42">
        <f>($C$6*$D$6*V27+$C$7*$D$7*V28+$C$8*$D$8*V29+$C$9*$D$9*V30)/$D$10</f>
        <v>5.6436363636363636</v>
      </c>
      <c r="W31" s="14">
        <f>W27*$C$6+W28*$C$7+W29*$C$8+W30*$C$9</f>
        <v>3.1040000000000001</v>
      </c>
      <c r="Y31" s="12" t="s">
        <v>10</v>
      </c>
      <c r="Z31" s="42">
        <f>($C$6*$D$6*Z27+$C$7*$D$7*Z28+$C$8*$D$8*Z29+$C$9*$D$9*Z30)/$D$10</f>
        <v>5.6436363636363636</v>
      </c>
      <c r="AA31" s="14">
        <f>AA27*$C$6+AA28*$C$7+AA29*$C$8+AA30*$C$9</f>
        <v>3.1040000000000001</v>
      </c>
    </row>
    <row r="32" spans="5:27" x14ac:dyDescent="0.25">
      <c r="E32" s="7"/>
      <c r="F32" s="8"/>
      <c r="G32" s="9"/>
      <c r="I32" s="7"/>
      <c r="J32" s="8"/>
      <c r="K32" s="9"/>
      <c r="M32" s="7"/>
      <c r="N32" s="8"/>
      <c r="O32" s="9"/>
      <c r="P32" s="8"/>
      <c r="Q32" s="7"/>
      <c r="R32" s="8"/>
      <c r="S32" s="9"/>
      <c r="U32" s="7"/>
      <c r="V32" s="8"/>
      <c r="W32" s="9"/>
      <c r="Y32" s="7"/>
      <c r="Z32" s="8"/>
      <c r="AA32" s="9"/>
    </row>
    <row r="33" spans="5:27" x14ac:dyDescent="0.25">
      <c r="E33" s="7" t="s">
        <v>7</v>
      </c>
      <c r="F33" s="8" t="s">
        <v>8</v>
      </c>
      <c r="G33" s="9" t="s">
        <v>9</v>
      </c>
      <c r="I33" s="7" t="s">
        <v>7</v>
      </c>
      <c r="J33" s="8" t="s">
        <v>8</v>
      </c>
      <c r="K33" s="13" t="s">
        <v>9</v>
      </c>
      <c r="M33" s="7" t="s">
        <v>7</v>
      </c>
      <c r="N33" s="8" t="s">
        <v>8</v>
      </c>
      <c r="O33" s="13" t="s">
        <v>9</v>
      </c>
      <c r="P33" s="10"/>
      <c r="Q33" s="7" t="s">
        <v>7</v>
      </c>
      <c r="R33" s="8" t="s">
        <v>8</v>
      </c>
      <c r="S33" s="13" t="s">
        <v>9</v>
      </c>
      <c r="U33" s="7" t="s">
        <v>7</v>
      </c>
      <c r="V33" s="8" t="s">
        <v>8</v>
      </c>
      <c r="W33" s="13" t="s">
        <v>9</v>
      </c>
      <c r="Y33" s="7" t="s">
        <v>7</v>
      </c>
      <c r="Z33" s="8" t="s">
        <v>8</v>
      </c>
      <c r="AA33" s="13" t="s">
        <v>9</v>
      </c>
    </row>
    <row r="34" spans="5:27" x14ac:dyDescent="0.25">
      <c r="E34" s="7" t="s">
        <v>3</v>
      </c>
      <c r="F34" s="8"/>
      <c r="G34" s="9"/>
      <c r="I34" s="7" t="s">
        <v>3</v>
      </c>
      <c r="J34" s="8"/>
      <c r="K34" s="9"/>
      <c r="M34" s="7" t="s">
        <v>3</v>
      </c>
      <c r="N34" s="8"/>
      <c r="O34" s="9"/>
      <c r="P34" s="8"/>
      <c r="Q34" s="7" t="s">
        <v>3</v>
      </c>
      <c r="R34" s="8"/>
      <c r="S34" s="9"/>
      <c r="U34" s="7" t="s">
        <v>3</v>
      </c>
      <c r="V34" s="8"/>
      <c r="W34" s="9"/>
      <c r="Y34" s="7" t="s">
        <v>3</v>
      </c>
      <c r="Z34" s="8"/>
      <c r="AA34" s="9"/>
    </row>
    <row r="35" spans="5:27" x14ac:dyDescent="0.25">
      <c r="E35" s="11">
        <v>0.25</v>
      </c>
      <c r="F35" s="44">
        <v>0.15</v>
      </c>
      <c r="G35" s="9">
        <f>(E35*$F$6*F35)/1000</f>
        <v>0.03</v>
      </c>
      <c r="I35" s="11">
        <v>0.25</v>
      </c>
      <c r="J35" s="44">
        <v>0.15</v>
      </c>
      <c r="K35" s="9">
        <f>(I35*$F$6*J35)/1000</f>
        <v>0.03</v>
      </c>
      <c r="M35" s="11">
        <v>0.25</v>
      </c>
      <c r="N35" s="44">
        <v>0.15</v>
      </c>
      <c r="O35" s="9">
        <f>(M35*$F$6*N35)/1000</f>
        <v>0.03</v>
      </c>
      <c r="P35" s="8"/>
      <c r="Q35" s="11">
        <v>0.25</v>
      </c>
      <c r="R35" s="44">
        <v>0.15</v>
      </c>
      <c r="S35" s="9">
        <f>(Q35*$F$6*R35)/1000</f>
        <v>0.03</v>
      </c>
      <c r="U35" s="11">
        <v>0.25</v>
      </c>
      <c r="V35" s="44">
        <v>0.15</v>
      </c>
      <c r="W35" s="9">
        <f>(U35*$F$6*V35)/1000</f>
        <v>0.03</v>
      </c>
      <c r="Y35" s="11">
        <v>0.25</v>
      </c>
      <c r="Z35" s="44">
        <v>0.15</v>
      </c>
      <c r="AA35" s="9">
        <f>(Y35*$F$6*Z35)/1000</f>
        <v>0.03</v>
      </c>
    </row>
    <row r="36" spans="5:27" x14ac:dyDescent="0.25">
      <c r="E36" s="11">
        <v>0.5</v>
      </c>
      <c r="F36" s="44">
        <v>0.15</v>
      </c>
      <c r="G36" s="9">
        <f>(E36*$F$6*F36)/1000</f>
        <v>0.06</v>
      </c>
      <c r="I36" s="11">
        <v>0.5</v>
      </c>
      <c r="J36" s="44">
        <v>0.15</v>
      </c>
      <c r="K36" s="9">
        <f>(I36*$F$6*J36)/1000</f>
        <v>0.06</v>
      </c>
      <c r="M36" s="11">
        <v>0.5</v>
      </c>
      <c r="N36" s="44">
        <v>0.15</v>
      </c>
      <c r="O36" s="9">
        <f>(M36*$F$6*N36)/1000</f>
        <v>0.06</v>
      </c>
      <c r="P36" s="8"/>
      <c r="Q36" s="11">
        <v>0.5</v>
      </c>
      <c r="R36" s="44">
        <v>0.15</v>
      </c>
      <c r="S36" s="9">
        <f>(Q36*$F$6*R36)/1000</f>
        <v>0.06</v>
      </c>
      <c r="U36" s="11">
        <v>0.5</v>
      </c>
      <c r="V36" s="44">
        <v>0.15</v>
      </c>
      <c r="W36" s="9">
        <f>(U36*$F$6*V36)/1000</f>
        <v>0.06</v>
      </c>
      <c r="Y36" s="11">
        <v>0.5</v>
      </c>
      <c r="Z36" s="44">
        <v>0.15</v>
      </c>
      <c r="AA36" s="9">
        <f>(Y36*$F$6*Z36)/1000</f>
        <v>0.06</v>
      </c>
    </row>
    <row r="37" spans="5:27" x14ac:dyDescent="0.25">
      <c r="E37" s="11">
        <v>0.75</v>
      </c>
      <c r="F37" s="44">
        <v>0.12</v>
      </c>
      <c r="G37" s="9">
        <f>(E37*$F$6*F37)/1000</f>
        <v>7.1999999999999995E-2</v>
      </c>
      <c r="I37" s="11">
        <v>0.75</v>
      </c>
      <c r="J37" s="44">
        <v>0.12</v>
      </c>
      <c r="K37" s="9">
        <f>(I37*$F$6*J37)/1000</f>
        <v>7.1999999999999995E-2</v>
      </c>
      <c r="M37" s="11">
        <v>0.75</v>
      </c>
      <c r="N37" s="44">
        <v>0.12</v>
      </c>
      <c r="O37" s="9">
        <f>(M37*$F$6*N37)/1000</f>
        <v>7.1999999999999995E-2</v>
      </c>
      <c r="P37" s="8"/>
      <c r="Q37" s="11">
        <v>0.75</v>
      </c>
      <c r="R37" s="44">
        <v>0.12</v>
      </c>
      <c r="S37" s="9">
        <f>(Q37*$F$6*R37)/1000</f>
        <v>7.1999999999999995E-2</v>
      </c>
      <c r="U37" s="11">
        <v>0.75</v>
      </c>
      <c r="V37" s="44">
        <v>0.12</v>
      </c>
      <c r="W37" s="9">
        <f>(U37*$F$6*V37)/1000</f>
        <v>7.1999999999999995E-2</v>
      </c>
      <c r="Y37" s="11">
        <v>0.75</v>
      </c>
      <c r="Z37" s="44">
        <v>0.12</v>
      </c>
      <c r="AA37" s="9">
        <f>(Y37*$F$6*Z37)/1000</f>
        <v>7.1999999999999995E-2</v>
      </c>
    </row>
    <row r="38" spans="5:27" x14ac:dyDescent="0.25">
      <c r="E38" s="11">
        <v>1</v>
      </c>
      <c r="F38" s="45">
        <v>0.2</v>
      </c>
      <c r="G38" s="15">
        <f>(E38*$F$6*F38)/1000</f>
        <v>0.16</v>
      </c>
      <c r="I38" s="11">
        <v>1</v>
      </c>
      <c r="J38" s="45">
        <v>0.2</v>
      </c>
      <c r="K38" s="15">
        <f>(I38*$F$6*J38)/1000</f>
        <v>0.16</v>
      </c>
      <c r="M38" s="11">
        <v>1</v>
      </c>
      <c r="N38" s="45">
        <v>0.2</v>
      </c>
      <c r="O38" s="15">
        <f>(M38*$F$6*N38)/1000</f>
        <v>0.16</v>
      </c>
      <c r="P38" s="74"/>
      <c r="Q38" s="11">
        <v>1</v>
      </c>
      <c r="R38" s="45">
        <v>0.2</v>
      </c>
      <c r="S38" s="15">
        <f>(Q38*$F$6*R38)/1000</f>
        <v>0.16</v>
      </c>
      <c r="U38" s="11">
        <v>1</v>
      </c>
      <c r="V38" s="45">
        <v>0.2</v>
      </c>
      <c r="W38" s="15">
        <f>(U38*$F$6*V38)/1000</f>
        <v>0.16</v>
      </c>
      <c r="Y38" s="11">
        <v>1</v>
      </c>
      <c r="Z38" s="45">
        <v>0.2</v>
      </c>
      <c r="AA38" s="15">
        <f>(Y38*$F$6*Z38)/1000</f>
        <v>0.16</v>
      </c>
    </row>
    <row r="39" spans="5:27" ht="15.75" thickBot="1" x14ac:dyDescent="0.3">
      <c r="E39" s="16" t="s">
        <v>10</v>
      </c>
      <c r="F39" s="43">
        <f>($C$6*$D$6*F35+$C$7*$D$7*F36+$C$8*$D$8*F37+$C$9*$D$9*F38)/$D$10</f>
        <v>0.14818181818181819</v>
      </c>
      <c r="G39" s="89">
        <f>G35*$C$6+G36*$C$7+G37*$C$8+G38*$C$9</f>
        <v>8.1499999999999989E-2</v>
      </c>
      <c r="I39" s="16" t="s">
        <v>10</v>
      </c>
      <c r="J39" s="43">
        <f>($C$6*$D$6*J35+$C$7*$D$7*J36+$C$8*$D$8*J37+$C$9*$D$9*J38)/$D$10</f>
        <v>0.14818181818181819</v>
      </c>
      <c r="K39" s="89">
        <f>K35*$C$6+K36*$C$7+K37*$C$8+K38*$C$9</f>
        <v>8.1499999999999989E-2</v>
      </c>
      <c r="M39" s="16" t="s">
        <v>10</v>
      </c>
      <c r="N39" s="43">
        <f>($C$6*$D$6*N35+$C$7*$D$7*N36+$C$8*$D$8*N37+$C$9*$D$9*N38)/$D$10</f>
        <v>0.14818181818181819</v>
      </c>
      <c r="O39" s="89">
        <f>O35*$C$6+O36*$C$7+O37*$C$8+O38*$C$9</f>
        <v>8.1499999999999989E-2</v>
      </c>
      <c r="P39" s="75"/>
      <c r="Q39" s="16" t="s">
        <v>10</v>
      </c>
      <c r="R39" s="43">
        <f>($C$6*$D$6*R35+$C$7*$D$7*R36+$C$8*$D$8*R37+$C$9*$D$9*R38)/$D$10</f>
        <v>0.14818181818181819</v>
      </c>
      <c r="S39" s="89">
        <f>S35*$C$6+S36*$C$7+S37*$C$8+S38*$C$9</f>
        <v>8.1499999999999989E-2</v>
      </c>
      <c r="U39" s="16" t="s">
        <v>10</v>
      </c>
      <c r="V39" s="43">
        <f>($C$6*$D$6*V35+$C$7*$D$7*V36+$C$8*$D$8*V37+$C$9*$D$9*V38)/$D$10</f>
        <v>0.14818181818181819</v>
      </c>
      <c r="W39" s="89">
        <f>W35*$C$6+W36*$C$7+W37*$C$8+W38*$C$9</f>
        <v>8.1499999999999989E-2</v>
      </c>
      <c r="Y39" s="16" t="s">
        <v>10</v>
      </c>
      <c r="Z39" s="43">
        <f>($C$6*$D$6*Z35+$C$7*$D$7*Z36+$C$8*$D$8*Z37+$C$9*$D$9*Z38)/$D$10</f>
        <v>0.14818181818181819</v>
      </c>
      <c r="AA39" s="89">
        <f>AA35*$C$6+AA36*$C$7+AA37*$C$8+AA38*$C$9</f>
        <v>8.1499999999999989E-2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0"/>
  <sheetViews>
    <sheetView workbookViewId="0">
      <selection activeCell="A9" sqref="A9:XFD10"/>
    </sheetView>
  </sheetViews>
  <sheetFormatPr defaultRowHeight="15" x14ac:dyDescent="0.25"/>
  <cols>
    <col min="2" max="2" width="40.140625" customWidth="1"/>
    <col min="3" max="3" width="51.140625" customWidth="1"/>
  </cols>
  <sheetData>
    <row r="1" spans="2:3" ht="15.75" thickBot="1" x14ac:dyDescent="0.3"/>
    <row r="2" spans="2:3" ht="17.100000000000001" customHeight="1" thickBot="1" x14ac:dyDescent="0.3">
      <c r="B2" s="29" t="s">
        <v>50</v>
      </c>
      <c r="C2" s="30" t="s">
        <v>51</v>
      </c>
    </row>
    <row r="3" spans="2:3" ht="15" customHeight="1" thickBot="1" x14ac:dyDescent="0.3">
      <c r="B3" s="31" t="s">
        <v>52</v>
      </c>
      <c r="C3" s="32" t="s">
        <v>53</v>
      </c>
    </row>
    <row r="4" spans="2:3" ht="15" customHeight="1" thickBot="1" x14ac:dyDescent="0.3">
      <c r="B4" s="31" t="s">
        <v>54</v>
      </c>
      <c r="C4" s="32" t="s">
        <v>55</v>
      </c>
    </row>
    <row r="5" spans="2:3" ht="15.75" thickBot="1" x14ac:dyDescent="0.3">
      <c r="B5" s="31" t="s">
        <v>56</v>
      </c>
      <c r="C5" s="32" t="s">
        <v>57</v>
      </c>
    </row>
    <row r="6" spans="2:3" ht="15.75" thickBot="1" x14ac:dyDescent="0.3">
      <c r="B6" s="31" t="s">
        <v>48</v>
      </c>
      <c r="C6" s="32" t="s">
        <v>58</v>
      </c>
    </row>
    <row r="7" spans="2:3" ht="15.75" thickBot="1" x14ac:dyDescent="0.3">
      <c r="B7" s="31" t="s">
        <v>59</v>
      </c>
      <c r="C7" s="32" t="s">
        <v>60</v>
      </c>
    </row>
    <row r="8" spans="2:3" ht="15.75" thickBot="1" x14ac:dyDescent="0.3"/>
    <row r="9" spans="2:3" ht="58.5" customHeight="1" x14ac:dyDescent="0.25">
      <c r="B9" s="112" t="s">
        <v>61</v>
      </c>
      <c r="C9" s="33" t="s">
        <v>62</v>
      </c>
    </row>
    <row r="10" spans="2:3" ht="15.75" x14ac:dyDescent="0.25">
      <c r="B10" s="113"/>
      <c r="C10" s="34" t="s">
        <v>63</v>
      </c>
    </row>
    <row r="11" spans="2:3" ht="16.5" thickBot="1" x14ac:dyDescent="0.3">
      <c r="B11" s="114"/>
      <c r="C11" s="35" t="s">
        <v>64</v>
      </c>
    </row>
    <row r="12" spans="2:3" ht="19.5" customHeight="1" thickTop="1" x14ac:dyDescent="0.25">
      <c r="B12" s="115">
        <v>0</v>
      </c>
      <c r="C12" s="36">
        <v>0</v>
      </c>
    </row>
    <row r="13" spans="2:3" ht="20.25" thickBot="1" x14ac:dyDescent="0.3">
      <c r="B13" s="116"/>
      <c r="C13" s="37" t="s">
        <v>65</v>
      </c>
    </row>
    <row r="14" spans="2:3" ht="19.5" x14ac:dyDescent="0.25">
      <c r="B14" s="117">
        <v>1</v>
      </c>
      <c r="C14" s="36" t="s">
        <v>66</v>
      </c>
    </row>
    <row r="15" spans="2:3" ht="19.5" x14ac:dyDescent="0.25">
      <c r="B15" s="118"/>
      <c r="C15" s="36" t="s">
        <v>67</v>
      </c>
    </row>
    <row r="16" spans="2:3" ht="21.75" x14ac:dyDescent="0.25">
      <c r="B16" s="118"/>
      <c r="C16" s="36" t="s">
        <v>68</v>
      </c>
    </row>
    <row r="17" spans="2:3" ht="15.75" thickBot="1" x14ac:dyDescent="0.3">
      <c r="B17" s="119"/>
      <c r="C17" s="38" t="s">
        <v>69</v>
      </c>
    </row>
    <row r="18" spans="2:3" ht="19.5" x14ac:dyDescent="0.25">
      <c r="B18" s="120">
        <v>2</v>
      </c>
      <c r="C18" s="36" t="s">
        <v>70</v>
      </c>
    </row>
    <row r="19" spans="2:3" ht="19.5" x14ac:dyDescent="0.25">
      <c r="B19" s="121"/>
      <c r="C19" s="36" t="s">
        <v>67</v>
      </c>
    </row>
    <row r="20" spans="2:3" ht="21.75" x14ac:dyDescent="0.25">
      <c r="B20" s="121"/>
      <c r="C20" s="36" t="s">
        <v>68</v>
      </c>
    </row>
    <row r="21" spans="2:3" ht="15.75" thickBot="1" x14ac:dyDescent="0.3">
      <c r="B21" s="122"/>
      <c r="C21" s="38" t="s">
        <v>71</v>
      </c>
    </row>
    <row r="22" spans="2:3" ht="19.5" x14ac:dyDescent="0.25">
      <c r="B22" s="123">
        <v>3</v>
      </c>
      <c r="C22" s="36" t="s">
        <v>72</v>
      </c>
    </row>
    <row r="23" spans="2:3" ht="19.5" x14ac:dyDescent="0.25">
      <c r="B23" s="124"/>
      <c r="C23" s="36" t="s">
        <v>73</v>
      </c>
    </row>
    <row r="24" spans="2:3" ht="29.25" thickBot="1" x14ac:dyDescent="0.3">
      <c r="B24" s="125"/>
      <c r="C24" s="38" t="s">
        <v>74</v>
      </c>
    </row>
    <row r="25" spans="2:3" ht="19.5" x14ac:dyDescent="0.25">
      <c r="B25" s="126">
        <v>4</v>
      </c>
      <c r="C25" s="36" t="s">
        <v>75</v>
      </c>
    </row>
    <row r="26" spans="2:3" ht="19.5" x14ac:dyDescent="0.25">
      <c r="B26" s="127"/>
      <c r="C26" s="36" t="s">
        <v>76</v>
      </c>
    </row>
    <row r="27" spans="2:3" ht="20.25" thickBot="1" x14ac:dyDescent="0.3">
      <c r="B27" s="128"/>
      <c r="C27" s="39" t="s">
        <v>77</v>
      </c>
    </row>
    <row r="28" spans="2:3" ht="19.5" x14ac:dyDescent="0.25">
      <c r="B28" s="109">
        <v>5</v>
      </c>
      <c r="C28" s="36" t="s">
        <v>78</v>
      </c>
    </row>
    <row r="29" spans="2:3" ht="19.5" x14ac:dyDescent="0.25">
      <c r="B29" s="110"/>
      <c r="C29" s="36" t="s">
        <v>79</v>
      </c>
    </row>
    <row r="30" spans="2:3" ht="20.25" thickBot="1" x14ac:dyDescent="0.3">
      <c r="B30" s="111"/>
      <c r="C30" s="39" t="s">
        <v>80</v>
      </c>
    </row>
  </sheetData>
  <mergeCells count="7">
    <mergeCell ref="B28:B30"/>
    <mergeCell ref="B9:B11"/>
    <mergeCell ref="B12:B13"/>
    <mergeCell ref="B14:B17"/>
    <mergeCell ref="B18:B21"/>
    <mergeCell ref="B22:B24"/>
    <mergeCell ref="B25:B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zoomScale="150" zoomScaleNormal="150" workbookViewId="0">
      <selection activeCell="M28" sqref="M28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C0EAC1F3A3546B7C90EED714DD526" ma:contentTypeVersion="4" ma:contentTypeDescription="Een nieuw document maken." ma:contentTypeScope="" ma:versionID="5fb433657a18901611466e23710125a3">
  <xsd:schema xmlns:xsd="http://www.w3.org/2001/XMLSchema" xmlns:xs="http://www.w3.org/2001/XMLSchema" xmlns:p="http://schemas.microsoft.com/office/2006/metadata/properties" xmlns:ns2="6aaa5414-8422-418e-9750-476df7a67e9b" targetNamespace="http://schemas.microsoft.com/office/2006/metadata/properties" ma:root="true" ma:fieldsID="edfa8d10557e88f005c73e69b81d708b" ns2:_="">
    <xsd:import namespace="6aaa5414-8422-418e-9750-476df7a67e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a5414-8422-418e-9750-476df7a67e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225A60-1F16-42FA-9613-09BC92FB9C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a5414-8422-418e-9750-476df7a67e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48F127-C9B4-4A41-BE84-68213E84FB0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6aaa5414-8422-418e-9750-476df7a67e9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A901B1-2BFF-4A25-B9B6-0D3819F2AB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Emissie paspoort voorbeeld</vt:lpstr>
      <vt:lpstr>Gegevens inzet schip</vt:lpstr>
      <vt:lpstr>Basis gegevens motoren</vt:lpstr>
      <vt:lpstr>Bijlage_Label waarden</vt:lpstr>
      <vt:lpstr>Bijlage_specifiek verbruik BSFC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jenny.wang@minienw.nl</dc:creator>
  <cp:lastModifiedBy>Wijk, G.P. van der (Peter) - IBI-FenI</cp:lastModifiedBy>
  <dcterms:created xsi:type="dcterms:W3CDTF">2021-01-21T09:53:18Z</dcterms:created>
  <dcterms:modified xsi:type="dcterms:W3CDTF">2021-05-07T09:05:35Z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0x01010012CC0EAC1F3A3546B7C90EED714DD526</vt:lpwstr>
  </property>
</Properties>
</file>