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SD\Projecten\Inkoop\Trajecten\2021\Trajecten\SIW008820 - Brandverzekering\1. PvE\"/>
    </mc:Choice>
  </mc:AlternateContent>
  <xr:revisionPtr revIDLastSave="0" documentId="8_{CD7BDE6C-15E4-433F-90D7-15B2F724D6F3}" xr6:coauthVersionLast="45" xr6:coauthVersionMax="45" xr10:uidLastSave="{00000000-0000-0000-0000-000000000000}"/>
  <bookViews>
    <workbookView xWindow="-120" yWindow="-120" windowWidth="38640" windowHeight="21240" firstSheet="2" activeTab="2" xr2:uid="{00000000-000D-0000-FFFF-FFFF00000000}"/>
  </bookViews>
  <sheets>
    <sheet name="dec.18 aangeleverde specif." sheetId="7" r:id="rId1"/>
    <sheet name=" specificatie Concordia jan.19" sheetId="6" r:id="rId2"/>
    <sheet name="startpunt 31-12-2018 gecorrigee" sheetId="8" r:id="rId3"/>
    <sheet name="Mutaties" sheetId="9" r:id="rId4"/>
  </sheets>
  <definedNames>
    <definedName name="_xlnm._FilterDatabase" localSheetId="2" hidden="1">'startpunt 31-12-2018 gecorrigee'!$A$3:$AT$46</definedName>
    <definedName name="_xlnm.Print_Area" localSheetId="2">'startpunt 31-12-2018 gecorrigee'!$D$2:$BN$64</definedName>
    <definedName name="_xlnm.Print_Titles" localSheetId="2">'startpunt 31-12-2018 gecorrigee'!$3:$5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10" i="8" l="1"/>
  <c r="AZ17" i="8"/>
  <c r="BN17" i="8" s="1"/>
  <c r="BG8" i="8" l="1"/>
  <c r="AY9" i="8"/>
  <c r="AZ9" i="8" s="1"/>
  <c r="AY10" i="8"/>
  <c r="AZ10" i="8" s="1"/>
  <c r="BN10" i="8" s="1"/>
  <c r="AY11" i="8"/>
  <c r="AZ11" i="8" s="1"/>
  <c r="BN11" i="8" s="1"/>
  <c r="AY12" i="8"/>
  <c r="AZ12" i="8" s="1"/>
  <c r="BN12" i="8" s="1"/>
  <c r="AY54" i="8"/>
  <c r="AZ54" i="8" s="1"/>
  <c r="BN54" i="8" s="1"/>
  <c r="AY8" i="8"/>
  <c r="BN8" i="8" s="1"/>
  <c r="AI46" i="8" l="1"/>
  <c r="AI58" i="8"/>
  <c r="BE50" i="8"/>
  <c r="BG50" i="8" s="1"/>
  <c r="BE51" i="8"/>
  <c r="BG51" i="8" s="1"/>
  <c r="BE52" i="8"/>
  <c r="BG52" i="8" s="1"/>
  <c r="BH52" i="8" s="1"/>
  <c r="BE53" i="8"/>
  <c r="BG53" i="8" s="1"/>
  <c r="BH53" i="8" s="1"/>
  <c r="BE54" i="8"/>
  <c r="BG54" i="8" s="1"/>
  <c r="BE55" i="8"/>
  <c r="BG55" i="8" s="1"/>
  <c r="BH55" i="8" s="1"/>
  <c r="BE56" i="8"/>
  <c r="BG56" i="8" s="1"/>
  <c r="BH56" i="8" s="1"/>
  <c r="BE57" i="8"/>
  <c r="BG57" i="8" s="1"/>
  <c r="BH57" i="8" s="1"/>
  <c r="BE49" i="8"/>
  <c r="BG49" i="8" s="1"/>
  <c r="BE15" i="8"/>
  <c r="BG15" i="8" s="1"/>
  <c r="BH15" i="8" s="1"/>
  <c r="BH46" i="8" s="1"/>
  <c r="BE16" i="8"/>
  <c r="BG16" i="8" s="1"/>
  <c r="BE21" i="8"/>
  <c r="BG21" i="8" s="1"/>
  <c r="BH21" i="8" s="1"/>
  <c r="BE29" i="8"/>
  <c r="BG29" i="8" s="1"/>
  <c r="BH29" i="8" s="1"/>
  <c r="BE41" i="8"/>
  <c r="BG41" i="8" s="1"/>
  <c r="BH41" i="8" s="1"/>
  <c r="BE9" i="8"/>
  <c r="BG9" i="8" s="1"/>
  <c r="BN9" i="8" s="1"/>
  <c r="AX50" i="8"/>
  <c r="AY50" i="8" s="1"/>
  <c r="BN50" i="8" s="1"/>
  <c r="AX51" i="8"/>
  <c r="AY51" i="8" s="1"/>
  <c r="AZ51" i="8" s="1"/>
  <c r="AX52" i="8"/>
  <c r="AY52" i="8" s="1"/>
  <c r="AZ52" i="8" s="1"/>
  <c r="BN52" i="8" s="1"/>
  <c r="AX53" i="8"/>
  <c r="AY53" i="8" s="1"/>
  <c r="AZ53" i="8" s="1"/>
  <c r="BN53" i="8" s="1"/>
  <c r="AX55" i="8"/>
  <c r="AY55" i="8" s="1"/>
  <c r="AZ55" i="8" s="1"/>
  <c r="AX56" i="8"/>
  <c r="AY56" i="8" s="1"/>
  <c r="AZ56" i="8" s="1"/>
  <c r="BN56" i="8" s="1"/>
  <c r="AX57" i="8"/>
  <c r="AY57" i="8" s="1"/>
  <c r="AZ57" i="8" s="1"/>
  <c r="BN57" i="8" s="1"/>
  <c r="AX49" i="8"/>
  <c r="AY49" i="8" s="1"/>
  <c r="AZ49" i="8" s="1"/>
  <c r="AX13" i="8"/>
  <c r="AX14" i="8"/>
  <c r="AX15" i="8"/>
  <c r="AY15" i="8" s="1"/>
  <c r="AZ15" i="8" s="1"/>
  <c r="BN15" i="8" s="1"/>
  <c r="AX16" i="8"/>
  <c r="AY16" i="8" s="1"/>
  <c r="AZ16" i="8" s="1"/>
  <c r="BN16" i="8" s="1"/>
  <c r="AX17" i="8"/>
  <c r="AX18" i="8"/>
  <c r="AX19" i="8"/>
  <c r="AX20" i="8"/>
  <c r="AX21" i="8"/>
  <c r="AY21" i="8" s="1"/>
  <c r="AZ21" i="8" s="1"/>
  <c r="BN21" i="8" s="1"/>
  <c r="AX22" i="8"/>
  <c r="AX23" i="8"/>
  <c r="AX24" i="8"/>
  <c r="AY24" i="8" s="1"/>
  <c r="AZ24" i="8" s="1"/>
  <c r="BN24" i="8" s="1"/>
  <c r="AX25" i="8"/>
  <c r="AX26" i="8"/>
  <c r="AX27" i="8"/>
  <c r="AY27" i="8" s="1"/>
  <c r="AZ27" i="8" s="1"/>
  <c r="BN27" i="8" s="1"/>
  <c r="AX28" i="8"/>
  <c r="AX29" i="8"/>
  <c r="AY29" i="8" s="1"/>
  <c r="AZ29" i="8" s="1"/>
  <c r="BN29" i="8" s="1"/>
  <c r="AX30" i="8"/>
  <c r="AX31" i="8"/>
  <c r="AX32" i="8"/>
  <c r="AY32" i="8" s="1"/>
  <c r="AZ32" i="8" s="1"/>
  <c r="BN32" i="8" s="1"/>
  <c r="AX33" i="8"/>
  <c r="AX34" i="8"/>
  <c r="AX35" i="8"/>
  <c r="AX36" i="8"/>
  <c r="AX37" i="8"/>
  <c r="AY37" i="8" s="1"/>
  <c r="AZ37" i="8" s="1"/>
  <c r="BN37" i="8" s="1"/>
  <c r="AX38" i="8"/>
  <c r="AX39" i="8"/>
  <c r="AX40" i="8"/>
  <c r="AX41" i="8"/>
  <c r="AY41" i="8" s="1"/>
  <c r="AZ41" i="8" s="1"/>
  <c r="AX42" i="8"/>
  <c r="AX43" i="8"/>
  <c r="AX44" i="8"/>
  <c r="AX45" i="8"/>
  <c r="AX7" i="8"/>
  <c r="AY7" i="8" s="1"/>
  <c r="AZ7" i="8" s="1"/>
  <c r="BN41" i="8" l="1"/>
  <c r="BN55" i="8"/>
  <c r="BN49" i="8"/>
  <c r="AZ58" i="8"/>
  <c r="BN7" i="8"/>
  <c r="BN51" i="8"/>
  <c r="BH58" i="8"/>
  <c r="BH60" i="8" s="1"/>
  <c r="BG58" i="8"/>
  <c r="BG60" i="8" s="1"/>
  <c r="AY58" i="8"/>
  <c r="BG46" i="8"/>
  <c r="AY38" i="8"/>
  <c r="AZ38" i="8" s="1"/>
  <c r="BN38" i="8" s="1"/>
  <c r="AY31" i="8"/>
  <c r="AZ31" i="8" s="1"/>
  <c r="BN31" i="8" s="1"/>
  <c r="AY23" i="8"/>
  <c r="AZ23" i="8" s="1"/>
  <c r="BN23" i="8" s="1"/>
  <c r="AY19" i="8"/>
  <c r="AZ19" i="8" s="1"/>
  <c r="BN19" i="8" s="1"/>
  <c r="AY45" i="8"/>
  <c r="AZ45" i="8" s="1"/>
  <c r="BN45" i="8" s="1"/>
  <c r="AY30" i="8"/>
  <c r="AZ30" i="8" s="1"/>
  <c r="BN30" i="8" s="1"/>
  <c r="AY26" i="8"/>
  <c r="AZ26" i="8" s="1"/>
  <c r="BN26" i="8" s="1"/>
  <c r="AY14" i="8"/>
  <c r="AZ14" i="8" s="1"/>
  <c r="BN14" i="8" s="1"/>
  <c r="AY40" i="8"/>
  <c r="AZ40" i="8" s="1"/>
  <c r="BN40" i="8" s="1"/>
  <c r="AY43" i="8"/>
  <c r="AZ43" i="8" s="1"/>
  <c r="BN43" i="8" s="1"/>
  <c r="AY39" i="8"/>
  <c r="AZ39" i="8" s="1"/>
  <c r="BN39" i="8" s="1"/>
  <c r="AY35" i="8"/>
  <c r="AZ35" i="8" s="1"/>
  <c r="BN35" i="8" s="1"/>
  <c r="AY28" i="8"/>
  <c r="AZ28" i="8" s="1"/>
  <c r="BN28" i="8" s="1"/>
  <c r="AY20" i="8"/>
  <c r="AZ20" i="8" s="1"/>
  <c r="BN20" i="8" s="1"/>
  <c r="AY42" i="8"/>
  <c r="AZ42" i="8" s="1"/>
  <c r="BN42" i="8" s="1"/>
  <c r="AY34" i="8"/>
  <c r="AZ34" i="8" s="1"/>
  <c r="BN34" i="8" s="1"/>
  <c r="AY22" i="8"/>
  <c r="BN22" i="8" s="1"/>
  <c r="AY18" i="8"/>
  <c r="AZ18" i="8" s="1"/>
  <c r="BN18" i="8" s="1"/>
  <c r="AY44" i="8"/>
  <c r="AZ44" i="8" s="1"/>
  <c r="BN44" i="8" s="1"/>
  <c r="AY36" i="8"/>
  <c r="AZ36" i="8" s="1"/>
  <c r="BN36" i="8" s="1"/>
  <c r="AY33" i="8"/>
  <c r="AZ33" i="8" s="1"/>
  <c r="BN33" i="8" s="1"/>
  <c r="AY25" i="8"/>
  <c r="AZ25" i="8" s="1"/>
  <c r="BN25" i="8" s="1"/>
  <c r="AY13" i="8"/>
  <c r="AZ13" i="8" s="1"/>
  <c r="BN13" i="8" s="1"/>
  <c r="AX58" i="8"/>
  <c r="BE46" i="8"/>
  <c r="AX46" i="8"/>
  <c r="BE58" i="8"/>
  <c r="AK58" i="8"/>
  <c r="AG58" i="8"/>
  <c r="AQ58" i="8"/>
  <c r="AO58" i="8"/>
  <c r="AF58" i="8"/>
  <c r="P58" i="8"/>
  <c r="N58" i="8"/>
  <c r="K58" i="8"/>
  <c r="J58" i="8"/>
  <c r="AR57" i="8"/>
  <c r="AM57" i="8"/>
  <c r="AH57" i="8"/>
  <c r="V57" i="8"/>
  <c r="U57" i="8"/>
  <c r="T57" i="8"/>
  <c r="W57" i="8" s="1"/>
  <c r="Y57" i="8" s="1"/>
  <c r="AB57" i="8" s="1"/>
  <c r="AD57" i="8" s="1"/>
  <c r="S57" i="8"/>
  <c r="L57" i="8"/>
  <c r="AR56" i="8"/>
  <c r="AM56" i="8"/>
  <c r="AH56" i="8"/>
  <c r="V56" i="8"/>
  <c r="U56" i="8"/>
  <c r="T56" i="8"/>
  <c r="W56" i="8" s="1"/>
  <c r="Y56" i="8" s="1"/>
  <c r="AB56" i="8" s="1"/>
  <c r="AD56" i="8" s="1"/>
  <c r="S56" i="8"/>
  <c r="L56" i="8"/>
  <c r="AR55" i="8"/>
  <c r="AM55" i="8"/>
  <c r="AH55" i="8"/>
  <c r="Z55" i="8"/>
  <c r="V55" i="8"/>
  <c r="U55" i="8"/>
  <c r="T55" i="8"/>
  <c r="W55" i="8" s="1"/>
  <c r="Y55" i="8" s="1"/>
  <c r="AB55" i="8" s="1"/>
  <c r="AD55" i="8" s="1"/>
  <c r="M55" i="8"/>
  <c r="Q55" i="8" s="1"/>
  <c r="R55" i="8" s="1"/>
  <c r="X55" i="8" s="1"/>
  <c r="AA55" i="8" s="1"/>
  <c r="AC55" i="8" s="1"/>
  <c r="AM54" i="8"/>
  <c r="AH54" i="8"/>
  <c r="AR53" i="8"/>
  <c r="AM53" i="8"/>
  <c r="AH53" i="8"/>
  <c r="V53" i="8"/>
  <c r="U53" i="8"/>
  <c r="T53" i="8"/>
  <c r="W53" i="8" s="1"/>
  <c r="Y53" i="8" s="1"/>
  <c r="AB53" i="8" s="1"/>
  <c r="AD53" i="8" s="1"/>
  <c r="S53" i="8"/>
  <c r="L53" i="8"/>
  <c r="M53" i="8" s="1"/>
  <c r="Q53" i="8" s="1"/>
  <c r="R53" i="8" s="1"/>
  <c r="X53" i="8" s="1"/>
  <c r="AA53" i="8" s="1"/>
  <c r="AC53" i="8" s="1"/>
  <c r="AR52" i="8"/>
  <c r="AM52" i="8"/>
  <c r="AH52" i="8"/>
  <c r="V52" i="8"/>
  <c r="U52" i="8"/>
  <c r="T52" i="8"/>
  <c r="W52" i="8" s="1"/>
  <c r="Y52" i="8" s="1"/>
  <c r="AB52" i="8" s="1"/>
  <c r="AD52" i="8" s="1"/>
  <c r="S52" i="8"/>
  <c r="L52" i="8"/>
  <c r="M52" i="8" s="1"/>
  <c r="Q52" i="8" s="1"/>
  <c r="R52" i="8" s="1"/>
  <c r="X52" i="8" s="1"/>
  <c r="AM51" i="8"/>
  <c r="AH51" i="8"/>
  <c r="AA51" i="8"/>
  <c r="AC51" i="8" s="1"/>
  <c r="V51" i="8"/>
  <c r="U51" i="8"/>
  <c r="T51" i="8"/>
  <c r="W51" i="8" s="1"/>
  <c r="Y51" i="8" s="1"/>
  <c r="AB51" i="8" s="1"/>
  <c r="AD51" i="8" s="1"/>
  <c r="S51" i="8"/>
  <c r="L51" i="8"/>
  <c r="M51" i="8" s="1"/>
  <c r="Q51" i="8" s="1"/>
  <c r="R51" i="8" s="1"/>
  <c r="AM50" i="8"/>
  <c r="AH50" i="8"/>
  <c r="AA50" i="8"/>
  <c r="AC50" i="8" s="1"/>
  <c r="V50" i="8"/>
  <c r="U50" i="8"/>
  <c r="T50" i="8"/>
  <c r="W50" i="8" s="1"/>
  <c r="Y50" i="8" s="1"/>
  <c r="AB50" i="8" s="1"/>
  <c r="AD50" i="8" s="1"/>
  <c r="S50" i="8"/>
  <c r="L50" i="8"/>
  <c r="AM49" i="8"/>
  <c r="AH49" i="8"/>
  <c r="AA49" i="8"/>
  <c r="AC49" i="8" s="1"/>
  <c r="V49" i="8"/>
  <c r="U49" i="8"/>
  <c r="T49" i="8"/>
  <c r="S49" i="8"/>
  <c r="L49" i="8"/>
  <c r="M49" i="8" s="1"/>
  <c r="AH48" i="8"/>
  <c r="AH47" i="8"/>
  <c r="AQ46" i="8"/>
  <c r="AO46" i="8"/>
  <c r="AK46" i="8"/>
  <c r="AG46" i="8"/>
  <c r="AF46" i="8"/>
  <c r="P46" i="8"/>
  <c r="O46" i="8"/>
  <c r="N46" i="8"/>
  <c r="K46" i="8"/>
  <c r="J46" i="8"/>
  <c r="AR45" i="8"/>
  <c r="AM45" i="8"/>
  <c r="AH45" i="8"/>
  <c r="AB45" i="8"/>
  <c r="AD45" i="8" s="1"/>
  <c r="V45" i="8"/>
  <c r="U45" i="8"/>
  <c r="T45" i="8"/>
  <c r="S45" i="8"/>
  <c r="Z45" i="8" s="1"/>
  <c r="M45" i="8"/>
  <c r="Q45" i="8" s="1"/>
  <c r="R45" i="8" s="1"/>
  <c r="X45" i="8" s="1"/>
  <c r="AA45" i="8" s="1"/>
  <c r="AC45" i="8" s="1"/>
  <c r="AM44" i="8"/>
  <c r="AH44" i="8"/>
  <c r="AB44" i="8"/>
  <c r="AD44" i="8" s="1"/>
  <c r="V44" i="8"/>
  <c r="U44" i="8"/>
  <c r="T44" i="8"/>
  <c r="S44" i="8"/>
  <c r="L44" i="8"/>
  <c r="AM43" i="8"/>
  <c r="AH43" i="8"/>
  <c r="AD43" i="8"/>
  <c r="AC43" i="8"/>
  <c r="X43" i="8"/>
  <c r="W43" i="8"/>
  <c r="V43" i="8"/>
  <c r="U43" i="8"/>
  <c r="L43" i="8"/>
  <c r="AR42" i="8"/>
  <c r="AM42" i="8"/>
  <c r="AH42" i="8"/>
  <c r="AB42" i="8"/>
  <c r="AD42" i="8" s="1"/>
  <c r="X42" i="8"/>
  <c r="AA42" i="8" s="1"/>
  <c r="AC42" i="8" s="1"/>
  <c r="V42" i="8"/>
  <c r="U42" i="8"/>
  <c r="T42" i="8"/>
  <c r="S42" i="8"/>
  <c r="L42" i="8"/>
  <c r="M42" i="8" s="1"/>
  <c r="Q42" i="8" s="1"/>
  <c r="AR41" i="8"/>
  <c r="AM41" i="8"/>
  <c r="AH41" i="8"/>
  <c r="Y41" i="8"/>
  <c r="AB41" i="8" s="1"/>
  <c r="AD41" i="8" s="1"/>
  <c r="V41" i="8"/>
  <c r="U41" i="8"/>
  <c r="T41" i="8"/>
  <c r="S41" i="8"/>
  <c r="R41" i="8"/>
  <c r="X41" i="8" s="1"/>
  <c r="AA41" i="8" s="1"/>
  <c r="AC41" i="8" s="1"/>
  <c r="L41" i="8"/>
  <c r="M41" i="8" s="1"/>
  <c r="AM40" i="8"/>
  <c r="AH40" i="8"/>
  <c r="AB40" i="8"/>
  <c r="AD40" i="8" s="1"/>
  <c r="V40" i="8"/>
  <c r="U40" i="8"/>
  <c r="T40" i="8"/>
  <c r="S40" i="8"/>
  <c r="L40" i="8"/>
  <c r="AM39" i="8"/>
  <c r="AH39" i="8"/>
  <c r="AD39" i="8"/>
  <c r="AC39" i="8"/>
  <c r="X39" i="8"/>
  <c r="V39" i="8"/>
  <c r="U39" i="8"/>
  <c r="T39" i="8"/>
  <c r="W39" i="8" s="1"/>
  <c r="S39" i="8"/>
  <c r="L39" i="8"/>
  <c r="M39" i="8" s="1"/>
  <c r="Q39" i="8" s="1"/>
  <c r="AM38" i="8"/>
  <c r="AH38" i="8"/>
  <c r="AB38" i="8"/>
  <c r="AD38" i="8" s="1"/>
  <c r="V38" i="8"/>
  <c r="U38" i="8"/>
  <c r="T38" i="8"/>
  <c r="S38" i="8"/>
  <c r="L38" i="8"/>
  <c r="M38" i="8" s="1"/>
  <c r="Q38" i="8" s="1"/>
  <c r="R38" i="8" s="1"/>
  <c r="X38" i="8" s="1"/>
  <c r="AA38" i="8" s="1"/>
  <c r="AC38" i="8" s="1"/>
  <c r="AM37" i="8"/>
  <c r="AH37" i="8"/>
  <c r="AD37" i="8"/>
  <c r="AC37" i="8"/>
  <c r="X37" i="8"/>
  <c r="V37" i="8"/>
  <c r="U37" i="8"/>
  <c r="T37" i="8"/>
  <c r="S37" i="8"/>
  <c r="L37" i="8"/>
  <c r="M37" i="8" s="1"/>
  <c r="Q37" i="8" s="1"/>
  <c r="AM36" i="8"/>
  <c r="AH36" i="8"/>
  <c r="AC36" i="8"/>
  <c r="AB36" i="8"/>
  <c r="AD36" i="8" s="1"/>
  <c r="S36" i="8"/>
  <c r="L36" i="8"/>
  <c r="AR35" i="8"/>
  <c r="AM35" i="8"/>
  <c r="AH35" i="8"/>
  <c r="AB35" i="8"/>
  <c r="AD35" i="8" s="1"/>
  <c r="X35" i="8"/>
  <c r="AA35" i="8" s="1"/>
  <c r="AC35" i="8" s="1"/>
  <c r="AR34" i="8"/>
  <c r="AM34" i="8"/>
  <c r="AH34" i="8"/>
  <c r="AB34" i="8"/>
  <c r="AD34" i="8" s="1"/>
  <c r="V34" i="8"/>
  <c r="U34" i="8"/>
  <c r="T34" i="8"/>
  <c r="S34" i="8"/>
  <c r="L34" i="8"/>
  <c r="AM33" i="8"/>
  <c r="AH33" i="8"/>
  <c r="AB33" i="8"/>
  <c r="AD33" i="8" s="1"/>
  <c r="V33" i="8"/>
  <c r="U33" i="8"/>
  <c r="T33" i="8"/>
  <c r="S33" i="8"/>
  <c r="L33" i="8"/>
  <c r="M33" i="8" s="1"/>
  <c r="Q33" i="8" s="1"/>
  <c r="R33" i="8" s="1"/>
  <c r="X33" i="8" s="1"/>
  <c r="AA33" i="8" s="1"/>
  <c r="AC33" i="8" s="1"/>
  <c r="AM32" i="8"/>
  <c r="AH32" i="8"/>
  <c r="AC32" i="8"/>
  <c r="AB32" i="8"/>
  <c r="AD32" i="8" s="1"/>
  <c r="V32" i="8"/>
  <c r="U32" i="8"/>
  <c r="T32" i="8"/>
  <c r="S32" i="8"/>
  <c r="L32" i="8"/>
  <c r="AR31" i="8"/>
  <c r="AM31" i="8"/>
  <c r="AH31" i="8"/>
  <c r="AB31" i="8"/>
  <c r="AD31" i="8" s="1"/>
  <c r="V31" i="8"/>
  <c r="U31" i="8"/>
  <c r="T31" i="8"/>
  <c r="S31" i="8"/>
  <c r="L31" i="8"/>
  <c r="AM30" i="8"/>
  <c r="AH30" i="8"/>
  <c r="AC30" i="8"/>
  <c r="AB30" i="8"/>
  <c r="AD30" i="8" s="1"/>
  <c r="S30" i="8"/>
  <c r="L30" i="8"/>
  <c r="M30" i="8" s="1"/>
  <c r="Q30" i="8" s="1"/>
  <c r="R30" i="8" s="1"/>
  <c r="X30" i="8" s="1"/>
  <c r="AR29" i="8"/>
  <c r="AM29" i="8"/>
  <c r="AH29" i="8"/>
  <c r="Y29" i="8"/>
  <c r="AB29" i="8" s="1"/>
  <c r="AD29" i="8" s="1"/>
  <c r="V29" i="8"/>
  <c r="U29" i="8"/>
  <c r="T29" i="8"/>
  <c r="S29" i="8"/>
  <c r="R29" i="8"/>
  <c r="X29" i="8" s="1"/>
  <c r="AA29" i="8" s="1"/>
  <c r="AC29" i="8" s="1"/>
  <c r="L29" i="8"/>
  <c r="M29" i="8" s="1"/>
  <c r="AR28" i="8"/>
  <c r="AM28" i="8"/>
  <c r="AH28" i="8"/>
  <c r="AB28" i="8"/>
  <c r="AD28" i="8" s="1"/>
  <c r="V28" i="8"/>
  <c r="U28" i="8"/>
  <c r="T28" i="8"/>
  <c r="S28" i="8"/>
  <c r="L28" i="8"/>
  <c r="M28" i="8" s="1"/>
  <c r="Q28" i="8" s="1"/>
  <c r="R28" i="8" s="1"/>
  <c r="X28" i="8" s="1"/>
  <c r="AA28" i="8" s="1"/>
  <c r="AC28" i="8" s="1"/>
  <c r="AR27" i="8"/>
  <c r="AM27" i="8"/>
  <c r="AH27" i="8"/>
  <c r="AB27" i="8"/>
  <c r="AD27" i="8" s="1"/>
  <c r="V27" i="8"/>
  <c r="U27" i="8"/>
  <c r="T27" i="8"/>
  <c r="S27" i="8"/>
  <c r="L27" i="8"/>
  <c r="M27" i="8" s="1"/>
  <c r="Q27" i="8" s="1"/>
  <c r="R27" i="8" s="1"/>
  <c r="X27" i="8" s="1"/>
  <c r="AA27" i="8" s="1"/>
  <c r="AC27" i="8" s="1"/>
  <c r="AM26" i="8"/>
  <c r="AH26" i="8"/>
  <c r="AB26" i="8"/>
  <c r="AD26" i="8" s="1"/>
  <c r="V26" i="8"/>
  <c r="U26" i="8"/>
  <c r="T26" i="8"/>
  <c r="S26" i="8"/>
  <c r="L26" i="8"/>
  <c r="AM25" i="8"/>
  <c r="AH25" i="8"/>
  <c r="AD25" i="8"/>
  <c r="AC25" i="8"/>
  <c r="X25" i="8"/>
  <c r="V25" i="8"/>
  <c r="U25" i="8"/>
  <c r="T25" i="8"/>
  <c r="S25" i="8"/>
  <c r="L25" i="8"/>
  <c r="M25" i="8" s="1"/>
  <c r="Q25" i="8" s="1"/>
  <c r="AM24" i="8"/>
  <c r="AH24" i="8"/>
  <c r="AB24" i="8"/>
  <c r="AD24" i="8" s="1"/>
  <c r="V24" i="8"/>
  <c r="U24" i="8"/>
  <c r="T24" i="8"/>
  <c r="S24" i="8"/>
  <c r="L24" i="8"/>
  <c r="M24" i="8" s="1"/>
  <c r="Q24" i="8" s="1"/>
  <c r="R24" i="8" s="1"/>
  <c r="X24" i="8" s="1"/>
  <c r="AA24" i="8" s="1"/>
  <c r="AC24" i="8" s="1"/>
  <c r="AM23" i="8"/>
  <c r="AH23" i="8"/>
  <c r="AD23" i="8"/>
  <c r="AC23" i="8"/>
  <c r="X23" i="8"/>
  <c r="V23" i="8"/>
  <c r="U23" i="8"/>
  <c r="T23" i="8"/>
  <c r="S23" i="8"/>
  <c r="L23" i="8"/>
  <c r="M23" i="8" s="1"/>
  <c r="Q23" i="8" s="1"/>
  <c r="AR22" i="8"/>
  <c r="AM22" i="8"/>
  <c r="AH22" i="8"/>
  <c r="AE22" i="8"/>
  <c r="AR21" i="8"/>
  <c r="AM21" i="8"/>
  <c r="AH21" i="8"/>
  <c r="Y21" i="8"/>
  <c r="AB21" i="8" s="1"/>
  <c r="AD21" i="8" s="1"/>
  <c r="V21" i="8"/>
  <c r="U21" i="8"/>
  <c r="T21" i="8"/>
  <c r="S21" i="8"/>
  <c r="R21" i="8"/>
  <c r="X21" i="8" s="1"/>
  <c r="AA21" i="8" s="1"/>
  <c r="AC21" i="8" s="1"/>
  <c r="L21" i="8"/>
  <c r="M21" i="8" s="1"/>
  <c r="AM20" i="8"/>
  <c r="AH20" i="8"/>
  <c r="AC20" i="8"/>
  <c r="AB20" i="8"/>
  <c r="AD20" i="8" s="1"/>
  <c r="S20" i="8"/>
  <c r="L20" i="8"/>
  <c r="M20" i="8" s="1"/>
  <c r="Q20" i="8" s="1"/>
  <c r="R20" i="8" s="1"/>
  <c r="X20" i="8" s="1"/>
  <c r="AR19" i="8"/>
  <c r="AM19" i="8"/>
  <c r="AH19" i="8"/>
  <c r="AB19" i="8"/>
  <c r="AD19" i="8" s="1"/>
  <c r="V19" i="8"/>
  <c r="U19" i="8"/>
  <c r="T19" i="8"/>
  <c r="S19" i="8"/>
  <c r="L19" i="8"/>
  <c r="AM18" i="8"/>
  <c r="AH18" i="8"/>
  <c r="AB18" i="8"/>
  <c r="AD18" i="8" s="1"/>
  <c r="V18" i="8"/>
  <c r="U18" i="8"/>
  <c r="T18" i="8"/>
  <c r="S18" i="8"/>
  <c r="L18" i="8"/>
  <c r="AM17" i="8"/>
  <c r="AH17" i="8"/>
  <c r="AD17" i="8"/>
  <c r="AC17" i="8"/>
  <c r="X17" i="8"/>
  <c r="V17" i="8"/>
  <c r="U17" i="8"/>
  <c r="T17" i="8"/>
  <c r="S17" i="8"/>
  <c r="L17" i="8"/>
  <c r="AM16" i="8"/>
  <c r="AH16" i="8"/>
  <c r="AA16" i="8"/>
  <c r="AC16" i="8" s="1"/>
  <c r="V16" i="8"/>
  <c r="U16" i="8"/>
  <c r="T16" i="8"/>
  <c r="W16" i="8" s="1"/>
  <c r="Y16" i="8" s="1"/>
  <c r="AB16" i="8" s="1"/>
  <c r="AD16" i="8" s="1"/>
  <c r="S16" i="8"/>
  <c r="L16" i="8"/>
  <c r="AR15" i="8"/>
  <c r="AM15" i="8"/>
  <c r="AH15" i="8"/>
  <c r="V15" i="8"/>
  <c r="U15" i="8"/>
  <c r="T15" i="8"/>
  <c r="W15" i="8" s="1"/>
  <c r="Y15" i="8" s="1"/>
  <c r="AB15" i="8" s="1"/>
  <c r="AD15" i="8" s="1"/>
  <c r="S15" i="8"/>
  <c r="L15" i="8"/>
  <c r="AM14" i="8"/>
  <c r="AH14" i="8"/>
  <c r="AB14" i="8"/>
  <c r="AD14" i="8" s="1"/>
  <c r="V14" i="8"/>
  <c r="U14" i="8"/>
  <c r="T14" i="8"/>
  <c r="S14" i="8"/>
  <c r="L14" i="8"/>
  <c r="M14" i="8" s="1"/>
  <c r="Q14" i="8" s="1"/>
  <c r="R14" i="8" s="1"/>
  <c r="X14" i="8" s="1"/>
  <c r="AA14" i="8" s="1"/>
  <c r="AC14" i="8" s="1"/>
  <c r="AM13" i="8"/>
  <c r="AH13" i="8"/>
  <c r="AD13" i="8"/>
  <c r="AC13" i="8"/>
  <c r="X13" i="8"/>
  <c r="V13" i="8"/>
  <c r="U13" i="8"/>
  <c r="T13" i="8"/>
  <c r="S13" i="8"/>
  <c r="L13" i="8"/>
  <c r="M13" i="8" s="1"/>
  <c r="Q13" i="8" s="1"/>
  <c r="AM12" i="8"/>
  <c r="AH12" i="8"/>
  <c r="Y12" i="8"/>
  <c r="AB12" i="8" s="1"/>
  <c r="AD12" i="8" s="1"/>
  <c r="AE12" i="8" s="1"/>
  <c r="V12" i="8"/>
  <c r="U12" i="8"/>
  <c r="T12" i="8"/>
  <c r="S12" i="8"/>
  <c r="R12" i="8"/>
  <c r="X12" i="8" s="1"/>
  <c r="AA12" i="8" s="1"/>
  <c r="L12" i="8"/>
  <c r="M12" i="8" s="1"/>
  <c r="AR11" i="8"/>
  <c r="AM11" i="8"/>
  <c r="AH11" i="8"/>
  <c r="Y11" i="8"/>
  <c r="AB11" i="8" s="1"/>
  <c r="AD11" i="8" s="1"/>
  <c r="V11" i="8"/>
  <c r="U11" i="8"/>
  <c r="T11" i="8"/>
  <c r="S11" i="8"/>
  <c r="R11" i="8"/>
  <c r="X11" i="8" s="1"/>
  <c r="AA11" i="8" s="1"/>
  <c r="AC11" i="8" s="1"/>
  <c r="L11" i="8"/>
  <c r="M11" i="8" s="1"/>
  <c r="AM10" i="8"/>
  <c r="AH10" i="8"/>
  <c r="AB10" i="8"/>
  <c r="AD10" i="8" s="1"/>
  <c r="AA10" i="8"/>
  <c r="AC10" i="8" s="1"/>
  <c r="V10" i="8"/>
  <c r="U10" i="8"/>
  <c r="T10" i="8"/>
  <c r="S10" i="8"/>
  <c r="R10" i="8"/>
  <c r="L10" i="8"/>
  <c r="AR9" i="8"/>
  <c r="AM9" i="8"/>
  <c r="AH9" i="8"/>
  <c r="AA9" i="8"/>
  <c r="AC9" i="8" s="1"/>
  <c r="Y9" i="8"/>
  <c r="V9" i="8"/>
  <c r="U9" i="8"/>
  <c r="T9" i="8"/>
  <c r="S9" i="8"/>
  <c r="R9" i="8"/>
  <c r="L9" i="8"/>
  <c r="AM8" i="8"/>
  <c r="AH8" i="8"/>
  <c r="AB8" i="8"/>
  <c r="AD8" i="8" s="1"/>
  <c r="AE8" i="8" s="1"/>
  <c r="V8" i="8"/>
  <c r="U8" i="8"/>
  <c r="T8" i="8"/>
  <c r="S8" i="8"/>
  <c r="L8" i="8"/>
  <c r="M8" i="8" s="1"/>
  <c r="Q8" i="8" s="1"/>
  <c r="R8" i="8" s="1"/>
  <c r="X8" i="8" s="1"/>
  <c r="AA8" i="8" s="1"/>
  <c r="AR7" i="8"/>
  <c r="AM7" i="8"/>
  <c r="AH7" i="8"/>
  <c r="AB7" i="8"/>
  <c r="V7" i="8"/>
  <c r="U7" i="8"/>
  <c r="T7" i="8"/>
  <c r="S7" i="8"/>
  <c r="L7" i="8"/>
  <c r="BN58" i="8" l="1"/>
  <c r="AZ46" i="8"/>
  <c r="AZ60" i="8" s="1"/>
  <c r="AQ60" i="8"/>
  <c r="AY46" i="8"/>
  <c r="AY60" i="8" s="1"/>
  <c r="BN46" i="8"/>
  <c r="BN60" i="8" s="1"/>
  <c r="BN64" i="8" s="1"/>
  <c r="AE33" i="8"/>
  <c r="AE38" i="8"/>
  <c r="AE23" i="8"/>
  <c r="Z7" i="8"/>
  <c r="Z52" i="8"/>
  <c r="N60" i="8"/>
  <c r="Z32" i="8"/>
  <c r="Z33" i="8"/>
  <c r="AX60" i="8"/>
  <c r="Z26" i="8"/>
  <c r="Z37" i="8"/>
  <c r="AE28" i="8"/>
  <c r="AE29" i="8"/>
  <c r="AE30" i="8"/>
  <c r="AE32" i="8"/>
  <c r="AE42" i="8"/>
  <c r="AE51" i="8"/>
  <c r="J60" i="8"/>
  <c r="Z16" i="8"/>
  <c r="Z18" i="8"/>
  <c r="AE43" i="8"/>
  <c r="Z50" i="8"/>
  <c r="BE60" i="8"/>
  <c r="Z15" i="8"/>
  <c r="Z31" i="8"/>
  <c r="Z19" i="8"/>
  <c r="AE36" i="8"/>
  <c r="AE37" i="8"/>
  <c r="AG60" i="8"/>
  <c r="AR58" i="8"/>
  <c r="AE14" i="8"/>
  <c r="M16" i="8"/>
  <c r="Q16" i="8" s="1"/>
  <c r="R16" i="8" s="1"/>
  <c r="M18" i="8"/>
  <c r="Q18" i="8" s="1"/>
  <c r="R18" i="8" s="1"/>
  <c r="X18" i="8" s="1"/>
  <c r="AA18" i="8" s="1"/>
  <c r="AC18" i="8" s="1"/>
  <c r="AE18" i="8" s="1"/>
  <c r="M50" i="8"/>
  <c r="Q50" i="8" s="1"/>
  <c r="R50" i="8" s="1"/>
  <c r="AE11" i="8"/>
  <c r="Z9" i="8"/>
  <c r="AE16" i="8"/>
  <c r="AE17" i="8"/>
  <c r="Z39" i="8"/>
  <c r="AE50" i="8"/>
  <c r="AE21" i="8"/>
  <c r="AE41" i="8"/>
  <c r="AH46" i="8"/>
  <c r="Z13" i="8"/>
  <c r="M15" i="8"/>
  <c r="Q15" i="8" s="1"/>
  <c r="R15" i="8" s="1"/>
  <c r="X15" i="8" s="1"/>
  <c r="AA15" i="8" s="1"/>
  <c r="AC15" i="8" s="1"/>
  <c r="AE15" i="8" s="1"/>
  <c r="Z23" i="8"/>
  <c r="AE24" i="8"/>
  <c r="AE27" i="8"/>
  <c r="V58" i="8"/>
  <c r="Z49" i="8"/>
  <c r="AR46" i="8"/>
  <c r="Z8" i="8"/>
  <c r="M9" i="8"/>
  <c r="Z12" i="8"/>
  <c r="AE20" i="8"/>
  <c r="Z21" i="8"/>
  <c r="M26" i="8"/>
  <c r="Q26" i="8" s="1"/>
  <c r="R26" i="8" s="1"/>
  <c r="X26" i="8" s="1"/>
  <c r="AA26" i="8" s="1"/>
  <c r="AC26" i="8" s="1"/>
  <c r="AE26" i="8" s="1"/>
  <c r="K60" i="8"/>
  <c r="T46" i="8"/>
  <c r="Z11" i="8"/>
  <c r="AE45" i="8"/>
  <c r="V46" i="8"/>
  <c r="Z10" i="8"/>
  <c r="AE10" i="8"/>
  <c r="W46" i="8"/>
  <c r="AE25" i="8"/>
  <c r="AE35" i="8"/>
  <c r="Z36" i="8"/>
  <c r="Z42" i="8"/>
  <c r="AO60" i="8"/>
  <c r="Z53" i="8"/>
  <c r="Z29" i="8"/>
  <c r="M31" i="8"/>
  <c r="Q31" i="8" s="1"/>
  <c r="R31" i="8" s="1"/>
  <c r="X31" i="8" s="1"/>
  <c r="AA31" i="8" s="1"/>
  <c r="AC31" i="8" s="1"/>
  <c r="AE31" i="8" s="1"/>
  <c r="M32" i="8"/>
  <c r="Q32" i="8" s="1"/>
  <c r="R32" i="8" s="1"/>
  <c r="X32" i="8" s="1"/>
  <c r="M36" i="8"/>
  <c r="Q36" i="8" s="1"/>
  <c r="R36" i="8" s="1"/>
  <c r="X36" i="8" s="1"/>
  <c r="Z40" i="8"/>
  <c r="AH58" i="8"/>
  <c r="Z51" i="8"/>
  <c r="U58" i="8"/>
  <c r="AE55" i="8"/>
  <c r="Z57" i="8"/>
  <c r="P60" i="8"/>
  <c r="AF60" i="8"/>
  <c r="AI60" i="8"/>
  <c r="AM58" i="8"/>
  <c r="AK60" i="8"/>
  <c r="AA52" i="8"/>
  <c r="AE53" i="8"/>
  <c r="S46" i="8"/>
  <c r="AM46" i="8"/>
  <c r="M10" i="8"/>
  <c r="AE13" i="8"/>
  <c r="Z30" i="8"/>
  <c r="Z34" i="8"/>
  <c r="Z44" i="8"/>
  <c r="M56" i="8"/>
  <c r="Q56" i="8" s="1"/>
  <c r="R56" i="8" s="1"/>
  <c r="X56" i="8" s="1"/>
  <c r="AA56" i="8" s="1"/>
  <c r="AC56" i="8" s="1"/>
  <c r="AE56" i="8" s="1"/>
  <c r="Z56" i="8"/>
  <c r="Q49" i="8"/>
  <c r="Y46" i="8"/>
  <c r="Z27" i="8"/>
  <c r="AE39" i="8"/>
  <c r="Z41" i="8"/>
  <c r="S58" i="8"/>
  <c r="L46" i="8"/>
  <c r="AD7" i="8"/>
  <c r="Z43" i="8"/>
  <c r="M43" i="8"/>
  <c r="Q43" i="8" s="1"/>
  <c r="L58" i="8"/>
  <c r="Z17" i="8"/>
  <c r="M17" i="8"/>
  <c r="Q17" i="8" s="1"/>
  <c r="U46" i="8"/>
  <c r="T58" i="8"/>
  <c r="M7" i="8"/>
  <c r="AB9" i="8"/>
  <c r="AD9" i="8" s="1"/>
  <c r="AE9" i="8" s="1"/>
  <c r="Z14" i="8"/>
  <c r="Z24" i="8"/>
  <c r="Z25" i="8"/>
  <c r="Z28" i="8"/>
  <c r="Z38" i="8"/>
  <c r="M57" i="8"/>
  <c r="Q57" i="8" s="1"/>
  <c r="R57" i="8" s="1"/>
  <c r="X57" i="8" s="1"/>
  <c r="AA57" i="8" s="1"/>
  <c r="AC57" i="8" s="1"/>
  <c r="AE57" i="8" s="1"/>
  <c r="Z20" i="8"/>
  <c r="M19" i="8"/>
  <c r="Q19" i="8" s="1"/>
  <c r="R19" i="8" s="1"/>
  <c r="X19" i="8" s="1"/>
  <c r="AA19" i="8" s="1"/>
  <c r="AC19" i="8" s="1"/>
  <c r="AE19" i="8" s="1"/>
  <c r="M34" i="8"/>
  <c r="Q34" i="8" s="1"/>
  <c r="R34" i="8" s="1"/>
  <c r="X34" i="8" s="1"/>
  <c r="AA34" i="8" s="1"/>
  <c r="AC34" i="8" s="1"/>
  <c r="AE34" i="8" s="1"/>
  <c r="M40" i="8"/>
  <c r="Q40" i="8" s="1"/>
  <c r="R40" i="8" s="1"/>
  <c r="X40" i="8" s="1"/>
  <c r="AA40" i="8" s="1"/>
  <c r="AC40" i="8" s="1"/>
  <c r="AE40" i="8" s="1"/>
  <c r="M44" i="8"/>
  <c r="Q44" i="8" s="1"/>
  <c r="R44" i="8" s="1"/>
  <c r="X44" i="8" s="1"/>
  <c r="AA44" i="8" s="1"/>
  <c r="AC44" i="8" s="1"/>
  <c r="AE44" i="8" s="1"/>
  <c r="W49" i="8"/>
  <c r="T60" i="8" l="1"/>
  <c r="AH60" i="8"/>
  <c r="V60" i="8"/>
  <c r="V64" i="8" s="1"/>
  <c r="AR60" i="8"/>
  <c r="AR64" i="8" s="1"/>
  <c r="Z58" i="8"/>
  <c r="U60" i="8"/>
  <c r="U64" i="8" s="1"/>
  <c r="Z46" i="8"/>
  <c r="AM60" i="8"/>
  <c r="AM64" i="8" s="1"/>
  <c r="Q58" i="8"/>
  <c r="R49" i="8"/>
  <c r="R58" i="8" s="1"/>
  <c r="W58" i="8"/>
  <c r="W60" i="8" s="1"/>
  <c r="Y49" i="8"/>
  <c r="M58" i="8"/>
  <c r="S60" i="8"/>
  <c r="AD46" i="8"/>
  <c r="M46" i="8"/>
  <c r="Q7" i="8"/>
  <c r="AC52" i="8"/>
  <c r="AA58" i="8"/>
  <c r="L60" i="8"/>
  <c r="AB46" i="8"/>
  <c r="X58" i="8"/>
  <c r="AD85" i="7"/>
  <c r="X85" i="7"/>
  <c r="V85" i="7"/>
  <c r="U85" i="7"/>
  <c r="T85" i="7"/>
  <c r="W85" i="7" s="1"/>
  <c r="S85" i="7"/>
  <c r="L85" i="7"/>
  <c r="AE84" i="7"/>
  <c r="AB83" i="7"/>
  <c r="AD83" i="7" s="1"/>
  <c r="AE83" i="7" s="1"/>
  <c r="V83" i="7"/>
  <c r="U83" i="7"/>
  <c r="T83" i="7"/>
  <c r="S83" i="7"/>
  <c r="L83" i="7"/>
  <c r="M83" i="7" s="1"/>
  <c r="Q83" i="7" s="1"/>
  <c r="R83" i="7" s="1"/>
  <c r="X83" i="7" s="1"/>
  <c r="AA83" i="7" s="1"/>
  <c r="AD82" i="7"/>
  <c r="AB81" i="7"/>
  <c r="AD81" i="7" s="1"/>
  <c r="V81" i="7"/>
  <c r="U81" i="7"/>
  <c r="T81" i="7"/>
  <c r="S81" i="7"/>
  <c r="L81" i="7"/>
  <c r="M81" i="7" s="1"/>
  <c r="Q81" i="7" s="1"/>
  <c r="R81" i="7" s="1"/>
  <c r="X81" i="7" s="1"/>
  <c r="AA81" i="7" s="1"/>
  <c r="AC81" i="7" s="1"/>
  <c r="AE81" i="7" s="1"/>
  <c r="AB80" i="7"/>
  <c r="V80" i="7"/>
  <c r="U80" i="7"/>
  <c r="T80" i="7"/>
  <c r="S80" i="7"/>
  <c r="L80" i="7"/>
  <c r="M80" i="7" s="1"/>
  <c r="Q80" i="7" s="1"/>
  <c r="R80" i="7" s="1"/>
  <c r="X80" i="7" s="1"/>
  <c r="AA80" i="7" s="1"/>
  <c r="AB79" i="7"/>
  <c r="AA79" i="7"/>
  <c r="S79" i="7"/>
  <c r="L79" i="7"/>
  <c r="M79" i="7" s="1"/>
  <c r="Q79" i="7" s="1"/>
  <c r="R79" i="7" s="1"/>
  <c r="X79" i="7" s="1"/>
  <c r="V78" i="7"/>
  <c r="U78" i="7"/>
  <c r="T78" i="7"/>
  <c r="W78" i="7" s="1"/>
  <c r="Y78" i="7" s="1"/>
  <c r="S78" i="7"/>
  <c r="L78" i="7"/>
  <c r="M78" i="7" s="1"/>
  <c r="Q78" i="7" s="1"/>
  <c r="R78" i="7" s="1"/>
  <c r="X78" i="7" s="1"/>
  <c r="AA78" i="7" s="1"/>
  <c r="AJ77" i="7"/>
  <c r="AI64" i="7"/>
  <c r="AG64" i="7"/>
  <c r="P64" i="7"/>
  <c r="N64" i="7"/>
  <c r="K64" i="7"/>
  <c r="J64" i="7"/>
  <c r="AJ63" i="7"/>
  <c r="V63" i="7"/>
  <c r="U63" i="7"/>
  <c r="T63" i="7"/>
  <c r="W63" i="7" s="1"/>
  <c r="Y63" i="7" s="1"/>
  <c r="AB63" i="7" s="1"/>
  <c r="AD63" i="7" s="1"/>
  <c r="S63" i="7"/>
  <c r="L63" i="7"/>
  <c r="M63" i="7" s="1"/>
  <c r="Q63" i="7" s="1"/>
  <c r="R63" i="7" s="1"/>
  <c r="X63" i="7" s="1"/>
  <c r="AA63" i="7" s="1"/>
  <c r="AC63" i="7" s="1"/>
  <c r="AE63" i="7" s="1"/>
  <c r="AJ62" i="7"/>
  <c r="V62" i="7"/>
  <c r="U62" i="7"/>
  <c r="T62" i="7"/>
  <c r="W62" i="7" s="1"/>
  <c r="Y62" i="7" s="1"/>
  <c r="AB62" i="7" s="1"/>
  <c r="AD62" i="7" s="1"/>
  <c r="S62" i="7"/>
  <c r="L62" i="7"/>
  <c r="AJ61" i="7"/>
  <c r="Z61" i="7"/>
  <c r="V61" i="7"/>
  <c r="U61" i="7"/>
  <c r="T61" i="7"/>
  <c r="W61" i="7" s="1"/>
  <c r="Y61" i="7" s="1"/>
  <c r="AB61" i="7" s="1"/>
  <c r="AD61" i="7" s="1"/>
  <c r="M61" i="7"/>
  <c r="Q61" i="7" s="1"/>
  <c r="R61" i="7" s="1"/>
  <c r="X61" i="7" s="1"/>
  <c r="AA61" i="7" s="1"/>
  <c r="AC61" i="7" s="1"/>
  <c r="AJ60" i="7"/>
  <c r="AJ59" i="7"/>
  <c r="W59" i="7"/>
  <c r="Y59" i="7" s="1"/>
  <c r="AB59" i="7" s="1"/>
  <c r="AD59" i="7" s="1"/>
  <c r="V59" i="7"/>
  <c r="U59" i="7"/>
  <c r="T59" i="7"/>
  <c r="S59" i="7"/>
  <c r="L59" i="7"/>
  <c r="AJ58" i="7"/>
  <c r="V58" i="7"/>
  <c r="U58" i="7"/>
  <c r="T58" i="7"/>
  <c r="W58" i="7" s="1"/>
  <c r="Y58" i="7" s="1"/>
  <c r="AB58" i="7" s="1"/>
  <c r="AD58" i="7" s="1"/>
  <c r="S58" i="7"/>
  <c r="L58" i="7"/>
  <c r="M58" i="7" s="1"/>
  <c r="Q58" i="7" s="1"/>
  <c r="R58" i="7" s="1"/>
  <c r="X58" i="7" s="1"/>
  <c r="AA58" i="7" s="1"/>
  <c r="AC58" i="7" s="1"/>
  <c r="AJ57" i="7"/>
  <c r="V57" i="7"/>
  <c r="U57" i="7"/>
  <c r="T57" i="7"/>
  <c r="W57" i="7" s="1"/>
  <c r="Y57" i="7" s="1"/>
  <c r="AB57" i="7" s="1"/>
  <c r="AD57" i="7" s="1"/>
  <c r="S57" i="7"/>
  <c r="L57" i="7"/>
  <c r="Z57" i="7" s="1"/>
  <c r="AJ56" i="7"/>
  <c r="AA56" i="7"/>
  <c r="AC56" i="7" s="1"/>
  <c r="V56" i="7"/>
  <c r="U56" i="7"/>
  <c r="T56" i="7"/>
  <c r="W56" i="7" s="1"/>
  <c r="Y56" i="7" s="1"/>
  <c r="AB56" i="7" s="1"/>
  <c r="AD56" i="7" s="1"/>
  <c r="S56" i="7"/>
  <c r="M56" i="7"/>
  <c r="Q56" i="7" s="1"/>
  <c r="R56" i="7" s="1"/>
  <c r="L56" i="7"/>
  <c r="AJ55" i="7"/>
  <c r="AA55" i="7"/>
  <c r="AC55" i="7" s="1"/>
  <c r="W55" i="7"/>
  <c r="Y55" i="7" s="1"/>
  <c r="AB55" i="7" s="1"/>
  <c r="AD55" i="7" s="1"/>
  <c r="V55" i="7"/>
  <c r="U55" i="7"/>
  <c r="T55" i="7"/>
  <c r="S55" i="7"/>
  <c r="L55" i="7"/>
  <c r="AJ54" i="7"/>
  <c r="AA54" i="7"/>
  <c r="V54" i="7"/>
  <c r="U54" i="7"/>
  <c r="T54" i="7"/>
  <c r="W54" i="7" s="1"/>
  <c r="Y54" i="7" s="1"/>
  <c r="S54" i="7"/>
  <c r="L54" i="7"/>
  <c r="Z54" i="7" s="1"/>
  <c r="AI51" i="7"/>
  <c r="AG51" i="7"/>
  <c r="P51" i="7"/>
  <c r="O51" i="7"/>
  <c r="N51" i="7"/>
  <c r="K51" i="7"/>
  <c r="J51" i="7"/>
  <c r="AJ50" i="7"/>
  <c r="AB50" i="7"/>
  <c r="AD50" i="7" s="1"/>
  <c r="V50" i="7"/>
  <c r="U50" i="7"/>
  <c r="T50" i="7"/>
  <c r="S50" i="7"/>
  <c r="Z50" i="7" s="1"/>
  <c r="M50" i="7"/>
  <c r="Q50" i="7" s="1"/>
  <c r="R50" i="7" s="1"/>
  <c r="X50" i="7" s="1"/>
  <c r="AA50" i="7" s="1"/>
  <c r="AC50" i="7" s="1"/>
  <c r="AJ49" i="7"/>
  <c r="AB49" i="7"/>
  <c r="AD49" i="7" s="1"/>
  <c r="V49" i="7"/>
  <c r="U49" i="7"/>
  <c r="T49" i="7"/>
  <c r="S49" i="7"/>
  <c r="L49" i="7"/>
  <c r="M49" i="7" s="1"/>
  <c r="Q49" i="7" s="1"/>
  <c r="R49" i="7" s="1"/>
  <c r="X49" i="7" s="1"/>
  <c r="AA49" i="7" s="1"/>
  <c r="AC49" i="7" s="1"/>
  <c r="AJ48" i="7"/>
  <c r="AD48" i="7"/>
  <c r="AC48" i="7"/>
  <c r="X48" i="7"/>
  <c r="W48" i="7"/>
  <c r="V48" i="7"/>
  <c r="U48" i="7"/>
  <c r="L48" i="7"/>
  <c r="M48" i="7" s="1"/>
  <c r="Q48" i="7" s="1"/>
  <c r="AJ47" i="7"/>
  <c r="AC47" i="7"/>
  <c r="AB47" i="7"/>
  <c r="AD47" i="7" s="1"/>
  <c r="X47" i="7"/>
  <c r="AA47" i="7" s="1"/>
  <c r="V47" i="7"/>
  <c r="U47" i="7"/>
  <c r="T47" i="7"/>
  <c r="S47" i="7"/>
  <c r="L47" i="7"/>
  <c r="M47" i="7" s="1"/>
  <c r="Q47" i="7" s="1"/>
  <c r="AJ46" i="7"/>
  <c r="Y46" i="7"/>
  <c r="AB46" i="7" s="1"/>
  <c r="AD46" i="7" s="1"/>
  <c r="V46" i="7"/>
  <c r="U46" i="7"/>
  <c r="T46" i="7"/>
  <c r="S46" i="7"/>
  <c r="L46" i="7"/>
  <c r="Z46" i="7" s="1"/>
  <c r="AJ45" i="7"/>
  <c r="Y45" i="7"/>
  <c r="AB45" i="7" s="1"/>
  <c r="AD45" i="7" s="1"/>
  <c r="V45" i="7"/>
  <c r="U45" i="7"/>
  <c r="T45" i="7"/>
  <c r="S45" i="7"/>
  <c r="R45" i="7"/>
  <c r="X45" i="7" s="1"/>
  <c r="AA45" i="7" s="1"/>
  <c r="AC45" i="7" s="1"/>
  <c r="L45" i="7"/>
  <c r="AJ44" i="7"/>
  <c r="AB44" i="7"/>
  <c r="AD44" i="7" s="1"/>
  <c r="V44" i="7"/>
  <c r="U44" i="7"/>
  <c r="T44" i="7"/>
  <c r="S44" i="7"/>
  <c r="L44" i="7"/>
  <c r="AJ43" i="7"/>
  <c r="AD43" i="7"/>
  <c r="AC43" i="7"/>
  <c r="X43" i="7"/>
  <c r="V43" i="7"/>
  <c r="U43" i="7"/>
  <c r="T43" i="7"/>
  <c r="W43" i="7" s="1"/>
  <c r="S43" i="7"/>
  <c r="Z43" i="7" s="1"/>
  <c r="M43" i="7"/>
  <c r="Q43" i="7" s="1"/>
  <c r="L43" i="7"/>
  <c r="AJ42" i="7"/>
  <c r="AB42" i="7"/>
  <c r="AD42" i="7" s="1"/>
  <c r="V42" i="7"/>
  <c r="U42" i="7"/>
  <c r="T42" i="7"/>
  <c r="S42" i="7"/>
  <c r="L42" i="7"/>
  <c r="M42" i="7" s="1"/>
  <c r="Q42" i="7" s="1"/>
  <c r="R42" i="7" s="1"/>
  <c r="X42" i="7" s="1"/>
  <c r="AA42" i="7" s="1"/>
  <c r="AC42" i="7" s="1"/>
  <c r="AE42" i="7" s="1"/>
  <c r="AJ41" i="7"/>
  <c r="AD41" i="7"/>
  <c r="AC41" i="7"/>
  <c r="X41" i="7"/>
  <c r="V41" i="7"/>
  <c r="U41" i="7"/>
  <c r="T41" i="7"/>
  <c r="S41" i="7"/>
  <c r="L41" i="7"/>
  <c r="M41" i="7" s="1"/>
  <c r="Q41" i="7" s="1"/>
  <c r="AJ40" i="7"/>
  <c r="AC40" i="7"/>
  <c r="AB40" i="7"/>
  <c r="AD40" i="7" s="1"/>
  <c r="S40" i="7"/>
  <c r="L40" i="7"/>
  <c r="M40" i="7" s="1"/>
  <c r="Q40" i="7" s="1"/>
  <c r="R40" i="7" s="1"/>
  <c r="X40" i="7" s="1"/>
  <c r="AJ39" i="7"/>
  <c r="AB39" i="7"/>
  <c r="AD39" i="7" s="1"/>
  <c r="X39" i="7"/>
  <c r="AA39" i="7" s="1"/>
  <c r="AC39" i="7" s="1"/>
  <c r="AE39" i="7" s="1"/>
  <c r="AJ38" i="7"/>
  <c r="AJ37" i="7"/>
  <c r="AB37" i="7"/>
  <c r="AD37" i="7" s="1"/>
  <c r="V37" i="7"/>
  <c r="U37" i="7"/>
  <c r="T37" i="7"/>
  <c r="S37" i="7"/>
  <c r="L37" i="7"/>
  <c r="M37" i="7" s="1"/>
  <c r="Q37" i="7" s="1"/>
  <c r="R37" i="7" s="1"/>
  <c r="X37" i="7" s="1"/>
  <c r="AA37" i="7" s="1"/>
  <c r="AC37" i="7" s="1"/>
  <c r="AE37" i="7" s="1"/>
  <c r="AJ36" i="7"/>
  <c r="AB36" i="7"/>
  <c r="AD36" i="7" s="1"/>
  <c r="V36" i="7"/>
  <c r="U36" i="7"/>
  <c r="T36" i="7"/>
  <c r="S36" i="7"/>
  <c r="L36" i="7"/>
  <c r="M36" i="7" s="1"/>
  <c r="Q36" i="7" s="1"/>
  <c r="R36" i="7" s="1"/>
  <c r="X36" i="7" s="1"/>
  <c r="AA36" i="7" s="1"/>
  <c r="AC36" i="7" s="1"/>
  <c r="AE36" i="7" s="1"/>
  <c r="AJ35" i="7"/>
  <c r="AC35" i="7"/>
  <c r="AB35" i="7"/>
  <c r="AD35" i="7" s="1"/>
  <c r="V35" i="7"/>
  <c r="U35" i="7"/>
  <c r="T35" i="7"/>
  <c r="S35" i="7"/>
  <c r="Z35" i="7" s="1"/>
  <c r="M35" i="7"/>
  <c r="Q35" i="7" s="1"/>
  <c r="R35" i="7" s="1"/>
  <c r="X35" i="7" s="1"/>
  <c r="L35" i="7"/>
  <c r="AJ34" i="7"/>
  <c r="AB34" i="7"/>
  <c r="AD34" i="7" s="1"/>
  <c r="V34" i="7"/>
  <c r="U34" i="7"/>
  <c r="T34" i="7"/>
  <c r="S34" i="7"/>
  <c r="Z34" i="7" s="1"/>
  <c r="M34" i="7"/>
  <c r="Q34" i="7" s="1"/>
  <c r="R34" i="7" s="1"/>
  <c r="X34" i="7" s="1"/>
  <c r="AA34" i="7" s="1"/>
  <c r="AC34" i="7" s="1"/>
  <c r="AE34" i="7" s="1"/>
  <c r="L34" i="7"/>
  <c r="AJ33" i="7"/>
  <c r="AC33" i="7"/>
  <c r="AB33" i="7"/>
  <c r="AD33" i="7" s="1"/>
  <c r="S33" i="7"/>
  <c r="L33" i="7"/>
  <c r="Z33" i="7" s="1"/>
  <c r="AJ32" i="7"/>
  <c r="Y32" i="7"/>
  <c r="AB32" i="7" s="1"/>
  <c r="AD32" i="7" s="1"/>
  <c r="V32" i="7"/>
  <c r="U32" i="7"/>
  <c r="T32" i="7"/>
  <c r="S32" i="7"/>
  <c r="R32" i="7"/>
  <c r="X32" i="7" s="1"/>
  <c r="AA32" i="7" s="1"/>
  <c r="AC32" i="7" s="1"/>
  <c r="AE32" i="7" s="1"/>
  <c r="L32" i="7"/>
  <c r="M32" i="7" s="1"/>
  <c r="AJ31" i="7"/>
  <c r="Y31" i="7"/>
  <c r="AB31" i="7" s="1"/>
  <c r="AD31" i="7" s="1"/>
  <c r="V31" i="7"/>
  <c r="U31" i="7"/>
  <c r="T31" i="7"/>
  <c r="S31" i="7"/>
  <c r="L31" i="7"/>
  <c r="AJ30" i="7"/>
  <c r="AB30" i="7"/>
  <c r="AD30" i="7" s="1"/>
  <c r="V30" i="7"/>
  <c r="U30" i="7"/>
  <c r="T30" i="7"/>
  <c r="S30" i="7"/>
  <c r="L30" i="7"/>
  <c r="AJ29" i="7"/>
  <c r="AB29" i="7"/>
  <c r="AD29" i="7" s="1"/>
  <c r="V29" i="7"/>
  <c r="U29" i="7"/>
  <c r="T29" i="7"/>
  <c r="S29" i="7"/>
  <c r="L29" i="7"/>
  <c r="AJ28" i="7"/>
  <c r="AB28" i="7"/>
  <c r="AD28" i="7" s="1"/>
  <c r="V28" i="7"/>
  <c r="U28" i="7"/>
  <c r="T28" i="7"/>
  <c r="S28" i="7"/>
  <c r="L28" i="7"/>
  <c r="AJ27" i="7"/>
  <c r="AD27" i="7"/>
  <c r="AC27" i="7"/>
  <c r="AE27" i="7" s="1"/>
  <c r="X27" i="7"/>
  <c r="V27" i="7"/>
  <c r="U27" i="7"/>
  <c r="T27" i="7"/>
  <c r="S27" i="7"/>
  <c r="L27" i="7"/>
  <c r="M27" i="7" s="1"/>
  <c r="Q27" i="7" s="1"/>
  <c r="AJ26" i="7"/>
  <c r="AB26" i="7"/>
  <c r="AD26" i="7" s="1"/>
  <c r="V26" i="7"/>
  <c r="U26" i="7"/>
  <c r="T26" i="7"/>
  <c r="S26" i="7"/>
  <c r="L26" i="7"/>
  <c r="Z26" i="7" s="1"/>
  <c r="AJ25" i="7"/>
  <c r="AD25" i="7"/>
  <c r="AC25" i="7"/>
  <c r="X25" i="7"/>
  <c r="V25" i="7"/>
  <c r="U25" i="7"/>
  <c r="T25" i="7"/>
  <c r="S25" i="7"/>
  <c r="L25" i="7"/>
  <c r="AJ24" i="7"/>
  <c r="AE24" i="7"/>
  <c r="AJ23" i="7"/>
  <c r="Y23" i="7"/>
  <c r="AB23" i="7" s="1"/>
  <c r="AD23" i="7" s="1"/>
  <c r="V23" i="7"/>
  <c r="U23" i="7"/>
  <c r="T23" i="7"/>
  <c r="S23" i="7"/>
  <c r="Z23" i="7" s="1"/>
  <c r="L23" i="7"/>
  <c r="M23" i="7" s="1"/>
  <c r="Q23" i="7" s="1"/>
  <c r="R23" i="7" s="1"/>
  <c r="X23" i="7" s="1"/>
  <c r="AA23" i="7" s="1"/>
  <c r="AC23" i="7" s="1"/>
  <c r="AJ22" i="7"/>
  <c r="Y22" i="7"/>
  <c r="AB22" i="7" s="1"/>
  <c r="AD22" i="7" s="1"/>
  <c r="V22" i="7"/>
  <c r="U22" i="7"/>
  <c r="T22" i="7"/>
  <c r="S22" i="7"/>
  <c r="R22" i="7"/>
  <c r="X22" i="7" s="1"/>
  <c r="AA22" i="7" s="1"/>
  <c r="AC22" i="7" s="1"/>
  <c r="L22" i="7"/>
  <c r="Z22" i="7" s="1"/>
  <c r="AJ21" i="7"/>
  <c r="AC21" i="7"/>
  <c r="AB21" i="7"/>
  <c r="AD21" i="7" s="1"/>
  <c r="S21" i="7"/>
  <c r="L21" i="7"/>
  <c r="AJ20" i="7"/>
  <c r="AB20" i="7"/>
  <c r="AD20" i="7" s="1"/>
  <c r="V20" i="7"/>
  <c r="U20" i="7"/>
  <c r="T20" i="7"/>
  <c r="S20" i="7"/>
  <c r="L20" i="7"/>
  <c r="M20" i="7" s="1"/>
  <c r="Q20" i="7" s="1"/>
  <c r="R20" i="7" s="1"/>
  <c r="X20" i="7" s="1"/>
  <c r="AA20" i="7" s="1"/>
  <c r="AC20" i="7" s="1"/>
  <c r="AE20" i="7" s="1"/>
  <c r="AJ19" i="7"/>
  <c r="AB19" i="7"/>
  <c r="AD19" i="7" s="1"/>
  <c r="V19" i="7"/>
  <c r="U19" i="7"/>
  <c r="T19" i="7"/>
  <c r="S19" i="7"/>
  <c r="L19" i="7"/>
  <c r="M19" i="7" s="1"/>
  <c r="Q19" i="7" s="1"/>
  <c r="R19" i="7" s="1"/>
  <c r="X19" i="7" s="1"/>
  <c r="AA19" i="7" s="1"/>
  <c r="AC19" i="7" s="1"/>
  <c r="AE19" i="7" s="1"/>
  <c r="AJ18" i="7"/>
  <c r="AD18" i="7"/>
  <c r="AC18" i="7"/>
  <c r="X18" i="7"/>
  <c r="V18" i="7"/>
  <c r="U18" i="7"/>
  <c r="T18" i="7"/>
  <c r="S18" i="7"/>
  <c r="L18" i="7"/>
  <c r="Z18" i="7" s="1"/>
  <c r="AJ17" i="7"/>
  <c r="AA17" i="7"/>
  <c r="AC17" i="7" s="1"/>
  <c r="V17" i="7"/>
  <c r="U17" i="7"/>
  <c r="T17" i="7"/>
  <c r="W17" i="7" s="1"/>
  <c r="Y17" i="7" s="1"/>
  <c r="AB17" i="7" s="1"/>
  <c r="AD17" i="7" s="1"/>
  <c r="S17" i="7"/>
  <c r="L17" i="7"/>
  <c r="Z17" i="7" s="1"/>
  <c r="AJ16" i="7"/>
  <c r="V16" i="7"/>
  <c r="U16" i="7"/>
  <c r="T16" i="7"/>
  <c r="W16" i="7" s="1"/>
  <c r="S16" i="7"/>
  <c r="L16" i="7"/>
  <c r="AJ15" i="7"/>
  <c r="AD15" i="7"/>
  <c r="AC15" i="7"/>
  <c r="AJ14" i="7"/>
  <c r="AD14" i="7"/>
  <c r="AC14" i="7"/>
  <c r="AE14" i="7" s="1"/>
  <c r="AJ13" i="7"/>
  <c r="AD13" i="7"/>
  <c r="AC13" i="7"/>
  <c r="AE13" i="7" s="1"/>
  <c r="AJ12" i="7"/>
  <c r="AB12" i="7"/>
  <c r="AD12" i="7" s="1"/>
  <c r="V12" i="7"/>
  <c r="U12" i="7"/>
  <c r="T12" i="7"/>
  <c r="S12" i="7"/>
  <c r="L12" i="7"/>
  <c r="Z12" i="7" s="1"/>
  <c r="AJ11" i="7"/>
  <c r="AD11" i="7"/>
  <c r="AC11" i="7"/>
  <c r="X11" i="7"/>
  <c r="V11" i="7"/>
  <c r="U11" i="7"/>
  <c r="T11" i="7"/>
  <c r="S11" i="7"/>
  <c r="L11" i="7"/>
  <c r="M11" i="7" s="1"/>
  <c r="Q11" i="7" s="1"/>
  <c r="AJ10" i="7"/>
  <c r="Y10" i="7"/>
  <c r="AB10" i="7" s="1"/>
  <c r="AD10" i="7" s="1"/>
  <c r="V10" i="7"/>
  <c r="U10" i="7"/>
  <c r="T10" i="7"/>
  <c r="S10" i="7"/>
  <c r="R10" i="7"/>
  <c r="X10" i="7" s="1"/>
  <c r="AA10" i="7" s="1"/>
  <c r="AC10" i="7" s="1"/>
  <c r="L10" i="7"/>
  <c r="M10" i="7" s="1"/>
  <c r="AJ9" i="7"/>
  <c r="Y9" i="7"/>
  <c r="AB9" i="7" s="1"/>
  <c r="AD9" i="7" s="1"/>
  <c r="V9" i="7"/>
  <c r="U9" i="7"/>
  <c r="T9" i="7"/>
  <c r="S9" i="7"/>
  <c r="R9" i="7"/>
  <c r="X9" i="7" s="1"/>
  <c r="AA9" i="7" s="1"/>
  <c r="AC9" i="7" s="1"/>
  <c r="L9" i="7"/>
  <c r="M9" i="7" s="1"/>
  <c r="AJ8" i="7"/>
  <c r="AB8" i="7"/>
  <c r="AD8" i="7" s="1"/>
  <c r="AA8" i="7"/>
  <c r="AC8" i="7" s="1"/>
  <c r="V8" i="7"/>
  <c r="U8" i="7"/>
  <c r="T8" i="7"/>
  <c r="S8" i="7"/>
  <c r="R8" i="7"/>
  <c r="L8" i="7"/>
  <c r="M8" i="7" s="1"/>
  <c r="AJ7" i="7"/>
  <c r="AA7" i="7"/>
  <c r="AC7" i="7" s="1"/>
  <c r="Y7" i="7"/>
  <c r="V7" i="7"/>
  <c r="U7" i="7"/>
  <c r="T7" i="7"/>
  <c r="S7" i="7"/>
  <c r="R7" i="7"/>
  <c r="L7" i="7"/>
  <c r="AJ6" i="7"/>
  <c r="AD6" i="7"/>
  <c r="AE6" i="7" s="1"/>
  <c r="AB6" i="7"/>
  <c r="V6" i="7"/>
  <c r="U6" i="7"/>
  <c r="T6" i="7"/>
  <c r="S6" i="7"/>
  <c r="L6" i="7"/>
  <c r="Z6" i="7" s="1"/>
  <c r="AJ5" i="7"/>
  <c r="AD5" i="7"/>
  <c r="AB5" i="7"/>
  <c r="V5" i="7"/>
  <c r="U5" i="7"/>
  <c r="T5" i="7"/>
  <c r="T51" i="7" s="1"/>
  <c r="S5" i="7"/>
  <c r="L5" i="7"/>
  <c r="Z5" i="7" s="1"/>
  <c r="AL64" i="6"/>
  <c r="AJ64" i="6"/>
  <c r="AG64" i="6"/>
  <c r="AF64" i="6"/>
  <c r="P64" i="6"/>
  <c r="N64" i="6"/>
  <c r="K64" i="6"/>
  <c r="J64" i="6"/>
  <c r="AM63" i="6"/>
  <c r="AH63" i="6"/>
  <c r="W63" i="6"/>
  <c r="Y63" i="6" s="1"/>
  <c r="AB63" i="6" s="1"/>
  <c r="AD63" i="6" s="1"/>
  <c r="V63" i="6"/>
  <c r="U63" i="6"/>
  <c r="T63" i="6"/>
  <c r="S63" i="6"/>
  <c r="L63" i="6"/>
  <c r="AM62" i="6"/>
  <c r="AH62" i="6"/>
  <c r="V62" i="6"/>
  <c r="U62" i="6"/>
  <c r="T62" i="6"/>
  <c r="W62" i="6" s="1"/>
  <c r="Y62" i="6" s="1"/>
  <c r="AB62" i="6" s="1"/>
  <c r="AD62" i="6" s="1"/>
  <c r="S62" i="6"/>
  <c r="L62" i="6"/>
  <c r="M62" i="6" s="1"/>
  <c r="Q62" i="6" s="1"/>
  <c r="R62" i="6" s="1"/>
  <c r="X62" i="6" s="1"/>
  <c r="AA62" i="6" s="1"/>
  <c r="AC62" i="6" s="1"/>
  <c r="AE62" i="6" s="1"/>
  <c r="AM61" i="6"/>
  <c r="AH61" i="6"/>
  <c r="Z61" i="6"/>
  <c r="W61" i="6"/>
  <c r="Y61" i="6" s="1"/>
  <c r="AB61" i="6" s="1"/>
  <c r="AD61" i="6" s="1"/>
  <c r="V61" i="6"/>
  <c r="U61" i="6"/>
  <c r="T61" i="6"/>
  <c r="M61" i="6"/>
  <c r="Q61" i="6" s="1"/>
  <c r="R61" i="6" s="1"/>
  <c r="X61" i="6" s="1"/>
  <c r="AA61" i="6" s="1"/>
  <c r="AC61" i="6" s="1"/>
  <c r="AH60" i="6"/>
  <c r="AH59" i="6"/>
  <c r="V59" i="6"/>
  <c r="U59" i="6"/>
  <c r="T59" i="6"/>
  <c r="W59" i="6" s="1"/>
  <c r="Y59" i="6" s="1"/>
  <c r="AB59" i="6" s="1"/>
  <c r="AD59" i="6" s="1"/>
  <c r="S59" i="6"/>
  <c r="L59" i="6"/>
  <c r="Z59" i="6" s="1"/>
  <c r="AM58" i="6"/>
  <c r="AH58" i="6"/>
  <c r="V58" i="6"/>
  <c r="U58" i="6"/>
  <c r="T58" i="6"/>
  <c r="W58" i="6" s="1"/>
  <c r="Y58" i="6" s="1"/>
  <c r="AB58" i="6" s="1"/>
  <c r="AD58" i="6" s="1"/>
  <c r="S58" i="6"/>
  <c r="L58" i="6"/>
  <c r="AM57" i="6"/>
  <c r="AH57" i="6"/>
  <c r="V57" i="6"/>
  <c r="U57" i="6"/>
  <c r="T57" i="6"/>
  <c r="W57" i="6" s="1"/>
  <c r="Y57" i="6" s="1"/>
  <c r="AB57" i="6" s="1"/>
  <c r="AD57" i="6" s="1"/>
  <c r="S57" i="6"/>
  <c r="L57" i="6"/>
  <c r="M57" i="6" s="1"/>
  <c r="Q57" i="6" s="1"/>
  <c r="R57" i="6" s="1"/>
  <c r="X57" i="6" s="1"/>
  <c r="AH56" i="6"/>
  <c r="AA56" i="6"/>
  <c r="AC56" i="6" s="1"/>
  <c r="V56" i="6"/>
  <c r="U56" i="6"/>
  <c r="T56" i="6"/>
  <c r="W56" i="6" s="1"/>
  <c r="Y56" i="6" s="1"/>
  <c r="AB56" i="6" s="1"/>
  <c r="AD56" i="6" s="1"/>
  <c r="S56" i="6"/>
  <c r="L56" i="6"/>
  <c r="Z56" i="6" s="1"/>
  <c r="AH55" i="6"/>
  <c r="AA55" i="6"/>
  <c r="AC55" i="6" s="1"/>
  <c r="AE55" i="6" s="1"/>
  <c r="V55" i="6"/>
  <c r="U55" i="6"/>
  <c r="T55" i="6"/>
  <c r="W55" i="6" s="1"/>
  <c r="Y55" i="6" s="1"/>
  <c r="AB55" i="6" s="1"/>
  <c r="AD55" i="6" s="1"/>
  <c r="S55" i="6"/>
  <c r="L55" i="6"/>
  <c r="M55" i="6" s="1"/>
  <c r="Q55" i="6" s="1"/>
  <c r="R55" i="6" s="1"/>
  <c r="AH54" i="6"/>
  <c r="AA54" i="6"/>
  <c r="AC54" i="6" s="1"/>
  <c r="W54" i="6"/>
  <c r="Y54" i="6" s="1"/>
  <c r="V54" i="6"/>
  <c r="U54" i="6"/>
  <c r="T54" i="6"/>
  <c r="S54" i="6"/>
  <c r="L54" i="6"/>
  <c r="AL51" i="6"/>
  <c r="AL66" i="6" s="1"/>
  <c r="AJ51" i="6"/>
  <c r="AJ66" i="6" s="1"/>
  <c r="AG51" i="6"/>
  <c r="AF51" i="6"/>
  <c r="AF66" i="6" s="1"/>
  <c r="P51" i="6"/>
  <c r="P66" i="6" s="1"/>
  <c r="O51" i="6"/>
  <c r="N51" i="6"/>
  <c r="N66" i="6" s="1"/>
  <c r="K51" i="6"/>
  <c r="J51" i="6"/>
  <c r="J66" i="6" s="1"/>
  <c r="AM50" i="6"/>
  <c r="AH50" i="6"/>
  <c r="AB50" i="6"/>
  <c r="AD50" i="6" s="1"/>
  <c r="V50" i="6"/>
  <c r="U50" i="6"/>
  <c r="T50" i="6"/>
  <c r="S50" i="6"/>
  <c r="Z50" i="6" s="1"/>
  <c r="M50" i="6"/>
  <c r="Q50" i="6" s="1"/>
  <c r="R50" i="6" s="1"/>
  <c r="X50" i="6" s="1"/>
  <c r="AA50" i="6" s="1"/>
  <c r="AC50" i="6" s="1"/>
  <c r="AE50" i="6" s="1"/>
  <c r="AH49" i="6"/>
  <c r="AB49" i="6"/>
  <c r="AD49" i="6" s="1"/>
  <c r="V49" i="6"/>
  <c r="U49" i="6"/>
  <c r="T49" i="6"/>
  <c r="S49" i="6"/>
  <c r="L49" i="6"/>
  <c r="M49" i="6" s="1"/>
  <c r="Q49" i="6" s="1"/>
  <c r="R49" i="6" s="1"/>
  <c r="X49" i="6" s="1"/>
  <c r="AA49" i="6" s="1"/>
  <c r="AC49" i="6" s="1"/>
  <c r="AH48" i="6"/>
  <c r="AD48" i="6"/>
  <c r="AE48" i="6" s="1"/>
  <c r="AC48" i="6"/>
  <c r="X48" i="6"/>
  <c r="W48" i="6"/>
  <c r="V48" i="6"/>
  <c r="U48" i="6"/>
  <c r="L48" i="6"/>
  <c r="M48" i="6" s="1"/>
  <c r="Q48" i="6" s="1"/>
  <c r="AM47" i="6"/>
  <c r="AH47" i="6"/>
  <c r="AB47" i="6"/>
  <c r="AD47" i="6" s="1"/>
  <c r="X47" i="6"/>
  <c r="AA47" i="6" s="1"/>
  <c r="AC47" i="6" s="1"/>
  <c r="V47" i="6"/>
  <c r="U47" i="6"/>
  <c r="T47" i="6"/>
  <c r="S47" i="6"/>
  <c r="L47" i="6"/>
  <c r="M47" i="6" s="1"/>
  <c r="Q47" i="6" s="1"/>
  <c r="AM46" i="6"/>
  <c r="AH46" i="6"/>
  <c r="Y46" i="6"/>
  <c r="AB46" i="6" s="1"/>
  <c r="AD46" i="6" s="1"/>
  <c r="V46" i="6"/>
  <c r="U46" i="6"/>
  <c r="T46" i="6"/>
  <c r="S46" i="6"/>
  <c r="L46" i="6"/>
  <c r="AM45" i="6"/>
  <c r="AH45" i="6"/>
  <c r="Y45" i="6"/>
  <c r="AB45" i="6" s="1"/>
  <c r="AD45" i="6" s="1"/>
  <c r="V45" i="6"/>
  <c r="U45" i="6"/>
  <c r="T45" i="6"/>
  <c r="S45" i="6"/>
  <c r="Z45" i="6" s="1"/>
  <c r="R45" i="6"/>
  <c r="X45" i="6" s="1"/>
  <c r="AA45" i="6" s="1"/>
  <c r="AC45" i="6" s="1"/>
  <c r="L45" i="6"/>
  <c r="M45" i="6" s="1"/>
  <c r="AH44" i="6"/>
  <c r="AB44" i="6"/>
  <c r="AD44" i="6" s="1"/>
  <c r="V44" i="6"/>
  <c r="U44" i="6"/>
  <c r="T44" i="6"/>
  <c r="S44" i="6"/>
  <c r="L44" i="6"/>
  <c r="AH43" i="6"/>
  <c r="AD43" i="6"/>
  <c r="AC43" i="6"/>
  <c r="X43" i="6"/>
  <c r="W43" i="6"/>
  <c r="V43" i="6"/>
  <c r="U43" i="6"/>
  <c r="T43" i="6"/>
  <c r="S43" i="6"/>
  <c r="L43" i="6"/>
  <c r="M43" i="6" s="1"/>
  <c r="Q43" i="6" s="1"/>
  <c r="AH42" i="6"/>
  <c r="AB42" i="6"/>
  <c r="AD42" i="6" s="1"/>
  <c r="V42" i="6"/>
  <c r="U42" i="6"/>
  <c r="T42" i="6"/>
  <c r="S42" i="6"/>
  <c r="L42" i="6"/>
  <c r="Z42" i="6" s="1"/>
  <c r="AH41" i="6"/>
  <c r="AD41" i="6"/>
  <c r="AC41" i="6"/>
  <c r="AE41" i="6" s="1"/>
  <c r="X41" i="6"/>
  <c r="V41" i="6"/>
  <c r="U41" i="6"/>
  <c r="T41" i="6"/>
  <c r="S41" i="6"/>
  <c r="L41" i="6"/>
  <c r="M41" i="6" s="1"/>
  <c r="Q41" i="6" s="1"/>
  <c r="AH40" i="6"/>
  <c r="AC40" i="6"/>
  <c r="AB40" i="6"/>
  <c r="AD40" i="6" s="1"/>
  <c r="S40" i="6"/>
  <c r="L40" i="6"/>
  <c r="AM39" i="6"/>
  <c r="AH39" i="6"/>
  <c r="AB39" i="6"/>
  <c r="AD39" i="6" s="1"/>
  <c r="X39" i="6"/>
  <c r="AA39" i="6" s="1"/>
  <c r="AC39" i="6" s="1"/>
  <c r="AM38" i="6"/>
  <c r="AH38" i="6"/>
  <c r="AE38" i="6"/>
  <c r="AM37" i="6"/>
  <c r="AH37" i="6"/>
  <c r="AB37" i="6"/>
  <c r="AD37" i="6" s="1"/>
  <c r="V37" i="6"/>
  <c r="U37" i="6"/>
  <c r="T37" i="6"/>
  <c r="S37" i="6"/>
  <c r="L37" i="6"/>
  <c r="AH36" i="6"/>
  <c r="AB36" i="6"/>
  <c r="AD36" i="6" s="1"/>
  <c r="V36" i="6"/>
  <c r="U36" i="6"/>
  <c r="T36" i="6"/>
  <c r="S36" i="6"/>
  <c r="L36" i="6"/>
  <c r="AH35" i="6"/>
  <c r="AC35" i="6"/>
  <c r="AE35" i="6" s="1"/>
  <c r="AB35" i="6"/>
  <c r="AD35" i="6" s="1"/>
  <c r="V35" i="6"/>
  <c r="U35" i="6"/>
  <c r="T35" i="6"/>
  <c r="S35" i="6"/>
  <c r="L35" i="6"/>
  <c r="AM34" i="6"/>
  <c r="AH34" i="6"/>
  <c r="AB34" i="6"/>
  <c r="AD34" i="6" s="1"/>
  <c r="V34" i="6"/>
  <c r="U34" i="6"/>
  <c r="T34" i="6"/>
  <c r="S34" i="6"/>
  <c r="L34" i="6"/>
  <c r="AH33" i="6"/>
  <c r="AC33" i="6"/>
  <c r="AB33" i="6"/>
  <c r="AD33" i="6" s="1"/>
  <c r="S33" i="6"/>
  <c r="L33" i="6"/>
  <c r="AM32" i="6"/>
  <c r="AH32" i="6"/>
  <c r="Y32" i="6"/>
  <c r="AB32" i="6" s="1"/>
  <c r="AD32" i="6" s="1"/>
  <c r="V32" i="6"/>
  <c r="U32" i="6"/>
  <c r="T32" i="6"/>
  <c r="S32" i="6"/>
  <c r="Z32" i="6" s="1"/>
  <c r="R32" i="6"/>
  <c r="X32" i="6" s="1"/>
  <c r="AA32" i="6" s="1"/>
  <c r="AC32" i="6" s="1"/>
  <c r="M32" i="6"/>
  <c r="L32" i="6"/>
  <c r="AH31" i="6"/>
  <c r="Y31" i="6"/>
  <c r="AB31" i="6" s="1"/>
  <c r="AD31" i="6" s="1"/>
  <c r="V31" i="6"/>
  <c r="U31" i="6"/>
  <c r="T31" i="6"/>
  <c r="S31" i="6"/>
  <c r="L31" i="6"/>
  <c r="Z31" i="6" s="1"/>
  <c r="AM30" i="6"/>
  <c r="AH30" i="6"/>
  <c r="AB30" i="6"/>
  <c r="AD30" i="6" s="1"/>
  <c r="V30" i="6"/>
  <c r="U30" i="6"/>
  <c r="T30" i="6"/>
  <c r="S30" i="6"/>
  <c r="L30" i="6"/>
  <c r="Z30" i="6" s="1"/>
  <c r="AM29" i="6"/>
  <c r="AH29" i="6"/>
  <c r="AB29" i="6"/>
  <c r="AD29" i="6" s="1"/>
  <c r="V29" i="6"/>
  <c r="U29" i="6"/>
  <c r="T29" i="6"/>
  <c r="S29" i="6"/>
  <c r="L29" i="6"/>
  <c r="AH28" i="6"/>
  <c r="AB28" i="6"/>
  <c r="AD28" i="6" s="1"/>
  <c r="V28" i="6"/>
  <c r="U28" i="6"/>
  <c r="T28" i="6"/>
  <c r="S28" i="6"/>
  <c r="L28" i="6"/>
  <c r="AH27" i="6"/>
  <c r="AD27" i="6"/>
  <c r="AC27" i="6"/>
  <c r="X27" i="6"/>
  <c r="V27" i="6"/>
  <c r="U27" i="6"/>
  <c r="T27" i="6"/>
  <c r="S27" i="6"/>
  <c r="M27" i="6"/>
  <c r="Q27" i="6" s="1"/>
  <c r="L27" i="6"/>
  <c r="AH26" i="6"/>
  <c r="AB26" i="6"/>
  <c r="AD26" i="6" s="1"/>
  <c r="V26" i="6"/>
  <c r="U26" i="6"/>
  <c r="T26" i="6"/>
  <c r="S26" i="6"/>
  <c r="L26" i="6"/>
  <c r="Z26" i="6" s="1"/>
  <c r="AH25" i="6"/>
  <c r="AD25" i="6"/>
  <c r="AC25" i="6"/>
  <c r="Z25" i="6"/>
  <c r="X25" i="6"/>
  <c r="V25" i="6"/>
  <c r="U25" i="6"/>
  <c r="T25" i="6"/>
  <c r="S25" i="6"/>
  <c r="L25" i="6"/>
  <c r="M25" i="6" s="1"/>
  <c r="Q25" i="6" s="1"/>
  <c r="AM24" i="6"/>
  <c r="AH24" i="6"/>
  <c r="AE24" i="6"/>
  <c r="AM23" i="6"/>
  <c r="AH23" i="6"/>
  <c r="Y23" i="6"/>
  <c r="AB23" i="6" s="1"/>
  <c r="AD23" i="6" s="1"/>
  <c r="V23" i="6"/>
  <c r="U23" i="6"/>
  <c r="T23" i="6"/>
  <c r="S23" i="6"/>
  <c r="L23" i="6"/>
  <c r="Z23" i="6" s="1"/>
  <c r="AM22" i="6"/>
  <c r="AH22" i="6"/>
  <c r="Y22" i="6"/>
  <c r="AB22" i="6" s="1"/>
  <c r="AD22" i="6" s="1"/>
  <c r="V22" i="6"/>
  <c r="U22" i="6"/>
  <c r="T22" i="6"/>
  <c r="S22" i="6"/>
  <c r="R22" i="6"/>
  <c r="X22" i="6" s="1"/>
  <c r="AA22" i="6" s="1"/>
  <c r="AC22" i="6" s="1"/>
  <c r="AE22" i="6" s="1"/>
  <c r="L22" i="6"/>
  <c r="AH21" i="6"/>
  <c r="AC21" i="6"/>
  <c r="AB21" i="6"/>
  <c r="AD21" i="6" s="1"/>
  <c r="AE21" i="6" s="1"/>
  <c r="S21" i="6"/>
  <c r="L21" i="6"/>
  <c r="AM20" i="6"/>
  <c r="AH20" i="6"/>
  <c r="AB20" i="6"/>
  <c r="AD20" i="6" s="1"/>
  <c r="V20" i="6"/>
  <c r="U20" i="6"/>
  <c r="T20" i="6"/>
  <c r="S20" i="6"/>
  <c r="L20" i="6"/>
  <c r="Z20" i="6" s="1"/>
  <c r="AH19" i="6"/>
  <c r="AD19" i="6"/>
  <c r="AB19" i="6"/>
  <c r="V19" i="6"/>
  <c r="U19" i="6"/>
  <c r="T19" i="6"/>
  <c r="S19" i="6"/>
  <c r="L19" i="6"/>
  <c r="M19" i="6" s="1"/>
  <c r="Q19" i="6" s="1"/>
  <c r="R19" i="6" s="1"/>
  <c r="X19" i="6" s="1"/>
  <c r="AA19" i="6" s="1"/>
  <c r="AC19" i="6" s="1"/>
  <c r="AH18" i="6"/>
  <c r="AD18" i="6"/>
  <c r="AE18" i="6" s="1"/>
  <c r="AC18" i="6"/>
  <c r="X18" i="6"/>
  <c r="V18" i="6"/>
  <c r="U18" i="6"/>
  <c r="T18" i="6"/>
  <c r="S18" i="6"/>
  <c r="L18" i="6"/>
  <c r="M18" i="6" s="1"/>
  <c r="Q18" i="6" s="1"/>
  <c r="AH17" i="6"/>
  <c r="AA17" i="6"/>
  <c r="AC17" i="6" s="1"/>
  <c r="Y17" i="6"/>
  <c r="AB17" i="6" s="1"/>
  <c r="AD17" i="6" s="1"/>
  <c r="V17" i="6"/>
  <c r="U17" i="6"/>
  <c r="T17" i="6"/>
  <c r="W17" i="6" s="1"/>
  <c r="S17" i="6"/>
  <c r="L17" i="6"/>
  <c r="M17" i="6" s="1"/>
  <c r="Q17" i="6" s="1"/>
  <c r="R17" i="6" s="1"/>
  <c r="AM16" i="6"/>
  <c r="AH16" i="6"/>
  <c r="V16" i="6"/>
  <c r="U16" i="6"/>
  <c r="T16" i="6"/>
  <c r="W16" i="6" s="1"/>
  <c r="Y16" i="6" s="1"/>
  <c r="AB16" i="6" s="1"/>
  <c r="AD16" i="6" s="1"/>
  <c r="S16" i="6"/>
  <c r="L16" i="6"/>
  <c r="Z16" i="6" s="1"/>
  <c r="AM15" i="6"/>
  <c r="AH15" i="6"/>
  <c r="AD15" i="6"/>
  <c r="AC15" i="6"/>
  <c r="AH14" i="6"/>
  <c r="AD14" i="6"/>
  <c r="AC14" i="6"/>
  <c r="AE14" i="6" s="1"/>
  <c r="AH13" i="6"/>
  <c r="AD13" i="6"/>
  <c r="AC13" i="6"/>
  <c r="AH12" i="6"/>
  <c r="AB12" i="6"/>
  <c r="AD12" i="6" s="1"/>
  <c r="V12" i="6"/>
  <c r="U12" i="6"/>
  <c r="T12" i="6"/>
  <c r="S12" i="6"/>
  <c r="L12" i="6"/>
  <c r="M12" i="6" s="1"/>
  <c r="Q12" i="6" s="1"/>
  <c r="R12" i="6" s="1"/>
  <c r="X12" i="6" s="1"/>
  <c r="AA12" i="6" s="1"/>
  <c r="AC12" i="6" s="1"/>
  <c r="AE12" i="6" s="1"/>
  <c r="AH11" i="6"/>
  <c r="AD11" i="6"/>
  <c r="AC11" i="6"/>
  <c r="AE11" i="6" s="1"/>
  <c r="X11" i="6"/>
  <c r="V11" i="6"/>
  <c r="U11" i="6"/>
  <c r="T11" i="6"/>
  <c r="S11" i="6"/>
  <c r="L11" i="6"/>
  <c r="M11" i="6" s="1"/>
  <c r="Q11" i="6" s="1"/>
  <c r="AH10" i="6"/>
  <c r="Y10" i="6"/>
  <c r="AB10" i="6" s="1"/>
  <c r="AD10" i="6" s="1"/>
  <c r="AE10" i="6" s="1"/>
  <c r="V10" i="6"/>
  <c r="U10" i="6"/>
  <c r="T10" i="6"/>
  <c r="S10" i="6"/>
  <c r="Z10" i="6" s="1"/>
  <c r="R10" i="6"/>
  <c r="X10" i="6" s="1"/>
  <c r="AA10" i="6" s="1"/>
  <c r="L10" i="6"/>
  <c r="M10" i="6" s="1"/>
  <c r="AM9" i="6"/>
  <c r="AH9" i="6"/>
  <c r="Y9" i="6"/>
  <c r="AB9" i="6" s="1"/>
  <c r="AD9" i="6" s="1"/>
  <c r="V9" i="6"/>
  <c r="U9" i="6"/>
  <c r="T9" i="6"/>
  <c r="S9" i="6"/>
  <c r="R9" i="6"/>
  <c r="X9" i="6" s="1"/>
  <c r="AA9" i="6" s="1"/>
  <c r="AC9" i="6" s="1"/>
  <c r="AE9" i="6" s="1"/>
  <c r="L9" i="6"/>
  <c r="AH8" i="6"/>
  <c r="AB8" i="6"/>
  <c r="AD8" i="6" s="1"/>
  <c r="AA8" i="6"/>
  <c r="AC8" i="6" s="1"/>
  <c r="AE8" i="6" s="1"/>
  <c r="V8" i="6"/>
  <c r="U8" i="6"/>
  <c r="T8" i="6"/>
  <c r="S8" i="6"/>
  <c r="R8" i="6"/>
  <c r="L8" i="6"/>
  <c r="M8" i="6" s="1"/>
  <c r="AM7" i="6"/>
  <c r="AH7" i="6"/>
  <c r="AA7" i="6"/>
  <c r="AC7" i="6" s="1"/>
  <c r="Y7" i="6"/>
  <c r="AB7" i="6" s="1"/>
  <c r="AD7" i="6" s="1"/>
  <c r="V7" i="6"/>
  <c r="U7" i="6"/>
  <c r="T7" i="6"/>
  <c r="S7" i="6"/>
  <c r="R7" i="6"/>
  <c r="M7" i="6"/>
  <c r="L7" i="6"/>
  <c r="AH6" i="6"/>
  <c r="AB6" i="6"/>
  <c r="AD6" i="6" s="1"/>
  <c r="AE6" i="6" s="1"/>
  <c r="V6" i="6"/>
  <c r="U6" i="6"/>
  <c r="T6" i="6"/>
  <c r="S6" i="6"/>
  <c r="Z6" i="6" s="1"/>
  <c r="L6" i="6"/>
  <c r="M6" i="6" s="1"/>
  <c r="Q6" i="6" s="1"/>
  <c r="R6" i="6" s="1"/>
  <c r="X6" i="6" s="1"/>
  <c r="AA6" i="6" s="1"/>
  <c r="AM5" i="6"/>
  <c r="AH5" i="6"/>
  <c r="AB5" i="6"/>
  <c r="AD5" i="6" s="1"/>
  <c r="V5" i="6"/>
  <c r="U5" i="6"/>
  <c r="T5" i="6"/>
  <c r="S5" i="6"/>
  <c r="L5" i="6"/>
  <c r="M5" i="6" s="1"/>
  <c r="Q5" i="6" s="1"/>
  <c r="AE61" i="7" l="1"/>
  <c r="M31" i="6"/>
  <c r="Q31" i="6" s="1"/>
  <c r="R31" i="6" s="1"/>
  <c r="X31" i="6" s="1"/>
  <c r="AA31" i="6" s="1"/>
  <c r="AC31" i="6" s="1"/>
  <c r="Z37" i="7"/>
  <c r="U64" i="7"/>
  <c r="Z83" i="7"/>
  <c r="AM51" i="6"/>
  <c r="M23" i="6"/>
  <c r="Q23" i="6" s="1"/>
  <c r="R23" i="6" s="1"/>
  <c r="X23" i="6" s="1"/>
  <c r="AA23" i="6" s="1"/>
  <c r="AC23" i="6" s="1"/>
  <c r="AE23" i="6" s="1"/>
  <c r="M30" i="6"/>
  <c r="Q30" i="6" s="1"/>
  <c r="R30" i="6" s="1"/>
  <c r="X30" i="6" s="1"/>
  <c r="AA30" i="6" s="1"/>
  <c r="AC30" i="6" s="1"/>
  <c r="AE33" i="6"/>
  <c r="M42" i="6"/>
  <c r="Q42" i="6" s="1"/>
  <c r="R42" i="6" s="1"/>
  <c r="X42" i="6" s="1"/>
  <c r="AA42" i="6" s="1"/>
  <c r="AC42" i="6" s="1"/>
  <c r="AE42" i="6" s="1"/>
  <c r="V64" i="6"/>
  <c r="AE19" i="6"/>
  <c r="AE25" i="6"/>
  <c r="Z44" i="6"/>
  <c r="Z62" i="6"/>
  <c r="Z7" i="7"/>
  <c r="M33" i="7"/>
  <c r="Q33" i="7" s="1"/>
  <c r="R33" i="7" s="1"/>
  <c r="X33" i="7" s="1"/>
  <c r="AE41" i="7"/>
  <c r="K66" i="7"/>
  <c r="M44" i="6"/>
  <c r="Q44" i="6" s="1"/>
  <c r="R44" i="6" s="1"/>
  <c r="X44" i="6" s="1"/>
  <c r="AA44" i="6" s="1"/>
  <c r="AC44" i="6" s="1"/>
  <c r="AE44" i="6" s="1"/>
  <c r="AE49" i="6"/>
  <c r="Z58" i="6"/>
  <c r="AE15" i="7"/>
  <c r="AE18" i="7"/>
  <c r="AE35" i="7"/>
  <c r="Z40" i="7"/>
  <c r="AE48" i="7"/>
  <c r="N66" i="7"/>
  <c r="AE45" i="6"/>
  <c r="Z43" i="6"/>
  <c r="AE56" i="6"/>
  <c r="AE15" i="6"/>
  <c r="Z27" i="6"/>
  <c r="Z35" i="6"/>
  <c r="U64" i="6"/>
  <c r="Z55" i="6"/>
  <c r="AE17" i="7"/>
  <c r="Z42" i="7"/>
  <c r="AE50" i="7"/>
  <c r="AE58" i="7"/>
  <c r="Z58" i="7"/>
  <c r="Z81" i="7"/>
  <c r="Z19" i="6"/>
  <c r="S64" i="6"/>
  <c r="T51" i="6"/>
  <c r="Z7" i="6"/>
  <c r="Z8" i="6"/>
  <c r="AE27" i="6"/>
  <c r="Z49" i="6"/>
  <c r="K66" i="6"/>
  <c r="AM64" i="6"/>
  <c r="AM66" i="6" s="1"/>
  <c r="AM70" i="6" s="1"/>
  <c r="AG66" i="6"/>
  <c r="AE9" i="7"/>
  <c r="Z25" i="7"/>
  <c r="AE25" i="7"/>
  <c r="Z32" i="7"/>
  <c r="Z48" i="7"/>
  <c r="AE55" i="7"/>
  <c r="P66" i="7"/>
  <c r="Z78" i="7"/>
  <c r="Z79" i="7"/>
  <c r="Z85" i="7"/>
  <c r="Z8" i="7"/>
  <c r="Z59" i="7"/>
  <c r="Z12" i="6"/>
  <c r="Z20" i="7"/>
  <c r="Z41" i="7"/>
  <c r="Z62" i="7"/>
  <c r="Z17" i="6"/>
  <c r="M20" i="6"/>
  <c r="Q20" i="6" s="1"/>
  <c r="R20" i="6" s="1"/>
  <c r="X20" i="6" s="1"/>
  <c r="AA20" i="6" s="1"/>
  <c r="AC20" i="6" s="1"/>
  <c r="AE20" i="6" s="1"/>
  <c r="M26" i="6"/>
  <c r="Q26" i="6" s="1"/>
  <c r="R26" i="6" s="1"/>
  <c r="X26" i="6" s="1"/>
  <c r="AA26" i="6" s="1"/>
  <c r="AC26" i="6" s="1"/>
  <c r="AE26" i="6" s="1"/>
  <c r="AE39" i="6"/>
  <c r="AE47" i="6"/>
  <c r="L64" i="6"/>
  <c r="Z54" i="6"/>
  <c r="Z64" i="6" s="1"/>
  <c r="S51" i="7"/>
  <c r="AJ51" i="7"/>
  <c r="AJ66" i="7" s="1"/>
  <c r="AJ71" i="7" s="1"/>
  <c r="Z16" i="7"/>
  <c r="AE23" i="7"/>
  <c r="AE33" i="7"/>
  <c r="Z45" i="7"/>
  <c r="J66" i="7"/>
  <c r="AI66" i="7"/>
  <c r="Z56" i="7"/>
  <c r="M59" i="7"/>
  <c r="Q59" i="7" s="1"/>
  <c r="R59" i="7" s="1"/>
  <c r="X59" i="7" s="1"/>
  <c r="AA59" i="7" s="1"/>
  <c r="AC59" i="7" s="1"/>
  <c r="AE59" i="7" s="1"/>
  <c r="M62" i="7"/>
  <c r="Q62" i="7" s="1"/>
  <c r="R62" i="7" s="1"/>
  <c r="X62" i="7" s="1"/>
  <c r="AA62" i="7" s="1"/>
  <c r="AC62" i="7" s="1"/>
  <c r="AE62" i="7" s="1"/>
  <c r="AG66" i="7"/>
  <c r="Z80" i="7"/>
  <c r="AE13" i="6"/>
  <c r="M16" i="6"/>
  <c r="Q16" i="6" s="1"/>
  <c r="R16" i="6" s="1"/>
  <c r="X16" i="6" s="1"/>
  <c r="AA16" i="6" s="1"/>
  <c r="AC16" i="6" s="1"/>
  <c r="AE16" i="6" s="1"/>
  <c r="AE17" i="6"/>
  <c r="AE43" i="6"/>
  <c r="T64" i="6"/>
  <c r="AH64" i="6"/>
  <c r="Z57" i="6"/>
  <c r="M59" i="6"/>
  <c r="Q59" i="6" s="1"/>
  <c r="R59" i="6" s="1"/>
  <c r="X59" i="6" s="1"/>
  <c r="AA59" i="6" s="1"/>
  <c r="AC59" i="6" s="1"/>
  <c r="AE59" i="6" s="1"/>
  <c r="Z63" i="6"/>
  <c r="M7" i="7"/>
  <c r="AE11" i="7"/>
  <c r="M17" i="7"/>
  <c r="Q17" i="7" s="1"/>
  <c r="R17" i="7" s="1"/>
  <c r="Z19" i="7"/>
  <c r="Z21" i="7"/>
  <c r="Z36" i="7"/>
  <c r="AE40" i="7"/>
  <c r="AE43" i="7"/>
  <c r="AE47" i="7"/>
  <c r="AE49" i="7"/>
  <c r="Z63" i="7"/>
  <c r="Z60" i="8"/>
  <c r="Z64" i="8" s="1"/>
  <c r="AE52" i="8"/>
  <c r="AC58" i="8"/>
  <c r="Y58" i="8"/>
  <c r="Y60" i="8" s="1"/>
  <c r="AB49" i="8"/>
  <c r="R7" i="8"/>
  <c r="Q46" i="8"/>
  <c r="Q60" i="8" s="1"/>
  <c r="M60" i="8"/>
  <c r="AE56" i="7"/>
  <c r="AB7" i="7"/>
  <c r="U51" i="7"/>
  <c r="U66" i="7" s="1"/>
  <c r="U71" i="7" s="1"/>
  <c r="Z10" i="7"/>
  <c r="AE8" i="7"/>
  <c r="W51" i="7"/>
  <c r="Y16" i="7"/>
  <c r="AB16" i="7" s="1"/>
  <c r="AD16" i="7" s="1"/>
  <c r="Z29" i="7"/>
  <c r="M29" i="7"/>
  <c r="Q29" i="7" s="1"/>
  <c r="R29" i="7" s="1"/>
  <c r="X29" i="7" s="1"/>
  <c r="AA29" i="7" s="1"/>
  <c r="AC29" i="7" s="1"/>
  <c r="AE29" i="7" s="1"/>
  <c r="Z49" i="7"/>
  <c r="S64" i="7"/>
  <c r="S66" i="7" s="1"/>
  <c r="AJ64" i="7"/>
  <c r="M25" i="7"/>
  <c r="Q25" i="7" s="1"/>
  <c r="AE45" i="7"/>
  <c r="Z11" i="7"/>
  <c r="L51" i="7"/>
  <c r="Z55" i="7"/>
  <c r="M55" i="7"/>
  <c r="Q55" i="7" s="1"/>
  <c r="R55" i="7" s="1"/>
  <c r="L64" i="7"/>
  <c r="AE21" i="7"/>
  <c r="Z30" i="7"/>
  <c r="M30" i="7"/>
  <c r="Q30" i="7" s="1"/>
  <c r="R30" i="7" s="1"/>
  <c r="X30" i="7" s="1"/>
  <c r="AA30" i="7" s="1"/>
  <c r="AC30" i="7" s="1"/>
  <c r="AE30" i="7" s="1"/>
  <c r="Y64" i="7"/>
  <c r="AB54" i="7"/>
  <c r="AE22" i="7"/>
  <c r="Z9" i="7"/>
  <c r="M16" i="7"/>
  <c r="Q16" i="7" s="1"/>
  <c r="R16" i="7" s="1"/>
  <c r="X16" i="7" s="1"/>
  <c r="AA16" i="7" s="1"/>
  <c r="AC16" i="7" s="1"/>
  <c r="AE16" i="7" s="1"/>
  <c r="V64" i="7"/>
  <c r="Z28" i="7"/>
  <c r="M28" i="7"/>
  <c r="Q28" i="7" s="1"/>
  <c r="R28" i="7" s="1"/>
  <c r="X28" i="7" s="1"/>
  <c r="AA28" i="7" s="1"/>
  <c r="AC28" i="7" s="1"/>
  <c r="AE28" i="7" s="1"/>
  <c r="AE10" i="7"/>
  <c r="M21" i="7"/>
  <c r="Q21" i="7" s="1"/>
  <c r="R21" i="7" s="1"/>
  <c r="X21" i="7" s="1"/>
  <c r="M54" i="7"/>
  <c r="V51" i="7"/>
  <c r="Z31" i="7"/>
  <c r="M31" i="7"/>
  <c r="Q31" i="7" s="1"/>
  <c r="R31" i="7" s="1"/>
  <c r="X31" i="7" s="1"/>
  <c r="AA31" i="7" s="1"/>
  <c r="AC31" i="7" s="1"/>
  <c r="AE31" i="7" s="1"/>
  <c r="Z44" i="7"/>
  <c r="W64" i="7"/>
  <c r="T64" i="7"/>
  <c r="T66" i="7" s="1"/>
  <c r="M5" i="7"/>
  <c r="M6" i="7"/>
  <c r="Q6" i="7" s="1"/>
  <c r="R6" i="7" s="1"/>
  <c r="X6" i="7" s="1"/>
  <c r="AA6" i="7" s="1"/>
  <c r="M18" i="7"/>
  <c r="Q18" i="7" s="1"/>
  <c r="Z27" i="7"/>
  <c r="M57" i="7"/>
  <c r="Q57" i="7" s="1"/>
  <c r="R57" i="7" s="1"/>
  <c r="X57" i="7" s="1"/>
  <c r="M12" i="7"/>
  <c r="Q12" i="7" s="1"/>
  <c r="R12" i="7" s="1"/>
  <c r="X12" i="7" s="1"/>
  <c r="AA12" i="7" s="1"/>
  <c r="AC12" i="7" s="1"/>
  <c r="AE12" i="7" s="1"/>
  <c r="M22" i="7"/>
  <c r="M26" i="7"/>
  <c r="Q26" i="7" s="1"/>
  <c r="R26" i="7" s="1"/>
  <c r="X26" i="7" s="1"/>
  <c r="AA26" i="7" s="1"/>
  <c r="AC26" i="7" s="1"/>
  <c r="AE26" i="7" s="1"/>
  <c r="M44" i="7"/>
  <c r="Q44" i="7" s="1"/>
  <c r="R44" i="7" s="1"/>
  <c r="X44" i="7" s="1"/>
  <c r="AA44" i="7" s="1"/>
  <c r="AC44" i="7" s="1"/>
  <c r="AE44" i="7" s="1"/>
  <c r="M45" i="7"/>
  <c r="M46" i="7"/>
  <c r="Q46" i="7" s="1"/>
  <c r="R46" i="7" s="1"/>
  <c r="X46" i="7" s="1"/>
  <c r="AA46" i="7" s="1"/>
  <c r="AC46" i="7" s="1"/>
  <c r="AE46" i="7" s="1"/>
  <c r="Z47" i="7"/>
  <c r="AC54" i="7"/>
  <c r="M85" i="7"/>
  <c r="Q85" i="7" s="1"/>
  <c r="AD51" i="6"/>
  <c r="Z9" i="6"/>
  <c r="M9" i="6"/>
  <c r="Z22" i="6"/>
  <c r="M22" i="6"/>
  <c r="Z29" i="6"/>
  <c r="M29" i="6"/>
  <c r="Q29" i="6" s="1"/>
  <c r="R29" i="6" s="1"/>
  <c r="X29" i="6" s="1"/>
  <c r="AA29" i="6" s="1"/>
  <c r="AC29" i="6" s="1"/>
  <c r="AE29" i="6" s="1"/>
  <c r="Z33" i="6"/>
  <c r="M33" i="6"/>
  <c r="Q33" i="6" s="1"/>
  <c r="R33" i="6" s="1"/>
  <c r="X33" i="6" s="1"/>
  <c r="Z34" i="6"/>
  <c r="M34" i="6"/>
  <c r="Q34" i="6" s="1"/>
  <c r="R34" i="6" s="1"/>
  <c r="X34" i="6" s="1"/>
  <c r="AA34" i="6" s="1"/>
  <c r="AC34" i="6" s="1"/>
  <c r="AE34" i="6" s="1"/>
  <c r="Z40" i="6"/>
  <c r="M40" i="6"/>
  <c r="Q40" i="6" s="1"/>
  <c r="R40" i="6" s="1"/>
  <c r="X40" i="6" s="1"/>
  <c r="R5" i="6"/>
  <c r="Z21" i="6"/>
  <c r="M21" i="6"/>
  <c r="Q21" i="6" s="1"/>
  <c r="R21" i="6" s="1"/>
  <c r="X21" i="6" s="1"/>
  <c r="AE31" i="6"/>
  <c r="S51" i="6"/>
  <c r="Z5" i="6"/>
  <c r="AH51" i="6"/>
  <c r="AE40" i="6"/>
  <c r="Z46" i="6"/>
  <c r="M46" i="6"/>
  <c r="Q46" i="6" s="1"/>
  <c r="R46" i="6" s="1"/>
  <c r="X46" i="6" s="1"/>
  <c r="AA46" i="6" s="1"/>
  <c r="AC46" i="6" s="1"/>
  <c r="AE46" i="6" s="1"/>
  <c r="AB51" i="6"/>
  <c r="AE61" i="6"/>
  <c r="Z36" i="6"/>
  <c r="M36" i="6"/>
  <c r="Q36" i="6" s="1"/>
  <c r="R36" i="6" s="1"/>
  <c r="X36" i="6" s="1"/>
  <c r="AA36" i="6" s="1"/>
  <c r="AC36" i="6" s="1"/>
  <c r="AE36" i="6" s="1"/>
  <c r="AB54" i="6"/>
  <c r="Y64" i="6"/>
  <c r="AE7" i="6"/>
  <c r="AA57" i="6"/>
  <c r="AC57" i="6" s="1"/>
  <c r="AE57" i="6" s="1"/>
  <c r="U51" i="6"/>
  <c r="U66" i="6" s="1"/>
  <c r="U70" i="6" s="1"/>
  <c r="V51" i="6"/>
  <c r="V66" i="6" s="1"/>
  <c r="V70" i="6" s="1"/>
  <c r="Z11" i="6"/>
  <c r="AE32" i="6"/>
  <c r="Z37" i="6"/>
  <c r="M37" i="6"/>
  <c r="Q37" i="6" s="1"/>
  <c r="R37" i="6" s="1"/>
  <c r="X37" i="6" s="1"/>
  <c r="AA37" i="6" s="1"/>
  <c r="AC37" i="6" s="1"/>
  <c r="AE37" i="6" s="1"/>
  <c r="L51" i="6"/>
  <c r="Y51" i="6"/>
  <c r="W51" i="6"/>
  <c r="Z18" i="6"/>
  <c r="Z28" i="6"/>
  <c r="M28" i="6"/>
  <c r="Q28" i="6" s="1"/>
  <c r="R28" i="6" s="1"/>
  <c r="X28" i="6" s="1"/>
  <c r="AA28" i="6" s="1"/>
  <c r="AC28" i="6" s="1"/>
  <c r="AE28" i="6" s="1"/>
  <c r="AE30" i="6"/>
  <c r="Z48" i="6"/>
  <c r="M58" i="6"/>
  <c r="Q58" i="6" s="1"/>
  <c r="R58" i="6" s="1"/>
  <c r="X58" i="6" s="1"/>
  <c r="AA58" i="6" s="1"/>
  <c r="AC58" i="6" s="1"/>
  <c r="AE58" i="6" s="1"/>
  <c r="W64" i="6"/>
  <c r="Z47" i="6"/>
  <c r="M54" i="6"/>
  <c r="M63" i="6"/>
  <c r="Q63" i="6" s="1"/>
  <c r="R63" i="6" s="1"/>
  <c r="X63" i="6" s="1"/>
  <c r="AA63" i="6" s="1"/>
  <c r="AC63" i="6" s="1"/>
  <c r="AE63" i="6" s="1"/>
  <c r="Z41" i="6"/>
  <c r="M56" i="6"/>
  <c r="Q56" i="6" s="1"/>
  <c r="R56" i="6" s="1"/>
  <c r="M35" i="6"/>
  <c r="Q35" i="6" s="1"/>
  <c r="R35" i="6" s="1"/>
  <c r="X35" i="6" s="1"/>
  <c r="Y66" i="6" l="1"/>
  <c r="AH66" i="6"/>
  <c r="AH70" i="6" s="1"/>
  <c r="L66" i="6"/>
  <c r="T66" i="6"/>
  <c r="S66" i="6"/>
  <c r="Z64" i="7"/>
  <c r="M51" i="6"/>
  <c r="Z51" i="7"/>
  <c r="Z66" i="7" s="1"/>
  <c r="Z71" i="7" s="1"/>
  <c r="AD49" i="8"/>
  <c r="AB58" i="8"/>
  <c r="AB60" i="8" s="1"/>
  <c r="R46" i="8"/>
  <c r="R60" i="8" s="1"/>
  <c r="X7" i="8"/>
  <c r="AD7" i="7"/>
  <c r="AB51" i="7"/>
  <c r="Q5" i="7"/>
  <c r="M51" i="7"/>
  <c r="Y51" i="7"/>
  <c r="Y66" i="7" s="1"/>
  <c r="L66" i="7"/>
  <c r="X64" i="7"/>
  <c r="AA57" i="7"/>
  <c r="AD54" i="7"/>
  <c r="AD64" i="7" s="1"/>
  <c r="AB64" i="7"/>
  <c r="W66" i="7"/>
  <c r="V66" i="7"/>
  <c r="V71" i="7" s="1"/>
  <c r="Q54" i="7"/>
  <c r="M64" i="7"/>
  <c r="Z51" i="6"/>
  <c r="Z66" i="6" s="1"/>
  <c r="Z70" i="6" s="1"/>
  <c r="W66" i="6"/>
  <c r="AA64" i="6"/>
  <c r="AB64" i="6"/>
  <c r="AB66" i="6" s="1"/>
  <c r="AD54" i="6"/>
  <c r="X64" i="6"/>
  <c r="Q51" i="6"/>
  <c r="AC64" i="6"/>
  <c r="Q54" i="6"/>
  <c r="M64" i="6"/>
  <c r="M66" i="6" s="1"/>
  <c r="R51" i="6"/>
  <c r="X5" i="6"/>
  <c r="AE54" i="7" l="1"/>
  <c r="X46" i="8"/>
  <c r="X60" i="8" s="1"/>
  <c r="AA7" i="8"/>
  <c r="AD58" i="8"/>
  <c r="AD60" i="8" s="1"/>
  <c r="AE49" i="8"/>
  <c r="AE58" i="8" s="1"/>
  <c r="Q64" i="7"/>
  <c r="R54" i="7"/>
  <c r="R64" i="7" s="1"/>
  <c r="AB66" i="7"/>
  <c r="AC57" i="7"/>
  <c r="AA64" i="7"/>
  <c r="M66" i="7"/>
  <c r="Q51" i="7"/>
  <c r="Q66" i="7" s="1"/>
  <c r="R5" i="7"/>
  <c r="AD51" i="7"/>
  <c r="AD66" i="7" s="1"/>
  <c r="AE7" i="7"/>
  <c r="AD64" i="6"/>
  <c r="AD66" i="6" s="1"/>
  <c r="AE54" i="6"/>
  <c r="AE64" i="6" s="1"/>
  <c r="X51" i="6"/>
  <c r="X66" i="6" s="1"/>
  <c r="AA5" i="6"/>
  <c r="R54" i="6"/>
  <c r="R64" i="6" s="1"/>
  <c r="R66" i="6" s="1"/>
  <c r="Q64" i="6"/>
  <c r="Q66" i="6" s="1"/>
  <c r="AA46" i="8" l="1"/>
  <c r="AA60" i="8" s="1"/>
  <c r="AC7" i="8"/>
  <c r="AE57" i="7"/>
  <c r="AE64" i="7" s="1"/>
  <c r="AC64" i="7"/>
  <c r="X5" i="7"/>
  <c r="R51" i="7"/>
  <c r="R66" i="7" s="1"/>
  <c r="AA51" i="6"/>
  <c r="AA66" i="6" s="1"/>
  <c r="AC5" i="6"/>
  <c r="AE7" i="8" l="1"/>
  <c r="AE46" i="8" s="1"/>
  <c r="AE60" i="8" s="1"/>
  <c r="AC46" i="8"/>
  <c r="AC60" i="8" s="1"/>
  <c r="X51" i="7"/>
  <c r="X66" i="7" s="1"/>
  <c r="AA5" i="7"/>
  <c r="AC51" i="6"/>
  <c r="AC66" i="6" s="1"/>
  <c r="AE5" i="6"/>
  <c r="AE51" i="6" s="1"/>
  <c r="AE66" i="6" s="1"/>
  <c r="AA51" i="7" l="1"/>
  <c r="AA66" i="7" s="1"/>
  <c r="AC5" i="7"/>
  <c r="AC51" i="7" l="1"/>
  <c r="AC66" i="7" s="1"/>
  <c r="AE5" i="7"/>
  <c r="AE51" i="7" s="1"/>
  <c r="AE66" i="7" s="1"/>
  <c r="AE71" i="7" s="1"/>
</calcChain>
</file>

<file path=xl/sharedStrings.xml><?xml version="1.0" encoding="utf-8"?>
<sst xmlns="http://schemas.openxmlformats.org/spreadsheetml/2006/main" count="1373" uniqueCount="308">
  <si>
    <t xml:space="preserve"> </t>
  </si>
  <si>
    <t>Taaknr.</t>
  </si>
  <si>
    <t>Object</t>
  </si>
  <si>
    <t>Adres</t>
  </si>
  <si>
    <t>Plaats</t>
  </si>
  <si>
    <t>Gebouwen: per 2012 RHVO (pol.632.309.203)</t>
  </si>
  <si>
    <t>Gebouwen per 24-09-2012 (eindstand Marsh en RHVO pol.632.300.708)</t>
  </si>
  <si>
    <t>Gebouwen</t>
  </si>
  <si>
    <t>Inventaris / inboedel: per 2012 RHVO (pol.632.309.203)</t>
  </si>
  <si>
    <t>Extra Kosten:</t>
  </si>
  <si>
    <t>Inventaris per 24-09-2012 (eindstand Marsh en RHVO pol.632.300.708)</t>
  </si>
  <si>
    <t>Inventaris</t>
  </si>
  <si>
    <t>Totaal verzekerde waarde: per 2012 RHVO (pol.632.309.203)</t>
  </si>
  <si>
    <t>Totaal verzekerde waarde: per 24-09-2012 (eindstand Marsh en RHVO pol.632.300.708)</t>
  </si>
  <si>
    <t>Totaal verzekerde waarde</t>
  </si>
  <si>
    <t>per 01-01-2013</t>
  </si>
  <si>
    <t>per 31-12-2012</t>
  </si>
  <si>
    <t>per 31-12-2013</t>
  </si>
  <si>
    <t>voor index</t>
  </si>
  <si>
    <t>na index 117,8</t>
  </si>
  <si>
    <t>na index 118,7</t>
  </si>
  <si>
    <t>na index 113,8</t>
  </si>
  <si>
    <t>Gemeentelijk Bezit:</t>
  </si>
  <si>
    <t>5.015.60.15</t>
  </si>
  <si>
    <t>Hoogerheide</t>
  </si>
  <si>
    <t>Sportcomplex Kloosterhof</t>
  </si>
  <si>
    <t>Huijbergseweg 3B</t>
  </si>
  <si>
    <t>Multifunctioneel centrum Kloosterhof</t>
  </si>
  <si>
    <t>65100315 ipv 65100313</t>
  </si>
  <si>
    <t>Bibliotheek Het Markiezaat</t>
  </si>
  <si>
    <t>Huijbergseweg 3A</t>
  </si>
  <si>
    <t>5.015.14.15</t>
  </si>
  <si>
    <t>verzekerd worden door brandweer.</t>
  </si>
  <si>
    <t>Brandweerkazerne Putte</t>
  </si>
  <si>
    <t>Antwerpsestraat 129</t>
  </si>
  <si>
    <t>Putte</t>
  </si>
  <si>
    <t>Omdat zij nog niet duidelijk hebben hoe</t>
  </si>
  <si>
    <t>Brandweerkazerne Ossendrecht</t>
  </si>
  <si>
    <t>Doktersstraat 5</t>
  </si>
  <si>
    <t>Ossendrecht</t>
  </si>
  <si>
    <t>hoog de waarde is, royement afwachten!</t>
  </si>
  <si>
    <t>Brandweerkazerne Huijbergen</t>
  </si>
  <si>
    <t>Canadaplein 3</t>
  </si>
  <si>
    <t>Huijbergen</t>
  </si>
  <si>
    <t>Zoutopslag</t>
  </si>
  <si>
    <t>Antwerpsestraatweg 173</t>
  </si>
  <si>
    <t xml:space="preserve">Lichtmasten </t>
  </si>
  <si>
    <t>Fortuinstraat 12</t>
  </si>
  <si>
    <t>Woensdrecht</t>
  </si>
  <si>
    <t>3 lichtmasten terrein WWV</t>
  </si>
  <si>
    <t>Koppelstraat 32</t>
  </si>
  <si>
    <t>Lichtmasten</t>
  </si>
  <si>
    <t>Trambaan 8A</t>
  </si>
  <si>
    <t>Veenbes 1</t>
  </si>
  <si>
    <t>Tennispaviljoen Hoogerheide</t>
  </si>
  <si>
    <t>Sportlaan 2</t>
  </si>
  <si>
    <t>Kantine/kleedgebouw tennis Huijbergen</t>
  </si>
  <si>
    <t>Waterdrieblad 1A</t>
  </si>
  <si>
    <t>Kleedlokalen/kantine tennis Putte</t>
  </si>
  <si>
    <t>Postbaan 65</t>
  </si>
  <si>
    <t>Bouwloodsen carnaval</t>
  </si>
  <si>
    <t>Trambaan 54</t>
  </si>
  <si>
    <t>Loods (bouwloods carnaval)</t>
  </si>
  <si>
    <t>Kasteelstraat 9</t>
  </si>
  <si>
    <t xml:space="preserve">De Ploeg 11/13 </t>
  </si>
  <si>
    <t>Sporthal De Drieschaar</t>
  </si>
  <si>
    <t>De Ploeg 11</t>
  </si>
  <si>
    <t>Schoolstraat 42</t>
  </si>
  <si>
    <t>Sporthal De Biezen</t>
  </si>
  <si>
    <t xml:space="preserve">Schoolstraat 42 </t>
  </si>
  <si>
    <t>Prior Borrekensstraat 1</t>
  </si>
  <si>
    <t>Sporthal De Kloek</t>
  </si>
  <si>
    <t>Scouting gebouw Ossendrecht</t>
  </si>
  <si>
    <t>Breestraat 16</t>
  </si>
  <si>
    <t>Rioolpersstation</t>
  </si>
  <si>
    <t>Kooiweg 1a</t>
  </si>
  <si>
    <t>Gemalen te Hoogerheide</t>
  </si>
  <si>
    <t>Gemalen te Ossendrecht</t>
  </si>
  <si>
    <t>is incl. rioolpersst.Hogeb.</t>
  </si>
  <si>
    <t>nw. 197 ipv 166 kasten</t>
  </si>
  <si>
    <t>Drukrioleringskasten (197x)</t>
  </si>
  <si>
    <t xml:space="preserve">Welzijnscentrum K4 </t>
  </si>
  <si>
    <t>Kromstraat 4</t>
  </si>
  <si>
    <t>Primair en Voortgezet Onderwijs:</t>
  </si>
  <si>
    <t>Basisschool De Meulenrakkers</t>
  </si>
  <si>
    <t>Basisschool Op Dreef</t>
  </si>
  <si>
    <t>Hogebergdreef 55a</t>
  </si>
  <si>
    <t>Basissch.St.Marie + gymlokaal</t>
  </si>
  <si>
    <t>Basisschool De Stappen</t>
  </si>
  <si>
    <t>Bloemenlaan 52</t>
  </si>
  <si>
    <t>Basisschool De Poorte</t>
  </si>
  <si>
    <t>Berglaan 10</t>
  </si>
  <si>
    <t>Basisschool De Poorte (units)</t>
  </si>
  <si>
    <t>nieuw per 24-09-2012</t>
  </si>
  <si>
    <t>Brede School de Boemerang</t>
  </si>
  <si>
    <t>Philomenahof 25</t>
  </si>
  <si>
    <t>Gymnastieklokaal</t>
  </si>
  <si>
    <t>Bloemenlaan 50</t>
  </si>
  <si>
    <t>EINDTOTAAL:</t>
  </si>
  <si>
    <t>premier risque: 3 x € 1.000.000,00</t>
  </si>
  <si>
    <t>Gemalen te Huijbergen</t>
  </si>
  <si>
    <t>OLV ter Duinenlaan 201</t>
  </si>
  <si>
    <t>Huijbergseweg 3, 3A en 3B</t>
  </si>
  <si>
    <t>per 31-12-2014</t>
  </si>
  <si>
    <t>na index 115,7</t>
  </si>
  <si>
    <t>na index 120,2</t>
  </si>
  <si>
    <t>Gemeentehuis, bibliotheek, cultureel centrum en sporthal (inclusief fundering)</t>
  </si>
  <si>
    <t>Multifunct.gebouw De Drieschaar 
(inclusief fundering)</t>
  </si>
  <si>
    <t>Gemeenschapshuis, sporthal en horeca 
De Kloek (inclusief fundering)</t>
  </si>
  <si>
    <t>Multifunct. Centrum De Biezen
(inclusief fundering)</t>
  </si>
  <si>
    <t>Kleedgebouw/kantine WWV '67</t>
  </si>
  <si>
    <t>Huijbergseweg 76-80</t>
  </si>
  <si>
    <t>Kleedgebouw voetbal Meto</t>
  </si>
  <si>
    <t>Kleedlokalen/kantine voetbal Grenswachters</t>
  </si>
  <si>
    <t>Kantine voetbalvereniging met kleedruimten Huijbergen Vivoo</t>
  </si>
  <si>
    <t>6.630.00.00</t>
  </si>
  <si>
    <t>6.510.00.00</t>
  </si>
  <si>
    <t>6.120.01.00</t>
  </si>
  <si>
    <t>6.210.20.00</t>
  </si>
  <si>
    <t>6.531.00.00</t>
  </si>
  <si>
    <t>6.530.31.00</t>
  </si>
  <si>
    <t>6.560.30.00</t>
  </si>
  <si>
    <t>Loodsen carnaval</t>
  </si>
  <si>
    <t>Antwerpsestr/Acacialn.</t>
  </si>
  <si>
    <t>6.630.11.00</t>
  </si>
  <si>
    <t>6.722.00.00</t>
  </si>
  <si>
    <t>6.716.00.00</t>
  </si>
  <si>
    <t xml:space="preserve">Gemalen te Putte </t>
  </si>
  <si>
    <t>per 31-12-2015</t>
  </si>
  <si>
    <t>6.423.00.00</t>
  </si>
  <si>
    <t>6.443.00.00</t>
  </si>
  <si>
    <t>6.421.10.00</t>
  </si>
  <si>
    <t>6.530.02.00</t>
  </si>
  <si>
    <t>na index 120,7</t>
  </si>
  <si>
    <t>Postcode</t>
  </si>
  <si>
    <t>4631 GC</t>
  </si>
  <si>
    <t>4631 GH</t>
  </si>
  <si>
    <t>4631 PN</t>
  </si>
  <si>
    <t>4631 CR</t>
  </si>
  <si>
    <t>4631 SZ</t>
  </si>
  <si>
    <t>4631 KH</t>
  </si>
  <si>
    <t>4631 AD</t>
  </si>
  <si>
    <t>4631 NM</t>
  </si>
  <si>
    <t>4635 AZ</t>
  </si>
  <si>
    <t>4635 BR</t>
  </si>
  <si>
    <t>4635 BP</t>
  </si>
  <si>
    <t>4635 BW</t>
  </si>
  <si>
    <t>4635 CX</t>
  </si>
  <si>
    <t>4641 HS</t>
  </si>
  <si>
    <t>4641 PE</t>
  </si>
  <si>
    <t>4641 PG</t>
  </si>
  <si>
    <t>4641 JM</t>
  </si>
  <si>
    <t>4641 TH</t>
  </si>
  <si>
    <t>4641 SG</t>
  </si>
  <si>
    <t>4641 RM</t>
  </si>
  <si>
    <t>4641 CL</t>
  </si>
  <si>
    <t>4645 BD</t>
  </si>
  <si>
    <t>4645 RD</t>
  </si>
  <si>
    <t>4645 RN</t>
  </si>
  <si>
    <t>4645 DA</t>
  </si>
  <si>
    <t>4645 EV</t>
  </si>
  <si>
    <t>4634 TD</t>
  </si>
  <si>
    <t>4634 VH</t>
  </si>
  <si>
    <t xml:space="preserve">Meulenberg 6 </t>
  </si>
  <si>
    <t>Boomstraat 5</t>
  </si>
  <si>
    <t>Taxatierapport 702372/1 Lengkeek 18-5-2016</t>
  </si>
  <si>
    <t>Taxatierapport 702372/2 Lengkeek 18-5-2016</t>
  </si>
  <si>
    <t>Taxatierapport 702372/3 Lengkeek 18-5-2016</t>
  </si>
  <si>
    <t>Taxatierapport 702372/4 Lengkeek 3-5-2016</t>
  </si>
  <si>
    <t>prod.nr. + verdeling bibl.</t>
  </si>
  <si>
    <t>% van gem.huis</t>
  </si>
  <si>
    <t>nw. Taak</t>
  </si>
  <si>
    <t>6.040.65.00</t>
  </si>
  <si>
    <t>per 31-12-2016</t>
  </si>
  <si>
    <t>na index 122,4</t>
  </si>
  <si>
    <t>na index 116,1</t>
  </si>
  <si>
    <t>zie nw.taxatie onderin bij mutaties RHvO!!!!</t>
  </si>
  <si>
    <t>Taxatie gebouw 800833/2 dd 9-6-2015 datum rapport april 2017</t>
  </si>
  <si>
    <t xml:space="preserve"> en afvoer inventaris: zie mail 29-8-2017 N. de Moor</t>
  </si>
  <si>
    <t>Taxatie gebouw 800833/5 dd 9-6-2015 datum rapport april 2017</t>
  </si>
  <si>
    <t>Taxatie gebouw 800833/7 dd 9-6-2015 datum rapport april 2017</t>
  </si>
  <si>
    <t>Taxatie gebouw 800833/8 dd 9-6-2015 datum rapport april 2017</t>
  </si>
  <si>
    <t>Taxatie gebouw 800833/4 dd 9-6-2015 datum rapport april 2017</t>
  </si>
  <si>
    <t>Taxatie</t>
  </si>
  <si>
    <t>Putsmolentje 1d</t>
  </si>
  <si>
    <t>Putsmolentje 11a</t>
  </si>
  <si>
    <t>4641 SC</t>
  </si>
  <si>
    <t>voorheen Jan van der Heijdenstr. 4 wacht op splitsing bedrag</t>
  </si>
  <si>
    <t>Taxatie 4013479-1 d.d. 8-11-2017 incl funderingen</t>
  </si>
  <si>
    <t>Taxatie 4013479-2 d.d. 8-11-2017 incl funderingen</t>
  </si>
  <si>
    <t>Taxatie 4013479-3 d.d. 8-11-2017 incl funderingen</t>
  </si>
  <si>
    <t>Taxatie 4013479-4 d.d. 8-11-2017 incl funderingen</t>
  </si>
  <si>
    <t>Dorpsstraat 30</t>
  </si>
  <si>
    <t>4641 HX</t>
  </si>
  <si>
    <t>opslag materiaal Kinder Vakantie Spel en Stichting Jeugd en jongerenwerk</t>
  </si>
  <si>
    <t>wss 2e halfjaar 2018 gesloopt. Zie mail 13-03-18</t>
  </si>
  <si>
    <t>Putsmolentje 1e</t>
  </si>
  <si>
    <t>4642 SC</t>
  </si>
  <si>
    <t>Openbare werken (loodsen)</t>
  </si>
  <si>
    <t>Openbare werken (kantine/kantoor)</t>
  </si>
  <si>
    <t>Taxatie gebouw 800833/1 dd 9-6-2015 datum rapport 24-4-2017</t>
  </si>
  <si>
    <t>Taxatie gebouw 800833/3 dd 9-6-2015 datum rapport 24-04-2017</t>
  </si>
  <si>
    <t>laten taxeren 2018</t>
  </si>
  <si>
    <t>Wordt voorlopig als opslag voor 2 clubs gebruikt totdat pand gesloopt wordt voor plan Noordrand. Dan komt er weg te liggen.</t>
  </si>
  <si>
    <t xml:space="preserve">Product-nummer   </t>
  </si>
  <si>
    <t>Categorie: 34.088</t>
  </si>
  <si>
    <t>verzekerde som</t>
  </si>
  <si>
    <t>Totaal</t>
  </si>
  <si>
    <t>per 31-12-2017</t>
  </si>
  <si>
    <t>na index 118,2</t>
  </si>
  <si>
    <t>na index 125,0</t>
  </si>
  <si>
    <t>Taxatie gebouw 608385-1, 28-05-14
(excl. BTW)</t>
  </si>
  <si>
    <t>Taxatie gebouw 608385-3, 28-05-14
(excl. BTW)</t>
  </si>
  <si>
    <t>Taxatie gebouw 608385-4, 28-05-14
(excl. BTW)</t>
  </si>
  <si>
    <t>Taxatie gebouw 608385-2, 28-05-14
(excl. BTW)</t>
  </si>
  <si>
    <t>OLV ter Duinenlaan 193</t>
  </si>
  <si>
    <t>Almata onderwijs (nevenvestigigng van het Aventurijn College)</t>
  </si>
  <si>
    <t>per 010818 inventaris verzekeren zie mail 260718, aanpassing verzekerde som conform mail 200818</t>
  </si>
  <si>
    <t>Gemeentewerf en brandweercomplex</t>
  </si>
  <si>
    <t>Doelstraat 3-5</t>
  </si>
  <si>
    <t>4631 RH</t>
  </si>
  <si>
    <t>Scouting clubhuis (leegstaand)</t>
  </si>
  <si>
    <t>Staarsestraat 31</t>
  </si>
  <si>
    <t>4635 RB</t>
  </si>
  <si>
    <t>nieuw per 011118 zie mail 221018</t>
  </si>
  <si>
    <t>OPMERKING</t>
  </si>
  <si>
    <t>nw.taxatie nov.2018</t>
  </si>
  <si>
    <t>waarde gebouw</t>
  </si>
  <si>
    <t>waarde inventaris</t>
  </si>
  <si>
    <t>akkoord</t>
  </si>
  <si>
    <t>%verdeling + nw.taxatie inventaris nov.2018</t>
  </si>
  <si>
    <t>Enkel totaal 3, 3a en 3b voor inventaris dec.2018 bekend, uitsplitsing komt nog</t>
  </si>
  <si>
    <t>nw taxatie nov.2018 maar enkel voor totaal Pr.Borr.1</t>
  </si>
  <si>
    <t>uitsplitsing moet nog</t>
  </si>
  <si>
    <t>nw.taxatie nov.2018 maar enkel voor De Ploeg 11 totaal</t>
  </si>
  <si>
    <t>nw.taxatie okt. 2018</t>
  </si>
  <si>
    <t>Lichtmasten VV ODIO</t>
  </si>
  <si>
    <t>totaal</t>
  </si>
  <si>
    <t>nw.taxatie okt.2018</t>
  </si>
  <si>
    <t>nw.taxatie nov.2018 maar enkel voor Schoolstr.42 totaal</t>
  </si>
  <si>
    <t>nw.taxatie nov.2018 maar enkel totaal incl.units</t>
  </si>
  <si>
    <t>nieuw 2018, akkoord</t>
  </si>
  <si>
    <t>Moller college (nieuwbouw)/Zuidwest college</t>
  </si>
  <si>
    <t>6.830.39.00</t>
  </si>
  <si>
    <t>nog niet gesloopt dec.2018!</t>
  </si>
  <si>
    <t>afwijkende index</t>
  </si>
  <si>
    <t>per 31-12-2018</t>
  </si>
  <si>
    <t>na index 139,1</t>
  </si>
  <si>
    <t>na index 121,6</t>
  </si>
  <si>
    <t>Totaal verzekerde som nieuw per 31-12-2017</t>
  </si>
  <si>
    <t>per 31-12-2017 volgens gem.</t>
  </si>
  <si>
    <t>volgens gem.</t>
  </si>
  <si>
    <t>zie mail 13-9-2018</t>
  </si>
  <si>
    <t>nog uitsplitsing</t>
  </si>
  <si>
    <t>poliskosten € 7,50</t>
  </si>
  <si>
    <t>Mutaties 2018:</t>
  </si>
  <si>
    <t>verwerkt in bovenstaande</t>
  </si>
  <si>
    <t>gesloopt 2018</t>
  </si>
  <si>
    <t>Werkplaats gem.werken/kantine</t>
  </si>
  <si>
    <t>Jan van der Heijdenstr.4</t>
  </si>
  <si>
    <t>4631 NH</t>
  </si>
  <si>
    <t>sloop maart 2018</t>
  </si>
  <si>
    <t xml:space="preserve">inventaris gaat miv 1 januari 2013 </t>
  </si>
  <si>
    <t>!!!</t>
  </si>
  <si>
    <t>Brandweerkazerne Hoogerheide</t>
  </si>
  <si>
    <t>Jan van der Heijdenstr.6</t>
  </si>
  <si>
    <t>verkocht</t>
  </si>
  <si>
    <t>6.630.01.00</t>
  </si>
  <si>
    <t xml:space="preserve">Bibiliotheek, vergaderruimte </t>
  </si>
  <si>
    <t>Canadaplein 1</t>
  </si>
  <si>
    <t>verkocht. Passeert 19-03-18</t>
  </si>
  <si>
    <t>mail 250718 verzoek van relatie om adres weg te laten</t>
  </si>
  <si>
    <t>gebouw voor club zelf</t>
  </si>
  <si>
    <t>Kleedgebouw voetbal Ossendrecht ODIO</t>
  </si>
  <si>
    <t>Taxatie gebouw 800833/6 dd 9-6-2015 datum rapport april 2017</t>
  </si>
  <si>
    <t>afvoeren zie mail 191218</t>
  </si>
  <si>
    <t>Index</t>
  </si>
  <si>
    <t>Getaxeerd</t>
  </si>
  <si>
    <t>geldig tot</t>
  </si>
  <si>
    <t>Basisschool Op Dreef en units</t>
  </si>
  <si>
    <t>Staartsestraat 31</t>
  </si>
  <si>
    <t>Multifunct.gebouw, sporthal en horeca De Drieschaar 
(inclusief fundering)</t>
  </si>
  <si>
    <t>Multifunct. Centrum, sporthal en horeca De Biezen
(inclusief fundering)</t>
  </si>
  <si>
    <t>Hogebergdreef 55 a en b</t>
  </si>
  <si>
    <t>Basisschool De Poorte en units</t>
  </si>
  <si>
    <t xml:space="preserve">sportcomplex voetbal METO - Lichtmasten </t>
  </si>
  <si>
    <t>Sportcomplex WVV '67 - 3 lichtmasten</t>
  </si>
  <si>
    <t>Toneelvereniging, opslag en werkzaamheden aan decorstukken</t>
  </si>
  <si>
    <t>per 31-12-2019</t>
  </si>
  <si>
    <t>sportcomplex voetbal METO (gehele complex excl. tribune)</t>
  </si>
  <si>
    <t>Tenniscomplex Hoogerheide(incl. opslag)</t>
  </si>
  <si>
    <t>Sportcomplex voetbal Huijbergen, Vivoo</t>
  </si>
  <si>
    <t>Tenniscomplex Huijbergen</t>
  </si>
  <si>
    <t>Sportcomplex voetbal Putte, Grenswachters</t>
  </si>
  <si>
    <t>Tenniscomplex Putte</t>
  </si>
  <si>
    <t>Sportcomplex voetbal Woensdrecht, WVV '67 (gehele complex incl.aanbouwtjes)</t>
  </si>
  <si>
    <t>6,442,00,00</t>
  </si>
  <si>
    <t>Specificatie Gemeente Woensdrecht polisnummer 639813904</t>
  </si>
  <si>
    <t>per 31-12-2020</t>
  </si>
  <si>
    <t xml:space="preserve">Opvoeren tax. inventaris </t>
  </si>
  <si>
    <t>Opvoeren taks. Invent.</t>
  </si>
  <si>
    <t>Opvoeren taks. Inventaris</t>
  </si>
  <si>
    <t>Opvoeren taks. Inventaris en gebouwen</t>
  </si>
  <si>
    <t>Verhogen inventaris per 11 juni 2021. van € 1.952.498,58 naar 3 mljn.</t>
  </si>
  <si>
    <t xml:space="preserve">Opvoeren en verhogen van inventaris van Kromstraat 4. naar Huijbregseweg 3A per 11 januari 2021. </t>
  </si>
  <si>
    <t>Afvoeren van inventaris per 11 januari 2021</t>
  </si>
  <si>
    <t>Opvoeren taks. Invent. en gebouwen</t>
  </si>
  <si>
    <t>Polisaanhangsel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</si>
</sst>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([$€-2]\ * #,##0.00_);_([$€-2]\ * \(#,##0.00\);_([$€-2]\ * &quot;-&quot;??_);_(@_)"/>
    <numFmt numFmtId="166" formatCode="_([$€-2]\ * #,##0_);_([$€-2]\ * \(#,##0\);_([$€-2]\ * &quot;-&quot;??_);_(@_)"/>
    <numFmt numFmtId="167" formatCode="_ [$€-2]\ * #,##0.00_ ;_ [$€-2]\ * \-#,##0.00_ ;_ [$€-2]\ * &quot;-&quot;??_ ;_ @_ "/>
    <numFmt numFmtId="168" formatCode="0.0"/>
  </numFmts>
  <fonts count="11" x14ac:knownFonts="1">
    <font>
      <sz val="10"/>
      <name val="Arial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33">
    <xf numFmtId="0" fontId="0" fillId="0" borderId="0" xfId="0"/>
    <xf numFmtId="0" fontId="5" fillId="0" borderId="2" xfId="0" applyFont="1" applyBorder="1" applyAlignment="1" applyProtection="1">
      <alignment vertical="top" wrapText="1"/>
      <protection locked="0"/>
    </xf>
    <xf numFmtId="165" fontId="5" fillId="0" borderId="2" xfId="0" applyNumberFormat="1" applyFont="1" applyFill="1" applyBorder="1" applyAlignment="1" applyProtection="1">
      <alignment vertical="top"/>
      <protection locked="0"/>
    </xf>
    <xf numFmtId="3" fontId="5" fillId="0" borderId="2" xfId="0" applyNumberFormat="1" applyFont="1" applyFill="1" applyBorder="1" applyAlignment="1" applyProtection="1">
      <alignment vertical="top"/>
      <protection locked="0"/>
    </xf>
    <xf numFmtId="164" fontId="5" fillId="0" borderId="2" xfId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/>
    <xf numFmtId="165" fontId="5" fillId="0" borderId="0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164" fontId="6" fillId="0" borderId="0" xfId="1" applyFont="1" applyBorder="1" applyAlignment="1">
      <alignment vertical="top"/>
    </xf>
    <xf numFmtId="165" fontId="9" fillId="0" borderId="2" xfId="0" applyNumberFormat="1" applyFont="1" applyFill="1" applyBorder="1" applyAlignment="1" applyProtection="1">
      <alignment vertical="top"/>
      <protection locked="0"/>
    </xf>
    <xf numFmtId="165" fontId="6" fillId="0" borderId="2" xfId="0" applyNumberFormat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/>
      <protection locked="0"/>
    </xf>
    <xf numFmtId="164" fontId="9" fillId="0" borderId="2" xfId="1" applyFont="1" applyFill="1" applyBorder="1" applyAlignment="1" applyProtection="1">
      <alignment vertical="top"/>
      <protection locked="0"/>
    </xf>
    <xf numFmtId="165" fontId="3" fillId="0" borderId="0" xfId="0" applyNumberFormat="1" applyFont="1" applyFill="1" applyBorder="1" applyAlignment="1">
      <alignment vertical="top"/>
    </xf>
    <xf numFmtId="165" fontId="6" fillId="0" borderId="0" xfId="0" applyNumberFormat="1" applyFont="1" applyFill="1" applyBorder="1" applyAlignment="1" applyProtection="1">
      <alignment vertical="top"/>
      <protection locked="0"/>
    </xf>
    <xf numFmtId="164" fontId="6" fillId="0" borderId="0" xfId="1" applyFont="1" applyFill="1" applyBorder="1" applyAlignment="1" applyProtection="1">
      <alignment vertical="top"/>
      <protection locked="0"/>
    </xf>
    <xf numFmtId="2" fontId="3" fillId="0" borderId="0" xfId="0" applyNumberFormat="1" applyFont="1" applyFill="1" applyBorder="1" applyAlignment="1">
      <alignment horizontal="left" vertical="top"/>
    </xf>
    <xf numFmtId="164" fontId="5" fillId="0" borderId="2" xfId="1" applyFont="1" applyFill="1" applyBorder="1" applyAlignment="1">
      <alignment vertical="top"/>
    </xf>
    <xf numFmtId="164" fontId="9" fillId="0" borderId="2" xfId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164" fontId="3" fillId="4" borderId="0" xfId="1" applyFont="1" applyFill="1" applyBorder="1" applyAlignment="1">
      <alignment horizontal="left" vertical="top"/>
    </xf>
    <xf numFmtId="164" fontId="6" fillId="4" borderId="0" xfId="1" applyFont="1" applyFill="1" applyBorder="1" applyAlignment="1" applyProtection="1">
      <alignment vertical="top"/>
      <protection locked="0"/>
    </xf>
    <xf numFmtId="164" fontId="3" fillId="4" borderId="0" xfId="1" applyFont="1" applyFill="1" applyBorder="1" applyAlignment="1">
      <alignment vertical="top"/>
    </xf>
    <xf numFmtId="164" fontId="6" fillId="4" borderId="0" xfId="1" applyFont="1" applyFill="1" applyBorder="1" applyAlignment="1">
      <alignment vertical="top"/>
    </xf>
    <xf numFmtId="2" fontId="3" fillId="6" borderId="0" xfId="0" applyNumberFormat="1" applyFont="1" applyFill="1" applyBorder="1" applyAlignment="1">
      <alignment horizontal="left" vertical="top" wrapText="1"/>
    </xf>
    <xf numFmtId="2" fontId="3" fillId="6" borderId="0" xfId="0" applyNumberFormat="1" applyFont="1" applyFill="1" applyBorder="1" applyAlignment="1">
      <alignment vertical="top" wrapText="1"/>
    </xf>
    <xf numFmtId="3" fontId="3" fillId="6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 wrapText="1"/>
    </xf>
    <xf numFmtId="0" fontId="6" fillId="0" borderId="2" xfId="0" applyFont="1" applyFill="1" applyBorder="1" applyAlignment="1" applyProtection="1">
      <alignment vertical="top" wrapText="1"/>
      <protection locked="0"/>
    </xf>
    <xf numFmtId="165" fontId="5" fillId="0" borderId="2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164" fontId="3" fillId="0" borderId="0" xfId="1" applyFont="1" applyFill="1" applyBorder="1" applyAlignment="1">
      <alignment vertical="top"/>
    </xf>
    <xf numFmtId="2" fontId="2" fillId="0" borderId="0" xfId="0" applyNumberFormat="1" applyFont="1" applyBorder="1" applyAlignment="1">
      <alignment horizontal="left" vertical="top" wrapText="1"/>
    </xf>
    <xf numFmtId="164" fontId="3" fillId="6" borderId="0" xfId="1" applyFont="1" applyFill="1" applyBorder="1" applyAlignment="1">
      <alignment vertical="top" wrapText="1"/>
    </xf>
    <xf numFmtId="164" fontId="3" fillId="6" borderId="0" xfId="1" applyFont="1" applyFill="1" applyBorder="1" applyAlignment="1">
      <alignment vertical="top"/>
    </xf>
    <xf numFmtId="2" fontId="3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top"/>
    </xf>
    <xf numFmtId="2" fontId="3" fillId="6" borderId="0" xfId="0" applyNumberFormat="1" applyFont="1" applyFill="1" applyBorder="1" applyAlignment="1">
      <alignment horizontal="left" vertical="top"/>
    </xf>
    <xf numFmtId="2" fontId="3" fillId="6" borderId="0" xfId="0" applyNumberFormat="1" applyFont="1" applyFill="1" applyBorder="1" applyAlignment="1">
      <alignment horizontal="center" vertical="top"/>
    </xf>
    <xf numFmtId="2" fontId="3" fillId="6" borderId="0" xfId="0" applyNumberFormat="1" applyFont="1" applyFill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 applyProtection="1">
      <alignment horizontal="right" vertical="top"/>
      <protection locked="0"/>
    </xf>
    <xf numFmtId="164" fontId="5" fillId="5" borderId="0" xfId="1" applyFont="1" applyFill="1" applyBorder="1" applyAlignment="1" applyProtection="1">
      <alignment vertical="top"/>
      <protection locked="0"/>
    </xf>
    <xf numFmtId="164" fontId="5" fillId="4" borderId="0" xfId="1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164" fontId="5" fillId="5" borderId="0" xfId="1" applyFont="1" applyFill="1" applyBorder="1" applyAlignment="1" applyProtection="1">
      <alignment vertical="top" wrapText="1"/>
      <protection locked="0"/>
    </xf>
    <xf numFmtId="0" fontId="10" fillId="3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6" fillId="0" borderId="0" xfId="0" applyFont="1" applyBorder="1" applyAlignment="1">
      <alignment vertical="top" wrapText="1"/>
    </xf>
    <xf numFmtId="164" fontId="5" fillId="5" borderId="0" xfId="1" applyFont="1" applyFill="1" applyBorder="1" applyAlignment="1">
      <alignment vertical="top" wrapText="1"/>
    </xf>
    <xf numFmtId="164" fontId="5" fillId="5" borderId="0" xfId="1" applyFont="1" applyFill="1" applyBorder="1" applyAlignment="1">
      <alignment vertical="top"/>
    </xf>
    <xf numFmtId="165" fontId="6" fillId="5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164" fontId="5" fillId="4" borderId="0" xfId="1" applyFont="1" applyFill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165" fontId="6" fillId="0" borderId="0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5" fontId="6" fillId="5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right" vertical="top"/>
    </xf>
    <xf numFmtId="164" fontId="6" fillId="0" borderId="0" xfId="1" applyFont="1" applyFill="1" applyBorder="1" applyAlignment="1">
      <alignment horizontal="right" vertical="top"/>
    </xf>
    <xf numFmtId="164" fontId="6" fillId="5" borderId="0" xfId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vertical="top"/>
    </xf>
    <xf numFmtId="164" fontId="5" fillId="0" borderId="0" xfId="1" applyFont="1" applyBorder="1" applyAlignment="1">
      <alignment vertical="top"/>
    </xf>
    <xf numFmtId="164" fontId="6" fillId="5" borderId="0" xfId="1" applyFont="1" applyFill="1" applyBorder="1" applyAlignment="1">
      <alignment vertical="top"/>
    </xf>
    <xf numFmtId="165" fontId="9" fillId="0" borderId="2" xfId="0" applyNumberFormat="1" applyFont="1" applyFill="1" applyBorder="1" applyAlignment="1">
      <alignment vertical="top"/>
    </xf>
    <xf numFmtId="3" fontId="9" fillId="0" borderId="2" xfId="0" applyNumberFormat="1" applyFont="1" applyFill="1" applyBorder="1" applyAlignment="1">
      <alignment vertical="top"/>
    </xf>
    <xf numFmtId="2" fontId="3" fillId="0" borderId="7" xfId="0" applyNumberFormat="1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left" vertical="top"/>
    </xf>
    <xf numFmtId="164" fontId="3" fillId="0" borderId="8" xfId="1" applyFont="1" applyBorder="1" applyAlignment="1">
      <alignment horizontal="left" vertical="top"/>
    </xf>
    <xf numFmtId="164" fontId="3" fillId="0" borderId="6" xfId="1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2" fontId="3" fillId="0" borderId="10" xfId="0" applyNumberFormat="1" applyFont="1" applyFill="1" applyBorder="1" applyAlignment="1">
      <alignment horizontal="left" vertical="top" wrapText="1"/>
    </xf>
    <xf numFmtId="2" fontId="3" fillId="0" borderId="10" xfId="0" applyNumberFormat="1" applyFont="1" applyFill="1" applyBorder="1" applyAlignment="1">
      <alignment horizontal="left" vertical="top"/>
    </xf>
    <xf numFmtId="3" fontId="3" fillId="0" borderId="10" xfId="0" applyNumberFormat="1" applyFont="1" applyFill="1" applyBorder="1" applyAlignment="1">
      <alignment horizontal="left" vertical="top"/>
    </xf>
    <xf numFmtId="164" fontId="3" fillId="0" borderId="10" xfId="1" applyFont="1" applyFill="1" applyBorder="1" applyAlignment="1">
      <alignment horizontal="left" vertical="top"/>
    </xf>
    <xf numFmtId="164" fontId="3" fillId="0" borderId="11" xfId="1" applyFont="1" applyFill="1" applyBorder="1" applyAlignment="1">
      <alignment horizontal="left" vertical="top"/>
    </xf>
    <xf numFmtId="164" fontId="3" fillId="6" borderId="5" xfId="1" applyFont="1" applyFill="1" applyBorder="1" applyAlignment="1">
      <alignment vertical="top"/>
    </xf>
    <xf numFmtId="2" fontId="3" fillId="6" borderId="1" xfId="0" applyNumberFormat="1" applyFont="1" applyFill="1" applyBorder="1" applyAlignment="1">
      <alignment vertical="top" wrapText="1"/>
    </xf>
    <xf numFmtId="2" fontId="3" fillId="6" borderId="3" xfId="0" applyNumberFormat="1" applyFont="1" applyFill="1" applyBorder="1" applyAlignment="1">
      <alignment vertical="top"/>
    </xf>
    <xf numFmtId="2" fontId="3" fillId="6" borderId="5" xfId="0" applyNumberFormat="1" applyFont="1" applyFill="1" applyBorder="1" applyAlignment="1">
      <alignment vertical="top" wrapText="1"/>
    </xf>
    <xf numFmtId="2" fontId="3" fillId="6" borderId="5" xfId="0" applyNumberFormat="1" applyFont="1" applyFill="1" applyBorder="1" applyAlignment="1">
      <alignment horizontal="left" vertical="top" wrapText="1"/>
    </xf>
    <xf numFmtId="2" fontId="3" fillId="6" borderId="1" xfId="0" applyNumberFormat="1" applyFont="1" applyFill="1" applyBorder="1" applyAlignment="1">
      <alignment horizontal="left" vertical="top" wrapText="1"/>
    </xf>
    <xf numFmtId="2" fontId="3" fillId="6" borderId="3" xfId="0" applyNumberFormat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vertical="top"/>
    </xf>
    <xf numFmtId="164" fontId="3" fillId="7" borderId="5" xfId="1" applyFont="1" applyFill="1" applyBorder="1" applyAlignment="1">
      <alignment vertical="top"/>
    </xf>
    <xf numFmtId="164" fontId="6" fillId="7" borderId="5" xfId="1" applyFont="1" applyFill="1" applyBorder="1" applyAlignment="1">
      <alignment vertical="top" wrapText="1"/>
    </xf>
    <xf numFmtId="2" fontId="3" fillId="7" borderId="1" xfId="0" applyNumberFormat="1" applyFont="1" applyFill="1" applyBorder="1" applyAlignment="1">
      <alignment vertical="top" wrapText="1"/>
    </xf>
    <xf numFmtId="2" fontId="6" fillId="7" borderId="1" xfId="0" applyNumberFormat="1" applyFont="1" applyFill="1" applyBorder="1" applyAlignment="1">
      <alignment vertical="top"/>
    </xf>
    <xf numFmtId="164" fontId="3" fillId="7" borderId="8" xfId="1" applyFont="1" applyFill="1" applyBorder="1" applyAlignment="1">
      <alignment horizontal="left" vertical="top"/>
    </xf>
    <xf numFmtId="164" fontId="5" fillId="7" borderId="2" xfId="1" applyFont="1" applyFill="1" applyBorder="1" applyAlignment="1" applyProtection="1">
      <alignment vertical="top"/>
      <protection locked="0"/>
    </xf>
    <xf numFmtId="165" fontId="6" fillId="7" borderId="0" xfId="0" applyNumberFormat="1" applyFont="1" applyFill="1" applyBorder="1" applyAlignment="1" applyProtection="1">
      <alignment vertical="top"/>
      <protection locked="0"/>
    </xf>
    <xf numFmtId="164" fontId="6" fillId="7" borderId="0" xfId="1" applyFont="1" applyFill="1" applyBorder="1" applyAlignment="1" applyProtection="1">
      <alignment vertical="top"/>
      <protection locked="0"/>
    </xf>
    <xf numFmtId="164" fontId="3" fillId="7" borderId="10" xfId="1" applyFont="1" applyFill="1" applyBorder="1" applyAlignment="1">
      <alignment horizontal="left" vertical="top"/>
    </xf>
    <xf numFmtId="164" fontId="5" fillId="7" borderId="2" xfId="1" applyFont="1" applyFill="1" applyBorder="1" applyAlignment="1">
      <alignment vertical="top"/>
    </xf>
    <xf numFmtId="165" fontId="6" fillId="7" borderId="0" xfId="0" applyNumberFormat="1" applyFont="1" applyFill="1" applyBorder="1" applyAlignment="1">
      <alignment vertical="top"/>
    </xf>
    <xf numFmtId="164" fontId="3" fillId="7" borderId="0" xfId="1" applyFont="1" applyFill="1" applyBorder="1" applyAlignment="1">
      <alignment vertical="top"/>
    </xf>
    <xf numFmtId="164" fontId="6" fillId="7" borderId="0" xfId="1" applyFont="1" applyFill="1" applyBorder="1" applyAlignment="1">
      <alignment horizontal="right" vertical="top"/>
    </xf>
    <xf numFmtId="164" fontId="5" fillId="5" borderId="2" xfId="1" applyFont="1" applyFill="1" applyBorder="1" applyAlignment="1" applyProtection="1">
      <alignment vertical="top"/>
      <protection locked="0"/>
    </xf>
    <xf numFmtId="164" fontId="5" fillId="4" borderId="2" xfId="1" applyFont="1" applyFill="1" applyBorder="1" applyAlignment="1" applyProtection="1">
      <alignment vertical="top"/>
      <protection locked="0"/>
    </xf>
    <xf numFmtId="164" fontId="5" fillId="8" borderId="2" xfId="1" applyFont="1" applyFill="1" applyBorder="1" applyAlignment="1" applyProtection="1">
      <alignment vertical="top"/>
      <protection locked="0"/>
    </xf>
    <xf numFmtId="165" fontId="5" fillId="8" borderId="2" xfId="0" applyNumberFormat="1" applyFont="1" applyFill="1" applyBorder="1" applyAlignment="1" applyProtection="1">
      <alignment vertical="top"/>
      <protection locked="0"/>
    </xf>
    <xf numFmtId="165" fontId="5" fillId="4" borderId="2" xfId="0" applyNumberFormat="1" applyFont="1" applyFill="1" applyBorder="1" applyAlignment="1" applyProtection="1">
      <alignment vertical="top"/>
      <protection locked="0"/>
    </xf>
    <xf numFmtId="2" fontId="2" fillId="0" borderId="0" xfId="0" applyNumberFormat="1" applyFont="1" applyAlignment="1">
      <alignment horizontal="left" vertical="top" wrapText="1"/>
    </xf>
    <xf numFmtId="2" fontId="3" fillId="9" borderId="12" xfId="0" applyNumberFormat="1" applyFont="1" applyFill="1" applyBorder="1" applyAlignment="1">
      <alignment horizontal="left" vertical="top" wrapText="1"/>
    </xf>
    <xf numFmtId="2" fontId="3" fillId="9" borderId="13" xfId="0" applyNumberFormat="1" applyFont="1" applyFill="1" applyBorder="1" applyAlignment="1">
      <alignment horizontal="left" vertical="top" wrapText="1"/>
    </xf>
    <xf numFmtId="2" fontId="3" fillId="9" borderId="13" xfId="0" applyNumberFormat="1" applyFont="1" applyFill="1" applyBorder="1" applyAlignment="1">
      <alignment vertical="top" wrapText="1"/>
    </xf>
    <xf numFmtId="3" fontId="3" fillId="9" borderId="13" xfId="0" applyNumberFormat="1" applyFont="1" applyFill="1" applyBorder="1" applyAlignment="1">
      <alignment vertical="top" wrapText="1"/>
    </xf>
    <xf numFmtId="164" fontId="3" fillId="9" borderId="13" xfId="1" applyFont="1" applyFill="1" applyBorder="1" applyAlignment="1">
      <alignment vertical="top" wrapText="1"/>
    </xf>
    <xf numFmtId="164" fontId="3" fillId="9" borderId="13" xfId="1" applyFont="1" applyFill="1" applyBorder="1" applyAlignment="1">
      <alignment vertical="top"/>
    </xf>
    <xf numFmtId="164" fontId="3" fillId="4" borderId="13" xfId="1" applyFont="1" applyFill="1" applyBorder="1" applyAlignment="1">
      <alignment vertical="top"/>
    </xf>
    <xf numFmtId="2" fontId="3" fillId="10" borderId="14" xfId="0" applyNumberFormat="1" applyFont="1" applyFill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2" fontId="3" fillId="9" borderId="15" xfId="0" applyNumberFormat="1" applyFont="1" applyFill="1" applyBorder="1" applyAlignment="1">
      <alignment horizontal="left" vertical="top" wrapText="1"/>
    </xf>
    <xf numFmtId="2" fontId="3" fillId="9" borderId="0" xfId="0" applyNumberFormat="1" applyFont="1" applyFill="1" applyBorder="1" applyAlignment="1">
      <alignment horizontal="left" vertical="top" wrapText="1"/>
    </xf>
    <xf numFmtId="2" fontId="3" fillId="9" borderId="0" xfId="0" applyNumberFormat="1" applyFont="1" applyFill="1" applyBorder="1" applyAlignment="1">
      <alignment vertical="top" wrapText="1"/>
    </xf>
    <xf numFmtId="3" fontId="3" fillId="9" borderId="0" xfId="0" applyNumberFormat="1" applyFont="1" applyFill="1" applyBorder="1" applyAlignment="1">
      <alignment vertical="top" wrapText="1"/>
    </xf>
    <xf numFmtId="2" fontId="3" fillId="4" borderId="0" xfId="0" applyNumberFormat="1" applyFont="1" applyFill="1" applyBorder="1" applyAlignment="1">
      <alignment vertical="top" wrapText="1"/>
    </xf>
    <xf numFmtId="2" fontId="3" fillId="10" borderId="16" xfId="0" applyNumberFormat="1" applyFont="1" applyFill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/>
    </xf>
    <xf numFmtId="2" fontId="3" fillId="9" borderId="17" xfId="0" applyNumberFormat="1" applyFont="1" applyFill="1" applyBorder="1" applyAlignment="1">
      <alignment horizontal="left" vertical="top"/>
    </xf>
    <xf numFmtId="2" fontId="3" fillId="9" borderId="18" xfId="0" applyNumberFormat="1" applyFont="1" applyFill="1" applyBorder="1" applyAlignment="1">
      <alignment horizontal="left" vertical="top" wrapText="1"/>
    </xf>
    <xf numFmtId="2" fontId="3" fillId="9" borderId="17" xfId="0" applyNumberFormat="1" applyFont="1" applyFill="1" applyBorder="1" applyAlignment="1">
      <alignment horizontal="left" vertical="top" wrapText="1"/>
    </xf>
    <xf numFmtId="2" fontId="3" fillId="9" borderId="18" xfId="0" applyNumberFormat="1" applyFont="1" applyFill="1" applyBorder="1" applyAlignment="1">
      <alignment horizontal="center" vertical="top"/>
    </xf>
    <xf numFmtId="2" fontId="3" fillId="9" borderId="18" xfId="0" applyNumberFormat="1" applyFont="1" applyFill="1" applyBorder="1" applyAlignment="1">
      <alignment vertical="top"/>
    </xf>
    <xf numFmtId="2" fontId="3" fillId="4" borderId="18" xfId="0" applyNumberFormat="1" applyFont="1" applyFill="1" applyBorder="1" applyAlignment="1">
      <alignment vertical="top"/>
    </xf>
    <xf numFmtId="2" fontId="3" fillId="10" borderId="19" xfId="0" applyNumberFormat="1" applyFont="1" applyFill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2" fontId="3" fillId="0" borderId="20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2" fontId="3" fillId="0" borderId="21" xfId="0" applyNumberFormat="1" applyFont="1" applyBorder="1" applyAlignment="1">
      <alignment horizontal="left" vertical="top" wrapText="1"/>
    </xf>
    <xf numFmtId="2" fontId="3" fillId="0" borderId="22" xfId="0" applyNumberFormat="1" applyFont="1" applyBorder="1" applyAlignment="1">
      <alignment horizontal="left" vertical="top"/>
    </xf>
    <xf numFmtId="2" fontId="3" fillId="0" borderId="21" xfId="0" applyNumberFormat="1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left" vertical="top"/>
    </xf>
    <xf numFmtId="3" fontId="3" fillId="0" borderId="21" xfId="0" applyNumberFormat="1" applyFont="1" applyBorder="1" applyAlignment="1">
      <alignment horizontal="left" vertical="top"/>
    </xf>
    <xf numFmtId="164" fontId="3" fillId="0" borderId="21" xfId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2" borderId="2" xfId="0" applyFont="1" applyFill="1" applyBorder="1" applyAlignment="1" applyProtection="1">
      <alignment horizontal="right" vertical="top"/>
      <protection locked="0"/>
    </xf>
    <xf numFmtId="165" fontId="5" fillId="0" borderId="21" xfId="0" applyNumberFormat="1" applyFont="1" applyBorder="1" applyAlignment="1" applyProtection="1">
      <alignment vertical="top"/>
      <protection locked="0"/>
    </xf>
    <xf numFmtId="0" fontId="5" fillId="0" borderId="2" xfId="0" applyFont="1" applyBorder="1" applyAlignment="1">
      <alignment vertical="top" wrapText="1"/>
    </xf>
    <xf numFmtId="0" fontId="5" fillId="11" borderId="2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5" fontId="5" fillId="0" borderId="2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8" fillId="3" borderId="0" xfId="0" applyFont="1" applyFill="1" applyAlignment="1">
      <alignment vertical="top" wrapText="1"/>
    </xf>
    <xf numFmtId="0" fontId="6" fillId="3" borderId="2" xfId="0" applyFont="1" applyFill="1" applyBorder="1" applyAlignment="1" applyProtection="1">
      <alignment horizontal="right" vertical="top"/>
      <protection locked="0"/>
    </xf>
    <xf numFmtId="165" fontId="5" fillId="0" borderId="21" xfId="0" applyNumberFormat="1" applyFont="1" applyFill="1" applyBorder="1" applyAlignment="1" applyProtection="1">
      <alignment vertical="top"/>
      <protection locked="0"/>
    </xf>
    <xf numFmtId="164" fontId="5" fillId="5" borderId="2" xfId="1" applyFont="1" applyFill="1" applyBorder="1" applyAlignment="1" applyProtection="1">
      <alignment vertical="top" wrapText="1"/>
      <protection locked="0"/>
    </xf>
    <xf numFmtId="0" fontId="10" fillId="3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top" wrapText="1"/>
      <protection locked="0"/>
    </xf>
    <xf numFmtId="165" fontId="5" fillId="12" borderId="2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Alignment="1">
      <alignment vertical="top"/>
    </xf>
    <xf numFmtId="0" fontId="5" fillId="0" borderId="2" xfId="0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164" fontId="5" fillId="0" borderId="0" xfId="1" applyFont="1" applyAlignment="1">
      <alignment vertical="top"/>
    </xf>
    <xf numFmtId="164" fontId="5" fillId="0" borderId="2" xfId="1" applyFont="1" applyBorder="1" applyAlignment="1">
      <alignment vertical="top"/>
    </xf>
    <xf numFmtId="0" fontId="5" fillId="0" borderId="6" xfId="0" applyFont="1" applyBorder="1" applyAlignment="1">
      <alignment vertical="top"/>
    </xf>
    <xf numFmtId="165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164" fontId="9" fillId="0" borderId="0" xfId="1" applyFont="1" applyAlignment="1">
      <alignment vertical="top"/>
    </xf>
    <xf numFmtId="164" fontId="9" fillId="0" borderId="2" xfId="1" applyFont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5" borderId="2" xfId="0" applyFont="1" applyFill="1" applyBorder="1" applyAlignment="1">
      <alignment horizontal="right" vertical="top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/>
    </xf>
    <xf numFmtId="3" fontId="5" fillId="5" borderId="2" xfId="0" applyNumberFormat="1" applyFont="1" applyFill="1" applyBorder="1" applyAlignment="1">
      <alignment vertical="top"/>
    </xf>
    <xf numFmtId="164" fontId="5" fillId="5" borderId="2" xfId="1" applyFont="1" applyFill="1" applyBorder="1" applyAlignment="1">
      <alignment vertical="top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164" fontId="5" fillId="5" borderId="2" xfId="1" applyFont="1" applyFill="1" applyBorder="1" applyAlignment="1">
      <alignment vertical="top" wrapText="1"/>
    </xf>
    <xf numFmtId="0" fontId="5" fillId="0" borderId="23" xfId="0" applyFont="1" applyBorder="1" applyAlignment="1">
      <alignment horizontal="right" vertical="top"/>
    </xf>
    <xf numFmtId="0" fontId="5" fillId="0" borderId="23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3" xfId="0" applyNumberFormat="1" applyFont="1" applyFill="1" applyBorder="1" applyAlignment="1">
      <alignment vertical="top"/>
    </xf>
    <xf numFmtId="165" fontId="6" fillId="0" borderId="23" xfId="0" applyNumberFormat="1" applyFont="1" applyFill="1" applyBorder="1" applyAlignment="1" applyProtection="1">
      <alignment vertical="top"/>
      <protection locked="0"/>
    </xf>
    <xf numFmtId="164" fontId="6" fillId="0" borderId="23" xfId="1" applyFont="1" applyFill="1" applyBorder="1" applyAlignment="1" applyProtection="1">
      <alignment vertical="top"/>
      <protection locked="0"/>
    </xf>
    <xf numFmtId="165" fontId="6" fillId="5" borderId="23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165" fontId="3" fillId="0" borderId="0" xfId="0" applyNumberFormat="1" applyFont="1" applyBorder="1" applyAlignment="1">
      <alignment vertical="top"/>
    </xf>
    <xf numFmtId="3" fontId="3" fillId="0" borderId="0" xfId="0" applyNumberFormat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0" fontId="8" fillId="3" borderId="0" xfId="0" applyFont="1" applyFill="1" applyAlignment="1">
      <alignment vertical="top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right"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vertical="top"/>
    </xf>
    <xf numFmtId="165" fontId="5" fillId="0" borderId="3" xfId="0" applyNumberFormat="1" applyFont="1" applyFill="1" applyBorder="1" applyAlignment="1" applyProtection="1">
      <alignment vertical="top"/>
      <protection locked="0"/>
    </xf>
    <xf numFmtId="3" fontId="5" fillId="0" borderId="3" xfId="0" applyNumberFormat="1" applyFont="1" applyFill="1" applyBorder="1" applyAlignment="1" applyProtection="1">
      <alignment vertical="top"/>
      <protection locked="0"/>
    </xf>
    <xf numFmtId="164" fontId="5" fillId="0" borderId="3" xfId="1" applyFont="1" applyFill="1" applyBorder="1" applyAlignment="1" applyProtection="1">
      <alignment vertical="top"/>
      <protection locked="0"/>
    </xf>
    <xf numFmtId="164" fontId="5" fillId="4" borderId="2" xfId="1" applyFont="1" applyFill="1" applyBorder="1" applyAlignment="1">
      <alignment vertical="top"/>
    </xf>
    <xf numFmtId="0" fontId="5" fillId="2" borderId="5" xfId="0" applyFont="1" applyFill="1" applyBorder="1" applyAlignment="1" applyProtection="1">
      <alignment horizontal="right" vertical="top"/>
      <protection locked="0"/>
    </xf>
    <xf numFmtId="0" fontId="5" fillId="0" borderId="24" xfId="0" applyFont="1" applyBorder="1" applyAlignment="1">
      <alignment vertical="top" wrapText="1"/>
    </xf>
    <xf numFmtId="165" fontId="3" fillId="0" borderId="25" xfId="0" applyNumberFormat="1" applyFont="1" applyBorder="1" applyAlignment="1">
      <alignment vertical="top"/>
    </xf>
    <xf numFmtId="165" fontId="3" fillId="0" borderId="25" xfId="0" applyNumberFormat="1" applyFont="1" applyFill="1" applyBorder="1" applyAlignment="1">
      <alignment vertical="top"/>
    </xf>
    <xf numFmtId="165" fontId="6" fillId="0" borderId="25" xfId="0" applyNumberFormat="1" applyFont="1" applyFill="1" applyBorder="1" applyAlignment="1">
      <alignment vertical="top"/>
    </xf>
    <xf numFmtId="3" fontId="6" fillId="0" borderId="23" xfId="0" applyNumberFormat="1" applyFont="1" applyFill="1" applyBorder="1" applyAlignment="1">
      <alignment vertical="top"/>
    </xf>
    <xf numFmtId="164" fontId="6" fillId="0" borderId="23" xfId="1" applyFont="1" applyFill="1" applyBorder="1" applyAlignment="1">
      <alignment vertical="top"/>
    </xf>
    <xf numFmtId="165" fontId="6" fillId="5" borderId="25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right" vertical="top"/>
    </xf>
    <xf numFmtId="0" fontId="5" fillId="0" borderId="2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3" fillId="0" borderId="22" xfId="0" applyNumberFormat="1" applyFont="1" applyBorder="1" applyAlignment="1">
      <alignment vertical="top"/>
    </xf>
    <xf numFmtId="165" fontId="3" fillId="0" borderId="21" xfId="0" applyNumberFormat="1" applyFont="1" applyBorder="1" applyAlignment="1">
      <alignment vertical="top"/>
    </xf>
    <xf numFmtId="165" fontId="3" fillId="0" borderId="21" xfId="0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3" fontId="3" fillId="0" borderId="21" xfId="0" applyNumberFormat="1" applyFont="1" applyFill="1" applyBorder="1" applyAlignment="1">
      <alignment vertical="top"/>
    </xf>
    <xf numFmtId="164" fontId="3" fillId="0" borderId="21" xfId="1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 wrapText="1"/>
    </xf>
    <xf numFmtId="165" fontId="3" fillId="0" borderId="25" xfId="0" applyNumberFormat="1" applyFont="1" applyBorder="1" applyAlignment="1">
      <alignment horizontal="left" vertical="top"/>
    </xf>
    <xf numFmtId="165" fontId="3" fillId="0" borderId="25" xfId="0" applyNumberFormat="1" applyFont="1" applyFill="1" applyBorder="1" applyAlignment="1">
      <alignment horizontal="left" vertical="top"/>
    </xf>
    <xf numFmtId="165" fontId="6" fillId="0" borderId="23" xfId="0" applyNumberFormat="1" applyFont="1" applyFill="1" applyBorder="1" applyAlignment="1">
      <alignment vertical="top"/>
    </xf>
    <xf numFmtId="3" fontId="6" fillId="0" borderId="23" xfId="0" applyNumberFormat="1" applyFont="1" applyFill="1" applyBorder="1" applyAlignment="1">
      <alignment horizontal="right" vertical="top"/>
    </xf>
    <xf numFmtId="164" fontId="6" fillId="0" borderId="23" xfId="1" applyFont="1" applyFill="1" applyBorder="1" applyAlignment="1">
      <alignment horizontal="right" vertical="top"/>
    </xf>
    <xf numFmtId="164" fontId="6" fillId="5" borderId="23" xfId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164" fontId="5" fillId="4" borderId="0" xfId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66" fontId="5" fillId="0" borderId="0" xfId="0" applyNumberFormat="1" applyFont="1" applyAlignment="1">
      <alignment vertical="top"/>
    </xf>
    <xf numFmtId="164" fontId="6" fillId="0" borderId="4" xfId="1" applyFont="1" applyBorder="1" applyAlignment="1">
      <alignment vertical="top"/>
    </xf>
    <xf numFmtId="164" fontId="6" fillId="5" borderId="4" xfId="1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vertical="top" wrapText="1"/>
    </xf>
    <xf numFmtId="165" fontId="10" fillId="0" borderId="2" xfId="0" applyNumberFormat="1" applyFont="1" applyBorder="1" applyAlignment="1">
      <alignment vertical="top"/>
    </xf>
    <xf numFmtId="3" fontId="10" fillId="0" borderId="2" xfId="0" applyNumberFormat="1" applyFont="1" applyBorder="1" applyAlignment="1">
      <alignment vertical="top"/>
    </xf>
    <xf numFmtId="164" fontId="10" fillId="0" borderId="2" xfId="1" applyFont="1" applyBorder="1" applyAlignment="1">
      <alignment vertical="top"/>
    </xf>
    <xf numFmtId="164" fontId="10" fillId="4" borderId="2" xfId="1" applyFont="1" applyFill="1" applyBorder="1" applyAlignment="1">
      <alignment vertical="top" wrapText="1"/>
    </xf>
    <xf numFmtId="164" fontId="10" fillId="4" borderId="2" xfId="1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0" fillId="0" borderId="3" xfId="0" applyFont="1" applyBorder="1" applyAlignment="1" applyProtection="1">
      <alignment horizontal="right" vertical="top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>
      <alignment vertical="top" wrapText="1"/>
    </xf>
    <xf numFmtId="165" fontId="10" fillId="0" borderId="21" xfId="0" applyNumberFormat="1" applyFont="1" applyBorder="1" applyAlignment="1" applyProtection="1">
      <alignment vertical="top"/>
      <protection locked="0"/>
    </xf>
    <xf numFmtId="165" fontId="10" fillId="0" borderId="3" xfId="0" applyNumberFormat="1" applyFont="1" applyFill="1" applyBorder="1" applyAlignment="1" applyProtection="1">
      <alignment vertical="top"/>
      <protection locked="0"/>
    </xf>
    <xf numFmtId="3" fontId="10" fillId="0" borderId="3" xfId="0" applyNumberFormat="1" applyFont="1" applyFill="1" applyBorder="1" applyAlignment="1" applyProtection="1">
      <alignment vertical="top"/>
      <protection locked="0"/>
    </xf>
    <xf numFmtId="164" fontId="10" fillId="0" borderId="3" xfId="1" applyFont="1" applyFill="1" applyBorder="1" applyAlignment="1" applyProtection="1">
      <alignment vertical="top"/>
      <protection locked="0"/>
    </xf>
    <xf numFmtId="164" fontId="10" fillId="4" borderId="3" xfId="1" applyFont="1" applyFill="1" applyBorder="1" applyAlignment="1" applyProtection="1">
      <alignment vertical="top"/>
      <protection locked="0"/>
    </xf>
    <xf numFmtId="0" fontId="10" fillId="0" borderId="3" xfId="0" applyFont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0" fillId="2" borderId="2" xfId="0" applyFont="1" applyFill="1" applyBorder="1" applyAlignment="1" applyProtection="1">
      <alignment horizontal="right" vertical="top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>
      <alignment vertical="top" wrapText="1"/>
    </xf>
    <xf numFmtId="165" fontId="10" fillId="0" borderId="21" xfId="0" applyNumberFormat="1" applyFont="1" applyFill="1" applyBorder="1" applyAlignment="1" applyProtection="1">
      <alignment vertical="top"/>
      <protection locked="0"/>
    </xf>
    <xf numFmtId="165" fontId="10" fillId="0" borderId="2" xfId="0" applyNumberFormat="1" applyFont="1" applyFill="1" applyBorder="1" applyAlignment="1" applyProtection="1">
      <alignment vertical="top"/>
      <protection locked="0"/>
    </xf>
    <xf numFmtId="3" fontId="10" fillId="0" borderId="2" xfId="0" applyNumberFormat="1" applyFont="1" applyFill="1" applyBorder="1" applyAlignment="1" applyProtection="1">
      <alignment vertical="top"/>
      <protection locked="0"/>
    </xf>
    <xf numFmtId="164" fontId="10" fillId="0" borderId="2" xfId="1" applyFont="1" applyFill="1" applyBorder="1" applyAlignment="1" applyProtection="1">
      <alignment vertical="top"/>
      <protection locked="0"/>
    </xf>
    <xf numFmtId="164" fontId="10" fillId="4" borderId="2" xfId="1" applyFont="1" applyFill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167" fontId="10" fillId="0" borderId="2" xfId="0" applyNumberFormat="1" applyFont="1" applyBorder="1" applyAlignment="1">
      <alignment vertical="top" wrapText="1"/>
    </xf>
    <xf numFmtId="0" fontId="10" fillId="2" borderId="5" xfId="0" applyFont="1" applyFill="1" applyBorder="1" applyAlignment="1" applyProtection="1">
      <alignment horizontal="right" vertical="top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/>
      <protection locked="0"/>
    </xf>
    <xf numFmtId="165" fontId="10" fillId="0" borderId="5" xfId="0" applyNumberFormat="1" applyFont="1" applyFill="1" applyBorder="1" applyAlignment="1" applyProtection="1">
      <alignment vertical="top"/>
      <protection locked="0"/>
    </xf>
    <xf numFmtId="3" fontId="10" fillId="0" borderId="5" xfId="0" applyNumberFormat="1" applyFont="1" applyFill="1" applyBorder="1" applyAlignment="1" applyProtection="1">
      <alignment vertical="top"/>
      <protection locked="0"/>
    </xf>
    <xf numFmtId="164" fontId="10" fillId="0" borderId="5" xfId="1" applyFont="1" applyFill="1" applyBorder="1" applyAlignment="1" applyProtection="1">
      <alignment vertical="top"/>
      <protection locked="0"/>
    </xf>
    <xf numFmtId="164" fontId="10" fillId="4" borderId="5" xfId="1" applyFont="1" applyFill="1" applyBorder="1" applyAlignment="1" applyProtection="1">
      <alignment vertical="top"/>
      <protection locked="0"/>
    </xf>
    <xf numFmtId="0" fontId="10" fillId="0" borderId="5" xfId="0" applyFont="1" applyBorder="1" applyAlignment="1">
      <alignment vertical="top" wrapText="1"/>
    </xf>
    <xf numFmtId="0" fontId="10" fillId="11" borderId="2" xfId="0" applyFont="1" applyFill="1" applyBorder="1" applyAlignment="1" applyProtection="1">
      <alignment horizontal="right" vertical="top"/>
      <protection locked="0"/>
    </xf>
    <xf numFmtId="0" fontId="10" fillId="0" borderId="2" xfId="0" applyFont="1" applyBorder="1" applyAlignment="1" applyProtection="1">
      <alignment vertical="top"/>
      <protection locked="0"/>
    </xf>
    <xf numFmtId="165" fontId="10" fillId="0" borderId="2" xfId="0" applyNumberFormat="1" applyFont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165" fontId="10" fillId="12" borderId="2" xfId="0" applyNumberFormat="1" applyFont="1" applyFill="1" applyBorder="1" applyAlignment="1" applyProtection="1">
      <alignment vertical="top"/>
      <protection locked="0"/>
    </xf>
    <xf numFmtId="164" fontId="5" fillId="8" borderId="2" xfId="1" applyFont="1" applyFill="1" applyBorder="1" applyAlignment="1">
      <alignment vertical="top"/>
    </xf>
    <xf numFmtId="164" fontId="5" fillId="0" borderId="0" xfId="1" applyFont="1" applyFill="1" applyBorder="1" applyAlignment="1" applyProtection="1">
      <alignment vertical="top" wrapText="1"/>
      <protection locked="0"/>
    </xf>
    <xf numFmtId="164" fontId="5" fillId="0" borderId="0" xfId="1" applyFont="1" applyFill="1" applyBorder="1" applyAlignment="1" applyProtection="1">
      <alignment vertical="top"/>
      <protection locked="0"/>
    </xf>
    <xf numFmtId="0" fontId="6" fillId="0" borderId="0" xfId="0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vertical="top"/>
    </xf>
    <xf numFmtId="0" fontId="6" fillId="0" borderId="0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1" applyNumberFormat="1" applyFont="1" applyFill="1" applyBorder="1" applyAlignment="1" applyProtection="1">
      <alignment horizontal="center" vertical="top"/>
      <protection locked="0"/>
    </xf>
    <xf numFmtId="0" fontId="3" fillId="0" borderId="10" xfId="1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0" fontId="5" fillId="2" borderId="2" xfId="1" applyNumberFormat="1" applyFont="1" applyFill="1" applyBorder="1" applyAlignment="1" applyProtection="1">
      <alignment horizontal="center" vertical="top"/>
      <protection locked="0"/>
    </xf>
    <xf numFmtId="2" fontId="3" fillId="6" borderId="1" xfId="0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 applyProtection="1">
      <alignment vertical="top"/>
      <protection locked="0"/>
    </xf>
    <xf numFmtId="14" fontId="5" fillId="0" borderId="2" xfId="1" applyNumberFormat="1" applyFont="1" applyFill="1" applyBorder="1" applyAlignment="1" applyProtection="1">
      <alignment vertical="top"/>
      <protection locked="0"/>
    </xf>
    <xf numFmtId="0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1" applyNumberFormat="1" applyFont="1" applyFill="1" applyBorder="1" applyAlignment="1" applyProtection="1">
      <alignment vertical="top"/>
      <protection locked="0"/>
    </xf>
    <xf numFmtId="2" fontId="3" fillId="6" borderId="1" xfId="0" applyNumberFormat="1" applyFont="1" applyFill="1" applyBorder="1" applyAlignment="1">
      <alignment vertical="top"/>
    </xf>
    <xf numFmtId="2" fontId="3" fillId="7" borderId="1" xfId="0" applyNumberFormat="1" applyFont="1" applyFill="1" applyBorder="1" applyAlignment="1">
      <alignment vertical="top"/>
    </xf>
    <xf numFmtId="0" fontId="5" fillId="0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>
      <alignment vertical="top" wrapText="1"/>
    </xf>
    <xf numFmtId="165" fontId="6" fillId="0" borderId="3" xfId="0" applyNumberFormat="1" applyFont="1" applyFill="1" applyBorder="1" applyAlignment="1" applyProtection="1">
      <alignment vertical="top"/>
      <protection locked="0"/>
    </xf>
    <xf numFmtId="165" fontId="5" fillId="8" borderId="3" xfId="0" applyNumberFormat="1" applyFont="1" applyFill="1" applyBorder="1" applyAlignment="1" applyProtection="1">
      <alignment vertical="top"/>
      <protection locked="0"/>
    </xf>
    <xf numFmtId="164" fontId="5" fillId="8" borderId="3" xfId="1" applyFont="1" applyFill="1" applyBorder="1" applyAlignment="1" applyProtection="1">
      <alignment vertical="top"/>
      <protection locked="0"/>
    </xf>
    <xf numFmtId="164" fontId="5" fillId="5" borderId="3" xfId="1" applyFont="1" applyFill="1" applyBorder="1" applyAlignment="1" applyProtection="1">
      <alignment vertical="top"/>
      <protection locked="0"/>
    </xf>
    <xf numFmtId="0" fontId="5" fillId="2" borderId="3" xfId="1" applyNumberFormat="1" applyFont="1" applyFill="1" applyBorder="1" applyAlignment="1" applyProtection="1">
      <alignment horizontal="center" vertical="top"/>
      <protection locked="0"/>
    </xf>
    <xf numFmtId="0" fontId="5" fillId="0" borderId="3" xfId="1" applyNumberFormat="1" applyFont="1" applyFill="1" applyBorder="1" applyAlignment="1" applyProtection="1">
      <alignment horizontal="center" vertical="top"/>
      <protection locked="0"/>
    </xf>
    <xf numFmtId="14" fontId="5" fillId="0" borderId="3" xfId="1" applyNumberFormat="1" applyFont="1" applyFill="1" applyBorder="1" applyAlignment="1" applyProtection="1">
      <alignment vertical="top"/>
      <protection locked="0"/>
    </xf>
    <xf numFmtId="0" fontId="5" fillId="0" borderId="3" xfId="1" applyNumberFormat="1" applyFont="1" applyFill="1" applyBorder="1" applyAlignment="1" applyProtection="1">
      <alignment vertical="top"/>
      <protection locked="0"/>
    </xf>
    <xf numFmtId="164" fontId="3" fillId="4" borderId="8" xfId="1" applyFont="1" applyFill="1" applyBorder="1" applyAlignment="1">
      <alignment horizontal="left" vertical="top"/>
    </xf>
    <xf numFmtId="2" fontId="3" fillId="6" borderId="26" xfId="0" applyNumberFormat="1" applyFont="1" applyFill="1" applyBorder="1" applyAlignment="1">
      <alignment vertical="top" wrapText="1"/>
    </xf>
    <xf numFmtId="2" fontId="3" fillId="6" borderId="27" xfId="0" applyNumberFormat="1" applyFont="1" applyFill="1" applyBorder="1" applyAlignment="1">
      <alignment vertical="top" wrapText="1"/>
    </xf>
    <xf numFmtId="2" fontId="3" fillId="6" borderId="28" xfId="0" applyNumberFormat="1" applyFont="1" applyFill="1" applyBorder="1" applyAlignment="1">
      <alignment vertical="top" wrapText="1"/>
    </xf>
    <xf numFmtId="2" fontId="3" fillId="6" borderId="22" xfId="0" applyNumberFormat="1" applyFont="1" applyFill="1" applyBorder="1" applyAlignment="1">
      <alignment vertical="top" wrapText="1"/>
    </xf>
    <xf numFmtId="2" fontId="3" fillId="6" borderId="29" xfId="0" applyNumberFormat="1" applyFont="1" applyFill="1" applyBorder="1" applyAlignment="1">
      <alignment vertical="top" wrapText="1"/>
    </xf>
    <xf numFmtId="2" fontId="3" fillId="6" borderId="22" xfId="0" applyNumberFormat="1" applyFont="1" applyFill="1" applyBorder="1" applyAlignment="1">
      <alignment vertical="top"/>
    </xf>
    <xf numFmtId="2" fontId="3" fillId="6" borderId="29" xfId="0" applyNumberFormat="1" applyFont="1" applyFill="1" applyBorder="1" applyAlignment="1">
      <alignment vertical="top"/>
    </xf>
    <xf numFmtId="164" fontId="3" fillId="0" borderId="30" xfId="1" applyFont="1" applyBorder="1" applyAlignment="1">
      <alignment horizontal="left" vertical="top"/>
    </xf>
    <xf numFmtId="164" fontId="3" fillId="0" borderId="31" xfId="1" applyFont="1" applyBorder="1" applyAlignment="1">
      <alignment horizontal="left" vertical="top"/>
    </xf>
    <xf numFmtId="164" fontId="5" fillId="0" borderId="32" xfId="1" applyFont="1" applyFill="1" applyBorder="1" applyAlignment="1" applyProtection="1">
      <alignment vertical="top"/>
      <protection locked="0"/>
    </xf>
    <xf numFmtId="0" fontId="5" fillId="0" borderId="33" xfId="1" applyNumberFormat="1" applyFont="1" applyFill="1" applyBorder="1" applyAlignment="1" applyProtection="1">
      <alignment horizontal="center" vertical="top"/>
      <protection locked="0"/>
    </xf>
    <xf numFmtId="164" fontId="5" fillId="0" borderId="34" xfId="1" applyFont="1" applyFill="1" applyBorder="1" applyAlignment="1" applyProtection="1">
      <alignment vertical="top"/>
      <protection locked="0"/>
    </xf>
    <xf numFmtId="0" fontId="5" fillId="0" borderId="35" xfId="1" applyNumberFormat="1" applyFont="1" applyFill="1" applyBorder="1" applyAlignment="1" applyProtection="1">
      <alignment horizontal="center" vertical="top"/>
      <protection locked="0"/>
    </xf>
    <xf numFmtId="165" fontId="6" fillId="0" borderId="15" xfId="0" applyNumberFormat="1" applyFont="1" applyFill="1" applyBorder="1" applyAlignment="1" applyProtection="1">
      <alignment vertical="top"/>
      <protection locked="0"/>
    </xf>
    <xf numFmtId="0" fontId="6" fillId="0" borderId="16" xfId="0" applyNumberFormat="1" applyFont="1" applyFill="1" applyBorder="1" applyAlignment="1" applyProtection="1">
      <alignment horizontal="center" vertical="top"/>
      <protection locked="0"/>
    </xf>
    <xf numFmtId="164" fontId="6" fillId="0" borderId="15" xfId="1" applyFont="1" applyFill="1" applyBorder="1" applyAlignment="1" applyProtection="1">
      <alignment vertical="top"/>
      <protection locked="0"/>
    </xf>
    <xf numFmtId="0" fontId="6" fillId="0" borderId="16" xfId="1" applyNumberFormat="1" applyFont="1" applyFill="1" applyBorder="1" applyAlignment="1" applyProtection="1">
      <alignment horizontal="center" vertical="top"/>
      <protection locked="0"/>
    </xf>
    <xf numFmtId="164" fontId="3" fillId="0" borderId="36" xfId="1" applyFont="1" applyFill="1" applyBorder="1" applyAlignment="1">
      <alignment horizontal="left" vertical="top"/>
    </xf>
    <xf numFmtId="0" fontId="3" fillId="0" borderId="37" xfId="1" applyNumberFormat="1" applyFont="1" applyFill="1" applyBorder="1" applyAlignment="1">
      <alignment horizontal="center" vertical="top"/>
    </xf>
    <xf numFmtId="14" fontId="5" fillId="0" borderId="39" xfId="1" applyNumberFormat="1" applyFont="1" applyFill="1" applyBorder="1" applyAlignment="1" applyProtection="1">
      <alignment vertical="top"/>
      <protection locked="0"/>
    </xf>
    <xf numFmtId="164" fontId="3" fillId="6" borderId="41" xfId="1" applyFont="1" applyFill="1" applyBorder="1" applyAlignment="1">
      <alignment vertical="top"/>
    </xf>
    <xf numFmtId="2" fontId="3" fillId="6" borderId="42" xfId="0" applyNumberFormat="1" applyFont="1" applyFill="1" applyBorder="1" applyAlignment="1">
      <alignment vertical="top" wrapText="1"/>
    </xf>
    <xf numFmtId="2" fontId="3" fillId="6" borderId="42" xfId="0" applyNumberFormat="1" applyFont="1" applyFill="1" applyBorder="1" applyAlignment="1">
      <alignment vertical="top"/>
    </xf>
    <xf numFmtId="164" fontId="3" fillId="0" borderId="43" xfId="1" applyFont="1" applyBorder="1" applyAlignment="1">
      <alignment horizontal="left" vertical="top"/>
    </xf>
    <xf numFmtId="164" fontId="5" fillId="0" borderId="44" xfId="1" applyFont="1" applyFill="1" applyBorder="1" applyAlignment="1" applyProtection="1">
      <alignment vertical="top"/>
      <protection locked="0"/>
    </xf>
    <xf numFmtId="164" fontId="5" fillId="0" borderId="43" xfId="1" applyFont="1" applyFill="1" applyBorder="1" applyAlignment="1" applyProtection="1">
      <alignment vertical="top"/>
      <protection locked="0"/>
    </xf>
    <xf numFmtId="165" fontId="6" fillId="0" borderId="42" xfId="0" applyNumberFormat="1" applyFont="1" applyFill="1" applyBorder="1" applyAlignment="1" applyProtection="1">
      <alignment vertical="top"/>
      <protection locked="0"/>
    </xf>
    <xf numFmtId="164" fontId="6" fillId="0" borderId="42" xfId="1" applyFont="1" applyFill="1" applyBorder="1" applyAlignment="1" applyProtection="1">
      <alignment vertical="top"/>
      <protection locked="0"/>
    </xf>
    <xf numFmtId="164" fontId="3" fillId="0" borderId="45" xfId="1" applyFont="1" applyFill="1" applyBorder="1" applyAlignment="1">
      <alignment horizontal="left" vertical="top"/>
    </xf>
    <xf numFmtId="164" fontId="5" fillId="0" borderId="0" xfId="0" applyNumberFormat="1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168" fontId="5" fillId="0" borderId="0" xfId="0" applyNumberFormat="1" applyFont="1" applyBorder="1" applyAlignment="1">
      <alignment horizontal="center" vertical="top"/>
    </xf>
    <xf numFmtId="168" fontId="3" fillId="6" borderId="28" xfId="0" applyNumberFormat="1" applyFont="1" applyFill="1" applyBorder="1" applyAlignment="1">
      <alignment horizontal="center" vertical="top" wrapText="1"/>
    </xf>
    <xf numFmtId="168" fontId="6" fillId="0" borderId="0" xfId="0" applyNumberFormat="1" applyFont="1" applyFill="1" applyBorder="1" applyAlignment="1">
      <alignment horizontal="center" vertical="top"/>
    </xf>
    <xf numFmtId="168" fontId="3" fillId="0" borderId="0" xfId="1" applyNumberFormat="1" applyFont="1" applyFill="1" applyBorder="1" applyAlignment="1">
      <alignment horizontal="center" vertical="top"/>
    </xf>
    <xf numFmtId="168" fontId="6" fillId="0" borderId="0" xfId="1" applyNumberFormat="1" applyFont="1" applyFill="1" applyBorder="1" applyAlignment="1">
      <alignment horizontal="center" vertical="top"/>
    </xf>
    <xf numFmtId="168" fontId="5" fillId="0" borderId="0" xfId="1" applyNumberFormat="1" applyFont="1" applyBorder="1" applyAlignment="1">
      <alignment horizontal="center" vertical="top"/>
    </xf>
    <xf numFmtId="168" fontId="6" fillId="0" borderId="0" xfId="1" applyNumberFormat="1" applyFont="1" applyBorder="1" applyAlignment="1">
      <alignment horizontal="center" vertical="top"/>
    </xf>
    <xf numFmtId="2" fontId="3" fillId="6" borderId="12" xfId="0" applyNumberFormat="1" applyFont="1" applyFill="1" applyBorder="1" applyAlignment="1">
      <alignment vertical="top" wrapText="1"/>
    </xf>
    <xf numFmtId="2" fontId="3" fillId="6" borderId="15" xfId="0" applyNumberFormat="1" applyFont="1" applyFill="1" applyBorder="1" applyAlignment="1">
      <alignment vertical="top" wrapText="1"/>
    </xf>
    <xf numFmtId="2" fontId="3" fillId="6" borderId="15" xfId="0" applyNumberFormat="1" applyFont="1" applyFill="1" applyBorder="1" applyAlignment="1">
      <alignment vertical="top"/>
    </xf>
    <xf numFmtId="164" fontId="5" fillId="0" borderId="46" xfId="1" applyFont="1" applyFill="1" applyBorder="1" applyAlignment="1" applyProtection="1">
      <alignment vertical="top"/>
      <protection locked="0"/>
    </xf>
    <xf numFmtId="164" fontId="5" fillId="0" borderId="30" xfId="1" applyFont="1" applyFill="1" applyBorder="1" applyAlignment="1" applyProtection="1">
      <alignment vertical="top"/>
      <protection locked="0"/>
    </xf>
    <xf numFmtId="164" fontId="5" fillId="0" borderId="47" xfId="1" applyFont="1" applyFill="1" applyBorder="1" applyAlignment="1" applyProtection="1">
      <alignment vertical="top"/>
      <protection locked="0"/>
    </xf>
    <xf numFmtId="164" fontId="5" fillId="0" borderId="48" xfId="1" applyFont="1" applyFill="1" applyBorder="1" applyAlignment="1" applyProtection="1">
      <alignment vertical="top"/>
      <protection locked="0"/>
    </xf>
    <xf numFmtId="0" fontId="5" fillId="0" borderId="49" xfId="1" applyNumberFormat="1" applyFont="1" applyFill="1" applyBorder="1" applyAlignment="1" applyProtection="1">
      <alignment horizontal="center" vertical="top"/>
      <protection locked="0"/>
    </xf>
    <xf numFmtId="2" fontId="3" fillId="6" borderId="14" xfId="0" applyNumberFormat="1" applyFont="1" applyFill="1" applyBorder="1" applyAlignment="1">
      <alignment vertical="top" wrapText="1"/>
    </xf>
    <xf numFmtId="2" fontId="3" fillId="6" borderId="16" xfId="0" applyNumberFormat="1" applyFont="1" applyFill="1" applyBorder="1" applyAlignment="1">
      <alignment vertical="top" wrapText="1"/>
    </xf>
    <xf numFmtId="2" fontId="3" fillId="6" borderId="16" xfId="0" applyNumberFormat="1" applyFont="1" applyFill="1" applyBorder="1" applyAlignment="1">
      <alignment vertical="top"/>
    </xf>
    <xf numFmtId="0" fontId="5" fillId="0" borderId="50" xfId="1" applyNumberFormat="1" applyFont="1" applyFill="1" applyBorder="1" applyAlignment="1" applyProtection="1">
      <alignment horizontal="center" vertical="top"/>
      <protection locked="0"/>
    </xf>
    <xf numFmtId="0" fontId="5" fillId="0" borderId="31" xfId="1" applyNumberFormat="1" applyFont="1" applyFill="1" applyBorder="1" applyAlignment="1" applyProtection="1">
      <alignment horizontal="center" vertical="top"/>
      <protection locked="0"/>
    </xf>
    <xf numFmtId="0" fontId="5" fillId="0" borderId="51" xfId="1" applyNumberFormat="1" applyFont="1" applyFill="1" applyBorder="1" applyAlignment="1" applyProtection="1">
      <alignment horizontal="center" vertical="top"/>
      <protection locked="0"/>
    </xf>
    <xf numFmtId="168" fontId="3" fillId="6" borderId="29" xfId="0" applyNumberFormat="1" applyFont="1" applyFill="1" applyBorder="1" applyAlignment="1">
      <alignment horizontal="center" vertical="top" wrapText="1"/>
    </xf>
    <xf numFmtId="168" fontId="3" fillId="6" borderId="29" xfId="0" applyNumberFormat="1" applyFont="1" applyFill="1" applyBorder="1" applyAlignment="1">
      <alignment horizontal="center" vertical="top"/>
    </xf>
    <xf numFmtId="168" fontId="3" fillId="0" borderId="31" xfId="1" applyNumberFormat="1" applyFont="1" applyBorder="1" applyAlignment="1">
      <alignment horizontal="center" vertical="top"/>
    </xf>
    <xf numFmtId="168" fontId="5" fillId="0" borderId="33" xfId="1" applyNumberFormat="1" applyFont="1" applyFill="1" applyBorder="1" applyAlignment="1" applyProtection="1">
      <alignment horizontal="center" vertical="top"/>
      <protection locked="0"/>
    </xf>
    <xf numFmtId="168" fontId="5" fillId="0" borderId="35" xfId="1" applyNumberFormat="1" applyFont="1" applyFill="1" applyBorder="1" applyAlignment="1" applyProtection="1">
      <alignment horizontal="center" vertical="top"/>
      <protection locked="0"/>
    </xf>
    <xf numFmtId="168" fontId="6" fillId="0" borderId="16" xfId="0" applyNumberFormat="1" applyFont="1" applyFill="1" applyBorder="1" applyAlignment="1" applyProtection="1">
      <alignment horizontal="center" vertical="top"/>
      <protection locked="0"/>
    </xf>
    <xf numFmtId="168" fontId="6" fillId="0" borderId="16" xfId="1" applyNumberFormat="1" applyFont="1" applyFill="1" applyBorder="1" applyAlignment="1" applyProtection="1">
      <alignment horizontal="center" vertical="top"/>
      <protection locked="0"/>
    </xf>
    <xf numFmtId="168" fontId="3" fillId="0" borderId="37" xfId="1" applyNumberFormat="1" applyFont="1" applyFill="1" applyBorder="1" applyAlignment="1">
      <alignment horizontal="center" vertical="top"/>
    </xf>
    <xf numFmtId="168" fontId="5" fillId="0" borderId="40" xfId="1" applyNumberFormat="1" applyFont="1" applyFill="1" applyBorder="1" applyAlignment="1" applyProtection="1">
      <alignment horizontal="center" vertical="top"/>
      <protection locked="0"/>
    </xf>
    <xf numFmtId="164" fontId="5" fillId="0" borderId="52" xfId="1" applyFont="1" applyFill="1" applyBorder="1" applyAlignment="1" applyProtection="1">
      <alignment vertical="top"/>
      <protection locked="0"/>
    </xf>
    <xf numFmtId="0" fontId="3" fillId="0" borderId="8" xfId="1" applyNumberFormat="1" applyFont="1" applyFill="1" applyBorder="1" applyAlignment="1">
      <alignment horizontal="left" vertical="top"/>
    </xf>
    <xf numFmtId="164" fontId="5" fillId="0" borderId="15" xfId="1" applyFont="1" applyFill="1" applyBorder="1" applyAlignment="1" applyProtection="1">
      <alignment vertical="top"/>
      <protection locked="0"/>
    </xf>
    <xf numFmtId="2" fontId="3" fillId="6" borderId="21" xfId="0" applyNumberFormat="1" applyFont="1" applyFill="1" applyBorder="1" applyAlignment="1">
      <alignment vertical="top"/>
    </xf>
    <xf numFmtId="164" fontId="5" fillId="0" borderId="53" xfId="1" applyFont="1" applyFill="1" applyBorder="1" applyAlignment="1" applyProtection="1">
      <alignment vertical="top"/>
      <protection locked="0"/>
    </xf>
    <xf numFmtId="164" fontId="5" fillId="0" borderId="6" xfId="1" applyFont="1" applyFill="1" applyBorder="1" applyAlignment="1" applyProtection="1">
      <alignment vertical="top"/>
      <protection locked="0"/>
    </xf>
    <xf numFmtId="164" fontId="5" fillId="0" borderId="8" xfId="1" applyFont="1" applyFill="1" applyBorder="1" applyAlignment="1" applyProtection="1">
      <alignment vertical="top"/>
      <protection locked="0"/>
    </xf>
    <xf numFmtId="164" fontId="5" fillId="0" borderId="54" xfId="1" applyFont="1" applyFill="1" applyBorder="1" applyAlignment="1" applyProtection="1">
      <alignment vertical="top"/>
      <protection locked="0"/>
    </xf>
    <xf numFmtId="164" fontId="5" fillId="0" borderId="55" xfId="1" applyFont="1" applyFill="1" applyBorder="1" applyAlignment="1" applyProtection="1">
      <alignment vertical="top"/>
      <protection locked="0"/>
    </xf>
    <xf numFmtId="1" fontId="5" fillId="0" borderId="0" xfId="0" applyNumberFormat="1" applyFont="1" applyBorder="1" applyAlignment="1">
      <alignment horizontal="center" vertical="top"/>
    </xf>
    <xf numFmtId="1" fontId="3" fillId="6" borderId="28" xfId="0" applyNumberFormat="1" applyFont="1" applyFill="1" applyBorder="1" applyAlignment="1">
      <alignment horizontal="center" vertical="top" wrapText="1"/>
    </xf>
    <xf numFmtId="1" fontId="3" fillId="6" borderId="15" xfId="0" applyNumberFormat="1" applyFont="1" applyFill="1" applyBorder="1" applyAlignment="1">
      <alignment horizontal="center" vertical="top" wrapText="1"/>
    </xf>
    <xf numFmtId="1" fontId="3" fillId="6" borderId="15" xfId="0" applyNumberFormat="1" applyFont="1" applyFill="1" applyBorder="1" applyAlignment="1">
      <alignment horizontal="center" vertical="top"/>
    </xf>
    <xf numFmtId="1" fontId="3" fillId="0" borderId="30" xfId="1" applyNumberFormat="1" applyFont="1" applyBorder="1" applyAlignment="1">
      <alignment horizontal="center" vertical="top"/>
    </xf>
    <xf numFmtId="1" fontId="5" fillId="0" borderId="30" xfId="1" applyNumberFormat="1" applyFont="1" applyFill="1" applyBorder="1" applyAlignment="1" applyProtection="1">
      <alignment horizontal="center" vertical="top"/>
      <protection locked="0"/>
    </xf>
    <xf numFmtId="1" fontId="6" fillId="0" borderId="0" xfId="0" applyNumberFormat="1" applyFont="1" applyFill="1" applyBorder="1" applyAlignment="1">
      <alignment horizontal="center" vertical="top"/>
    </xf>
    <xf numFmtId="1" fontId="3" fillId="0" borderId="0" xfId="1" applyNumberFormat="1" applyFont="1" applyFill="1" applyBorder="1" applyAlignment="1">
      <alignment horizontal="center" vertical="top"/>
    </xf>
    <xf numFmtId="1" fontId="6" fillId="0" borderId="0" xfId="1" applyNumberFormat="1" applyFont="1" applyFill="1" applyBorder="1" applyAlignment="1">
      <alignment horizontal="center" vertical="top"/>
    </xf>
    <xf numFmtId="1" fontId="5" fillId="0" borderId="0" xfId="1" applyNumberFormat="1" applyFont="1" applyBorder="1" applyAlignment="1">
      <alignment horizontal="center" vertical="top"/>
    </xf>
    <xf numFmtId="1" fontId="6" fillId="0" borderId="0" xfId="1" applyNumberFormat="1" applyFont="1" applyBorder="1" applyAlignment="1">
      <alignment horizontal="center" vertical="top"/>
    </xf>
    <xf numFmtId="1" fontId="5" fillId="0" borderId="56" xfId="1" applyNumberFormat="1" applyFont="1" applyFill="1" applyBorder="1" applyAlignment="1" applyProtection="1">
      <alignment horizontal="center" vertical="top"/>
      <protection locked="0"/>
    </xf>
    <xf numFmtId="1" fontId="5" fillId="0" borderId="10" xfId="1" applyNumberFormat="1" applyFont="1" applyFill="1" applyBorder="1" applyAlignment="1" applyProtection="1">
      <alignment horizontal="center" vertical="top"/>
      <protection locked="0"/>
    </xf>
    <xf numFmtId="0" fontId="5" fillId="0" borderId="10" xfId="1" applyNumberFormat="1" applyFont="1" applyFill="1" applyBorder="1" applyAlignment="1" applyProtection="1">
      <alignment horizontal="center" vertical="top"/>
      <protection locked="0"/>
    </xf>
    <xf numFmtId="0" fontId="5" fillId="0" borderId="56" xfId="1" applyNumberFormat="1" applyFont="1" applyFill="1" applyBorder="1" applyAlignment="1" applyProtection="1">
      <alignment horizontal="center" vertical="top"/>
      <protection locked="0"/>
    </xf>
    <xf numFmtId="164" fontId="5" fillId="0" borderId="39" xfId="1" applyFont="1" applyFill="1" applyBorder="1" applyAlignment="1" applyProtection="1">
      <alignment vertical="top"/>
      <protection locked="0"/>
    </xf>
    <xf numFmtId="1" fontId="5" fillId="0" borderId="34" xfId="1" applyNumberFormat="1" applyFont="1" applyFill="1" applyBorder="1" applyAlignment="1" applyProtection="1">
      <alignment horizontal="center" vertical="top"/>
      <protection locked="0"/>
    </xf>
    <xf numFmtId="1" fontId="5" fillId="0" borderId="32" xfId="1" applyNumberFormat="1" applyFont="1" applyFill="1" applyBorder="1" applyAlignment="1" applyProtection="1">
      <alignment horizontal="center" vertical="top"/>
      <protection locked="0"/>
    </xf>
    <xf numFmtId="0" fontId="5" fillId="0" borderId="39" xfId="0" applyFont="1" applyBorder="1" applyAlignment="1" applyProtection="1">
      <alignment vertical="top" wrapText="1"/>
      <protection locked="0"/>
    </xf>
    <xf numFmtId="0" fontId="5" fillId="0" borderId="39" xfId="0" applyFont="1" applyFill="1" applyBorder="1" applyAlignment="1" applyProtection="1">
      <alignment vertical="top" wrapText="1"/>
      <protection locked="0"/>
    </xf>
    <xf numFmtId="0" fontId="5" fillId="0" borderId="39" xfId="0" applyFont="1" applyFill="1" applyBorder="1" applyAlignment="1">
      <alignment vertical="top" wrapText="1"/>
    </xf>
    <xf numFmtId="165" fontId="5" fillId="0" borderId="39" xfId="0" applyNumberFormat="1" applyFont="1" applyFill="1" applyBorder="1" applyAlignment="1" applyProtection="1">
      <alignment vertical="top"/>
      <protection locked="0"/>
    </xf>
    <xf numFmtId="3" fontId="5" fillId="0" borderId="39" xfId="0" applyNumberFormat="1" applyFont="1" applyFill="1" applyBorder="1" applyAlignment="1" applyProtection="1">
      <alignment vertical="top"/>
      <protection locked="0"/>
    </xf>
    <xf numFmtId="165" fontId="5" fillId="8" borderId="39" xfId="0" applyNumberFormat="1" applyFont="1" applyFill="1" applyBorder="1" applyAlignment="1" applyProtection="1">
      <alignment vertical="top"/>
      <protection locked="0"/>
    </xf>
    <xf numFmtId="164" fontId="5" fillId="8" borderId="39" xfId="1" applyFont="1" applyFill="1" applyBorder="1" applyAlignment="1" applyProtection="1">
      <alignment vertical="top"/>
      <protection locked="0"/>
    </xf>
    <xf numFmtId="164" fontId="5" fillId="5" borderId="39" xfId="1" applyFont="1" applyFill="1" applyBorder="1" applyAlignment="1" applyProtection="1">
      <alignment vertical="top"/>
      <protection locked="0"/>
    </xf>
    <xf numFmtId="0" fontId="5" fillId="2" borderId="39" xfId="1" applyNumberFormat="1" applyFont="1" applyFill="1" applyBorder="1" applyAlignment="1" applyProtection="1">
      <alignment horizontal="center" vertical="top"/>
      <protection locked="0"/>
    </xf>
    <xf numFmtId="164" fontId="5" fillId="0" borderId="18" xfId="1" applyFont="1" applyFill="1" applyBorder="1" applyAlignment="1" applyProtection="1">
      <alignment vertical="top"/>
      <protection locked="0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/>
    </xf>
    <xf numFmtId="0" fontId="5" fillId="0" borderId="18" xfId="0" applyFont="1" applyBorder="1" applyAlignment="1">
      <alignment vertical="top"/>
    </xf>
    <xf numFmtId="1" fontId="5" fillId="0" borderId="38" xfId="1" applyNumberFormat="1" applyFont="1" applyFill="1" applyBorder="1" applyAlignment="1" applyProtection="1">
      <alignment horizontal="center" vertical="top"/>
      <protection locked="0"/>
    </xf>
    <xf numFmtId="2" fontId="2" fillId="11" borderId="0" xfId="0" applyNumberFormat="1" applyFont="1" applyFill="1" applyBorder="1" applyAlignment="1">
      <alignment horizontal="left" vertical="top"/>
    </xf>
    <xf numFmtId="0" fontId="4" fillId="11" borderId="0" xfId="0" applyFont="1" applyFill="1" applyBorder="1" applyAlignment="1">
      <alignment vertical="top"/>
    </xf>
    <xf numFmtId="0" fontId="5" fillId="11" borderId="0" xfId="0" applyFont="1" applyFill="1" applyBorder="1" applyAlignment="1">
      <alignment vertical="top"/>
    </xf>
    <xf numFmtId="15" fontId="5" fillId="0" borderId="2" xfId="1" applyNumberFormat="1" applyFont="1" applyFill="1" applyBorder="1" applyAlignment="1" applyProtection="1">
      <alignment vertical="top"/>
      <protection locked="0"/>
    </xf>
    <xf numFmtId="0" fontId="5" fillId="11" borderId="0" xfId="0" applyFont="1" applyFill="1" applyBorder="1" applyAlignment="1">
      <alignment vertical="top" wrapText="1"/>
    </xf>
  </cellXfs>
  <cellStyles count="4">
    <cellStyle name="Euro" xfId="1" xr:uid="{00000000-0005-0000-0000-000000000000}"/>
    <cellStyle name="Euro 2" xfId="2" xr:uid="{00000000-0005-0000-0000-000001000000}"/>
    <cellStyle name="Standaard" xfId="0" builtinId="0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5"/>
  <sheetViews>
    <sheetView topLeftCell="B16" workbookViewId="0">
      <selection activeCell="D17" sqref="D17"/>
    </sheetView>
  </sheetViews>
  <sheetFormatPr defaultColWidth="15.28515625" defaultRowHeight="12" x14ac:dyDescent="0.2"/>
  <cols>
    <col min="1" max="1" width="32.7109375" style="163" hidden="1" customWidth="1"/>
    <col min="2" max="2" width="9.85546875" style="163" customWidth="1"/>
    <col min="3" max="3" width="14.5703125" style="163" hidden="1" customWidth="1"/>
    <col min="4" max="4" width="17.28515625" style="243" customWidth="1"/>
    <col min="5" max="5" width="7.85546875" style="200" bestFit="1" customWidth="1"/>
    <col min="6" max="6" width="35.42578125" style="200" customWidth="1"/>
    <col min="7" max="7" width="20.7109375" style="200" bestFit="1" customWidth="1"/>
    <col min="8" max="8" width="11.5703125" style="200" bestFit="1" customWidth="1"/>
    <col min="9" max="9" width="14.140625" style="200" customWidth="1"/>
    <col min="10" max="11" width="16.7109375" style="173" hidden="1" customWidth="1"/>
    <col min="12" max="12" width="19.7109375" style="173" hidden="1" customWidth="1"/>
    <col min="13" max="13" width="19" style="173" hidden="1" customWidth="1"/>
    <col min="14" max="14" width="16.5703125" style="173" hidden="1" customWidth="1"/>
    <col min="15" max="15" width="13.85546875" style="173" hidden="1" customWidth="1"/>
    <col min="16" max="16" width="16.28515625" style="173" hidden="1" customWidth="1"/>
    <col min="17" max="18" width="19.140625" style="173" hidden="1" customWidth="1"/>
    <col min="19" max="20" width="17.7109375" style="173" hidden="1" customWidth="1"/>
    <col min="21" max="25" width="18.5703125" style="174" hidden="1" customWidth="1"/>
    <col min="26" max="28" width="19" style="175" hidden="1" customWidth="1"/>
    <col min="29" max="30" width="19" style="175" customWidth="1"/>
    <col min="31" max="31" width="16.85546875" style="175" bestFit="1" customWidth="1"/>
    <col min="32" max="36" width="16.85546875" style="244" customWidth="1"/>
    <col min="37" max="37" width="36.7109375" style="200" customWidth="1"/>
    <col min="38" max="38" width="41.85546875" style="156" bestFit="1" customWidth="1"/>
    <col min="39" max="16384" width="15.28515625" style="156"/>
  </cols>
  <sheetData>
    <row r="1" spans="1:38" s="132" customFormat="1" ht="12" customHeight="1" x14ac:dyDescent="0.2">
      <c r="A1" s="123" t="s">
        <v>0</v>
      </c>
      <c r="B1" s="123"/>
      <c r="C1" s="123"/>
      <c r="D1" s="124" t="s">
        <v>204</v>
      </c>
      <c r="E1" s="125" t="s">
        <v>1</v>
      </c>
      <c r="F1" s="124" t="s">
        <v>2</v>
      </c>
      <c r="G1" s="125" t="s">
        <v>3</v>
      </c>
      <c r="H1" s="125" t="s">
        <v>134</v>
      </c>
      <c r="I1" s="125" t="s">
        <v>4</v>
      </c>
      <c r="J1" s="125" t="s">
        <v>5</v>
      </c>
      <c r="K1" s="125" t="s">
        <v>6</v>
      </c>
      <c r="L1" s="126" t="s">
        <v>7</v>
      </c>
      <c r="M1" s="126" t="s">
        <v>7</v>
      </c>
      <c r="N1" s="126" t="s">
        <v>8</v>
      </c>
      <c r="O1" s="126" t="s">
        <v>9</v>
      </c>
      <c r="P1" s="126" t="s">
        <v>10</v>
      </c>
      <c r="Q1" s="126" t="s">
        <v>7</v>
      </c>
      <c r="R1" s="126" t="s">
        <v>7</v>
      </c>
      <c r="S1" s="126" t="s">
        <v>11</v>
      </c>
      <c r="T1" s="126" t="s">
        <v>11</v>
      </c>
      <c r="U1" s="127" t="s">
        <v>12</v>
      </c>
      <c r="V1" s="127" t="s">
        <v>13</v>
      </c>
      <c r="W1" s="126" t="s">
        <v>11</v>
      </c>
      <c r="X1" s="126" t="s">
        <v>7</v>
      </c>
      <c r="Y1" s="126" t="s">
        <v>11</v>
      </c>
      <c r="Z1" s="128" t="s">
        <v>14</v>
      </c>
      <c r="AA1" s="126" t="s">
        <v>7</v>
      </c>
      <c r="AB1" s="126" t="s">
        <v>11</v>
      </c>
      <c r="AC1" s="126" t="s">
        <v>7</v>
      </c>
      <c r="AD1" s="126" t="s">
        <v>11</v>
      </c>
      <c r="AE1" s="129" t="s">
        <v>207</v>
      </c>
      <c r="AF1" s="130" t="s">
        <v>225</v>
      </c>
      <c r="AG1" s="130"/>
      <c r="AH1" s="130" t="s">
        <v>225</v>
      </c>
      <c r="AI1" s="130"/>
      <c r="AJ1" s="130"/>
      <c r="AK1" s="131" t="s">
        <v>183</v>
      </c>
    </row>
    <row r="2" spans="1:38" s="132" customFormat="1" x14ac:dyDescent="0.2">
      <c r="A2" s="123"/>
      <c r="B2" s="123"/>
      <c r="C2" s="123"/>
      <c r="D2" s="133" t="s">
        <v>205</v>
      </c>
      <c r="E2" s="134"/>
      <c r="F2" s="133"/>
      <c r="G2" s="134"/>
      <c r="H2" s="134"/>
      <c r="I2" s="134"/>
      <c r="J2" s="134"/>
      <c r="K2" s="134"/>
      <c r="L2" s="135" t="s">
        <v>15</v>
      </c>
      <c r="M2" s="135" t="s">
        <v>16</v>
      </c>
      <c r="N2" s="135"/>
      <c r="O2" s="135"/>
      <c r="P2" s="135"/>
      <c r="Q2" s="135" t="s">
        <v>17</v>
      </c>
      <c r="R2" s="135" t="s">
        <v>103</v>
      </c>
      <c r="S2" s="135" t="s">
        <v>15</v>
      </c>
      <c r="T2" s="135" t="s">
        <v>16</v>
      </c>
      <c r="U2" s="136"/>
      <c r="V2" s="136"/>
      <c r="W2" s="135" t="s">
        <v>17</v>
      </c>
      <c r="X2" s="135" t="s">
        <v>128</v>
      </c>
      <c r="Y2" s="135" t="s">
        <v>128</v>
      </c>
      <c r="Z2" s="135" t="s">
        <v>15</v>
      </c>
      <c r="AA2" s="135" t="s">
        <v>173</v>
      </c>
      <c r="AB2" s="135" t="s">
        <v>173</v>
      </c>
      <c r="AC2" s="135" t="s">
        <v>208</v>
      </c>
      <c r="AD2" s="135" t="s">
        <v>208</v>
      </c>
      <c r="AE2" s="135" t="s">
        <v>206</v>
      </c>
      <c r="AF2" s="137"/>
      <c r="AG2" s="137"/>
      <c r="AH2" s="137"/>
      <c r="AI2" s="137"/>
      <c r="AJ2" s="137"/>
      <c r="AK2" s="138"/>
    </row>
    <row r="3" spans="1:38" s="147" customFormat="1" ht="12.75" thickBot="1" x14ac:dyDescent="0.25">
      <c r="A3" s="139"/>
      <c r="B3" s="139"/>
      <c r="C3" s="139"/>
      <c r="D3" s="140"/>
      <c r="E3" s="141"/>
      <c r="F3" s="142"/>
      <c r="G3" s="141"/>
      <c r="H3" s="141"/>
      <c r="I3" s="141"/>
      <c r="J3" s="143"/>
      <c r="K3" s="143"/>
      <c r="L3" s="144" t="s">
        <v>18</v>
      </c>
      <c r="M3" s="144" t="s">
        <v>19</v>
      </c>
      <c r="N3" s="144"/>
      <c r="O3" s="144"/>
      <c r="P3" s="144"/>
      <c r="Q3" s="144" t="s">
        <v>20</v>
      </c>
      <c r="R3" s="144" t="s">
        <v>105</v>
      </c>
      <c r="S3" s="144" t="s">
        <v>18</v>
      </c>
      <c r="T3" s="144" t="s">
        <v>21</v>
      </c>
      <c r="U3" s="144"/>
      <c r="V3" s="144"/>
      <c r="W3" s="144" t="s">
        <v>21</v>
      </c>
      <c r="X3" s="144" t="s">
        <v>133</v>
      </c>
      <c r="Y3" s="144" t="s">
        <v>104</v>
      </c>
      <c r="Z3" s="144" t="s">
        <v>18</v>
      </c>
      <c r="AA3" s="144" t="s">
        <v>174</v>
      </c>
      <c r="AB3" s="144" t="s">
        <v>175</v>
      </c>
      <c r="AC3" s="144" t="s">
        <v>210</v>
      </c>
      <c r="AD3" s="144" t="s">
        <v>209</v>
      </c>
      <c r="AE3" s="144" t="s">
        <v>208</v>
      </c>
      <c r="AF3" s="145"/>
      <c r="AG3" s="145" t="s">
        <v>227</v>
      </c>
      <c r="AH3" s="145"/>
      <c r="AI3" s="145" t="s">
        <v>228</v>
      </c>
      <c r="AJ3" s="145" t="s">
        <v>237</v>
      </c>
      <c r="AK3" s="146"/>
    </row>
    <row r="4" spans="1:38" s="147" customFormat="1" x14ac:dyDescent="0.2">
      <c r="A4" s="139"/>
      <c r="B4" s="139"/>
      <c r="C4" s="139"/>
      <c r="D4" s="148" t="s">
        <v>22</v>
      </c>
      <c r="E4" s="149"/>
      <c r="F4" s="148" t="s">
        <v>22</v>
      </c>
      <c r="G4" s="150"/>
      <c r="H4" s="150"/>
      <c r="I4" s="150"/>
      <c r="J4" s="151"/>
      <c r="K4" s="152"/>
      <c r="L4" s="152"/>
      <c r="M4" s="152"/>
      <c r="N4" s="149"/>
      <c r="O4" s="149"/>
      <c r="P4" s="149"/>
      <c r="Q4" s="149"/>
      <c r="R4" s="149"/>
      <c r="S4" s="149"/>
      <c r="T4" s="149"/>
      <c r="U4" s="153"/>
      <c r="V4" s="154"/>
      <c r="W4" s="154"/>
      <c r="X4" s="154"/>
      <c r="Y4" s="154"/>
      <c r="Z4" s="155"/>
      <c r="AA4" s="155"/>
      <c r="AB4" s="155"/>
      <c r="AC4" s="155"/>
      <c r="AD4" s="155"/>
      <c r="AE4" s="155"/>
      <c r="AF4" s="22"/>
      <c r="AG4" s="22"/>
      <c r="AH4" s="22"/>
      <c r="AI4" s="22"/>
      <c r="AJ4" s="22"/>
      <c r="AK4" s="132"/>
    </row>
    <row r="5" spans="1:38" x14ac:dyDescent="0.2">
      <c r="A5" s="156"/>
      <c r="B5" s="156"/>
      <c r="C5" s="156"/>
      <c r="D5" s="157" t="s">
        <v>118</v>
      </c>
      <c r="E5" s="1">
        <v>30601</v>
      </c>
      <c r="F5" s="5" t="s">
        <v>44</v>
      </c>
      <c r="G5" s="6" t="s">
        <v>45</v>
      </c>
      <c r="H5" s="6" t="s">
        <v>137</v>
      </c>
      <c r="I5" s="6" t="s">
        <v>24</v>
      </c>
      <c r="J5" s="158">
        <v>68444.444444444453</v>
      </c>
      <c r="K5" s="158">
        <v>68444.444444444453</v>
      </c>
      <c r="L5" s="2">
        <f>ROUND(J5,0)</f>
        <v>68444</v>
      </c>
      <c r="M5" s="2">
        <f>ROUND(L5/113.8*117.8,0)</f>
        <v>70850</v>
      </c>
      <c r="N5" s="2">
        <v>0</v>
      </c>
      <c r="O5" s="2">
        <v>0</v>
      </c>
      <c r="P5" s="2">
        <v>0</v>
      </c>
      <c r="Q5" s="2">
        <f>ROUND(M5/117.8*118.7,0)</f>
        <v>71391</v>
      </c>
      <c r="R5" s="2">
        <f>ROUND(Q5*11.36%+Q5,0)</f>
        <v>79501</v>
      </c>
      <c r="S5" s="2">
        <f>ROUND(N5,0)</f>
        <v>0</v>
      </c>
      <c r="T5" s="2">
        <f t="shared" ref="T5:T11" si="0">ROUND(P5/110.8*113.8,0)</f>
        <v>0</v>
      </c>
      <c r="U5" s="3">
        <f t="shared" ref="U5:U11" si="1">J5+N5</f>
        <v>68444.444444444453</v>
      </c>
      <c r="V5" s="3">
        <f t="shared" ref="V5:V11" si="2">K5+P5</f>
        <v>68444.444444444453</v>
      </c>
      <c r="W5" s="2"/>
      <c r="X5" s="2">
        <f>ROUND(R5/120.2*120.7,0)</f>
        <v>79832</v>
      </c>
      <c r="Y5" s="12"/>
      <c r="Z5" s="4">
        <f>L5+S5</f>
        <v>68444</v>
      </c>
      <c r="AA5" s="2">
        <f t="shared" ref="AA5:AA10" si="3">ROUND(X5/120.7*122.4,0)</f>
        <v>80956</v>
      </c>
      <c r="AB5" s="2">
        <f>ROUND(Y5/115.7*116.1,0)</f>
        <v>0</v>
      </c>
      <c r="AC5" s="2">
        <f>ROUND(AA5/122.4*125,0)</f>
        <v>82676</v>
      </c>
      <c r="AD5" s="2">
        <f>ROUND(AB5/116.1*118.2,0)</f>
        <v>0</v>
      </c>
      <c r="AE5" s="4">
        <f>AC5+AD5</f>
        <v>82676</v>
      </c>
      <c r="AF5" s="118" t="s">
        <v>226</v>
      </c>
      <c r="AG5" s="118">
        <v>83000</v>
      </c>
      <c r="AH5" s="118"/>
      <c r="AI5" s="119">
        <v>0</v>
      </c>
      <c r="AJ5" s="118">
        <f>AG5+AI5</f>
        <v>83000</v>
      </c>
      <c r="AK5" s="159"/>
    </row>
    <row r="6" spans="1:38" x14ac:dyDescent="0.2">
      <c r="A6" s="156"/>
      <c r="B6" s="156"/>
      <c r="C6" s="156"/>
      <c r="D6" s="160"/>
      <c r="E6" s="1"/>
      <c r="F6" s="1" t="s">
        <v>218</v>
      </c>
      <c r="G6" s="161" t="s">
        <v>219</v>
      </c>
      <c r="H6" s="1" t="s">
        <v>220</v>
      </c>
      <c r="I6" s="1" t="s">
        <v>24</v>
      </c>
      <c r="J6" s="162">
        <v>203432.09876543214</v>
      </c>
      <c r="K6" s="162">
        <v>203432.09876543214</v>
      </c>
      <c r="L6" s="2">
        <f t="shared" ref="L6" si="4">ROUND(J6,0)</f>
        <v>203432</v>
      </c>
      <c r="M6" s="2">
        <f t="shared" ref="M6" si="5">ROUND(L6/113.8*117.8,0)</f>
        <v>210583</v>
      </c>
      <c r="N6" s="2">
        <v>0</v>
      </c>
      <c r="O6" s="2">
        <v>0</v>
      </c>
      <c r="P6" s="2">
        <v>0</v>
      </c>
      <c r="Q6" s="2">
        <f>ROUND(M6/117.8*118.7,0)</f>
        <v>212192</v>
      </c>
      <c r="R6" s="2">
        <f>ROUND(Q6*11.36%+Q6,0)</f>
        <v>236297</v>
      </c>
      <c r="S6" s="2">
        <f t="shared" ref="S6" si="6">ROUND(N6,0)</f>
        <v>0</v>
      </c>
      <c r="T6" s="2">
        <f t="shared" si="0"/>
        <v>0</v>
      </c>
      <c r="U6" s="3">
        <f t="shared" si="1"/>
        <v>203432.09876543214</v>
      </c>
      <c r="V6" s="3">
        <f t="shared" si="2"/>
        <v>203432.09876543214</v>
      </c>
      <c r="W6" s="2"/>
      <c r="X6" s="2">
        <f t="shared" ref="X6" si="7">ROUND(R6/120.2*120.7,0)</f>
        <v>237280</v>
      </c>
      <c r="Y6" s="2"/>
      <c r="Z6" s="4">
        <f t="shared" ref="Z6:Z7" si="8">L6+S6</f>
        <v>203432</v>
      </c>
      <c r="AA6" s="2">
        <f t="shared" si="3"/>
        <v>240622</v>
      </c>
      <c r="AB6" s="2">
        <f t="shared" ref="AB6" si="9">ROUND(Y6/115.7*116.1,0)</f>
        <v>0</v>
      </c>
      <c r="AC6" s="2">
        <v>740000</v>
      </c>
      <c r="AD6" s="2">
        <f t="shared" ref="AD6:AD50" si="10">ROUND(AB6/116.1*118.2,0)</f>
        <v>0</v>
      </c>
      <c r="AE6" s="4">
        <f t="shared" ref="AE6:AE50" si="11">AC6+AD6</f>
        <v>740000</v>
      </c>
      <c r="AF6" s="119" t="s">
        <v>229</v>
      </c>
      <c r="AG6" s="119">
        <v>740000</v>
      </c>
      <c r="AH6" s="119"/>
      <c r="AI6" s="119">
        <v>0</v>
      </c>
      <c r="AJ6" s="119">
        <f t="shared" ref="AJ6:AJ50" si="12">AG6+AI6</f>
        <v>740000</v>
      </c>
      <c r="AK6" s="159" t="s">
        <v>252</v>
      </c>
    </row>
    <row r="7" spans="1:38" ht="60" x14ac:dyDescent="0.2">
      <c r="C7" s="164" t="s">
        <v>169</v>
      </c>
      <c r="D7" s="165" t="s">
        <v>172</v>
      </c>
      <c r="E7" s="1">
        <v>30501</v>
      </c>
      <c r="F7" s="1" t="s">
        <v>106</v>
      </c>
      <c r="G7" s="159" t="s">
        <v>102</v>
      </c>
      <c r="H7" s="159" t="s">
        <v>135</v>
      </c>
      <c r="I7" s="159" t="s">
        <v>24</v>
      </c>
      <c r="J7" s="166">
        <v>6193271.6049382715</v>
      </c>
      <c r="K7" s="166">
        <v>6193271.6049382715</v>
      </c>
      <c r="L7" s="2">
        <f>ROUND(J7,0)</f>
        <v>6193272</v>
      </c>
      <c r="M7" s="2">
        <f>ROUND(L7/113.8*117.8,0)</f>
        <v>6410962</v>
      </c>
      <c r="N7" s="2">
        <v>2990641.9753086418</v>
      </c>
      <c r="O7" s="2">
        <v>0</v>
      </c>
      <c r="P7" s="2">
        <v>2990641.9753086418</v>
      </c>
      <c r="Q7" s="11">
        <v>15130000</v>
      </c>
      <c r="R7" s="2">
        <f>ROUND(Q7/119.5*120.2,0)</f>
        <v>15218628</v>
      </c>
      <c r="S7" s="2">
        <f>ROUND(N7,0)</f>
        <v>2990642</v>
      </c>
      <c r="T7" s="2">
        <f t="shared" si="0"/>
        <v>3071616</v>
      </c>
      <c r="U7" s="3">
        <f t="shared" si="1"/>
        <v>9183913.5802469142</v>
      </c>
      <c r="V7" s="3">
        <f t="shared" si="2"/>
        <v>9183913.5802469142</v>
      </c>
      <c r="W7" s="11">
        <v>1470050</v>
      </c>
      <c r="X7" s="2">
        <v>13845433</v>
      </c>
      <c r="Y7" s="2">
        <f>ROUND(W7/115.2*115.7,0)</f>
        <v>1476430</v>
      </c>
      <c r="Z7" s="4">
        <f t="shared" si="8"/>
        <v>9183914</v>
      </c>
      <c r="AA7" s="2">
        <f t="shared" si="3"/>
        <v>14040439</v>
      </c>
      <c r="AB7" s="2">
        <f>ROUND(Y7/115.7*116.1,0)</f>
        <v>1481534</v>
      </c>
      <c r="AC7" s="2">
        <f t="shared" ref="AC7:AC50" si="13">ROUND(AA7/122.4*125,0)</f>
        <v>14338684</v>
      </c>
      <c r="AD7" s="2">
        <f t="shared" si="10"/>
        <v>1508332</v>
      </c>
      <c r="AE7" s="4">
        <f t="shared" si="11"/>
        <v>15847016</v>
      </c>
      <c r="AF7" s="167" t="s">
        <v>230</v>
      </c>
      <c r="AG7" s="118">
        <v>13452407</v>
      </c>
      <c r="AH7" s="167" t="s">
        <v>231</v>
      </c>
      <c r="AI7" s="118">
        <v>1830000</v>
      </c>
      <c r="AJ7" s="118">
        <f t="shared" si="12"/>
        <v>15282407</v>
      </c>
      <c r="AK7" s="159" t="s">
        <v>211</v>
      </c>
    </row>
    <row r="8" spans="1:38" x14ac:dyDescent="0.2">
      <c r="A8" s="156" t="s">
        <v>28</v>
      </c>
      <c r="B8" s="156"/>
      <c r="C8" s="168" t="s">
        <v>170</v>
      </c>
      <c r="D8" s="157" t="s">
        <v>116</v>
      </c>
      <c r="E8" s="1">
        <v>10222</v>
      </c>
      <c r="F8" s="5" t="s">
        <v>29</v>
      </c>
      <c r="G8" s="6" t="s">
        <v>30</v>
      </c>
      <c r="H8" s="159" t="s">
        <v>135</v>
      </c>
      <c r="I8" s="6" t="s">
        <v>24</v>
      </c>
      <c r="J8" s="166">
        <v>1045679.0123456791</v>
      </c>
      <c r="K8" s="166">
        <v>1045679.0123456791</v>
      </c>
      <c r="L8" s="2">
        <f>ROUND(J8,0)</f>
        <v>1045679</v>
      </c>
      <c r="M8" s="2">
        <f>ROUND(L8/113.8*117.8,0)</f>
        <v>1082434</v>
      </c>
      <c r="N8" s="2">
        <v>0</v>
      </c>
      <c r="O8" s="2">
        <v>0</v>
      </c>
      <c r="P8" s="2">
        <v>0</v>
      </c>
      <c r="Q8" s="2">
        <v>0</v>
      </c>
      <c r="R8" s="2">
        <f>ROUND(Q8/118.7*120.2,0)</f>
        <v>0</v>
      </c>
      <c r="S8" s="2">
        <f>ROUND(N8,0)</f>
        <v>0</v>
      </c>
      <c r="T8" s="2">
        <f t="shared" si="0"/>
        <v>0</v>
      </c>
      <c r="U8" s="3">
        <f t="shared" si="1"/>
        <v>1045679.0123456791</v>
      </c>
      <c r="V8" s="3">
        <f t="shared" si="2"/>
        <v>1045679.0123456791</v>
      </c>
      <c r="W8" s="2"/>
      <c r="X8" s="2">
        <v>1436500</v>
      </c>
      <c r="Y8" s="2"/>
      <c r="Z8" s="4">
        <f>L8+S8</f>
        <v>1045679</v>
      </c>
      <c r="AA8" s="2">
        <f t="shared" si="3"/>
        <v>1456732</v>
      </c>
      <c r="AB8" s="2">
        <f>ROUND(Y8/115.7*116.1,0)</f>
        <v>0</v>
      </c>
      <c r="AC8" s="2">
        <f t="shared" si="13"/>
        <v>1487676</v>
      </c>
      <c r="AD8" s="2">
        <f t="shared" si="10"/>
        <v>0</v>
      </c>
      <c r="AE8" s="4">
        <f t="shared" si="11"/>
        <v>1487676</v>
      </c>
      <c r="AF8" s="119" t="s">
        <v>229</v>
      </c>
      <c r="AG8" s="119">
        <v>1487676</v>
      </c>
      <c r="AH8" s="118"/>
      <c r="AI8" s="118"/>
      <c r="AJ8" s="118">
        <f t="shared" si="12"/>
        <v>1487676</v>
      </c>
      <c r="AK8" s="159"/>
    </row>
    <row r="9" spans="1:38" x14ac:dyDescent="0.2">
      <c r="D9" s="157" t="s">
        <v>115</v>
      </c>
      <c r="E9" s="169">
        <v>15000</v>
      </c>
      <c r="F9" s="5" t="s">
        <v>25</v>
      </c>
      <c r="G9" s="6" t="s">
        <v>26</v>
      </c>
      <c r="H9" s="159" t="s">
        <v>135</v>
      </c>
      <c r="I9" s="6" t="s">
        <v>24</v>
      </c>
      <c r="J9" s="166">
        <v>2199728.3950617285</v>
      </c>
      <c r="K9" s="166">
        <v>2199728.3950617285</v>
      </c>
      <c r="L9" s="2">
        <f>ROUND(J9,0)</f>
        <v>2199728</v>
      </c>
      <c r="M9" s="2">
        <f>ROUND(L9/113.8*117.8,0)</f>
        <v>2277047</v>
      </c>
      <c r="N9" s="2">
        <v>229098.76543209879</v>
      </c>
      <c r="O9" s="2">
        <v>0</v>
      </c>
      <c r="P9" s="2">
        <v>229098.76543209879</v>
      </c>
      <c r="Q9" s="11">
        <v>0</v>
      </c>
      <c r="R9" s="2">
        <f>ROUND(Q9/118.7*120.2,0)</f>
        <v>0</v>
      </c>
      <c r="S9" s="2">
        <f>ROUND(N9,0)</f>
        <v>229099</v>
      </c>
      <c r="T9" s="2">
        <f t="shared" si="0"/>
        <v>235302</v>
      </c>
      <c r="U9" s="3">
        <f t="shared" si="1"/>
        <v>2428827.1604938274</v>
      </c>
      <c r="V9" s="3">
        <f t="shared" si="2"/>
        <v>2428827.1604938274</v>
      </c>
      <c r="W9" s="11">
        <v>225000</v>
      </c>
      <c r="X9" s="2">
        <f>ROUND(R9/120.2*120.7,0)</f>
        <v>0</v>
      </c>
      <c r="Y9" s="2">
        <f>ROUND(W9/115.2*115.7,0)</f>
        <v>225977</v>
      </c>
      <c r="Z9" s="4">
        <f>L9+S9</f>
        <v>2428827</v>
      </c>
      <c r="AA9" s="2">
        <f t="shared" si="3"/>
        <v>0</v>
      </c>
      <c r="AB9" s="2">
        <f>ROUND(Y9/115.7*116.1,0)</f>
        <v>226758</v>
      </c>
      <c r="AC9" s="2">
        <f t="shared" si="13"/>
        <v>0</v>
      </c>
      <c r="AD9" s="2">
        <f t="shared" si="10"/>
        <v>230860</v>
      </c>
      <c r="AE9" s="4">
        <f t="shared" si="11"/>
        <v>230860</v>
      </c>
      <c r="AF9" s="119"/>
      <c r="AG9" s="119"/>
      <c r="AH9" s="118"/>
      <c r="AI9" s="118"/>
      <c r="AJ9" s="118">
        <f t="shared" si="12"/>
        <v>0</v>
      </c>
      <c r="AK9" s="159"/>
    </row>
    <row r="10" spans="1:38" ht="12" customHeight="1" x14ac:dyDescent="0.2">
      <c r="D10" s="157" t="s">
        <v>115</v>
      </c>
      <c r="E10" s="169">
        <v>15000</v>
      </c>
      <c r="F10" s="13" t="s">
        <v>27</v>
      </c>
      <c r="G10" s="6" t="s">
        <v>26</v>
      </c>
      <c r="H10" s="159" t="s">
        <v>135</v>
      </c>
      <c r="I10" s="6" t="s">
        <v>24</v>
      </c>
      <c r="J10" s="166">
        <v>2548604.9382716049</v>
      </c>
      <c r="K10" s="166">
        <v>2548604.9382716049</v>
      </c>
      <c r="L10" s="2">
        <f>ROUND(J10,0)</f>
        <v>2548605</v>
      </c>
      <c r="M10" s="2">
        <f>ROUND(L10/113.8*117.8,0)</f>
        <v>2638187</v>
      </c>
      <c r="N10" s="2">
        <v>527592.59259259258</v>
      </c>
      <c r="O10" s="2">
        <v>0</v>
      </c>
      <c r="P10" s="2">
        <v>527592.59259259258</v>
      </c>
      <c r="Q10" s="11">
        <v>0</v>
      </c>
      <c r="R10" s="2">
        <f>ROUND(Q10/118.7*120.2,0)</f>
        <v>0</v>
      </c>
      <c r="S10" s="2">
        <f>ROUND(N10,0)</f>
        <v>527593</v>
      </c>
      <c r="T10" s="2">
        <f t="shared" si="0"/>
        <v>541878</v>
      </c>
      <c r="U10" s="3">
        <f t="shared" si="1"/>
        <v>3076197.5308641978</v>
      </c>
      <c r="V10" s="3">
        <f t="shared" si="2"/>
        <v>3076197.5308641978</v>
      </c>
      <c r="W10" s="11">
        <v>220950</v>
      </c>
      <c r="X10" s="2">
        <f>ROUND(R10/120.2*120.7,0)</f>
        <v>0</v>
      </c>
      <c r="Y10" s="2">
        <f>ROUND(W10/115.2*115.7,0)</f>
        <v>221909</v>
      </c>
      <c r="Z10" s="4">
        <f>L10+S10</f>
        <v>3076198</v>
      </c>
      <c r="AA10" s="2">
        <f t="shared" si="3"/>
        <v>0</v>
      </c>
      <c r="AB10" s="2">
        <f>ROUND(Y10/115.7*116.1,0)</f>
        <v>222676</v>
      </c>
      <c r="AC10" s="2">
        <f t="shared" si="13"/>
        <v>0</v>
      </c>
      <c r="AD10" s="2">
        <f t="shared" si="10"/>
        <v>226704</v>
      </c>
      <c r="AE10" s="4">
        <f t="shared" si="11"/>
        <v>226704</v>
      </c>
      <c r="AF10" s="118"/>
      <c r="AG10" s="118">
        <v>886277</v>
      </c>
      <c r="AH10" s="118"/>
      <c r="AI10" s="118"/>
      <c r="AJ10" s="118">
        <f t="shared" si="12"/>
        <v>886277</v>
      </c>
      <c r="AK10" s="159"/>
    </row>
    <row r="11" spans="1:38" ht="24" x14ac:dyDescent="0.2">
      <c r="A11" s="156"/>
      <c r="B11" s="156"/>
      <c r="C11" s="156"/>
      <c r="D11" s="157" t="s">
        <v>119</v>
      </c>
      <c r="E11" s="169">
        <v>20002</v>
      </c>
      <c r="F11" s="5" t="s">
        <v>112</v>
      </c>
      <c r="G11" s="6" t="s">
        <v>111</v>
      </c>
      <c r="H11" s="6" t="s">
        <v>136</v>
      </c>
      <c r="I11" s="6" t="s">
        <v>24</v>
      </c>
      <c r="J11" s="166">
        <v>558012.34567901236</v>
      </c>
      <c r="K11" s="166">
        <v>558012.34567901236</v>
      </c>
      <c r="L11" s="2">
        <f t="shared" ref="L11" si="14">ROUND(J11,0)</f>
        <v>558012</v>
      </c>
      <c r="M11" s="2">
        <f t="shared" ref="M11" si="15">ROUND(L11/113.8*117.8,0)</f>
        <v>577626</v>
      </c>
      <c r="N11" s="2">
        <v>0</v>
      </c>
      <c r="O11" s="2">
        <v>0</v>
      </c>
      <c r="P11" s="2">
        <v>0</v>
      </c>
      <c r="Q11" s="2">
        <f t="shared" ref="Q11" si="16">ROUND(M11/117.8*118.7,0)</f>
        <v>582039</v>
      </c>
      <c r="R11" s="2">
        <v>675000</v>
      </c>
      <c r="S11" s="2">
        <f t="shared" ref="S11" si="17">ROUND(N11,0)</f>
        <v>0</v>
      </c>
      <c r="T11" s="2">
        <f t="shared" si="0"/>
        <v>0</v>
      </c>
      <c r="U11" s="3">
        <f t="shared" si="1"/>
        <v>558012.34567901236</v>
      </c>
      <c r="V11" s="3">
        <f t="shared" si="2"/>
        <v>558012.34567901236</v>
      </c>
      <c r="W11" s="2"/>
      <c r="X11" s="170">
        <f t="shared" ref="X11" si="18">ROUND(R11/120.4*120.7,0)</f>
        <v>676682</v>
      </c>
      <c r="Y11" s="12"/>
      <c r="Z11" s="4">
        <f t="shared" ref="Z11" si="19">L11+S11</f>
        <v>558012</v>
      </c>
      <c r="AA11" s="11">
        <v>860000</v>
      </c>
      <c r="AB11" s="4"/>
      <c r="AC11" s="2">
        <f t="shared" si="13"/>
        <v>878268</v>
      </c>
      <c r="AD11" s="2">
        <f t="shared" si="10"/>
        <v>0</v>
      </c>
      <c r="AE11" s="4">
        <f t="shared" si="11"/>
        <v>878268</v>
      </c>
      <c r="AF11" s="119" t="s">
        <v>229</v>
      </c>
      <c r="AG11" s="119">
        <v>878268</v>
      </c>
      <c r="AH11" s="119" t="s">
        <v>0</v>
      </c>
      <c r="AI11" s="119">
        <v>0</v>
      </c>
      <c r="AJ11" s="119">
        <f t="shared" si="12"/>
        <v>878268</v>
      </c>
      <c r="AK11" s="159" t="s">
        <v>177</v>
      </c>
    </row>
    <row r="12" spans="1:38" s="171" customFormat="1" x14ac:dyDescent="0.2">
      <c r="A12" s="163"/>
      <c r="B12" s="163"/>
      <c r="C12" s="163"/>
      <c r="D12" s="157" t="s">
        <v>119</v>
      </c>
      <c r="E12" s="169">
        <v>20002</v>
      </c>
      <c r="F12" s="5" t="s">
        <v>46</v>
      </c>
      <c r="G12" s="6" t="s">
        <v>111</v>
      </c>
      <c r="H12" s="6" t="s">
        <v>136</v>
      </c>
      <c r="I12" s="6" t="s">
        <v>24</v>
      </c>
      <c r="J12" s="158">
        <v>18061.728395061727</v>
      </c>
      <c r="K12" s="158">
        <v>18061.728395061727</v>
      </c>
      <c r="L12" s="2">
        <f>ROUND(J12,0)</f>
        <v>18062</v>
      </c>
      <c r="M12" s="2">
        <f>ROUND(L12/113.8*117.8,0)</f>
        <v>18697</v>
      </c>
      <c r="N12" s="2">
        <v>0</v>
      </c>
      <c r="O12" s="2">
        <v>0</v>
      </c>
      <c r="P12" s="2">
        <v>0</v>
      </c>
      <c r="Q12" s="2">
        <f>ROUND(M12/117.8*118.7,0)</f>
        <v>18840</v>
      </c>
      <c r="R12" s="2">
        <f>ROUND(Q12*11.36%+Q12,0)</f>
        <v>20980</v>
      </c>
      <c r="S12" s="2">
        <f>ROUND(N12,0)</f>
        <v>0</v>
      </c>
      <c r="T12" s="2">
        <f>ROUND(P12/110.8*113.8,0)</f>
        <v>0</v>
      </c>
      <c r="U12" s="3">
        <f>J12+N12</f>
        <v>18061.728395061727</v>
      </c>
      <c r="V12" s="3">
        <f>K12+P12</f>
        <v>18061.728395061727</v>
      </c>
      <c r="W12" s="2"/>
      <c r="X12" s="2">
        <f>ROUND(R12/120.2*120.7,0)</f>
        <v>21067</v>
      </c>
      <c r="Y12" s="12"/>
      <c r="Z12" s="4">
        <f>L12+S12</f>
        <v>18062</v>
      </c>
      <c r="AA12" s="2">
        <f>ROUND(X12/120.7*122.4,0)</f>
        <v>21364</v>
      </c>
      <c r="AB12" s="2">
        <f>ROUND(Y12/115.7*116.1,0)</f>
        <v>0</v>
      </c>
      <c r="AC12" s="2">
        <f t="shared" si="13"/>
        <v>21818</v>
      </c>
      <c r="AD12" s="2">
        <f t="shared" si="10"/>
        <v>0</v>
      </c>
      <c r="AE12" s="4">
        <f t="shared" si="11"/>
        <v>21818</v>
      </c>
      <c r="AF12" s="119" t="s">
        <v>229</v>
      </c>
      <c r="AG12" s="119">
        <v>21818</v>
      </c>
      <c r="AH12" s="119" t="s">
        <v>0</v>
      </c>
      <c r="AI12" s="119">
        <v>0</v>
      </c>
      <c r="AJ12" s="119">
        <f t="shared" si="12"/>
        <v>21818</v>
      </c>
      <c r="AK12" s="159"/>
      <c r="AL12" s="156"/>
    </row>
    <row r="13" spans="1:38" x14ac:dyDescent="0.2">
      <c r="D13" s="172" t="s">
        <v>31</v>
      </c>
      <c r="E13" s="1">
        <v>30201</v>
      </c>
      <c r="F13" s="5" t="s">
        <v>198</v>
      </c>
      <c r="G13" s="159" t="s">
        <v>184</v>
      </c>
      <c r="H13" s="159" t="s">
        <v>186</v>
      </c>
      <c r="I13" s="159" t="s">
        <v>39</v>
      </c>
      <c r="AA13" s="19">
        <v>0</v>
      </c>
      <c r="AB13" s="176">
        <v>100000</v>
      </c>
      <c r="AC13" s="2">
        <f t="shared" si="13"/>
        <v>0</v>
      </c>
      <c r="AD13" s="2">
        <f t="shared" si="10"/>
        <v>101809</v>
      </c>
      <c r="AE13" s="4">
        <f t="shared" si="11"/>
        <v>101809</v>
      </c>
      <c r="AF13" s="119"/>
      <c r="AG13" s="119">
        <v>0</v>
      </c>
      <c r="AH13" s="119" t="s">
        <v>229</v>
      </c>
      <c r="AI13" s="119">
        <v>101809</v>
      </c>
      <c r="AJ13" s="119">
        <f t="shared" si="12"/>
        <v>101809</v>
      </c>
      <c r="AK13" s="159"/>
      <c r="AL13" s="177" t="s">
        <v>187</v>
      </c>
    </row>
    <row r="14" spans="1:38" x14ac:dyDescent="0.2">
      <c r="D14" s="172" t="s">
        <v>31</v>
      </c>
      <c r="E14" s="1">
        <v>30201</v>
      </c>
      <c r="F14" s="5" t="s">
        <v>198</v>
      </c>
      <c r="G14" s="159" t="s">
        <v>196</v>
      </c>
      <c r="H14" s="159" t="s">
        <v>197</v>
      </c>
      <c r="I14" s="159" t="s">
        <v>39</v>
      </c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9"/>
      <c r="V14" s="179"/>
      <c r="W14" s="179"/>
      <c r="X14" s="179"/>
      <c r="Y14" s="179"/>
      <c r="Z14" s="180"/>
      <c r="AA14" s="20">
        <v>0</v>
      </c>
      <c r="AB14" s="181">
        <v>200000</v>
      </c>
      <c r="AC14" s="2">
        <f t="shared" si="13"/>
        <v>0</v>
      </c>
      <c r="AD14" s="2">
        <f t="shared" si="10"/>
        <v>203618</v>
      </c>
      <c r="AE14" s="4">
        <f t="shared" si="11"/>
        <v>203618</v>
      </c>
      <c r="AF14" s="119"/>
      <c r="AG14" s="119">
        <v>0</v>
      </c>
      <c r="AH14" s="119" t="s">
        <v>229</v>
      </c>
      <c r="AI14" s="119">
        <v>203618</v>
      </c>
      <c r="AJ14" s="119">
        <f t="shared" si="12"/>
        <v>203618</v>
      </c>
      <c r="AK14" s="159"/>
    </row>
    <row r="15" spans="1:38" x14ac:dyDescent="0.2">
      <c r="D15" s="172" t="s">
        <v>31</v>
      </c>
      <c r="E15" s="1">
        <v>30201</v>
      </c>
      <c r="F15" s="5" t="s">
        <v>199</v>
      </c>
      <c r="G15" s="159" t="s">
        <v>185</v>
      </c>
      <c r="H15" s="159" t="s">
        <v>186</v>
      </c>
      <c r="I15" s="159" t="s">
        <v>39</v>
      </c>
      <c r="AA15" s="19">
        <v>0</v>
      </c>
      <c r="AB15" s="181">
        <v>15964</v>
      </c>
      <c r="AC15" s="2">
        <f t="shared" si="13"/>
        <v>0</v>
      </c>
      <c r="AD15" s="2">
        <f t="shared" si="10"/>
        <v>16253</v>
      </c>
      <c r="AE15" s="4">
        <f t="shared" si="11"/>
        <v>16253</v>
      </c>
      <c r="AF15" s="119"/>
      <c r="AG15" s="119">
        <v>0</v>
      </c>
      <c r="AH15" s="119" t="s">
        <v>229</v>
      </c>
      <c r="AI15" s="119">
        <v>16253</v>
      </c>
      <c r="AJ15" s="119">
        <f t="shared" si="12"/>
        <v>16253</v>
      </c>
      <c r="AK15" s="159"/>
    </row>
    <row r="16" spans="1:38" x14ac:dyDescent="0.2">
      <c r="A16" s="156"/>
      <c r="B16" s="156"/>
      <c r="C16" s="156"/>
      <c r="D16" s="157" t="s">
        <v>125</v>
      </c>
      <c r="E16" s="1">
        <v>30401</v>
      </c>
      <c r="F16" s="1" t="s">
        <v>74</v>
      </c>
      <c r="G16" s="159" t="s">
        <v>75</v>
      </c>
      <c r="H16" s="159" t="s">
        <v>139</v>
      </c>
      <c r="I16" s="159" t="s">
        <v>24</v>
      </c>
      <c r="J16" s="158">
        <v>18061.728395061727</v>
      </c>
      <c r="K16" s="158">
        <v>18061.728395061727</v>
      </c>
      <c r="L16" s="2">
        <f>ROUND(J16,0)</f>
        <v>18062</v>
      </c>
      <c r="M16" s="2">
        <f>ROUND(L16/113.8*117.8,0)</f>
        <v>18697</v>
      </c>
      <c r="N16" s="2">
        <v>17111.111111111113</v>
      </c>
      <c r="O16" s="2">
        <v>0</v>
      </c>
      <c r="P16" s="2">
        <v>17111.111111111113</v>
      </c>
      <c r="Q16" s="2">
        <f>ROUND(M16/117.8*118.7,0)</f>
        <v>18840</v>
      </c>
      <c r="R16" s="2">
        <f>ROUND(Q16*11.36%+Q16,0)</f>
        <v>20980</v>
      </c>
      <c r="S16" s="2">
        <f>ROUND(N16,0)</f>
        <v>17111</v>
      </c>
      <c r="T16" s="2">
        <f>ROUND(P16/110.8*113.8,0)</f>
        <v>17574</v>
      </c>
      <c r="U16" s="3">
        <f>J16+N16</f>
        <v>35172.839506172837</v>
      </c>
      <c r="V16" s="3">
        <f>K16+P16</f>
        <v>35172.839506172837</v>
      </c>
      <c r="W16" s="2">
        <f>ROUND(T16/113.8*113.8,0)</f>
        <v>17574</v>
      </c>
      <c r="X16" s="2">
        <f>ROUND(R16/120.2*120.7,0)</f>
        <v>21067</v>
      </c>
      <c r="Y16" s="2">
        <f>ROUND(W16-W16*25%,0)</f>
        <v>13181</v>
      </c>
      <c r="Z16" s="4">
        <f>L16+S16</f>
        <v>35173</v>
      </c>
      <c r="AA16" s="2">
        <f>ROUND(X16/120.7*122.4,0)</f>
        <v>21364</v>
      </c>
      <c r="AB16" s="2">
        <f>ROUND(Y16/115.7*116.1,0)</f>
        <v>13227</v>
      </c>
      <c r="AC16" s="2">
        <f t="shared" si="13"/>
        <v>21818</v>
      </c>
      <c r="AD16" s="2">
        <f t="shared" si="10"/>
        <v>13466</v>
      </c>
      <c r="AE16" s="4">
        <f t="shared" si="11"/>
        <v>35284</v>
      </c>
      <c r="AF16" s="118" t="s">
        <v>226</v>
      </c>
      <c r="AG16" s="118">
        <v>157000</v>
      </c>
      <c r="AH16" s="118" t="s">
        <v>226</v>
      </c>
      <c r="AI16" s="118">
        <v>63000</v>
      </c>
      <c r="AJ16" s="118">
        <f t="shared" si="12"/>
        <v>220000</v>
      </c>
      <c r="AK16" s="159"/>
    </row>
    <row r="17" spans="1:38" ht="12" customHeight="1" x14ac:dyDescent="0.2">
      <c r="A17" s="182"/>
      <c r="B17" s="182"/>
      <c r="C17" s="183"/>
      <c r="D17" s="157" t="s">
        <v>126</v>
      </c>
      <c r="E17" s="5">
        <v>60101</v>
      </c>
      <c r="F17" s="7" t="s">
        <v>81</v>
      </c>
      <c r="G17" s="6" t="s">
        <v>82</v>
      </c>
      <c r="H17" s="6" t="s">
        <v>140</v>
      </c>
      <c r="I17" s="6" t="s">
        <v>24</v>
      </c>
      <c r="J17" s="166">
        <v>869814.81481481472</v>
      </c>
      <c r="K17" s="166">
        <v>869814.81481481472</v>
      </c>
      <c r="L17" s="2">
        <f>ROUND(J17,0)</f>
        <v>869815</v>
      </c>
      <c r="M17" s="2">
        <f>ROUND(L17/113.8*117.8,0)</f>
        <v>900388</v>
      </c>
      <c r="N17" s="2">
        <v>102666.66666666666</v>
      </c>
      <c r="O17" s="2">
        <v>0</v>
      </c>
      <c r="P17" s="2">
        <v>102666.66666666666</v>
      </c>
      <c r="Q17" s="2">
        <f>ROUND(M17/117.8*118.7,0)</f>
        <v>907267</v>
      </c>
      <c r="R17" s="2">
        <f>ROUND(Q17*11.36%+Q17,0)</f>
        <v>1010333</v>
      </c>
      <c r="S17" s="2">
        <f>ROUND(N17,0)</f>
        <v>102667</v>
      </c>
      <c r="T17" s="2">
        <f>ROUND(P17/110.8*113.8,0)</f>
        <v>105446</v>
      </c>
      <c r="U17" s="3">
        <f>J17+N17</f>
        <v>972481.48148148134</v>
      </c>
      <c r="V17" s="3">
        <f>K17+P17</f>
        <v>972481.48148148134</v>
      </c>
      <c r="W17" s="2">
        <f>ROUND(T17/113.8*113.8,0)</f>
        <v>105446</v>
      </c>
      <c r="X17" s="2">
        <v>1150000</v>
      </c>
      <c r="Y17" s="2">
        <f>ROUND(W17-W17*25%,0)</f>
        <v>79085</v>
      </c>
      <c r="Z17" s="4">
        <f>L17+S17</f>
        <v>972482</v>
      </c>
      <c r="AA17" s="2">
        <f>ROUND(X17/120.7*122.4,0)</f>
        <v>1166197</v>
      </c>
      <c r="AB17" s="2">
        <f>ROUND(Y17/115.7*116.1,0)</f>
        <v>79358</v>
      </c>
      <c r="AC17" s="2">
        <f t="shared" si="13"/>
        <v>1190969</v>
      </c>
      <c r="AD17" s="2">
        <f t="shared" si="10"/>
        <v>80793</v>
      </c>
      <c r="AE17" s="4">
        <f t="shared" si="11"/>
        <v>1271762</v>
      </c>
      <c r="AF17" s="119" t="s">
        <v>229</v>
      </c>
      <c r="AG17" s="119">
        <v>1190969</v>
      </c>
      <c r="AH17" s="119" t="s">
        <v>229</v>
      </c>
      <c r="AI17" s="119">
        <v>80793</v>
      </c>
      <c r="AJ17" s="119">
        <f t="shared" si="12"/>
        <v>1271762</v>
      </c>
      <c r="AK17" s="6" t="s">
        <v>168</v>
      </c>
      <c r="AL17" s="184" t="s">
        <v>176</v>
      </c>
    </row>
    <row r="18" spans="1:38" ht="24" x14ac:dyDescent="0.2">
      <c r="D18" s="157" t="s">
        <v>120</v>
      </c>
      <c r="E18" s="169">
        <v>20010</v>
      </c>
      <c r="F18" s="5" t="s">
        <v>54</v>
      </c>
      <c r="G18" s="6" t="s">
        <v>55</v>
      </c>
      <c r="H18" s="6" t="s">
        <v>138</v>
      </c>
      <c r="I18" s="6" t="s">
        <v>24</v>
      </c>
      <c r="J18" s="158">
        <v>195827.16049382719</v>
      </c>
      <c r="K18" s="158">
        <v>195827.16049382719</v>
      </c>
      <c r="L18" s="2">
        <f t="shared" ref="L18:L37" si="20">ROUND(J18,0)</f>
        <v>195827</v>
      </c>
      <c r="M18" s="2">
        <f t="shared" ref="M18:M37" si="21">ROUND(L18/113.8*117.8,0)</f>
        <v>202710</v>
      </c>
      <c r="N18" s="2">
        <v>0</v>
      </c>
      <c r="O18" s="2">
        <v>0</v>
      </c>
      <c r="P18" s="2">
        <v>0</v>
      </c>
      <c r="Q18" s="2">
        <f t="shared" ref="Q18" si="22">ROUND(M18/117.8*118.7,0)</f>
        <v>204259</v>
      </c>
      <c r="R18" s="2">
        <v>250000</v>
      </c>
      <c r="S18" s="2">
        <f t="shared" ref="S18:S37" si="23">ROUND(N18,0)</f>
        <v>0</v>
      </c>
      <c r="T18" s="2">
        <f t="shared" ref="T18" si="24">ROUND(P18/110.8*113.8,0)</f>
        <v>0</v>
      </c>
      <c r="U18" s="3">
        <f t="shared" ref="U18" si="25">J18+N18</f>
        <v>195827.16049382719</v>
      </c>
      <c r="V18" s="3">
        <f t="shared" ref="V18" si="26">K18+P18</f>
        <v>195827.16049382719</v>
      </c>
      <c r="W18" s="2"/>
      <c r="X18" s="170">
        <f t="shared" ref="X18" si="27">ROUND(R18/120.4*120.7,0)</f>
        <v>250623</v>
      </c>
      <c r="Y18" s="2"/>
      <c r="Z18" s="4">
        <f t="shared" ref="Z18:Z37" si="28">L18+S18</f>
        <v>195827</v>
      </c>
      <c r="AA18" s="11">
        <v>310000</v>
      </c>
      <c r="AB18" s="4"/>
      <c r="AC18" s="2">
        <f t="shared" si="13"/>
        <v>316585</v>
      </c>
      <c r="AD18" s="2">
        <f t="shared" si="10"/>
        <v>0</v>
      </c>
      <c r="AE18" s="4">
        <f t="shared" si="11"/>
        <v>316585</v>
      </c>
      <c r="AF18" s="119" t="s">
        <v>229</v>
      </c>
      <c r="AG18" s="119">
        <v>316585</v>
      </c>
      <c r="AH18" s="119"/>
      <c r="AI18" s="119">
        <v>0</v>
      </c>
      <c r="AJ18" s="119">
        <f t="shared" si="12"/>
        <v>316585</v>
      </c>
      <c r="AK18" s="159" t="s">
        <v>179</v>
      </c>
    </row>
    <row r="19" spans="1:38" x14ac:dyDescent="0.2">
      <c r="D19" s="157" t="s">
        <v>120</v>
      </c>
      <c r="E19" s="169">
        <v>20010</v>
      </c>
      <c r="F19" s="5" t="s">
        <v>51</v>
      </c>
      <c r="G19" s="6" t="s">
        <v>55</v>
      </c>
      <c r="H19" s="6" t="s">
        <v>138</v>
      </c>
      <c r="I19" s="6" t="s">
        <v>24</v>
      </c>
      <c r="J19" s="158">
        <v>30419.753086419754</v>
      </c>
      <c r="K19" s="158">
        <v>30419.753086419754</v>
      </c>
      <c r="L19" s="2">
        <f t="shared" si="20"/>
        <v>30420</v>
      </c>
      <c r="M19" s="2">
        <f t="shared" si="21"/>
        <v>31489</v>
      </c>
      <c r="N19" s="2">
        <v>0</v>
      </c>
      <c r="O19" s="2">
        <v>0</v>
      </c>
      <c r="P19" s="2">
        <v>0</v>
      </c>
      <c r="Q19" s="2">
        <f>ROUND(M19/117.8*118.7,0)</f>
        <v>31730</v>
      </c>
      <c r="R19" s="2">
        <f>ROUND(Q19*11.36%+Q19,0)</f>
        <v>35335</v>
      </c>
      <c r="S19" s="2">
        <f t="shared" si="23"/>
        <v>0</v>
      </c>
      <c r="T19" s="2">
        <f>ROUND(P19/110.8*113.8,0)</f>
        <v>0</v>
      </c>
      <c r="U19" s="3">
        <f>J19+N19</f>
        <v>30419.753086419754</v>
      </c>
      <c r="V19" s="3">
        <f>K19+P19</f>
        <v>30419.753086419754</v>
      </c>
      <c r="W19" s="2"/>
      <c r="X19" s="2">
        <f t="shared" ref="X19:X23" si="29">ROUND(R19/120.2*120.7,0)</f>
        <v>35482</v>
      </c>
      <c r="Y19" s="2"/>
      <c r="Z19" s="4">
        <f t="shared" si="28"/>
        <v>30420</v>
      </c>
      <c r="AA19" s="2">
        <f>ROUND(X19/120.7*122.4,0)</f>
        <v>35982</v>
      </c>
      <c r="AB19" s="2">
        <f t="shared" ref="AB19:AB23" si="30">ROUND(Y19/115.7*116.1,0)</f>
        <v>0</v>
      </c>
      <c r="AC19" s="2">
        <f t="shared" si="13"/>
        <v>36746</v>
      </c>
      <c r="AD19" s="2">
        <f t="shared" si="10"/>
        <v>0</v>
      </c>
      <c r="AE19" s="4">
        <f t="shared" si="11"/>
        <v>36746</v>
      </c>
      <c r="AF19" s="119" t="s">
        <v>229</v>
      </c>
      <c r="AG19" s="119">
        <v>36746</v>
      </c>
      <c r="AH19" s="119"/>
      <c r="AI19" s="119">
        <v>0</v>
      </c>
      <c r="AJ19" s="119">
        <f t="shared" si="12"/>
        <v>36746</v>
      </c>
      <c r="AK19" s="159"/>
    </row>
    <row r="20" spans="1:38" x14ac:dyDescent="0.2">
      <c r="A20" s="156"/>
      <c r="B20" s="156"/>
      <c r="C20" s="156"/>
      <c r="D20" s="157" t="s">
        <v>125</v>
      </c>
      <c r="E20" s="1"/>
      <c r="F20" s="1" t="s">
        <v>76</v>
      </c>
      <c r="G20" s="161"/>
      <c r="H20" s="1"/>
      <c r="I20" s="1" t="s">
        <v>24</v>
      </c>
      <c r="J20" s="158">
        <v>203432.09876543214</v>
      </c>
      <c r="K20" s="158">
        <v>203432.09876543214</v>
      </c>
      <c r="L20" s="2">
        <f t="shared" si="20"/>
        <v>203432</v>
      </c>
      <c r="M20" s="2">
        <f t="shared" si="21"/>
        <v>210583</v>
      </c>
      <c r="N20" s="2">
        <v>0</v>
      </c>
      <c r="O20" s="2">
        <v>0</v>
      </c>
      <c r="P20" s="2">
        <v>0</v>
      </c>
      <c r="Q20" s="2">
        <f>ROUND(M20/117.8*118.7,0)</f>
        <v>212192</v>
      </c>
      <c r="R20" s="2">
        <f>ROUND(Q20*11.36%+Q20,0)</f>
        <v>236297</v>
      </c>
      <c r="S20" s="2">
        <f t="shared" si="23"/>
        <v>0</v>
      </c>
      <c r="T20" s="2">
        <f>ROUND(P20/110.8*113.8,0)</f>
        <v>0</v>
      </c>
      <c r="U20" s="3">
        <f>J20+N20</f>
        <v>203432.09876543214</v>
      </c>
      <c r="V20" s="3">
        <f>K20+P20</f>
        <v>203432.09876543214</v>
      </c>
      <c r="W20" s="2"/>
      <c r="X20" s="2">
        <f t="shared" si="29"/>
        <v>237280</v>
      </c>
      <c r="Y20" s="2"/>
      <c r="Z20" s="4">
        <f t="shared" si="28"/>
        <v>203432</v>
      </c>
      <c r="AA20" s="2">
        <f>ROUND(X20/120.7*122.4,0)</f>
        <v>240622</v>
      </c>
      <c r="AB20" s="2">
        <f t="shared" si="30"/>
        <v>0</v>
      </c>
      <c r="AC20" s="2">
        <f t="shared" si="13"/>
        <v>245733</v>
      </c>
      <c r="AD20" s="2">
        <f t="shared" si="10"/>
        <v>0</v>
      </c>
      <c r="AE20" s="4">
        <f t="shared" si="11"/>
        <v>245733</v>
      </c>
      <c r="AF20" s="118" t="s">
        <v>226</v>
      </c>
      <c r="AG20" s="118">
        <v>250000</v>
      </c>
      <c r="AH20" s="119"/>
      <c r="AI20" s="119">
        <v>0</v>
      </c>
      <c r="AJ20" s="118">
        <f t="shared" si="12"/>
        <v>250000</v>
      </c>
      <c r="AK20" s="159" t="s">
        <v>202</v>
      </c>
    </row>
    <row r="21" spans="1:38" s="171" customFormat="1" ht="24" x14ac:dyDescent="0.2">
      <c r="A21" s="171" t="s">
        <v>40</v>
      </c>
      <c r="D21" s="157" t="s">
        <v>117</v>
      </c>
      <c r="E21" s="5">
        <v>36001</v>
      </c>
      <c r="F21" s="5" t="s">
        <v>41</v>
      </c>
      <c r="G21" s="6" t="s">
        <v>42</v>
      </c>
      <c r="H21" s="6" t="s">
        <v>143</v>
      </c>
      <c r="I21" s="6" t="s">
        <v>43</v>
      </c>
      <c r="J21" s="166">
        <v>447740.74074074073</v>
      </c>
      <c r="K21" s="166">
        <v>447740.74074074073</v>
      </c>
      <c r="L21" s="2">
        <f t="shared" si="20"/>
        <v>447741</v>
      </c>
      <c r="M21" s="2">
        <f t="shared" si="21"/>
        <v>463479</v>
      </c>
      <c r="N21" s="2">
        <v>62740.740740740737</v>
      </c>
      <c r="O21" s="2">
        <v>0</v>
      </c>
      <c r="P21" s="2">
        <v>62740.740740740737</v>
      </c>
      <c r="Q21" s="2">
        <f>ROUND(M21/117.8*118.7,0)</f>
        <v>467020</v>
      </c>
      <c r="R21" s="2">
        <f>ROUND(Q21*11.36%+Q21,0)</f>
        <v>520073</v>
      </c>
      <c r="S21" s="2">
        <f t="shared" si="23"/>
        <v>62741</v>
      </c>
      <c r="T21" s="2">
        <v>0</v>
      </c>
      <c r="U21" s="3"/>
      <c r="V21" s="3"/>
      <c r="W21" s="2"/>
      <c r="X21" s="2">
        <f t="shared" si="29"/>
        <v>522236</v>
      </c>
      <c r="Y21" s="12"/>
      <c r="Z21" s="4">
        <f t="shared" si="28"/>
        <v>510482</v>
      </c>
      <c r="AA21" s="2">
        <v>350000</v>
      </c>
      <c r="AB21" s="2">
        <f t="shared" si="30"/>
        <v>0</v>
      </c>
      <c r="AC21" s="2">
        <f t="shared" si="13"/>
        <v>357435</v>
      </c>
      <c r="AD21" s="2">
        <f t="shared" si="10"/>
        <v>0</v>
      </c>
      <c r="AE21" s="4">
        <f t="shared" si="11"/>
        <v>357435</v>
      </c>
      <c r="AF21" s="119" t="s">
        <v>229</v>
      </c>
      <c r="AG21" s="119">
        <v>357435</v>
      </c>
      <c r="AH21" s="119"/>
      <c r="AI21" s="119">
        <v>0</v>
      </c>
      <c r="AJ21" s="119">
        <f t="shared" si="12"/>
        <v>357435</v>
      </c>
      <c r="AK21" s="6" t="s">
        <v>190</v>
      </c>
    </row>
    <row r="22" spans="1:38" ht="36" x14ac:dyDescent="0.2">
      <c r="A22" s="156"/>
      <c r="B22" s="156"/>
      <c r="C22" s="156"/>
      <c r="D22" s="157" t="s">
        <v>115</v>
      </c>
      <c r="E22" s="169">
        <v>16202</v>
      </c>
      <c r="F22" s="1" t="s">
        <v>108</v>
      </c>
      <c r="G22" s="159" t="s">
        <v>70</v>
      </c>
      <c r="H22" s="159" t="s">
        <v>146</v>
      </c>
      <c r="I22" s="159" t="s">
        <v>43</v>
      </c>
      <c r="J22" s="158">
        <v>1837543.2098765431</v>
      </c>
      <c r="K22" s="158">
        <v>1837543.2098765431</v>
      </c>
      <c r="L22" s="2">
        <f t="shared" si="20"/>
        <v>1837543</v>
      </c>
      <c r="M22" s="2">
        <f t="shared" si="21"/>
        <v>1902132</v>
      </c>
      <c r="N22" s="2">
        <v>269975.30864197534</v>
      </c>
      <c r="O22" s="2">
        <v>0</v>
      </c>
      <c r="P22" s="2">
        <v>269975.30864197534</v>
      </c>
      <c r="Q22" s="11">
        <v>2100000</v>
      </c>
      <c r="R22" s="2">
        <f>ROUND(Q22/119.5*120.2,0)</f>
        <v>2112301</v>
      </c>
      <c r="S22" s="2">
        <f t="shared" si="23"/>
        <v>269975</v>
      </c>
      <c r="T22" s="2">
        <f t="shared" ref="T22:T32" si="31">ROUND(P22/110.8*113.8,0)</f>
        <v>277285</v>
      </c>
      <c r="U22" s="3">
        <f t="shared" ref="U22:U32" si="32">J22+N22</f>
        <v>2107518.5185185187</v>
      </c>
      <c r="V22" s="3">
        <f t="shared" ref="V22:V32" si="33">K22+P22</f>
        <v>2107518.5185185187</v>
      </c>
      <c r="W22" s="11">
        <v>119000</v>
      </c>
      <c r="X22" s="2">
        <f t="shared" si="29"/>
        <v>2121088</v>
      </c>
      <c r="Y22" s="2">
        <f>ROUND(W22/115.2*115.7,0)</f>
        <v>119516</v>
      </c>
      <c r="Z22" s="4">
        <f t="shared" si="28"/>
        <v>2107518</v>
      </c>
      <c r="AA22" s="2">
        <f>ROUND(X22/120.7*122.4,0)</f>
        <v>2150962</v>
      </c>
      <c r="AB22" s="2">
        <f t="shared" si="30"/>
        <v>119929</v>
      </c>
      <c r="AC22" s="2">
        <f t="shared" si="13"/>
        <v>2196652</v>
      </c>
      <c r="AD22" s="2">
        <f t="shared" si="10"/>
        <v>122098</v>
      </c>
      <c r="AE22" s="4">
        <f t="shared" si="11"/>
        <v>2318750</v>
      </c>
      <c r="AF22" s="119" t="s">
        <v>229</v>
      </c>
      <c r="AG22" s="119">
        <v>2196652</v>
      </c>
      <c r="AH22" s="167" t="s">
        <v>232</v>
      </c>
      <c r="AI22" s="118">
        <v>200000</v>
      </c>
      <c r="AJ22" s="118">
        <f t="shared" si="12"/>
        <v>2396652</v>
      </c>
      <c r="AK22" s="159" t="s">
        <v>212</v>
      </c>
    </row>
    <row r="23" spans="1:38" x14ac:dyDescent="0.2">
      <c r="A23" s="156"/>
      <c r="B23" s="156"/>
      <c r="C23" s="156"/>
      <c r="D23" s="157" t="s">
        <v>115</v>
      </c>
      <c r="E23" s="169">
        <v>16202</v>
      </c>
      <c r="F23" s="1" t="s">
        <v>71</v>
      </c>
      <c r="G23" s="159" t="s">
        <v>70</v>
      </c>
      <c r="H23" s="159" t="s">
        <v>146</v>
      </c>
      <c r="I23" s="159" t="s">
        <v>43</v>
      </c>
      <c r="J23" s="158">
        <v>0</v>
      </c>
      <c r="K23" s="158">
        <v>0</v>
      </c>
      <c r="L23" s="2">
        <f t="shared" si="20"/>
        <v>0</v>
      </c>
      <c r="M23" s="2">
        <f t="shared" si="21"/>
        <v>0</v>
      </c>
      <c r="N23" s="2">
        <v>98864.19753086417</v>
      </c>
      <c r="O23" s="2">
        <v>0</v>
      </c>
      <c r="P23" s="2">
        <v>98864.19753086417</v>
      </c>
      <c r="Q23" s="2">
        <f t="shared" ref="Q23:Q31" si="34">ROUND(M23/117.8*118.7,0)</f>
        <v>0</v>
      </c>
      <c r="R23" s="12">
        <f>ROUND(Q23/118.7*120.2,0)</f>
        <v>0</v>
      </c>
      <c r="S23" s="2">
        <f t="shared" si="23"/>
        <v>98864</v>
      </c>
      <c r="T23" s="2">
        <f t="shared" si="31"/>
        <v>101541</v>
      </c>
      <c r="U23" s="3">
        <f t="shared" si="32"/>
        <v>98864.19753086417</v>
      </c>
      <c r="V23" s="3">
        <f t="shared" si="33"/>
        <v>98864.19753086417</v>
      </c>
      <c r="W23" s="11">
        <v>75000</v>
      </c>
      <c r="X23" s="2">
        <f t="shared" si="29"/>
        <v>0</v>
      </c>
      <c r="Y23" s="2">
        <f>ROUND(W23/115.2*115.7,0)</f>
        <v>75326</v>
      </c>
      <c r="Z23" s="4">
        <f t="shared" si="28"/>
        <v>98864</v>
      </c>
      <c r="AA23" s="2">
        <f>ROUND(X23/120.7*122.4,0)</f>
        <v>0</v>
      </c>
      <c r="AB23" s="2">
        <f t="shared" si="30"/>
        <v>75586</v>
      </c>
      <c r="AC23" s="2">
        <f t="shared" si="13"/>
        <v>0</v>
      </c>
      <c r="AD23" s="2">
        <f t="shared" si="10"/>
        <v>76953</v>
      </c>
      <c r="AE23" s="4">
        <f t="shared" si="11"/>
        <v>76953</v>
      </c>
      <c r="AF23" s="119"/>
      <c r="AG23" s="119"/>
      <c r="AH23" s="118" t="s">
        <v>233</v>
      </c>
      <c r="AI23" s="119"/>
      <c r="AJ23" s="118">
        <f t="shared" si="12"/>
        <v>0</v>
      </c>
      <c r="AK23" s="159"/>
    </row>
    <row r="24" spans="1:38" ht="24" x14ac:dyDescent="0.2">
      <c r="A24" s="156"/>
      <c r="B24" s="156"/>
      <c r="C24" s="156"/>
      <c r="D24" s="185"/>
      <c r="E24" s="186"/>
      <c r="F24" s="186" t="s">
        <v>221</v>
      </c>
      <c r="G24" s="186" t="s">
        <v>222</v>
      </c>
      <c r="H24" s="186" t="s">
        <v>223</v>
      </c>
      <c r="I24" s="186" t="s">
        <v>43</v>
      </c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8"/>
      <c r="V24" s="188"/>
      <c r="W24" s="188"/>
      <c r="X24" s="188"/>
      <c r="Y24" s="188"/>
      <c r="Z24" s="189"/>
      <c r="AA24" s="189"/>
      <c r="AB24" s="189"/>
      <c r="AC24" s="189">
        <v>60000</v>
      </c>
      <c r="AD24" s="189"/>
      <c r="AE24" s="118">
        <f>AC24+AD24</f>
        <v>60000</v>
      </c>
      <c r="AF24" s="167" t="s">
        <v>241</v>
      </c>
      <c r="AG24" s="118">
        <v>60000</v>
      </c>
      <c r="AH24" s="118"/>
      <c r="AI24" s="118">
        <v>0</v>
      </c>
      <c r="AJ24" s="118">
        <f t="shared" si="12"/>
        <v>60000</v>
      </c>
      <c r="AK24" s="159" t="s">
        <v>224</v>
      </c>
    </row>
    <row r="25" spans="1:38" ht="24" x14ac:dyDescent="0.2">
      <c r="D25" s="157" t="s">
        <v>119</v>
      </c>
      <c r="E25" s="169">
        <v>20004</v>
      </c>
      <c r="F25" s="5" t="s">
        <v>114</v>
      </c>
      <c r="G25" s="6" t="s">
        <v>53</v>
      </c>
      <c r="H25" s="6" t="s">
        <v>144</v>
      </c>
      <c r="I25" s="6" t="s">
        <v>43</v>
      </c>
      <c r="J25" s="166">
        <v>498123.45679012348</v>
      </c>
      <c r="K25" s="166">
        <v>498123.45679012348</v>
      </c>
      <c r="L25" s="2">
        <f t="shared" si="20"/>
        <v>498123</v>
      </c>
      <c r="M25" s="2">
        <f t="shared" si="21"/>
        <v>515632</v>
      </c>
      <c r="N25" s="2">
        <v>0</v>
      </c>
      <c r="O25" s="2">
        <v>0</v>
      </c>
      <c r="P25" s="2">
        <v>0</v>
      </c>
      <c r="Q25" s="2">
        <f t="shared" si="34"/>
        <v>519571</v>
      </c>
      <c r="R25" s="2">
        <v>415000</v>
      </c>
      <c r="S25" s="2">
        <f t="shared" si="23"/>
        <v>0</v>
      </c>
      <c r="T25" s="2">
        <f t="shared" si="31"/>
        <v>0</v>
      </c>
      <c r="U25" s="3">
        <f t="shared" si="32"/>
        <v>498123.45679012348</v>
      </c>
      <c r="V25" s="3">
        <f t="shared" si="33"/>
        <v>498123.45679012348</v>
      </c>
      <c r="W25" s="2"/>
      <c r="X25" s="170">
        <f>ROUND(R25/120.4*120.7,0)</f>
        <v>416034</v>
      </c>
      <c r="Y25" s="2"/>
      <c r="Z25" s="4">
        <f t="shared" si="28"/>
        <v>498123</v>
      </c>
      <c r="AA25" s="11">
        <v>770000</v>
      </c>
      <c r="AB25" s="4"/>
      <c r="AC25" s="2">
        <f t="shared" si="13"/>
        <v>786356</v>
      </c>
      <c r="AD25" s="2">
        <f t="shared" si="10"/>
        <v>0</v>
      </c>
      <c r="AE25" s="4">
        <f t="shared" si="11"/>
        <v>786356</v>
      </c>
      <c r="AF25" s="119" t="s">
        <v>229</v>
      </c>
      <c r="AG25" s="119">
        <v>786356</v>
      </c>
      <c r="AH25" s="119"/>
      <c r="AI25" s="119">
        <v>0</v>
      </c>
      <c r="AJ25" s="119">
        <f t="shared" si="12"/>
        <v>786356</v>
      </c>
      <c r="AK25" s="159" t="s">
        <v>180</v>
      </c>
    </row>
    <row r="26" spans="1:38" x14ac:dyDescent="0.2">
      <c r="D26" s="157" t="s">
        <v>119</v>
      </c>
      <c r="E26" s="169">
        <v>20004</v>
      </c>
      <c r="F26" s="5" t="s">
        <v>51</v>
      </c>
      <c r="G26" s="6" t="s">
        <v>53</v>
      </c>
      <c r="H26" s="6" t="s">
        <v>144</v>
      </c>
      <c r="I26" s="6" t="s">
        <v>43</v>
      </c>
      <c r="J26" s="158">
        <v>18061.728395061727</v>
      </c>
      <c r="K26" s="158">
        <v>18061.728395061727</v>
      </c>
      <c r="L26" s="2">
        <f t="shared" si="20"/>
        <v>18062</v>
      </c>
      <c r="M26" s="2">
        <f t="shared" si="21"/>
        <v>18697</v>
      </c>
      <c r="N26" s="2">
        <v>0</v>
      </c>
      <c r="O26" s="2">
        <v>0</v>
      </c>
      <c r="P26" s="2">
        <v>0</v>
      </c>
      <c r="Q26" s="2">
        <f t="shared" si="34"/>
        <v>18840</v>
      </c>
      <c r="R26" s="2">
        <f>ROUND(Q26*11.36%+Q26,0)</f>
        <v>20980</v>
      </c>
      <c r="S26" s="2">
        <f t="shared" si="23"/>
        <v>0</v>
      </c>
      <c r="T26" s="2">
        <f t="shared" si="31"/>
        <v>0</v>
      </c>
      <c r="U26" s="3">
        <f t="shared" si="32"/>
        <v>18061.728395061727</v>
      </c>
      <c r="V26" s="3">
        <f t="shared" si="33"/>
        <v>18061.728395061727</v>
      </c>
      <c r="W26" s="2"/>
      <c r="X26" s="2">
        <f>ROUND(R26/120.2*120.7,0)</f>
        <v>21067</v>
      </c>
      <c r="Y26" s="2"/>
      <c r="Z26" s="4">
        <f t="shared" si="28"/>
        <v>18062</v>
      </c>
      <c r="AA26" s="2">
        <f>ROUND(X26/120.7*122.4,0)</f>
        <v>21364</v>
      </c>
      <c r="AB26" s="2">
        <f>ROUND(Y26/115.7*116.1,0)</f>
        <v>0</v>
      </c>
      <c r="AC26" s="2">
        <f t="shared" si="13"/>
        <v>21818</v>
      </c>
      <c r="AD26" s="2">
        <f t="shared" si="10"/>
        <v>0</v>
      </c>
      <c r="AE26" s="4">
        <f t="shared" si="11"/>
        <v>21818</v>
      </c>
      <c r="AF26" s="119" t="s">
        <v>229</v>
      </c>
      <c r="AG26" s="119">
        <v>21818</v>
      </c>
      <c r="AH26" s="119"/>
      <c r="AI26" s="119">
        <v>0</v>
      </c>
      <c r="AJ26" s="119">
        <f t="shared" si="12"/>
        <v>21818</v>
      </c>
      <c r="AK26" s="159"/>
    </row>
    <row r="27" spans="1:38" ht="24" x14ac:dyDescent="0.2">
      <c r="D27" s="157" t="s">
        <v>120</v>
      </c>
      <c r="E27" s="169">
        <v>20011</v>
      </c>
      <c r="F27" s="5" t="s">
        <v>56</v>
      </c>
      <c r="G27" s="6" t="s">
        <v>57</v>
      </c>
      <c r="H27" s="6" t="s">
        <v>145</v>
      </c>
      <c r="I27" s="6" t="s">
        <v>43</v>
      </c>
      <c r="J27" s="158">
        <v>262370.37037037039</v>
      </c>
      <c r="K27" s="158">
        <v>262370.37037037039</v>
      </c>
      <c r="L27" s="2">
        <f t="shared" si="20"/>
        <v>262370</v>
      </c>
      <c r="M27" s="2">
        <f t="shared" si="21"/>
        <v>271592</v>
      </c>
      <c r="N27" s="2">
        <v>0</v>
      </c>
      <c r="O27" s="2">
        <v>0</v>
      </c>
      <c r="P27" s="2">
        <v>0</v>
      </c>
      <c r="Q27" s="2">
        <f t="shared" si="34"/>
        <v>273667</v>
      </c>
      <c r="R27" s="2">
        <v>230000</v>
      </c>
      <c r="S27" s="2">
        <f t="shared" si="23"/>
        <v>0</v>
      </c>
      <c r="T27" s="2">
        <f t="shared" si="31"/>
        <v>0</v>
      </c>
      <c r="U27" s="3">
        <f t="shared" si="32"/>
        <v>262370.37037037039</v>
      </c>
      <c r="V27" s="3">
        <f t="shared" si="33"/>
        <v>262370.37037037039</v>
      </c>
      <c r="W27" s="2"/>
      <c r="X27" s="170">
        <f>ROUND(R27/120.4*120.7,0)</f>
        <v>230573</v>
      </c>
      <c r="Y27" s="2"/>
      <c r="Z27" s="4">
        <f t="shared" si="28"/>
        <v>262370</v>
      </c>
      <c r="AA27" s="11">
        <v>315000</v>
      </c>
      <c r="AB27" s="4"/>
      <c r="AC27" s="2">
        <f t="shared" si="13"/>
        <v>321691</v>
      </c>
      <c r="AD27" s="2">
        <f t="shared" si="10"/>
        <v>0</v>
      </c>
      <c r="AE27" s="4">
        <f t="shared" si="11"/>
        <v>321691</v>
      </c>
      <c r="AF27" s="119" t="s">
        <v>229</v>
      </c>
      <c r="AG27" s="119">
        <v>321691</v>
      </c>
      <c r="AH27" s="119"/>
      <c r="AI27" s="119">
        <v>0</v>
      </c>
      <c r="AJ27" s="119">
        <f t="shared" si="12"/>
        <v>321691</v>
      </c>
      <c r="AK27" s="159" t="s">
        <v>181</v>
      </c>
    </row>
    <row r="28" spans="1:38" x14ac:dyDescent="0.2">
      <c r="D28" s="157" t="s">
        <v>120</v>
      </c>
      <c r="E28" s="169">
        <v>20011</v>
      </c>
      <c r="F28" s="5" t="s">
        <v>51</v>
      </c>
      <c r="G28" s="6" t="s">
        <v>57</v>
      </c>
      <c r="H28" s="6" t="s">
        <v>145</v>
      </c>
      <c r="I28" s="6" t="s">
        <v>43</v>
      </c>
      <c r="J28" s="158">
        <v>30419.753086419754</v>
      </c>
      <c r="K28" s="158">
        <v>30419.753086419754</v>
      </c>
      <c r="L28" s="2">
        <f t="shared" si="20"/>
        <v>30420</v>
      </c>
      <c r="M28" s="2">
        <f t="shared" si="21"/>
        <v>31489</v>
      </c>
      <c r="N28" s="2">
        <v>0</v>
      </c>
      <c r="O28" s="2">
        <v>0</v>
      </c>
      <c r="P28" s="2">
        <v>0</v>
      </c>
      <c r="Q28" s="2">
        <f t="shared" si="34"/>
        <v>31730</v>
      </c>
      <c r="R28" s="2">
        <f>ROUND(Q28*11.36%+Q28,0)</f>
        <v>35335</v>
      </c>
      <c r="S28" s="2">
        <f t="shared" si="23"/>
        <v>0</v>
      </c>
      <c r="T28" s="2">
        <f t="shared" si="31"/>
        <v>0</v>
      </c>
      <c r="U28" s="3">
        <f t="shared" si="32"/>
        <v>30419.753086419754</v>
      </c>
      <c r="V28" s="3">
        <f t="shared" si="33"/>
        <v>30419.753086419754</v>
      </c>
      <c r="W28" s="2"/>
      <c r="X28" s="2">
        <f t="shared" ref="X28:X35" si="35">ROUND(R28/120.2*120.7,0)</f>
        <v>35482</v>
      </c>
      <c r="Y28" s="2"/>
      <c r="Z28" s="4">
        <f t="shared" si="28"/>
        <v>30420</v>
      </c>
      <c r="AA28" s="2">
        <f>ROUND(X28/120.7*122.4,0)</f>
        <v>35982</v>
      </c>
      <c r="AB28" s="2">
        <f t="shared" ref="AB28:AB35" si="36">ROUND(Y28/115.7*116.1,0)</f>
        <v>0</v>
      </c>
      <c r="AC28" s="2">
        <f t="shared" si="13"/>
        <v>36746</v>
      </c>
      <c r="AD28" s="2">
        <f t="shared" si="10"/>
        <v>0</v>
      </c>
      <c r="AE28" s="4">
        <f t="shared" si="11"/>
        <v>36746</v>
      </c>
      <c r="AF28" s="119" t="s">
        <v>229</v>
      </c>
      <c r="AG28" s="119">
        <v>36746</v>
      </c>
      <c r="AH28" s="119"/>
      <c r="AI28" s="119">
        <v>0</v>
      </c>
      <c r="AJ28" s="119">
        <f t="shared" si="12"/>
        <v>36746</v>
      </c>
      <c r="AK28" s="159"/>
    </row>
    <row r="29" spans="1:38" x14ac:dyDescent="0.2">
      <c r="A29" s="156"/>
      <c r="B29" s="156"/>
      <c r="C29" s="156"/>
      <c r="D29" s="157" t="s">
        <v>125</v>
      </c>
      <c r="E29" s="1"/>
      <c r="F29" s="1" t="s">
        <v>100</v>
      </c>
      <c r="G29" s="1"/>
      <c r="H29" s="1"/>
      <c r="I29" s="1" t="s">
        <v>43</v>
      </c>
      <c r="J29" s="158">
        <v>35172.839506172837</v>
      </c>
      <c r="K29" s="158">
        <v>35172.839506172837</v>
      </c>
      <c r="L29" s="2">
        <f t="shared" si="20"/>
        <v>35173</v>
      </c>
      <c r="M29" s="2">
        <f t="shared" si="21"/>
        <v>36409</v>
      </c>
      <c r="N29" s="2">
        <v>0</v>
      </c>
      <c r="O29" s="2">
        <v>0</v>
      </c>
      <c r="P29" s="2">
        <v>0</v>
      </c>
      <c r="Q29" s="2">
        <f t="shared" si="34"/>
        <v>36687</v>
      </c>
      <c r="R29" s="2">
        <f>ROUND(Q29*11.36%+Q29,0)</f>
        <v>40855</v>
      </c>
      <c r="S29" s="2">
        <f t="shared" si="23"/>
        <v>0</v>
      </c>
      <c r="T29" s="2">
        <f t="shared" si="31"/>
        <v>0</v>
      </c>
      <c r="U29" s="3">
        <f t="shared" si="32"/>
        <v>35172.839506172837</v>
      </c>
      <c r="V29" s="3">
        <f t="shared" si="33"/>
        <v>35172.839506172837</v>
      </c>
      <c r="W29" s="2"/>
      <c r="X29" s="2">
        <f t="shared" si="35"/>
        <v>41025</v>
      </c>
      <c r="Y29" s="2"/>
      <c r="Z29" s="4">
        <f t="shared" si="28"/>
        <v>35173</v>
      </c>
      <c r="AA29" s="2">
        <f>ROUND(X29/120.7*122.4,0)</f>
        <v>41603</v>
      </c>
      <c r="AB29" s="2">
        <f t="shared" si="36"/>
        <v>0</v>
      </c>
      <c r="AC29" s="2">
        <f t="shared" si="13"/>
        <v>42487</v>
      </c>
      <c r="AD29" s="2">
        <f t="shared" si="10"/>
        <v>0</v>
      </c>
      <c r="AE29" s="4">
        <f t="shared" si="11"/>
        <v>42487</v>
      </c>
      <c r="AF29" s="118" t="s">
        <v>226</v>
      </c>
      <c r="AG29" s="118">
        <v>45000</v>
      </c>
      <c r="AH29" s="119"/>
      <c r="AI29" s="119">
        <v>0</v>
      </c>
      <c r="AJ29" s="118">
        <f t="shared" si="12"/>
        <v>45000</v>
      </c>
      <c r="AK29" s="159"/>
    </row>
    <row r="30" spans="1:38" x14ac:dyDescent="0.2">
      <c r="A30" s="156"/>
      <c r="B30" s="156"/>
      <c r="C30" s="156"/>
      <c r="D30" s="157" t="s">
        <v>124</v>
      </c>
      <c r="E30" s="169">
        <v>10501</v>
      </c>
      <c r="F30" s="1" t="s">
        <v>72</v>
      </c>
      <c r="G30" s="159" t="s">
        <v>73</v>
      </c>
      <c r="H30" s="159" t="s">
        <v>153</v>
      </c>
      <c r="I30" s="159" t="s">
        <v>39</v>
      </c>
      <c r="J30" s="158">
        <v>412567.90123456792</v>
      </c>
      <c r="K30" s="158">
        <v>412567.90123456792</v>
      </c>
      <c r="L30" s="2">
        <f t="shared" si="20"/>
        <v>412568</v>
      </c>
      <c r="M30" s="2">
        <f t="shared" si="21"/>
        <v>427070</v>
      </c>
      <c r="N30" s="2">
        <v>0</v>
      </c>
      <c r="O30" s="2">
        <v>0</v>
      </c>
      <c r="P30" s="2">
        <v>0</v>
      </c>
      <c r="Q30" s="2">
        <f t="shared" si="34"/>
        <v>430333</v>
      </c>
      <c r="R30" s="2">
        <f>ROUND(Q30*11.36%+Q30,0)</f>
        <v>479219</v>
      </c>
      <c r="S30" s="2">
        <f t="shared" si="23"/>
        <v>0</v>
      </c>
      <c r="T30" s="2">
        <f t="shared" si="31"/>
        <v>0</v>
      </c>
      <c r="U30" s="3">
        <f t="shared" si="32"/>
        <v>412567.90123456792</v>
      </c>
      <c r="V30" s="3">
        <f t="shared" si="33"/>
        <v>412567.90123456792</v>
      </c>
      <c r="W30" s="2"/>
      <c r="X30" s="2">
        <f t="shared" si="35"/>
        <v>481212</v>
      </c>
      <c r="Y30" s="2"/>
      <c r="Z30" s="4">
        <f t="shared" si="28"/>
        <v>412568</v>
      </c>
      <c r="AA30" s="2">
        <f>ROUND(X30/120.7*122.4,0)</f>
        <v>487990</v>
      </c>
      <c r="AB30" s="2">
        <f t="shared" si="36"/>
        <v>0</v>
      </c>
      <c r="AC30" s="2">
        <f t="shared" si="13"/>
        <v>498356</v>
      </c>
      <c r="AD30" s="2">
        <f t="shared" si="10"/>
        <v>0</v>
      </c>
      <c r="AE30" s="4">
        <f t="shared" si="11"/>
        <v>498356</v>
      </c>
      <c r="AF30" s="118" t="s">
        <v>226</v>
      </c>
      <c r="AG30" s="118">
        <v>450000</v>
      </c>
      <c r="AH30" s="119"/>
      <c r="AI30" s="119"/>
      <c r="AJ30" s="118">
        <f t="shared" si="12"/>
        <v>450000</v>
      </c>
      <c r="AK30" s="159"/>
    </row>
    <row r="31" spans="1:38" x14ac:dyDescent="0.2">
      <c r="A31" s="156"/>
      <c r="B31" s="156"/>
      <c r="C31" s="156"/>
      <c r="D31" s="157" t="s">
        <v>115</v>
      </c>
      <c r="E31" s="169">
        <v>12002</v>
      </c>
      <c r="F31" s="1" t="s">
        <v>65</v>
      </c>
      <c r="G31" s="159" t="s">
        <v>66</v>
      </c>
      <c r="H31" s="159" t="s">
        <v>152</v>
      </c>
      <c r="I31" s="159" t="s">
        <v>39</v>
      </c>
      <c r="J31" s="158">
        <v>0</v>
      </c>
      <c r="K31" s="158">
        <v>0</v>
      </c>
      <c r="L31" s="2">
        <f t="shared" si="20"/>
        <v>0</v>
      </c>
      <c r="M31" s="2">
        <f t="shared" si="21"/>
        <v>0</v>
      </c>
      <c r="N31" s="2">
        <v>145444.44444444444</v>
      </c>
      <c r="O31" s="2">
        <v>0</v>
      </c>
      <c r="P31" s="2">
        <v>145444.44444444444</v>
      </c>
      <c r="Q31" s="2">
        <f t="shared" si="34"/>
        <v>0</v>
      </c>
      <c r="R31" s="2">
        <f>ROUND(Q31/119.5*120.2,0)</f>
        <v>0</v>
      </c>
      <c r="S31" s="2">
        <f t="shared" si="23"/>
        <v>145444</v>
      </c>
      <c r="T31" s="2">
        <f t="shared" si="31"/>
        <v>149382</v>
      </c>
      <c r="U31" s="3">
        <f t="shared" si="32"/>
        <v>145444.44444444444</v>
      </c>
      <c r="V31" s="3">
        <f t="shared" si="33"/>
        <v>145444.44444444444</v>
      </c>
      <c r="W31" s="11">
        <v>225000</v>
      </c>
      <c r="X31" s="2">
        <f t="shared" si="35"/>
        <v>0</v>
      </c>
      <c r="Y31" s="2">
        <f>ROUND(W31/115.2*115.7,0)</f>
        <v>225977</v>
      </c>
      <c r="Z31" s="4">
        <f t="shared" si="28"/>
        <v>145444</v>
      </c>
      <c r="AA31" s="2">
        <f>ROUND(X31/120.7*122.4,0)</f>
        <v>0</v>
      </c>
      <c r="AB31" s="2">
        <f t="shared" si="36"/>
        <v>226758</v>
      </c>
      <c r="AC31" s="2">
        <f t="shared" si="13"/>
        <v>0</v>
      </c>
      <c r="AD31" s="2">
        <f t="shared" si="10"/>
        <v>230860</v>
      </c>
      <c r="AE31" s="4">
        <f t="shared" si="11"/>
        <v>230860</v>
      </c>
      <c r="AF31" s="119" t="s">
        <v>229</v>
      </c>
      <c r="AG31" s="119"/>
      <c r="AH31" s="118" t="s">
        <v>233</v>
      </c>
      <c r="AI31" s="118"/>
      <c r="AJ31" s="118">
        <f t="shared" si="12"/>
        <v>0</v>
      </c>
      <c r="AK31" s="159"/>
    </row>
    <row r="32" spans="1:38" ht="36" x14ac:dyDescent="0.2">
      <c r="A32" s="156"/>
      <c r="B32" s="156"/>
      <c r="C32" s="156"/>
      <c r="D32" s="157" t="s">
        <v>115</v>
      </c>
      <c r="E32" s="169">
        <v>12002</v>
      </c>
      <c r="F32" s="1" t="s">
        <v>107</v>
      </c>
      <c r="G32" s="159" t="s">
        <v>64</v>
      </c>
      <c r="H32" s="159" t="s">
        <v>152</v>
      </c>
      <c r="I32" s="159" t="s">
        <v>39</v>
      </c>
      <c r="J32" s="158">
        <v>3521086.4197530863</v>
      </c>
      <c r="K32" s="158">
        <v>3521086.4197530863</v>
      </c>
      <c r="L32" s="2">
        <f t="shared" si="20"/>
        <v>3521086</v>
      </c>
      <c r="M32" s="2">
        <f t="shared" si="21"/>
        <v>3644850</v>
      </c>
      <c r="N32" s="2">
        <v>336518.51851851854</v>
      </c>
      <c r="O32" s="2">
        <v>0</v>
      </c>
      <c r="P32" s="2">
        <v>336518.51851851854</v>
      </c>
      <c r="Q32" s="11">
        <v>3500000</v>
      </c>
      <c r="R32" s="2">
        <f>ROUND(Q32/119.5*120.2,0)</f>
        <v>3520502</v>
      </c>
      <c r="S32" s="2">
        <f t="shared" si="23"/>
        <v>336519</v>
      </c>
      <c r="T32" s="2">
        <f t="shared" si="31"/>
        <v>345630</v>
      </c>
      <c r="U32" s="3">
        <f t="shared" si="32"/>
        <v>3857604.9382716049</v>
      </c>
      <c r="V32" s="3">
        <f t="shared" si="33"/>
        <v>3857604.9382716049</v>
      </c>
      <c r="W32" s="11">
        <v>185000</v>
      </c>
      <c r="X32" s="2">
        <f t="shared" si="35"/>
        <v>3535146</v>
      </c>
      <c r="Y32" s="2">
        <f>ROUND(W32/115.2*115.7,0)</f>
        <v>185803</v>
      </c>
      <c r="Z32" s="4">
        <f t="shared" si="28"/>
        <v>3857605</v>
      </c>
      <c r="AA32" s="2">
        <f>ROUND(X32/120.7*122.4,0)</f>
        <v>3584937</v>
      </c>
      <c r="AB32" s="2">
        <f t="shared" si="36"/>
        <v>186445</v>
      </c>
      <c r="AC32" s="2">
        <f t="shared" si="13"/>
        <v>3661088</v>
      </c>
      <c r="AD32" s="2">
        <f t="shared" si="10"/>
        <v>189817</v>
      </c>
      <c r="AE32" s="4">
        <f t="shared" si="11"/>
        <v>3850905</v>
      </c>
      <c r="AF32" s="119" t="s">
        <v>229</v>
      </c>
      <c r="AG32" s="119">
        <v>3661088</v>
      </c>
      <c r="AH32" s="167" t="s">
        <v>234</v>
      </c>
      <c r="AI32" s="118">
        <v>415000</v>
      </c>
      <c r="AJ32" s="118">
        <f t="shared" si="12"/>
        <v>4076088</v>
      </c>
      <c r="AK32" s="159" t="s">
        <v>214</v>
      </c>
    </row>
    <row r="33" spans="1:38" s="171" customFormat="1" ht="24" x14ac:dyDescent="0.2">
      <c r="A33" s="171" t="s">
        <v>36</v>
      </c>
      <c r="D33" s="157" t="s">
        <v>117</v>
      </c>
      <c r="E33" s="5">
        <v>32401</v>
      </c>
      <c r="F33" s="5" t="s">
        <v>37</v>
      </c>
      <c r="G33" s="6" t="s">
        <v>38</v>
      </c>
      <c r="H33" s="6" t="s">
        <v>148</v>
      </c>
      <c r="I33" s="6" t="s">
        <v>39</v>
      </c>
      <c r="J33" s="166">
        <v>296592.59259259253</v>
      </c>
      <c r="K33" s="166">
        <v>296592.59259259253</v>
      </c>
      <c r="L33" s="2">
        <f t="shared" si="20"/>
        <v>296593</v>
      </c>
      <c r="M33" s="2">
        <f t="shared" si="21"/>
        <v>307018</v>
      </c>
      <c r="N33" s="2">
        <v>26617.283950617282</v>
      </c>
      <c r="O33" s="2">
        <v>0</v>
      </c>
      <c r="P33" s="2">
        <v>26617.283950617282</v>
      </c>
      <c r="Q33" s="2">
        <f t="shared" ref="Q33:Q37" si="37">ROUND(M33/117.8*118.7,0)</f>
        <v>309364</v>
      </c>
      <c r="R33" s="2">
        <f>ROUND(Q33*11.36%+Q33,0)</f>
        <v>344508</v>
      </c>
      <c r="S33" s="2">
        <f t="shared" si="23"/>
        <v>26617</v>
      </c>
      <c r="T33" s="2">
        <v>0</v>
      </c>
      <c r="U33" s="3"/>
      <c r="V33" s="3"/>
      <c r="W33" s="2"/>
      <c r="X33" s="2">
        <f t="shared" si="35"/>
        <v>345941</v>
      </c>
      <c r="Y33" s="12"/>
      <c r="Z33" s="4">
        <f t="shared" si="28"/>
        <v>323210</v>
      </c>
      <c r="AA33" s="11">
        <v>325000</v>
      </c>
      <c r="AB33" s="2">
        <f t="shared" si="36"/>
        <v>0</v>
      </c>
      <c r="AC33" s="2">
        <f t="shared" si="13"/>
        <v>331904</v>
      </c>
      <c r="AD33" s="2">
        <f t="shared" si="10"/>
        <v>0</v>
      </c>
      <c r="AE33" s="4">
        <f t="shared" si="11"/>
        <v>331904</v>
      </c>
      <c r="AF33" s="119" t="s">
        <v>229</v>
      </c>
      <c r="AG33" s="119">
        <v>331904</v>
      </c>
      <c r="AH33" s="119"/>
      <c r="AI33" s="119">
        <v>0</v>
      </c>
      <c r="AJ33" s="119">
        <f t="shared" si="12"/>
        <v>331904</v>
      </c>
      <c r="AK33" s="6" t="s">
        <v>189</v>
      </c>
    </row>
    <row r="34" spans="1:38" x14ac:dyDescent="0.2">
      <c r="D34" s="157" t="s">
        <v>121</v>
      </c>
      <c r="E34" s="169">
        <v>32301</v>
      </c>
      <c r="F34" s="5" t="s">
        <v>62</v>
      </c>
      <c r="G34" s="6" t="s">
        <v>63</v>
      </c>
      <c r="H34" s="6" t="s">
        <v>151</v>
      </c>
      <c r="I34" s="6" t="s">
        <v>39</v>
      </c>
      <c r="J34" s="158">
        <v>30419.753086419754</v>
      </c>
      <c r="K34" s="158">
        <v>30419.753086419754</v>
      </c>
      <c r="L34" s="2">
        <f t="shared" si="20"/>
        <v>30420</v>
      </c>
      <c r="M34" s="2">
        <f t="shared" si="21"/>
        <v>31489</v>
      </c>
      <c r="N34" s="2">
        <v>0</v>
      </c>
      <c r="O34" s="2">
        <v>0</v>
      </c>
      <c r="P34" s="2">
        <v>0</v>
      </c>
      <c r="Q34" s="2">
        <f t="shared" si="37"/>
        <v>31730</v>
      </c>
      <c r="R34" s="2">
        <f>ROUND(Q34*11.36%+Q34,0)</f>
        <v>35335</v>
      </c>
      <c r="S34" s="2">
        <f t="shared" si="23"/>
        <v>0</v>
      </c>
      <c r="T34" s="2">
        <f>ROUND(P34/110.8*113.8,0)</f>
        <v>0</v>
      </c>
      <c r="U34" s="3">
        <f>J34+N34</f>
        <v>30419.753086419754</v>
      </c>
      <c r="V34" s="3">
        <f>K34+P34</f>
        <v>30419.753086419754</v>
      </c>
      <c r="W34" s="2"/>
      <c r="X34" s="2">
        <f t="shared" si="35"/>
        <v>35482</v>
      </c>
      <c r="Y34" s="12"/>
      <c r="Z34" s="4">
        <f t="shared" si="28"/>
        <v>30420</v>
      </c>
      <c r="AA34" s="2">
        <f>ROUND(X34/120.7*122.4,0)</f>
        <v>35982</v>
      </c>
      <c r="AB34" s="2">
        <f t="shared" si="36"/>
        <v>0</v>
      </c>
      <c r="AC34" s="2">
        <f t="shared" si="13"/>
        <v>36746</v>
      </c>
      <c r="AD34" s="2">
        <f t="shared" si="10"/>
        <v>0</v>
      </c>
      <c r="AE34" s="4">
        <f t="shared" si="11"/>
        <v>36746</v>
      </c>
      <c r="AF34" s="118" t="s">
        <v>235</v>
      </c>
      <c r="AG34" s="118">
        <v>35000</v>
      </c>
      <c r="AH34" s="119"/>
      <c r="AI34" s="119">
        <v>0</v>
      </c>
      <c r="AJ34" s="118">
        <f t="shared" si="12"/>
        <v>35000</v>
      </c>
      <c r="AK34" s="159"/>
    </row>
    <row r="35" spans="1:38" ht="24" x14ac:dyDescent="0.2">
      <c r="D35" s="157" t="s">
        <v>121</v>
      </c>
      <c r="E35" s="169">
        <v>42600</v>
      </c>
      <c r="F35" s="5" t="s">
        <v>60</v>
      </c>
      <c r="G35" s="6" t="s">
        <v>61</v>
      </c>
      <c r="H35" s="6" t="s">
        <v>150</v>
      </c>
      <c r="I35" s="6" t="s">
        <v>39</v>
      </c>
      <c r="J35" s="158">
        <v>1159753.0864197533</v>
      </c>
      <c r="K35" s="158">
        <v>1159753.0864197533</v>
      </c>
      <c r="L35" s="2">
        <f t="shared" si="20"/>
        <v>1159753</v>
      </c>
      <c r="M35" s="2">
        <f t="shared" si="21"/>
        <v>1200518</v>
      </c>
      <c r="N35" s="2">
        <v>0</v>
      </c>
      <c r="O35" s="2">
        <v>0</v>
      </c>
      <c r="P35" s="2">
        <v>0</v>
      </c>
      <c r="Q35" s="2">
        <f t="shared" si="37"/>
        <v>1209690</v>
      </c>
      <c r="R35" s="2">
        <f>ROUND(Q35*11.36%+Q35,0)</f>
        <v>1347111</v>
      </c>
      <c r="S35" s="2">
        <f t="shared" si="23"/>
        <v>0</v>
      </c>
      <c r="T35" s="2">
        <f>ROUND(P35/110.8*113.8,0)</f>
        <v>0</v>
      </c>
      <c r="U35" s="3">
        <f>J35+N35</f>
        <v>1159753.0864197533</v>
      </c>
      <c r="V35" s="3">
        <f>K35+P35</f>
        <v>1159753.0864197533</v>
      </c>
      <c r="W35" s="2"/>
      <c r="X35" s="2">
        <f t="shared" si="35"/>
        <v>1352715</v>
      </c>
      <c r="Y35" s="12"/>
      <c r="Z35" s="4">
        <f t="shared" si="28"/>
        <v>1159753</v>
      </c>
      <c r="AA35" s="11">
        <v>2090000</v>
      </c>
      <c r="AB35" s="2">
        <f t="shared" si="36"/>
        <v>0</v>
      </c>
      <c r="AC35" s="2">
        <f t="shared" si="13"/>
        <v>2134395</v>
      </c>
      <c r="AD35" s="2">
        <f t="shared" si="10"/>
        <v>0</v>
      </c>
      <c r="AE35" s="4">
        <f t="shared" si="11"/>
        <v>2134395</v>
      </c>
      <c r="AF35" s="119" t="s">
        <v>229</v>
      </c>
      <c r="AG35" s="119">
        <v>2134395</v>
      </c>
      <c r="AH35" s="119"/>
      <c r="AI35" s="119">
        <v>0</v>
      </c>
      <c r="AJ35" s="119">
        <f t="shared" si="12"/>
        <v>2134395</v>
      </c>
      <c r="AK35" s="6" t="s">
        <v>191</v>
      </c>
    </row>
    <row r="36" spans="1:38" x14ac:dyDescent="0.2">
      <c r="D36" s="157" t="s">
        <v>119</v>
      </c>
      <c r="E36" s="169">
        <v>20003</v>
      </c>
      <c r="F36" s="190" t="s">
        <v>236</v>
      </c>
      <c r="G36" s="6" t="s">
        <v>52</v>
      </c>
      <c r="H36" s="6" t="s">
        <v>149</v>
      </c>
      <c r="I36" s="6" t="s">
        <v>39</v>
      </c>
      <c r="J36" s="158">
        <v>18061.728395061727</v>
      </c>
      <c r="K36" s="158">
        <v>18061.728395061727</v>
      </c>
      <c r="L36" s="2">
        <f t="shared" si="20"/>
        <v>18062</v>
      </c>
      <c r="M36" s="2">
        <f t="shared" si="21"/>
        <v>18697</v>
      </c>
      <c r="N36" s="2">
        <v>0</v>
      </c>
      <c r="O36" s="2">
        <v>0</v>
      </c>
      <c r="P36" s="2">
        <v>0</v>
      </c>
      <c r="Q36" s="2">
        <f t="shared" si="37"/>
        <v>18840</v>
      </c>
      <c r="R36" s="2">
        <f>ROUND(Q36*11.36%+Q36,0)</f>
        <v>20980</v>
      </c>
      <c r="S36" s="2">
        <f t="shared" si="23"/>
        <v>0</v>
      </c>
      <c r="T36" s="2">
        <f>ROUND(P36/110.8*113.8,0)</f>
        <v>0</v>
      </c>
      <c r="U36" s="3">
        <f>J36+N36</f>
        <v>18061.728395061727</v>
      </c>
      <c r="V36" s="3">
        <f>K36+P36</f>
        <v>18061.728395061727</v>
      </c>
      <c r="W36" s="2"/>
      <c r="X36" s="2">
        <f>ROUND(R36/120.2*120.7,0)</f>
        <v>21067</v>
      </c>
      <c r="Y36" s="2"/>
      <c r="Z36" s="4">
        <f t="shared" si="28"/>
        <v>18062</v>
      </c>
      <c r="AA36" s="2">
        <f>ROUND(X36/120.7*122.4,0)</f>
        <v>21364</v>
      </c>
      <c r="AB36" s="2">
        <f>ROUND(Y36/115.7*116.1,0)</f>
        <v>0</v>
      </c>
      <c r="AC36" s="2">
        <f t="shared" si="13"/>
        <v>21818</v>
      </c>
      <c r="AD36" s="2">
        <f t="shared" si="10"/>
        <v>0</v>
      </c>
      <c r="AE36" s="4">
        <f t="shared" si="11"/>
        <v>21818</v>
      </c>
      <c r="AF36" s="119" t="s">
        <v>229</v>
      </c>
      <c r="AG36" s="119">
        <v>21818</v>
      </c>
      <c r="AH36" s="119"/>
      <c r="AI36" s="119">
        <v>0</v>
      </c>
      <c r="AJ36" s="119">
        <f t="shared" si="12"/>
        <v>21818</v>
      </c>
      <c r="AK36" s="159"/>
    </row>
    <row r="37" spans="1:38" x14ac:dyDescent="0.2">
      <c r="A37" s="156"/>
      <c r="B37" s="156"/>
      <c r="C37" s="156"/>
      <c r="D37" s="157" t="s">
        <v>125</v>
      </c>
      <c r="E37" s="1"/>
      <c r="F37" s="1" t="s">
        <v>77</v>
      </c>
      <c r="G37" s="1"/>
      <c r="H37" s="1"/>
      <c r="I37" s="1" t="s">
        <v>39</v>
      </c>
      <c r="J37" s="158">
        <v>71296.296296296307</v>
      </c>
      <c r="K37" s="158">
        <v>71296.296296296307</v>
      </c>
      <c r="L37" s="2">
        <f t="shared" si="20"/>
        <v>71296</v>
      </c>
      <c r="M37" s="2">
        <f t="shared" si="21"/>
        <v>73802</v>
      </c>
      <c r="N37" s="2">
        <v>0</v>
      </c>
      <c r="O37" s="2">
        <v>0</v>
      </c>
      <c r="P37" s="2">
        <v>0</v>
      </c>
      <c r="Q37" s="2">
        <f t="shared" si="37"/>
        <v>74366</v>
      </c>
      <c r="R37" s="2">
        <f>ROUND(Q37*11.36%+Q37,0)</f>
        <v>82814</v>
      </c>
      <c r="S37" s="2">
        <f t="shared" si="23"/>
        <v>0</v>
      </c>
      <c r="T37" s="2">
        <f>ROUND(P37/110.8*113.8,0)</f>
        <v>0</v>
      </c>
      <c r="U37" s="3">
        <f>J37+N37</f>
        <v>71296.296296296307</v>
      </c>
      <c r="V37" s="3">
        <f>K37+P37</f>
        <v>71296.296296296307</v>
      </c>
      <c r="W37" s="2"/>
      <c r="X37" s="2">
        <f>ROUND(R37/120.2*120.7,0)</f>
        <v>83158</v>
      </c>
      <c r="Y37" s="2"/>
      <c r="Z37" s="4">
        <f t="shared" si="28"/>
        <v>71296</v>
      </c>
      <c r="AA37" s="2">
        <f>ROUND(X37/120.7*122.4,0)</f>
        <v>84329</v>
      </c>
      <c r="AB37" s="2">
        <f>ROUND(Y37/115.7*116.1,0)</f>
        <v>0</v>
      </c>
      <c r="AC37" s="2">
        <f t="shared" si="13"/>
        <v>86120</v>
      </c>
      <c r="AD37" s="2">
        <f t="shared" si="10"/>
        <v>0</v>
      </c>
      <c r="AE37" s="4">
        <f t="shared" si="11"/>
        <v>86120</v>
      </c>
      <c r="AF37" s="118" t="s">
        <v>226</v>
      </c>
      <c r="AG37" s="118">
        <v>85000</v>
      </c>
      <c r="AH37" s="119"/>
      <c r="AI37" s="119"/>
      <c r="AJ37" s="118">
        <f t="shared" si="12"/>
        <v>85000</v>
      </c>
      <c r="AK37" s="159"/>
    </row>
    <row r="38" spans="1:38" ht="36" x14ac:dyDescent="0.2">
      <c r="A38" s="156"/>
      <c r="B38" s="191"/>
      <c r="C38" s="156"/>
      <c r="D38" s="185" t="s">
        <v>243</v>
      </c>
      <c r="E38" s="186"/>
      <c r="F38" s="186" t="s">
        <v>194</v>
      </c>
      <c r="G38" s="186" t="s">
        <v>192</v>
      </c>
      <c r="H38" s="186" t="s">
        <v>193</v>
      </c>
      <c r="I38" s="186" t="s">
        <v>39</v>
      </c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8"/>
      <c r="V38" s="188"/>
      <c r="W38" s="188"/>
      <c r="X38" s="188"/>
      <c r="Y38" s="188"/>
      <c r="Z38" s="189"/>
      <c r="AA38" s="189">
        <v>350000</v>
      </c>
      <c r="AB38" s="189"/>
      <c r="AC38" s="189"/>
      <c r="AD38" s="189"/>
      <c r="AE38" s="189"/>
      <c r="AF38" s="192" t="s">
        <v>244</v>
      </c>
      <c r="AG38" s="189">
        <v>350000</v>
      </c>
      <c r="AH38" s="189"/>
      <c r="AI38" s="189">
        <v>0</v>
      </c>
      <c r="AJ38" s="189">
        <f>AG38+AI38</f>
        <v>350000</v>
      </c>
      <c r="AK38" s="159" t="s">
        <v>203</v>
      </c>
      <c r="AL38" s="156" t="s">
        <v>195</v>
      </c>
    </row>
    <row r="39" spans="1:38" x14ac:dyDescent="0.2">
      <c r="D39" s="157" t="s">
        <v>121</v>
      </c>
      <c r="E39" s="169">
        <v>34105</v>
      </c>
      <c r="F39" s="5" t="s">
        <v>122</v>
      </c>
      <c r="G39" s="6" t="s">
        <v>123</v>
      </c>
      <c r="H39" s="6"/>
      <c r="I39" s="6" t="s">
        <v>35</v>
      </c>
      <c r="J39" s="158"/>
      <c r="K39" s="158"/>
      <c r="L39" s="2"/>
      <c r="M39" s="2"/>
      <c r="N39" s="2"/>
      <c r="O39" s="2"/>
      <c r="P39" s="2"/>
      <c r="Q39" s="2"/>
      <c r="R39" s="2">
        <v>60000</v>
      </c>
      <c r="S39" s="2"/>
      <c r="T39" s="2"/>
      <c r="U39" s="3"/>
      <c r="V39" s="3"/>
      <c r="W39" s="2"/>
      <c r="X39" s="2">
        <f>ROUND(R39/120.2*120.7,0)</f>
        <v>60250</v>
      </c>
      <c r="Y39" s="12"/>
      <c r="Z39" s="4"/>
      <c r="AA39" s="2">
        <f>ROUND(X39/120.7*122.4,0)</f>
        <v>61099</v>
      </c>
      <c r="AB39" s="2">
        <f>ROUND(Y39/115.7*116.1,0)</f>
        <v>0</v>
      </c>
      <c r="AC39" s="2">
        <f t="shared" si="13"/>
        <v>62397</v>
      </c>
      <c r="AD39" s="2">
        <f t="shared" si="10"/>
        <v>0</v>
      </c>
      <c r="AE39" s="4">
        <f t="shared" si="11"/>
        <v>62397</v>
      </c>
      <c r="AF39" s="118" t="s">
        <v>238</v>
      </c>
      <c r="AG39" s="118">
        <v>56000</v>
      </c>
      <c r="AH39" s="119"/>
      <c r="AI39" s="119"/>
      <c r="AJ39" s="118">
        <f t="shared" si="12"/>
        <v>56000</v>
      </c>
      <c r="AK39" s="159"/>
    </row>
    <row r="40" spans="1:38" s="171" customFormat="1" ht="24" x14ac:dyDescent="0.2">
      <c r="A40" s="171" t="s">
        <v>32</v>
      </c>
      <c r="D40" s="157" t="s">
        <v>117</v>
      </c>
      <c r="E40" s="5">
        <v>34006</v>
      </c>
      <c r="F40" s="5" t="s">
        <v>33</v>
      </c>
      <c r="G40" s="6" t="s">
        <v>34</v>
      </c>
      <c r="H40" s="6" t="s">
        <v>156</v>
      </c>
      <c r="I40" s="6" t="s">
        <v>35</v>
      </c>
      <c r="J40" s="166">
        <v>360283.95061728393</v>
      </c>
      <c r="K40" s="166">
        <v>360283.95061728393</v>
      </c>
      <c r="L40" s="2">
        <f t="shared" ref="L40:L48" si="38">ROUND(J40,0)</f>
        <v>360284</v>
      </c>
      <c r="M40" s="2">
        <f t="shared" ref="M40:M48" si="39">ROUND(L40/113.8*117.8,0)</f>
        <v>372948</v>
      </c>
      <c r="N40" s="2">
        <v>26617.283950617282</v>
      </c>
      <c r="O40" s="2">
        <v>0</v>
      </c>
      <c r="P40" s="2">
        <v>26617.283950617282</v>
      </c>
      <c r="Q40" s="2">
        <f>ROUND(M40/117.8*118.7,0)</f>
        <v>375797</v>
      </c>
      <c r="R40" s="2">
        <f>ROUND(Q40*11.36%+Q40,0)</f>
        <v>418488</v>
      </c>
      <c r="S40" s="2">
        <f t="shared" ref="S40:S47" si="40">ROUND(N40,0)</f>
        <v>26617</v>
      </c>
      <c r="T40" s="2">
        <v>0</v>
      </c>
      <c r="U40" s="3"/>
      <c r="V40" s="3"/>
      <c r="W40" s="2"/>
      <c r="X40" s="2">
        <f>ROUND(R40/120.2*120.7,0)</f>
        <v>420229</v>
      </c>
      <c r="Y40" s="12"/>
      <c r="Z40" s="4">
        <f t="shared" ref="Z40:Z48" si="41">L40+S40</f>
        <v>386901</v>
      </c>
      <c r="AA40" s="11">
        <v>375000</v>
      </c>
      <c r="AB40" s="2">
        <f>ROUND(Y40/115.7*116.1,0)</f>
        <v>0</v>
      </c>
      <c r="AC40" s="2">
        <f t="shared" si="13"/>
        <v>382966</v>
      </c>
      <c r="AD40" s="2">
        <f t="shared" si="10"/>
        <v>0</v>
      </c>
      <c r="AE40" s="4">
        <f t="shared" si="11"/>
        <v>382966</v>
      </c>
      <c r="AF40" s="119" t="s">
        <v>229</v>
      </c>
      <c r="AG40" s="119">
        <v>382966</v>
      </c>
      <c r="AH40" s="119"/>
      <c r="AI40" s="119">
        <v>0</v>
      </c>
      <c r="AJ40" s="119">
        <f t="shared" si="12"/>
        <v>382966</v>
      </c>
      <c r="AK40" s="6" t="s">
        <v>188</v>
      </c>
    </row>
    <row r="41" spans="1:38" ht="24" x14ac:dyDescent="0.2">
      <c r="D41" s="157" t="s">
        <v>119</v>
      </c>
      <c r="E41" s="169">
        <v>20001</v>
      </c>
      <c r="F41" s="5" t="s">
        <v>113</v>
      </c>
      <c r="G41" s="6" t="s">
        <v>50</v>
      </c>
      <c r="H41" s="6" t="s">
        <v>157</v>
      </c>
      <c r="I41" s="6" t="s">
        <v>35</v>
      </c>
      <c r="J41" s="158">
        <v>423975.30864197528</v>
      </c>
      <c r="K41" s="158">
        <v>423975.30864197528</v>
      </c>
      <c r="L41" s="2">
        <f t="shared" si="38"/>
        <v>423975</v>
      </c>
      <c r="M41" s="2">
        <f t="shared" si="39"/>
        <v>438877</v>
      </c>
      <c r="N41" s="2">
        <v>0</v>
      </c>
      <c r="O41" s="2">
        <v>0</v>
      </c>
      <c r="P41" s="2">
        <v>0</v>
      </c>
      <c r="Q41" s="2">
        <f>ROUND(M41/117.8*118.7,0)</f>
        <v>442230</v>
      </c>
      <c r="R41" s="2">
        <v>425000</v>
      </c>
      <c r="S41" s="2">
        <f t="shared" si="40"/>
        <v>0</v>
      </c>
      <c r="T41" s="2">
        <f t="shared" ref="T41:T47" si="42">ROUND(P41/110.8*113.8,0)</f>
        <v>0</v>
      </c>
      <c r="U41" s="3">
        <f t="shared" ref="U41:U48" si="43">J41+N41</f>
        <v>423975.30864197528</v>
      </c>
      <c r="V41" s="3">
        <f t="shared" ref="V41:V48" si="44">K41+P41</f>
        <v>423975.30864197528</v>
      </c>
      <c r="W41" s="2"/>
      <c r="X41" s="170">
        <f>ROUND(R41/120.4*120.7,0)</f>
        <v>426059</v>
      </c>
      <c r="Y41" s="2"/>
      <c r="Z41" s="4">
        <f t="shared" si="41"/>
        <v>423975</v>
      </c>
      <c r="AA41" s="11">
        <v>655000</v>
      </c>
      <c r="AB41" s="4"/>
      <c r="AC41" s="2">
        <f t="shared" si="13"/>
        <v>668913</v>
      </c>
      <c r="AD41" s="2">
        <f t="shared" si="10"/>
        <v>0</v>
      </c>
      <c r="AE41" s="4">
        <f t="shared" si="11"/>
        <v>668913</v>
      </c>
      <c r="AF41" s="119" t="s">
        <v>229</v>
      </c>
      <c r="AG41" s="119">
        <v>668913</v>
      </c>
      <c r="AH41" s="119"/>
      <c r="AI41" s="119">
        <v>0</v>
      </c>
      <c r="AJ41" s="119">
        <f t="shared" si="12"/>
        <v>668913</v>
      </c>
      <c r="AK41" s="159" t="s">
        <v>201</v>
      </c>
    </row>
    <row r="42" spans="1:38" x14ac:dyDescent="0.2">
      <c r="D42" s="157" t="s">
        <v>119</v>
      </c>
      <c r="E42" s="169">
        <v>20001</v>
      </c>
      <c r="F42" s="5" t="s">
        <v>51</v>
      </c>
      <c r="G42" s="6" t="s">
        <v>50</v>
      </c>
      <c r="H42" s="6" t="s">
        <v>157</v>
      </c>
      <c r="I42" s="6" t="s">
        <v>35</v>
      </c>
      <c r="J42" s="158">
        <v>18061.728395061727</v>
      </c>
      <c r="K42" s="158">
        <v>18061.728395061727</v>
      </c>
      <c r="L42" s="2">
        <f t="shared" si="38"/>
        <v>18062</v>
      </c>
      <c r="M42" s="2">
        <f t="shared" si="39"/>
        <v>18697</v>
      </c>
      <c r="N42" s="2">
        <v>0</v>
      </c>
      <c r="O42" s="2">
        <v>0</v>
      </c>
      <c r="P42" s="2">
        <v>0</v>
      </c>
      <c r="Q42" s="2">
        <f>ROUND(M42/117.8*118.7,0)</f>
        <v>18840</v>
      </c>
      <c r="R42" s="2">
        <f>ROUND(Q42*11.36%+Q42,0)</f>
        <v>20980</v>
      </c>
      <c r="S42" s="2">
        <f t="shared" si="40"/>
        <v>0</v>
      </c>
      <c r="T42" s="2">
        <f t="shared" si="42"/>
        <v>0</v>
      </c>
      <c r="U42" s="3">
        <f t="shared" si="43"/>
        <v>18061.728395061727</v>
      </c>
      <c r="V42" s="3">
        <f t="shared" si="44"/>
        <v>18061.728395061727</v>
      </c>
      <c r="W42" s="2"/>
      <c r="X42" s="2">
        <f>ROUND(R42/120.2*120.7,0)</f>
        <v>21067</v>
      </c>
      <c r="Y42" s="2"/>
      <c r="Z42" s="4">
        <f t="shared" si="41"/>
        <v>18062</v>
      </c>
      <c r="AA42" s="2">
        <f>ROUND(X42/120.7*122.4,0)</f>
        <v>21364</v>
      </c>
      <c r="AB42" s="2">
        <f>ROUND(Y42/115.7*116.1,0)</f>
        <v>0</v>
      </c>
      <c r="AC42" s="2">
        <f t="shared" si="13"/>
        <v>21818</v>
      </c>
      <c r="AD42" s="2">
        <f t="shared" si="10"/>
        <v>0</v>
      </c>
      <c r="AE42" s="4">
        <f t="shared" si="11"/>
        <v>21818</v>
      </c>
      <c r="AF42" s="119" t="s">
        <v>229</v>
      </c>
      <c r="AG42" s="119">
        <v>21818</v>
      </c>
      <c r="AH42" s="119"/>
      <c r="AI42" s="119">
        <v>0</v>
      </c>
      <c r="AJ42" s="119">
        <f t="shared" si="12"/>
        <v>21818</v>
      </c>
      <c r="AK42" s="159"/>
    </row>
    <row r="43" spans="1:38" ht="24" x14ac:dyDescent="0.2">
      <c r="D43" s="157" t="s">
        <v>120</v>
      </c>
      <c r="E43" s="169">
        <v>20012</v>
      </c>
      <c r="F43" s="5" t="s">
        <v>58</v>
      </c>
      <c r="G43" s="6" t="s">
        <v>59</v>
      </c>
      <c r="H43" s="6" t="s">
        <v>158</v>
      </c>
      <c r="I43" s="6" t="s">
        <v>35</v>
      </c>
      <c r="J43" s="158">
        <v>215790.12345679011</v>
      </c>
      <c r="K43" s="158">
        <v>215790.12345679011</v>
      </c>
      <c r="L43" s="2">
        <f t="shared" si="38"/>
        <v>215790</v>
      </c>
      <c r="M43" s="2">
        <f t="shared" si="39"/>
        <v>223375</v>
      </c>
      <c r="N43" s="2">
        <v>12358.024691358021</v>
      </c>
      <c r="O43" s="2">
        <v>0</v>
      </c>
      <c r="P43" s="2">
        <v>12358.024691358021</v>
      </c>
      <c r="Q43" s="2">
        <f>ROUND(M43/117.8*118.7,0)</f>
        <v>225082</v>
      </c>
      <c r="R43" s="2">
        <v>385000</v>
      </c>
      <c r="S43" s="2">
        <f t="shared" si="40"/>
        <v>12358</v>
      </c>
      <c r="T43" s="2">
        <f t="shared" si="42"/>
        <v>12693</v>
      </c>
      <c r="U43" s="3">
        <f t="shared" si="43"/>
        <v>228148.14814814815</v>
      </c>
      <c r="V43" s="3">
        <f t="shared" si="44"/>
        <v>228148.14814814815</v>
      </c>
      <c r="W43" s="2">
        <f>ROUND(T43/113.8*113.8,0)</f>
        <v>12693</v>
      </c>
      <c r="X43" s="170">
        <f>ROUND(R43/120.4*120.7,0)</f>
        <v>385959</v>
      </c>
      <c r="Y43" s="2">
        <v>9520</v>
      </c>
      <c r="Z43" s="4">
        <f t="shared" si="41"/>
        <v>228148</v>
      </c>
      <c r="AA43" s="11">
        <v>410000</v>
      </c>
      <c r="AB43" s="14">
        <v>0</v>
      </c>
      <c r="AC43" s="2">
        <f t="shared" si="13"/>
        <v>418709</v>
      </c>
      <c r="AD43" s="2">
        <f t="shared" si="10"/>
        <v>0</v>
      </c>
      <c r="AE43" s="4">
        <f t="shared" si="11"/>
        <v>418709</v>
      </c>
      <c r="AF43" s="119" t="s">
        <v>229</v>
      </c>
      <c r="AG43" s="119">
        <v>418709</v>
      </c>
      <c r="AH43" s="119"/>
      <c r="AI43" s="119">
        <v>0</v>
      </c>
      <c r="AJ43" s="119">
        <f t="shared" si="12"/>
        <v>418709</v>
      </c>
      <c r="AK43" s="159" t="s">
        <v>182</v>
      </c>
      <c r="AL43" s="156" t="s">
        <v>178</v>
      </c>
    </row>
    <row r="44" spans="1:38" x14ac:dyDescent="0.2">
      <c r="D44" s="157" t="s">
        <v>120</v>
      </c>
      <c r="E44" s="169">
        <v>20012</v>
      </c>
      <c r="F44" s="5" t="s">
        <v>51</v>
      </c>
      <c r="G44" s="6" t="s">
        <v>59</v>
      </c>
      <c r="H44" s="6" t="s">
        <v>158</v>
      </c>
      <c r="I44" s="6" t="s">
        <v>35</v>
      </c>
      <c r="J44" s="158">
        <v>25666.666666666664</v>
      </c>
      <c r="K44" s="158">
        <v>25666.666666666664</v>
      </c>
      <c r="L44" s="2">
        <f t="shared" si="38"/>
        <v>25667</v>
      </c>
      <c r="M44" s="2">
        <f t="shared" si="39"/>
        <v>26569</v>
      </c>
      <c r="N44" s="2">
        <v>0</v>
      </c>
      <c r="O44" s="2">
        <v>0</v>
      </c>
      <c r="P44" s="2">
        <v>0</v>
      </c>
      <c r="Q44" s="2">
        <f>ROUND(M44/117.8*118.7,0)</f>
        <v>26772</v>
      </c>
      <c r="R44" s="2">
        <f>ROUND(Q44*11.36%+Q44,0)</f>
        <v>29813</v>
      </c>
      <c r="S44" s="2">
        <f t="shared" si="40"/>
        <v>0</v>
      </c>
      <c r="T44" s="2">
        <f t="shared" si="42"/>
        <v>0</v>
      </c>
      <c r="U44" s="3">
        <f t="shared" si="43"/>
        <v>25666.666666666664</v>
      </c>
      <c r="V44" s="3">
        <f t="shared" si="44"/>
        <v>25666.666666666664</v>
      </c>
      <c r="W44" s="2"/>
      <c r="X44" s="2">
        <f>ROUND(R44/120.2*120.7,0)</f>
        <v>29937</v>
      </c>
      <c r="Y44" s="12"/>
      <c r="Z44" s="4">
        <f t="shared" si="41"/>
        <v>25667</v>
      </c>
      <c r="AA44" s="2">
        <f>ROUND(X44/120.7*122.4,0)</f>
        <v>30359</v>
      </c>
      <c r="AB44" s="2">
        <f>ROUND(Y44/115.7*116.1,0)</f>
        <v>0</v>
      </c>
      <c r="AC44" s="2">
        <f t="shared" si="13"/>
        <v>31004</v>
      </c>
      <c r="AD44" s="2">
        <f t="shared" si="10"/>
        <v>0</v>
      </c>
      <c r="AE44" s="4">
        <f t="shared" si="11"/>
        <v>31004</v>
      </c>
      <c r="AF44" s="119" t="s">
        <v>229</v>
      </c>
      <c r="AG44" s="119">
        <v>31004</v>
      </c>
      <c r="AH44" s="119"/>
      <c r="AI44" s="119">
        <v>0</v>
      </c>
      <c r="AJ44" s="119">
        <f t="shared" si="12"/>
        <v>31004</v>
      </c>
      <c r="AK44" s="159"/>
    </row>
    <row r="45" spans="1:38" ht="36" x14ac:dyDescent="0.2">
      <c r="A45" s="156"/>
      <c r="B45" s="156"/>
      <c r="C45" s="156"/>
      <c r="D45" s="157" t="s">
        <v>115</v>
      </c>
      <c r="E45" s="169">
        <v>24002</v>
      </c>
      <c r="F45" s="1" t="s">
        <v>109</v>
      </c>
      <c r="G45" s="159" t="s">
        <v>67</v>
      </c>
      <c r="H45" s="159" t="s">
        <v>159</v>
      </c>
      <c r="I45" s="159" t="s">
        <v>35</v>
      </c>
      <c r="J45" s="158">
        <v>2995395.0617283951</v>
      </c>
      <c r="K45" s="158">
        <v>2995395.0617283951</v>
      </c>
      <c r="L45" s="2">
        <f t="shared" si="38"/>
        <v>2995395</v>
      </c>
      <c r="M45" s="2">
        <f t="shared" si="39"/>
        <v>3100681</v>
      </c>
      <c r="N45" s="2">
        <v>229098.76543209879</v>
      </c>
      <c r="O45" s="2">
        <v>0</v>
      </c>
      <c r="P45" s="2">
        <v>229098.76543209879</v>
      </c>
      <c r="Q45" s="11">
        <v>3200000</v>
      </c>
      <c r="R45" s="2">
        <f>ROUND(Q45/119.5*120.2,0)</f>
        <v>3218745</v>
      </c>
      <c r="S45" s="2">
        <f t="shared" si="40"/>
        <v>229099</v>
      </c>
      <c r="T45" s="2">
        <f t="shared" si="42"/>
        <v>235302</v>
      </c>
      <c r="U45" s="3">
        <f t="shared" si="43"/>
        <v>3224493.8271604939</v>
      </c>
      <c r="V45" s="3">
        <f t="shared" si="44"/>
        <v>3224493.8271604939</v>
      </c>
      <c r="W45" s="11">
        <v>266000</v>
      </c>
      <c r="X45" s="2">
        <f>ROUND(R45/120.2*120.7,0)</f>
        <v>3232134</v>
      </c>
      <c r="Y45" s="2">
        <f>ROUND(W45/115.2*115.7,0)</f>
        <v>267155</v>
      </c>
      <c r="Z45" s="4">
        <f t="shared" si="41"/>
        <v>3224494</v>
      </c>
      <c r="AA45" s="2">
        <f>ROUND(X45/120.7*122.4,0)</f>
        <v>3277657</v>
      </c>
      <c r="AB45" s="2">
        <f>ROUND(Y45/115.7*116.1,0)</f>
        <v>268079</v>
      </c>
      <c r="AC45" s="2">
        <f t="shared" si="13"/>
        <v>3347280</v>
      </c>
      <c r="AD45" s="2">
        <f t="shared" si="10"/>
        <v>272928</v>
      </c>
      <c r="AE45" s="4">
        <f t="shared" si="11"/>
        <v>3620208</v>
      </c>
      <c r="AF45" s="119" t="s">
        <v>229</v>
      </c>
      <c r="AG45" s="119">
        <v>3347280</v>
      </c>
      <c r="AH45" s="167" t="s">
        <v>239</v>
      </c>
      <c r="AI45" s="118">
        <v>500000</v>
      </c>
      <c r="AJ45" s="118">
        <f t="shared" si="12"/>
        <v>3847280</v>
      </c>
      <c r="AK45" s="159" t="s">
        <v>213</v>
      </c>
    </row>
    <row r="46" spans="1:38" x14ac:dyDescent="0.2">
      <c r="A46" s="156"/>
      <c r="B46" s="156"/>
      <c r="C46" s="156"/>
      <c r="D46" s="157" t="s">
        <v>115</v>
      </c>
      <c r="E46" s="169">
        <v>24002</v>
      </c>
      <c r="F46" s="1" t="s">
        <v>68</v>
      </c>
      <c r="G46" s="159" t="s">
        <v>69</v>
      </c>
      <c r="H46" s="159" t="s">
        <v>159</v>
      </c>
      <c r="I46" s="159" t="s">
        <v>35</v>
      </c>
      <c r="J46" s="158">
        <v>0</v>
      </c>
      <c r="K46" s="158">
        <v>0</v>
      </c>
      <c r="L46" s="2">
        <f t="shared" si="38"/>
        <v>0</v>
      </c>
      <c r="M46" s="2">
        <f t="shared" si="39"/>
        <v>0</v>
      </c>
      <c r="N46" s="2">
        <v>139740.74074074076</v>
      </c>
      <c r="O46" s="2">
        <v>0</v>
      </c>
      <c r="P46" s="2">
        <v>139740.74074074076</v>
      </c>
      <c r="Q46" s="2">
        <f>ROUND(M46/117.8*118.7,0)</f>
        <v>0</v>
      </c>
      <c r="R46" s="2">
        <f>ROUND(Q46/119.5*120.2,0)</f>
        <v>0</v>
      </c>
      <c r="S46" s="2">
        <f t="shared" si="40"/>
        <v>139741</v>
      </c>
      <c r="T46" s="2">
        <f t="shared" si="42"/>
        <v>143524</v>
      </c>
      <c r="U46" s="3">
        <f t="shared" si="43"/>
        <v>139740.74074074076</v>
      </c>
      <c r="V46" s="3">
        <f t="shared" si="44"/>
        <v>139740.74074074076</v>
      </c>
      <c r="W46" s="11">
        <v>225000</v>
      </c>
      <c r="X46" s="2">
        <f>ROUND(R46/120.2*120.7,0)</f>
        <v>0</v>
      </c>
      <c r="Y46" s="2">
        <f>ROUND(W46/115.2*115.7,0)</f>
        <v>225977</v>
      </c>
      <c r="Z46" s="4">
        <f t="shared" si="41"/>
        <v>139741</v>
      </c>
      <c r="AA46" s="2">
        <f>ROUND(X46/120.7*122.4,0)</f>
        <v>0</v>
      </c>
      <c r="AB46" s="2">
        <f>ROUND(Y46/115.7*116.1,0)</f>
        <v>226758</v>
      </c>
      <c r="AC46" s="2">
        <f t="shared" si="13"/>
        <v>0</v>
      </c>
      <c r="AD46" s="2">
        <f t="shared" si="10"/>
        <v>230860</v>
      </c>
      <c r="AE46" s="4">
        <f t="shared" si="11"/>
        <v>230860</v>
      </c>
      <c r="AF46" s="119" t="s">
        <v>229</v>
      </c>
      <c r="AG46" s="119"/>
      <c r="AH46" s="118" t="s">
        <v>233</v>
      </c>
      <c r="AI46" s="118"/>
      <c r="AJ46" s="118">
        <f t="shared" si="12"/>
        <v>0</v>
      </c>
      <c r="AK46" s="159"/>
    </row>
    <row r="47" spans="1:38" x14ac:dyDescent="0.2">
      <c r="A47" s="156" t="s">
        <v>78</v>
      </c>
      <c r="B47" s="156"/>
      <c r="C47" s="156"/>
      <c r="D47" s="157" t="s">
        <v>125</v>
      </c>
      <c r="E47" s="1"/>
      <c r="F47" s="5" t="s">
        <v>127</v>
      </c>
      <c r="G47" s="1"/>
      <c r="H47" s="1"/>
      <c r="I47" s="1" t="s">
        <v>35</v>
      </c>
      <c r="J47" s="158">
        <v>146395.06172839506</v>
      </c>
      <c r="K47" s="158">
        <v>146395.06172839506</v>
      </c>
      <c r="L47" s="2">
        <f t="shared" si="38"/>
        <v>146395</v>
      </c>
      <c r="M47" s="2">
        <f t="shared" si="39"/>
        <v>151541</v>
      </c>
      <c r="N47" s="2">
        <v>0</v>
      </c>
      <c r="O47" s="2">
        <v>0</v>
      </c>
      <c r="P47" s="2">
        <v>0</v>
      </c>
      <c r="Q47" s="2">
        <f>ROUND(M47/117.8*118.7,0)</f>
        <v>152699</v>
      </c>
      <c r="R47" s="2">
        <v>82814</v>
      </c>
      <c r="S47" s="2">
        <f t="shared" si="40"/>
        <v>0</v>
      </c>
      <c r="T47" s="2">
        <f t="shared" si="42"/>
        <v>0</v>
      </c>
      <c r="U47" s="3">
        <f t="shared" si="43"/>
        <v>146395.06172839506</v>
      </c>
      <c r="V47" s="3">
        <f t="shared" si="44"/>
        <v>146395.06172839506</v>
      </c>
      <c r="W47" s="2"/>
      <c r="X47" s="2">
        <f>ROUND(R47/120.2*120.7,0)</f>
        <v>83158</v>
      </c>
      <c r="Y47" s="2"/>
      <c r="Z47" s="4">
        <f t="shared" si="41"/>
        <v>146395</v>
      </c>
      <c r="AA47" s="2">
        <f>ROUND(X47/120.7*122.4,0)</f>
        <v>84329</v>
      </c>
      <c r="AB47" s="2">
        <f>ROUND(Y47/115.7*116.1,0)</f>
        <v>0</v>
      </c>
      <c r="AC47" s="2">
        <f t="shared" si="13"/>
        <v>86120</v>
      </c>
      <c r="AD47" s="2">
        <f t="shared" si="10"/>
        <v>0</v>
      </c>
      <c r="AE47" s="4">
        <f t="shared" si="11"/>
        <v>86120</v>
      </c>
      <c r="AF47" s="118" t="s">
        <v>226</v>
      </c>
      <c r="AG47" s="118">
        <v>85000</v>
      </c>
      <c r="AH47" s="119"/>
      <c r="AI47" s="119"/>
      <c r="AJ47" s="118">
        <f t="shared" si="12"/>
        <v>85000</v>
      </c>
      <c r="AK47" s="159"/>
    </row>
    <row r="48" spans="1:38" ht="24" x14ac:dyDescent="0.2">
      <c r="D48" s="157" t="s">
        <v>119</v>
      </c>
      <c r="E48" s="169">
        <v>20005</v>
      </c>
      <c r="F48" s="5" t="s">
        <v>110</v>
      </c>
      <c r="G48" s="6" t="s">
        <v>47</v>
      </c>
      <c r="H48" s="6" t="s">
        <v>161</v>
      </c>
      <c r="I48" s="6" t="s">
        <v>48</v>
      </c>
      <c r="J48" s="158">
        <v>540901.23456790124</v>
      </c>
      <c r="K48" s="158">
        <v>540901.23456790124</v>
      </c>
      <c r="L48" s="2">
        <f t="shared" si="38"/>
        <v>540901</v>
      </c>
      <c r="M48" s="2">
        <f t="shared" si="39"/>
        <v>559913</v>
      </c>
      <c r="N48" s="2">
        <v>12358.024691358021</v>
      </c>
      <c r="O48" s="2">
        <v>0</v>
      </c>
      <c r="P48" s="2">
        <v>12358.024691358021</v>
      </c>
      <c r="Q48" s="2">
        <f t="shared" ref="Q48" si="45">ROUND(M48/117.8*118.7,0)</f>
        <v>564191</v>
      </c>
      <c r="R48" s="2">
        <v>445000</v>
      </c>
      <c r="S48" s="170">
        <v>446109</v>
      </c>
      <c r="T48" s="2">
        <v>9520</v>
      </c>
      <c r="U48" s="3">
        <f t="shared" si="43"/>
        <v>553259.25925925921</v>
      </c>
      <c r="V48" s="3">
        <f t="shared" si="44"/>
        <v>553259.25925925921</v>
      </c>
      <c r="W48" s="2">
        <f>ROUND(T48/113.8*113.8,0)</f>
        <v>9520</v>
      </c>
      <c r="X48" s="170">
        <f>ROUND(R48/120.4*120.7,0)</f>
        <v>446109</v>
      </c>
      <c r="Y48" s="2">
        <v>9520</v>
      </c>
      <c r="Z48" s="4">
        <f t="shared" si="41"/>
        <v>987010</v>
      </c>
      <c r="AA48" s="11">
        <v>645000</v>
      </c>
      <c r="AB48" s="14">
        <v>0</v>
      </c>
      <c r="AC48" s="2">
        <f t="shared" si="13"/>
        <v>658701</v>
      </c>
      <c r="AD48" s="2">
        <f t="shared" si="10"/>
        <v>0</v>
      </c>
      <c r="AE48" s="4">
        <f t="shared" si="11"/>
        <v>658701</v>
      </c>
      <c r="AF48" s="119" t="s">
        <v>229</v>
      </c>
      <c r="AG48" s="119">
        <v>658701</v>
      </c>
      <c r="AH48" s="119"/>
      <c r="AI48" s="119"/>
      <c r="AJ48" s="119">
        <f t="shared" si="12"/>
        <v>658701</v>
      </c>
      <c r="AK48" s="159" t="s">
        <v>200</v>
      </c>
      <c r="AL48" s="156" t="s">
        <v>178</v>
      </c>
    </row>
    <row r="49" spans="1:38" x14ac:dyDescent="0.2">
      <c r="D49" s="157" t="s">
        <v>119</v>
      </c>
      <c r="E49" s="169">
        <v>20005</v>
      </c>
      <c r="F49" s="5" t="s">
        <v>49</v>
      </c>
      <c r="G49" s="6" t="s">
        <v>47</v>
      </c>
      <c r="H49" s="6" t="s">
        <v>161</v>
      </c>
      <c r="I49" s="6" t="s">
        <v>48</v>
      </c>
      <c r="J49" s="158">
        <v>18061.728395061727</v>
      </c>
      <c r="K49" s="158">
        <v>18061.728395061727</v>
      </c>
      <c r="L49" s="2">
        <f>ROUND(J49,0)</f>
        <v>18062</v>
      </c>
      <c r="M49" s="2">
        <f>ROUND(L49/113.8*117.8,0)</f>
        <v>18697</v>
      </c>
      <c r="N49" s="2">
        <v>0</v>
      </c>
      <c r="O49" s="2">
        <v>0</v>
      </c>
      <c r="P49" s="2">
        <v>0</v>
      </c>
      <c r="Q49" s="2">
        <f>ROUND(M49/117.8*118.7,0)</f>
        <v>18840</v>
      </c>
      <c r="R49" s="2">
        <f>ROUND(Q49*11.36%+Q49,0)</f>
        <v>20980</v>
      </c>
      <c r="S49" s="2">
        <f>ROUND(N49,0)</f>
        <v>0</v>
      </c>
      <c r="T49" s="2">
        <f>ROUND(P49/110.8*113.8,0)</f>
        <v>0</v>
      </c>
      <c r="U49" s="3">
        <f>J49+N49</f>
        <v>18061.728395061727</v>
      </c>
      <c r="V49" s="3">
        <f>K49+P49</f>
        <v>18061.728395061727</v>
      </c>
      <c r="W49" s="2"/>
      <c r="X49" s="2">
        <f>ROUND(R49/120.2*120.7,0)</f>
        <v>21067</v>
      </c>
      <c r="Y49" s="2"/>
      <c r="Z49" s="4">
        <f>L49+S49</f>
        <v>18062</v>
      </c>
      <c r="AA49" s="2">
        <f>ROUND(X49/120.7*122.4,0)</f>
        <v>21364</v>
      </c>
      <c r="AB49" s="2">
        <f>ROUND(Y49/115.7*116.1,0)</f>
        <v>0</v>
      </c>
      <c r="AC49" s="2">
        <f t="shared" si="13"/>
        <v>21818</v>
      </c>
      <c r="AD49" s="2">
        <f t="shared" si="10"/>
        <v>0</v>
      </c>
      <c r="AE49" s="4">
        <f t="shared" si="11"/>
        <v>21818</v>
      </c>
      <c r="AF49" s="119" t="s">
        <v>229</v>
      </c>
      <c r="AG49" s="119">
        <v>21818</v>
      </c>
      <c r="AH49" s="119"/>
      <c r="AI49" s="119"/>
      <c r="AJ49" s="119">
        <f t="shared" si="12"/>
        <v>21818</v>
      </c>
      <c r="AK49" s="159"/>
    </row>
    <row r="50" spans="1:38" s="171" customFormat="1" x14ac:dyDescent="0.2">
      <c r="A50" s="156" t="s">
        <v>79</v>
      </c>
      <c r="B50" s="156"/>
      <c r="C50" s="156"/>
      <c r="D50" s="157" t="s">
        <v>125</v>
      </c>
      <c r="E50" s="1"/>
      <c r="F50" s="1" t="s">
        <v>80</v>
      </c>
      <c r="G50" s="1"/>
      <c r="H50" s="1"/>
      <c r="I50" s="1"/>
      <c r="J50" s="158">
        <v>591283.95061728405</v>
      </c>
      <c r="K50" s="158">
        <v>591283.95061728405</v>
      </c>
      <c r="L50" s="2">
        <v>701704</v>
      </c>
      <c r="M50" s="2">
        <f>ROUND(L50/113.8*117.8,0)</f>
        <v>726368</v>
      </c>
      <c r="N50" s="2">
        <v>0</v>
      </c>
      <c r="O50" s="2">
        <v>0</v>
      </c>
      <c r="P50" s="2">
        <v>0</v>
      </c>
      <c r="Q50" s="2">
        <f>ROUND(M50/117.8*118.7,0)</f>
        <v>731918</v>
      </c>
      <c r="R50" s="2">
        <f>ROUND(Q50*11.36%+Q50,0)</f>
        <v>815064</v>
      </c>
      <c r="S50" s="2">
        <f>ROUND(N50,0)</f>
        <v>0</v>
      </c>
      <c r="T50" s="2">
        <f>ROUND(P50/110.8*113.8,0)</f>
        <v>0</v>
      </c>
      <c r="U50" s="3">
        <f>J50+N50</f>
        <v>591283.95061728405</v>
      </c>
      <c r="V50" s="3">
        <f>K50+P50</f>
        <v>591283.95061728405</v>
      </c>
      <c r="W50" s="2"/>
      <c r="X50" s="2">
        <f>ROUND(R50/120.2*120.7,0)</f>
        <v>818454</v>
      </c>
      <c r="Y50" s="2"/>
      <c r="Z50" s="4">
        <f>L50+S50</f>
        <v>701704</v>
      </c>
      <c r="AA50" s="2">
        <f>ROUND(X50/120.7*122.4,0)</f>
        <v>829982</v>
      </c>
      <c r="AB50" s="2">
        <f>ROUND(Y50/115.7*116.1,0)</f>
        <v>0</v>
      </c>
      <c r="AC50" s="2">
        <f t="shared" si="13"/>
        <v>847612</v>
      </c>
      <c r="AD50" s="2">
        <f t="shared" si="10"/>
        <v>0</v>
      </c>
      <c r="AE50" s="4">
        <f t="shared" si="11"/>
        <v>847612</v>
      </c>
      <c r="AF50" s="118" t="s">
        <v>226</v>
      </c>
      <c r="AG50" s="118">
        <v>837250</v>
      </c>
      <c r="AH50" s="119"/>
      <c r="AI50" s="119"/>
      <c r="AJ50" s="118">
        <f t="shared" si="12"/>
        <v>837250</v>
      </c>
      <c r="AK50" s="159"/>
      <c r="AL50" s="156"/>
    </row>
    <row r="51" spans="1:38" ht="12.75" thickBot="1" x14ac:dyDescent="0.25">
      <c r="D51" s="193"/>
      <c r="E51" s="194"/>
      <c r="F51" s="194"/>
      <c r="G51" s="194"/>
      <c r="H51" s="194"/>
      <c r="I51" s="194"/>
      <c r="J51" s="195">
        <f t="shared" ref="J51:AE51" si="46">SUM(J5:J50)</f>
        <v>28127814.814814817</v>
      </c>
      <c r="K51" s="195">
        <f t="shared" si="46"/>
        <v>28127814.814814817</v>
      </c>
      <c r="L51" s="196">
        <f t="shared" si="46"/>
        <v>28238235</v>
      </c>
      <c r="M51" s="197">
        <f t="shared" si="46"/>
        <v>29230793</v>
      </c>
      <c r="N51" s="196">
        <f t="shared" si="46"/>
        <v>5227444.444444444</v>
      </c>
      <c r="O51" s="196">
        <f t="shared" si="46"/>
        <v>0</v>
      </c>
      <c r="P51" s="197">
        <f t="shared" si="46"/>
        <v>5227444.444444444</v>
      </c>
      <c r="Q51" s="197">
        <f t="shared" si="46"/>
        <v>32166957</v>
      </c>
      <c r="R51" s="197">
        <f t="shared" si="46"/>
        <v>32910248</v>
      </c>
      <c r="S51" s="197">
        <f t="shared" si="46"/>
        <v>5661196</v>
      </c>
      <c r="T51" s="197">
        <f t="shared" si="46"/>
        <v>5246693</v>
      </c>
      <c r="U51" s="197">
        <f t="shared" si="46"/>
        <v>32134666.666666668</v>
      </c>
      <c r="V51" s="197">
        <f t="shared" si="46"/>
        <v>32134666.666666668</v>
      </c>
      <c r="W51" s="197">
        <f t="shared" si="46"/>
        <v>3156233</v>
      </c>
      <c r="X51" s="197">
        <f t="shared" si="46"/>
        <v>33177895</v>
      </c>
      <c r="Y51" s="197">
        <f t="shared" si="46"/>
        <v>3135376</v>
      </c>
      <c r="Z51" s="198">
        <f t="shared" si="46"/>
        <v>33899431</v>
      </c>
      <c r="AA51" s="197">
        <f t="shared" si="46"/>
        <v>35549945</v>
      </c>
      <c r="AB51" s="197">
        <f t="shared" si="46"/>
        <v>3443072</v>
      </c>
      <c r="AC51" s="197">
        <f t="shared" si="46"/>
        <v>36501923</v>
      </c>
      <c r="AD51" s="197">
        <f t="shared" si="46"/>
        <v>3505351</v>
      </c>
      <c r="AE51" s="197">
        <f t="shared" si="46"/>
        <v>40007274</v>
      </c>
      <c r="AF51" s="199"/>
      <c r="AG51" s="199">
        <f t="shared" ref="AG51" si="47">SUM(AG5:AG50)</f>
        <v>36925108</v>
      </c>
      <c r="AH51" s="199"/>
      <c r="AI51" s="199">
        <f t="shared" ref="AI51:AJ51" si="48">SUM(AI5:AI50)</f>
        <v>3410473</v>
      </c>
      <c r="AJ51" s="199">
        <f t="shared" si="48"/>
        <v>40335581</v>
      </c>
    </row>
    <row r="52" spans="1:38" ht="12.75" thickTop="1" x14ac:dyDescent="0.2">
      <c r="D52" s="64"/>
      <c r="E52" s="48"/>
      <c r="F52" s="48"/>
      <c r="G52" s="48"/>
      <c r="H52" s="48"/>
      <c r="I52" s="48"/>
      <c r="J52" s="201"/>
      <c r="K52" s="201"/>
      <c r="L52" s="15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  <c r="AA52" s="16"/>
      <c r="AB52" s="16"/>
      <c r="AC52" s="16"/>
      <c r="AD52" s="16"/>
      <c r="AE52" s="17"/>
      <c r="AF52" s="23"/>
      <c r="AG52" s="23"/>
      <c r="AH52" s="23"/>
      <c r="AI52" s="23"/>
      <c r="AJ52" s="23"/>
    </row>
    <row r="53" spans="1:38" s="147" customFormat="1" x14ac:dyDescent="0.2">
      <c r="A53" s="139"/>
      <c r="B53" s="139"/>
      <c r="C53" s="139"/>
      <c r="D53" s="43" t="s">
        <v>83</v>
      </c>
      <c r="E53" s="43"/>
      <c r="F53" s="43" t="s">
        <v>83</v>
      </c>
      <c r="G53" s="38"/>
      <c r="H53" s="38"/>
      <c r="I53" s="38"/>
      <c r="J53" s="43"/>
      <c r="K53" s="43"/>
      <c r="L53" s="18"/>
      <c r="M53" s="18"/>
      <c r="N53" s="18"/>
      <c r="O53" s="18"/>
      <c r="P53" s="18"/>
      <c r="Q53" s="18"/>
      <c r="R53" s="18"/>
      <c r="S53" s="18"/>
      <c r="T53" s="18"/>
      <c r="U53" s="202"/>
      <c r="V53" s="202"/>
      <c r="W53" s="202"/>
      <c r="X53" s="18"/>
      <c r="Y53" s="202"/>
      <c r="Z53" s="203"/>
      <c r="AA53" s="202"/>
      <c r="AB53" s="202"/>
      <c r="AC53" s="202"/>
      <c r="AD53" s="202"/>
      <c r="AE53" s="203"/>
      <c r="AF53" s="22"/>
      <c r="AG53" s="22"/>
      <c r="AH53" s="22"/>
      <c r="AI53" s="22"/>
      <c r="AJ53" s="22"/>
      <c r="AK53" s="132"/>
    </row>
    <row r="54" spans="1:38" ht="12.75" customHeight="1" x14ac:dyDescent="0.2">
      <c r="C54" s="204" t="s">
        <v>171</v>
      </c>
      <c r="D54" s="157" t="s">
        <v>129</v>
      </c>
      <c r="E54" s="205">
        <v>71403</v>
      </c>
      <c r="F54" s="1" t="s">
        <v>84</v>
      </c>
      <c r="G54" s="159" t="s">
        <v>163</v>
      </c>
      <c r="H54" s="159" t="s">
        <v>155</v>
      </c>
      <c r="I54" s="159" t="s">
        <v>39</v>
      </c>
      <c r="J54" s="162">
        <v>4401358.0246913582</v>
      </c>
      <c r="K54" s="162">
        <v>4401358.0246913582</v>
      </c>
      <c r="L54" s="2">
        <f t="shared" ref="L54:L59" si="49">ROUND(J54,0)</f>
        <v>4401358</v>
      </c>
      <c r="M54" s="2">
        <f t="shared" ref="M54:M63" si="50">ROUND(L54/113.8*117.8,0)</f>
        <v>4556063</v>
      </c>
      <c r="N54" s="2">
        <v>526641.97530864202</v>
      </c>
      <c r="O54" s="2">
        <v>0</v>
      </c>
      <c r="P54" s="2">
        <v>526641.97530864202</v>
      </c>
      <c r="Q54" s="2">
        <f t="shared" ref="Q54:Q63" si="51">ROUND(M54/117.8*118.7,0)</f>
        <v>4590872</v>
      </c>
      <c r="R54" s="2">
        <f t="shared" ref="R54:R63" si="52">ROUND(Q54*11.36%+Q54,0)</f>
        <v>5112395</v>
      </c>
      <c r="S54" s="2">
        <f t="shared" ref="S54:S59" si="53">ROUND(N54,0)</f>
        <v>526642</v>
      </c>
      <c r="T54" s="2">
        <f t="shared" ref="T54:T63" si="54">ROUND(P54/110.8*113.8,0)</f>
        <v>540901</v>
      </c>
      <c r="U54" s="3">
        <f>J54+N54</f>
        <v>4928000</v>
      </c>
      <c r="V54" s="3">
        <f t="shared" ref="V54:V63" si="55">K54+P54</f>
        <v>4928000</v>
      </c>
      <c r="W54" s="2">
        <f t="shared" ref="W54:W63" si="56">ROUND(T54/113.8*113.8,0)</f>
        <v>540901</v>
      </c>
      <c r="X54" s="2">
        <v>4065000</v>
      </c>
      <c r="Y54" s="2">
        <f t="shared" ref="Y54:Y63" si="57">ROUND(W54-W54*25%,0)</f>
        <v>405676</v>
      </c>
      <c r="Z54" s="4">
        <f t="shared" ref="Z54:Z63" si="58">L54+S54</f>
        <v>4928000</v>
      </c>
      <c r="AA54" s="2">
        <f t="shared" ref="AA54:AA63" si="59">ROUND(X54/120.7*122.4,0)</f>
        <v>4122254</v>
      </c>
      <c r="AB54" s="2">
        <f t="shared" ref="AB54:AB63" si="60">ROUND(Y54/115.7*116.1,0)</f>
        <v>407079</v>
      </c>
      <c r="AC54" s="2">
        <f t="shared" ref="AC54:AC63" si="61">ROUND(AA54/122.4*125,0)</f>
        <v>4209818</v>
      </c>
      <c r="AD54" s="2">
        <f t="shared" ref="AD54:AD63" si="62">ROUND(AB54/116.1*118.2,0)</f>
        <v>414442</v>
      </c>
      <c r="AE54" s="4">
        <f t="shared" ref="AE54:AE63" si="63">AC54+AD54</f>
        <v>4624260</v>
      </c>
      <c r="AF54" s="119" t="s">
        <v>229</v>
      </c>
      <c r="AG54" s="119">
        <v>4209818</v>
      </c>
      <c r="AH54" s="119" t="s">
        <v>229</v>
      </c>
      <c r="AI54" s="119">
        <v>414442</v>
      </c>
      <c r="AJ54" s="119">
        <f>AG54+AI54</f>
        <v>4624260</v>
      </c>
      <c r="AK54" s="6" t="s">
        <v>166</v>
      </c>
      <c r="AL54" s="184" t="s">
        <v>176</v>
      </c>
    </row>
    <row r="55" spans="1:38" x14ac:dyDescent="0.2">
      <c r="C55" s="183"/>
      <c r="D55" s="206" t="s">
        <v>129</v>
      </c>
      <c r="E55" s="207">
        <v>74001</v>
      </c>
      <c r="F55" s="207" t="s">
        <v>85</v>
      </c>
      <c r="G55" s="208" t="s">
        <v>86</v>
      </c>
      <c r="H55" s="208" t="s">
        <v>160</v>
      </c>
      <c r="I55" s="208" t="s">
        <v>35</v>
      </c>
      <c r="J55" s="158">
        <v>1505777.7777777778</v>
      </c>
      <c r="K55" s="158">
        <v>1505777.7777777778</v>
      </c>
      <c r="L55" s="209">
        <f t="shared" si="49"/>
        <v>1505778</v>
      </c>
      <c r="M55" s="209">
        <f t="shared" si="50"/>
        <v>1558705</v>
      </c>
      <c r="N55" s="209">
        <v>173012.34567901236</v>
      </c>
      <c r="O55" s="209">
        <v>0</v>
      </c>
      <c r="P55" s="209">
        <v>173012.34567901236</v>
      </c>
      <c r="Q55" s="209">
        <f t="shared" si="51"/>
        <v>1570614</v>
      </c>
      <c r="R55" s="209">
        <f t="shared" si="52"/>
        <v>1749036</v>
      </c>
      <c r="S55" s="209">
        <f t="shared" si="53"/>
        <v>173012</v>
      </c>
      <c r="T55" s="209">
        <f t="shared" si="54"/>
        <v>177697</v>
      </c>
      <c r="U55" s="210">
        <f t="shared" ref="U55:U63" si="64">J55+N55</f>
        <v>1678790.1234567901</v>
      </c>
      <c r="V55" s="210">
        <f t="shared" si="55"/>
        <v>1678790.1234567901</v>
      </c>
      <c r="W55" s="209">
        <f t="shared" si="56"/>
        <v>177697</v>
      </c>
      <c r="X55" s="209">
        <v>2215000</v>
      </c>
      <c r="Y55" s="209">
        <f t="shared" si="57"/>
        <v>133273</v>
      </c>
      <c r="Z55" s="211">
        <f t="shared" si="58"/>
        <v>1678790</v>
      </c>
      <c r="AA55" s="209">
        <f t="shared" si="59"/>
        <v>2246197</v>
      </c>
      <c r="AB55" s="209">
        <f t="shared" si="60"/>
        <v>133734</v>
      </c>
      <c r="AC55" s="2">
        <f t="shared" si="61"/>
        <v>2293910</v>
      </c>
      <c r="AD55" s="2">
        <f t="shared" si="62"/>
        <v>136153</v>
      </c>
      <c r="AE55" s="4">
        <f t="shared" si="63"/>
        <v>2430063</v>
      </c>
      <c r="AF55" s="119" t="s">
        <v>229</v>
      </c>
      <c r="AG55" s="119">
        <v>2293910</v>
      </c>
      <c r="AH55" s="119" t="s">
        <v>229</v>
      </c>
      <c r="AI55" s="119">
        <v>136153</v>
      </c>
      <c r="AJ55" s="119">
        <f t="shared" ref="AJ55:AJ63" si="65">AG55+AI55</f>
        <v>2430063</v>
      </c>
      <c r="AK55" s="21" t="s">
        <v>167</v>
      </c>
      <c r="AL55" s="184" t="s">
        <v>176</v>
      </c>
    </row>
    <row r="56" spans="1:38" ht="12" customHeight="1" x14ac:dyDescent="0.2">
      <c r="C56" s="204" t="s">
        <v>171</v>
      </c>
      <c r="D56" s="157" t="s">
        <v>129</v>
      </c>
      <c r="E56" s="205">
        <v>71405</v>
      </c>
      <c r="F56" s="1" t="s">
        <v>87</v>
      </c>
      <c r="G56" s="159" t="s">
        <v>164</v>
      </c>
      <c r="H56" s="159" t="s">
        <v>147</v>
      </c>
      <c r="I56" s="159" t="s">
        <v>43</v>
      </c>
      <c r="J56" s="158">
        <v>2596135.8024691357</v>
      </c>
      <c r="K56" s="158">
        <v>2596135.8024691357</v>
      </c>
      <c r="L56" s="2">
        <f t="shared" si="49"/>
        <v>2596136</v>
      </c>
      <c r="M56" s="2">
        <f t="shared" si="50"/>
        <v>2687389</v>
      </c>
      <c r="N56" s="2">
        <v>192024.69135802469</v>
      </c>
      <c r="O56" s="2">
        <v>0</v>
      </c>
      <c r="P56" s="2">
        <v>192024.69135802469</v>
      </c>
      <c r="Q56" s="2">
        <f t="shared" si="51"/>
        <v>2707921</v>
      </c>
      <c r="R56" s="2">
        <f t="shared" si="52"/>
        <v>3015541</v>
      </c>
      <c r="S56" s="2">
        <f t="shared" si="53"/>
        <v>192025</v>
      </c>
      <c r="T56" s="2">
        <f t="shared" si="54"/>
        <v>197224</v>
      </c>
      <c r="U56" s="3">
        <f t="shared" si="64"/>
        <v>2788160.4938271604</v>
      </c>
      <c r="V56" s="3">
        <f t="shared" si="55"/>
        <v>2788160.4938271604</v>
      </c>
      <c r="W56" s="2">
        <f t="shared" si="56"/>
        <v>197224</v>
      </c>
      <c r="X56" s="2">
        <v>3510000</v>
      </c>
      <c r="Y56" s="2">
        <f t="shared" si="57"/>
        <v>147918</v>
      </c>
      <c r="Z56" s="4">
        <f t="shared" si="58"/>
        <v>2788161</v>
      </c>
      <c r="AA56" s="2">
        <f t="shared" si="59"/>
        <v>3559437</v>
      </c>
      <c r="AB56" s="2">
        <f t="shared" si="60"/>
        <v>148429</v>
      </c>
      <c r="AC56" s="2">
        <f t="shared" si="61"/>
        <v>3635046</v>
      </c>
      <c r="AD56" s="2">
        <f t="shared" si="62"/>
        <v>151114</v>
      </c>
      <c r="AE56" s="4">
        <f t="shared" si="63"/>
        <v>3786160</v>
      </c>
      <c r="AF56" s="119" t="s">
        <v>229</v>
      </c>
      <c r="AG56" s="119">
        <v>3635046</v>
      </c>
      <c r="AH56" s="119" t="s">
        <v>229</v>
      </c>
      <c r="AI56" s="119">
        <v>151114</v>
      </c>
      <c r="AJ56" s="119">
        <f t="shared" si="65"/>
        <v>3786160</v>
      </c>
      <c r="AK56" s="6" t="s">
        <v>165</v>
      </c>
      <c r="AL56" s="184" t="s">
        <v>176</v>
      </c>
    </row>
    <row r="57" spans="1:38" x14ac:dyDescent="0.2">
      <c r="D57" s="157" t="s">
        <v>129</v>
      </c>
      <c r="E57" s="1">
        <v>70301</v>
      </c>
      <c r="F57" s="1" t="s">
        <v>88</v>
      </c>
      <c r="G57" s="159" t="s">
        <v>89</v>
      </c>
      <c r="H57" s="159" t="s">
        <v>141</v>
      </c>
      <c r="I57" s="159" t="s">
        <v>24</v>
      </c>
      <c r="J57" s="158">
        <v>1535246.913580247</v>
      </c>
      <c r="K57" s="158">
        <v>1535246.913580247</v>
      </c>
      <c r="L57" s="2">
        <f t="shared" si="49"/>
        <v>1535247</v>
      </c>
      <c r="M57" s="2">
        <f t="shared" si="50"/>
        <v>1589210</v>
      </c>
      <c r="N57" s="2">
        <v>126432.09876543209</v>
      </c>
      <c r="O57" s="2">
        <v>0</v>
      </c>
      <c r="P57" s="2">
        <v>126432.09876543209</v>
      </c>
      <c r="Q57" s="2">
        <f t="shared" si="51"/>
        <v>1601352</v>
      </c>
      <c r="R57" s="2">
        <f t="shared" si="52"/>
        <v>1783266</v>
      </c>
      <c r="S57" s="2">
        <f t="shared" si="53"/>
        <v>126432</v>
      </c>
      <c r="T57" s="2">
        <f t="shared" si="54"/>
        <v>129855</v>
      </c>
      <c r="U57" s="3">
        <f t="shared" si="64"/>
        <v>1661679.0123456791</v>
      </c>
      <c r="V57" s="3">
        <f t="shared" si="55"/>
        <v>1661679.0123456791</v>
      </c>
      <c r="W57" s="2">
        <f t="shared" si="56"/>
        <v>129855</v>
      </c>
      <c r="X57" s="2">
        <f t="shared" ref="X57:X63" si="66">ROUND(R57/120.2*120.7,0)</f>
        <v>1790684</v>
      </c>
      <c r="Y57" s="2">
        <f t="shared" si="57"/>
        <v>97391</v>
      </c>
      <c r="Z57" s="4">
        <f t="shared" si="58"/>
        <v>1661679</v>
      </c>
      <c r="AA57" s="2">
        <f t="shared" si="59"/>
        <v>1815905</v>
      </c>
      <c r="AB57" s="2">
        <f t="shared" si="60"/>
        <v>97728</v>
      </c>
      <c r="AC57" s="2">
        <f t="shared" si="61"/>
        <v>1854478</v>
      </c>
      <c r="AD57" s="2">
        <f t="shared" si="62"/>
        <v>99496</v>
      </c>
      <c r="AE57" s="4">
        <f t="shared" si="63"/>
        <v>1953974</v>
      </c>
      <c r="AF57" s="118" t="s">
        <v>226</v>
      </c>
      <c r="AG57" s="118">
        <v>1840000</v>
      </c>
      <c r="AH57" s="118" t="s">
        <v>226</v>
      </c>
      <c r="AI57" s="118">
        <v>333000</v>
      </c>
      <c r="AJ57" s="118">
        <f t="shared" si="65"/>
        <v>2173000</v>
      </c>
      <c r="AK57" s="159"/>
    </row>
    <row r="58" spans="1:38" ht="36" x14ac:dyDescent="0.2">
      <c r="D58" s="157" t="s">
        <v>129</v>
      </c>
      <c r="E58" s="1">
        <v>70501</v>
      </c>
      <c r="F58" s="1" t="s">
        <v>90</v>
      </c>
      <c r="G58" s="159" t="s">
        <v>91</v>
      </c>
      <c r="H58" s="159" t="s">
        <v>162</v>
      </c>
      <c r="I58" s="159" t="s">
        <v>48</v>
      </c>
      <c r="J58" s="158">
        <v>829888.88888888888</v>
      </c>
      <c r="K58" s="158">
        <v>829888.88888888888</v>
      </c>
      <c r="L58" s="2">
        <f t="shared" si="49"/>
        <v>829889</v>
      </c>
      <c r="M58" s="2">
        <f t="shared" si="50"/>
        <v>859059</v>
      </c>
      <c r="N58" s="2">
        <v>87456.790123456798</v>
      </c>
      <c r="O58" s="2">
        <v>0</v>
      </c>
      <c r="P58" s="2">
        <v>87456.790123456798</v>
      </c>
      <c r="Q58" s="2">
        <f t="shared" si="51"/>
        <v>865622</v>
      </c>
      <c r="R58" s="2">
        <f t="shared" si="52"/>
        <v>963957</v>
      </c>
      <c r="S58" s="2">
        <f t="shared" si="53"/>
        <v>87457</v>
      </c>
      <c r="T58" s="2">
        <f t="shared" si="54"/>
        <v>89825</v>
      </c>
      <c r="U58" s="3">
        <f t="shared" si="64"/>
        <v>917345.67901234562</v>
      </c>
      <c r="V58" s="3">
        <f t="shared" si="55"/>
        <v>917345.67901234562</v>
      </c>
      <c r="W58" s="2">
        <f t="shared" si="56"/>
        <v>89825</v>
      </c>
      <c r="X58" s="2">
        <f t="shared" si="66"/>
        <v>967967</v>
      </c>
      <c r="Y58" s="2">
        <f t="shared" si="57"/>
        <v>67369</v>
      </c>
      <c r="Z58" s="4">
        <f t="shared" si="58"/>
        <v>917346</v>
      </c>
      <c r="AA58" s="2">
        <f t="shared" si="59"/>
        <v>981600</v>
      </c>
      <c r="AB58" s="2">
        <f t="shared" si="60"/>
        <v>67602</v>
      </c>
      <c r="AC58" s="2">
        <f t="shared" si="61"/>
        <v>1002451</v>
      </c>
      <c r="AD58" s="2">
        <f t="shared" si="62"/>
        <v>68825</v>
      </c>
      <c r="AE58" s="4">
        <f t="shared" si="63"/>
        <v>1071276</v>
      </c>
      <c r="AF58" s="167" t="s">
        <v>240</v>
      </c>
      <c r="AG58" s="118">
        <v>1160000</v>
      </c>
      <c r="AH58" s="167" t="s">
        <v>240</v>
      </c>
      <c r="AI58" s="118">
        <v>360000</v>
      </c>
      <c r="AJ58" s="118">
        <f t="shared" si="65"/>
        <v>1520000</v>
      </c>
      <c r="AK58" s="159"/>
    </row>
    <row r="59" spans="1:38" x14ac:dyDescent="0.2">
      <c r="A59" s="156"/>
      <c r="B59" s="156"/>
      <c r="C59" s="156"/>
      <c r="D59" s="157" t="s">
        <v>129</v>
      </c>
      <c r="E59" s="1">
        <v>70501</v>
      </c>
      <c r="F59" s="1" t="s">
        <v>92</v>
      </c>
      <c r="G59" s="159" t="s">
        <v>91</v>
      </c>
      <c r="H59" s="159" t="s">
        <v>162</v>
      </c>
      <c r="I59" s="159" t="s">
        <v>48</v>
      </c>
      <c r="J59" s="158">
        <v>157802.46913580253</v>
      </c>
      <c r="K59" s="158">
        <v>157802.46913580253</v>
      </c>
      <c r="L59" s="2">
        <f t="shared" si="49"/>
        <v>157802</v>
      </c>
      <c r="M59" s="2">
        <f t="shared" si="50"/>
        <v>163349</v>
      </c>
      <c r="N59" s="2">
        <v>28518.518518518518</v>
      </c>
      <c r="O59" s="2">
        <v>0</v>
      </c>
      <c r="P59" s="2">
        <v>28518.518518518518</v>
      </c>
      <c r="Q59" s="2">
        <f t="shared" si="51"/>
        <v>164597</v>
      </c>
      <c r="R59" s="2">
        <f t="shared" si="52"/>
        <v>183295</v>
      </c>
      <c r="S59" s="2">
        <f t="shared" si="53"/>
        <v>28519</v>
      </c>
      <c r="T59" s="2">
        <f t="shared" si="54"/>
        <v>29291</v>
      </c>
      <c r="U59" s="3">
        <f t="shared" si="64"/>
        <v>186320.98765432104</v>
      </c>
      <c r="V59" s="3">
        <f t="shared" si="55"/>
        <v>186320.98765432104</v>
      </c>
      <c r="W59" s="2">
        <f t="shared" si="56"/>
        <v>29291</v>
      </c>
      <c r="X59" s="2">
        <f t="shared" si="66"/>
        <v>184057</v>
      </c>
      <c r="Y59" s="2">
        <f t="shared" si="57"/>
        <v>21968</v>
      </c>
      <c r="Z59" s="4">
        <f t="shared" si="58"/>
        <v>186321</v>
      </c>
      <c r="AA59" s="2">
        <f t="shared" si="59"/>
        <v>186649</v>
      </c>
      <c r="AB59" s="2">
        <f t="shared" si="60"/>
        <v>22044</v>
      </c>
      <c r="AC59" s="2">
        <f t="shared" si="61"/>
        <v>190614</v>
      </c>
      <c r="AD59" s="2">
        <f t="shared" si="62"/>
        <v>22443</v>
      </c>
      <c r="AE59" s="4">
        <f t="shared" si="63"/>
        <v>213057</v>
      </c>
      <c r="AF59" s="118" t="s">
        <v>253</v>
      </c>
      <c r="AG59" s="118"/>
      <c r="AH59" s="118" t="s">
        <v>253</v>
      </c>
      <c r="AI59" s="118"/>
      <c r="AJ59" s="118">
        <f t="shared" si="65"/>
        <v>0</v>
      </c>
      <c r="AK59" s="159"/>
    </row>
    <row r="60" spans="1:38" ht="36" x14ac:dyDescent="0.2">
      <c r="A60" s="156"/>
      <c r="B60" s="156"/>
      <c r="C60" s="156"/>
      <c r="D60" s="185"/>
      <c r="E60" s="186"/>
      <c r="F60" s="186" t="s">
        <v>216</v>
      </c>
      <c r="G60" s="186" t="s">
        <v>215</v>
      </c>
      <c r="H60" s="186" t="s">
        <v>154</v>
      </c>
      <c r="I60" s="186" t="s">
        <v>39</v>
      </c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/>
      <c r="V60" s="188"/>
      <c r="W60" s="188"/>
      <c r="X60" s="188"/>
      <c r="Y60" s="188"/>
      <c r="Z60" s="189"/>
      <c r="AA60" s="189"/>
      <c r="AB60" s="189"/>
      <c r="AC60" s="189"/>
      <c r="AD60" s="189">
        <v>200000</v>
      </c>
      <c r="AE60" s="189"/>
      <c r="AF60" s="212"/>
      <c r="AG60" s="212">
        <v>0</v>
      </c>
      <c r="AH60" s="192" t="s">
        <v>241</v>
      </c>
      <c r="AI60" s="189">
        <v>200000</v>
      </c>
      <c r="AJ60" s="118">
        <f t="shared" si="65"/>
        <v>200000</v>
      </c>
      <c r="AK60" s="159" t="s">
        <v>217</v>
      </c>
    </row>
    <row r="61" spans="1:38" ht="24" x14ac:dyDescent="0.2">
      <c r="A61" s="156" t="s">
        <v>93</v>
      </c>
      <c r="B61" s="156"/>
      <c r="C61" s="156"/>
      <c r="D61" s="157" t="s">
        <v>130</v>
      </c>
      <c r="E61" s="5"/>
      <c r="F61" s="190" t="s">
        <v>242</v>
      </c>
      <c r="G61" s="159" t="s">
        <v>101</v>
      </c>
      <c r="H61" s="159" t="s">
        <v>154</v>
      </c>
      <c r="I61" s="159" t="s">
        <v>39</v>
      </c>
      <c r="J61" s="158"/>
      <c r="K61" s="158">
        <v>11000000</v>
      </c>
      <c r="L61" s="2">
        <v>11000000</v>
      </c>
      <c r="M61" s="2">
        <f t="shared" si="50"/>
        <v>11386643</v>
      </c>
      <c r="N61" s="2"/>
      <c r="O61" s="2"/>
      <c r="P61" s="2">
        <v>1200000</v>
      </c>
      <c r="Q61" s="2">
        <f t="shared" si="51"/>
        <v>11473638</v>
      </c>
      <c r="R61" s="2">
        <f t="shared" si="52"/>
        <v>12777043</v>
      </c>
      <c r="S61" s="2">
        <v>1200000</v>
      </c>
      <c r="T61" s="2">
        <f t="shared" si="54"/>
        <v>1232491</v>
      </c>
      <c r="U61" s="3">
        <f t="shared" si="64"/>
        <v>0</v>
      </c>
      <c r="V61" s="3">
        <f t="shared" si="55"/>
        <v>12200000</v>
      </c>
      <c r="W61" s="2">
        <f t="shared" si="56"/>
        <v>1232491</v>
      </c>
      <c r="X61" s="2">
        <f t="shared" si="66"/>
        <v>12830192</v>
      </c>
      <c r="Y61" s="2">
        <f t="shared" si="57"/>
        <v>924368</v>
      </c>
      <c r="Z61" s="4">
        <f t="shared" si="58"/>
        <v>12200000</v>
      </c>
      <c r="AA61" s="2">
        <f t="shared" si="59"/>
        <v>13010899</v>
      </c>
      <c r="AB61" s="2">
        <f t="shared" si="60"/>
        <v>927564</v>
      </c>
      <c r="AC61" s="2">
        <f t="shared" si="61"/>
        <v>13287274</v>
      </c>
      <c r="AD61" s="2">
        <f t="shared" si="62"/>
        <v>944342</v>
      </c>
      <c r="AE61" s="4">
        <f t="shared" si="63"/>
        <v>14231616</v>
      </c>
      <c r="AF61" s="118" t="s">
        <v>238</v>
      </c>
      <c r="AG61" s="118">
        <v>13000000</v>
      </c>
      <c r="AH61" s="118" t="s">
        <v>238</v>
      </c>
      <c r="AI61" s="118">
        <v>2670000</v>
      </c>
      <c r="AJ61" s="118">
        <f t="shared" si="65"/>
        <v>15670000</v>
      </c>
      <c r="AK61" s="159"/>
    </row>
    <row r="62" spans="1:38" x14ac:dyDescent="0.2">
      <c r="D62" s="157" t="s">
        <v>131</v>
      </c>
      <c r="E62" s="1">
        <v>70701</v>
      </c>
      <c r="F62" s="1" t="s">
        <v>94</v>
      </c>
      <c r="G62" s="1" t="s">
        <v>95</v>
      </c>
      <c r="H62" s="1" t="s">
        <v>142</v>
      </c>
      <c r="I62" s="1" t="s">
        <v>24</v>
      </c>
      <c r="J62" s="158">
        <v>6487962.9629629636</v>
      </c>
      <c r="K62" s="158">
        <v>6487962.9629629636</v>
      </c>
      <c r="L62" s="2">
        <f>ROUND(J62,0)</f>
        <v>6487963</v>
      </c>
      <c r="M62" s="2">
        <f t="shared" si="50"/>
        <v>6716011</v>
      </c>
      <c r="N62" s="2">
        <v>475308.64197530865</v>
      </c>
      <c r="O62" s="2"/>
      <c r="P62" s="2">
        <v>475308.64197530865</v>
      </c>
      <c r="Q62" s="2">
        <f t="shared" si="51"/>
        <v>6767322</v>
      </c>
      <c r="R62" s="2">
        <f t="shared" si="52"/>
        <v>7536090</v>
      </c>
      <c r="S62" s="2">
        <f>ROUND(N62,0)</f>
        <v>475309</v>
      </c>
      <c r="T62" s="2">
        <f t="shared" si="54"/>
        <v>488178</v>
      </c>
      <c r="U62" s="3">
        <f t="shared" si="64"/>
        <v>6963271.6049382724</v>
      </c>
      <c r="V62" s="3">
        <f t="shared" si="55"/>
        <v>6963271.6049382724</v>
      </c>
      <c r="W62" s="2">
        <f t="shared" si="56"/>
        <v>488178</v>
      </c>
      <c r="X62" s="2">
        <f t="shared" si="66"/>
        <v>7567438</v>
      </c>
      <c r="Y62" s="2">
        <f t="shared" si="57"/>
        <v>366134</v>
      </c>
      <c r="Z62" s="4">
        <f t="shared" si="58"/>
        <v>6963272</v>
      </c>
      <c r="AA62" s="2">
        <f t="shared" si="59"/>
        <v>7674022</v>
      </c>
      <c r="AB62" s="2">
        <f t="shared" si="60"/>
        <v>367400</v>
      </c>
      <c r="AC62" s="2">
        <f t="shared" si="61"/>
        <v>7837032</v>
      </c>
      <c r="AD62" s="2">
        <f t="shared" si="62"/>
        <v>374045</v>
      </c>
      <c r="AE62" s="4">
        <f t="shared" si="63"/>
        <v>8211077</v>
      </c>
      <c r="AF62" s="118" t="s">
        <v>238</v>
      </c>
      <c r="AG62" s="118">
        <v>5150000</v>
      </c>
      <c r="AH62" s="118" t="s">
        <v>238</v>
      </c>
      <c r="AI62" s="118">
        <v>1210000</v>
      </c>
      <c r="AJ62" s="118">
        <f t="shared" si="65"/>
        <v>6360000</v>
      </c>
      <c r="AK62" s="159"/>
    </row>
    <row r="63" spans="1:38" x14ac:dyDescent="0.2">
      <c r="D63" s="213" t="s">
        <v>132</v>
      </c>
      <c r="E63" s="1">
        <v>20201</v>
      </c>
      <c r="F63" s="1" t="s">
        <v>96</v>
      </c>
      <c r="G63" s="159" t="s">
        <v>97</v>
      </c>
      <c r="H63" s="159" t="s">
        <v>141</v>
      </c>
      <c r="I63" s="159" t="s">
        <v>24</v>
      </c>
      <c r="J63" s="158">
        <v>540901.23456790124</v>
      </c>
      <c r="K63" s="158">
        <v>540901.23456790124</v>
      </c>
      <c r="L63" s="2">
        <f>ROUND(J63,0)</f>
        <v>540901</v>
      </c>
      <c r="M63" s="2">
        <f t="shared" si="50"/>
        <v>559913</v>
      </c>
      <c r="N63" s="2">
        <v>35172.839506172837</v>
      </c>
      <c r="O63" s="2">
        <v>0</v>
      </c>
      <c r="P63" s="2">
        <v>35172.839506172837</v>
      </c>
      <c r="Q63" s="2">
        <f t="shared" si="51"/>
        <v>564191</v>
      </c>
      <c r="R63" s="2">
        <f t="shared" si="52"/>
        <v>628283</v>
      </c>
      <c r="S63" s="2">
        <f>ROUND(N63,0)</f>
        <v>35173</v>
      </c>
      <c r="T63" s="2">
        <f t="shared" si="54"/>
        <v>36125</v>
      </c>
      <c r="U63" s="3">
        <f t="shared" si="64"/>
        <v>576074.07407407404</v>
      </c>
      <c r="V63" s="3">
        <f t="shared" si="55"/>
        <v>576074.07407407404</v>
      </c>
      <c r="W63" s="2">
        <f t="shared" si="56"/>
        <v>36125</v>
      </c>
      <c r="X63" s="2">
        <f t="shared" si="66"/>
        <v>630896</v>
      </c>
      <c r="Y63" s="2">
        <f t="shared" si="57"/>
        <v>27094</v>
      </c>
      <c r="Z63" s="4">
        <f t="shared" si="58"/>
        <v>576074</v>
      </c>
      <c r="AA63" s="2">
        <f t="shared" si="59"/>
        <v>639782</v>
      </c>
      <c r="AB63" s="2">
        <f t="shared" si="60"/>
        <v>27188</v>
      </c>
      <c r="AC63" s="2">
        <f t="shared" si="61"/>
        <v>653372</v>
      </c>
      <c r="AD63" s="2">
        <f t="shared" si="62"/>
        <v>27680</v>
      </c>
      <c r="AE63" s="4">
        <f t="shared" si="63"/>
        <v>681052</v>
      </c>
      <c r="AF63" s="118" t="s">
        <v>226</v>
      </c>
      <c r="AG63" s="118">
        <v>650000</v>
      </c>
      <c r="AH63" s="118" t="s">
        <v>226</v>
      </c>
      <c r="AI63" s="118">
        <v>91000</v>
      </c>
      <c r="AJ63" s="118">
        <f t="shared" si="65"/>
        <v>741000</v>
      </c>
      <c r="AK63" s="159"/>
    </row>
    <row r="64" spans="1:38" ht="12.75" thickBot="1" x14ac:dyDescent="0.25">
      <c r="D64" s="193"/>
      <c r="E64" s="214"/>
      <c r="F64" s="194"/>
      <c r="G64" s="214"/>
      <c r="H64" s="214"/>
      <c r="I64" s="214"/>
      <c r="J64" s="215">
        <f>SUM(J54:J63)</f>
        <v>18055074.074074075</v>
      </c>
      <c r="K64" s="215">
        <f>SUM(K54:K63)</f>
        <v>29055074.074074075</v>
      </c>
      <c r="L64" s="216">
        <f>SUM(L54:L63)</f>
        <v>29055074</v>
      </c>
      <c r="M64" s="217">
        <f>SUM(M54:M63)</f>
        <v>30076342</v>
      </c>
      <c r="N64" s="216">
        <f>SUM(N54:N63)</f>
        <v>1644567.9012345679</v>
      </c>
      <c r="O64" s="196">
        <v>0</v>
      </c>
      <c r="P64" s="217">
        <f t="shared" ref="P64:AE64" si="67">SUM(P54:P63)</f>
        <v>2844567.9012345686</v>
      </c>
      <c r="Q64" s="217">
        <f t="shared" si="67"/>
        <v>30306129</v>
      </c>
      <c r="R64" s="217">
        <f t="shared" si="67"/>
        <v>33748906</v>
      </c>
      <c r="S64" s="217">
        <f t="shared" si="67"/>
        <v>2844569</v>
      </c>
      <c r="T64" s="217">
        <f t="shared" si="67"/>
        <v>2921587</v>
      </c>
      <c r="U64" s="218">
        <f t="shared" si="67"/>
        <v>19699641.975308642</v>
      </c>
      <c r="V64" s="218">
        <f t="shared" si="67"/>
        <v>31899641.975308646</v>
      </c>
      <c r="W64" s="217">
        <f t="shared" si="67"/>
        <v>2921587</v>
      </c>
      <c r="X64" s="217">
        <f t="shared" si="67"/>
        <v>33761234</v>
      </c>
      <c r="Y64" s="217">
        <f t="shared" si="67"/>
        <v>2191191</v>
      </c>
      <c r="Z64" s="219">
        <f t="shared" si="67"/>
        <v>31899643</v>
      </c>
      <c r="AA64" s="217">
        <f t="shared" si="67"/>
        <v>34236745</v>
      </c>
      <c r="AB64" s="217">
        <f t="shared" si="67"/>
        <v>2198768</v>
      </c>
      <c r="AC64" s="217">
        <f t="shared" si="67"/>
        <v>34963995</v>
      </c>
      <c r="AD64" s="217">
        <f t="shared" si="67"/>
        <v>2438540</v>
      </c>
      <c r="AE64" s="217">
        <f t="shared" si="67"/>
        <v>37202535</v>
      </c>
      <c r="AF64" s="220"/>
      <c r="AG64" s="220">
        <f t="shared" ref="AG64" si="68">SUM(AG54:AG63)</f>
        <v>31938774</v>
      </c>
      <c r="AH64" s="220"/>
      <c r="AI64" s="220">
        <f t="shared" ref="AI64:AJ64" si="69">SUM(AI54:AI63)</f>
        <v>5565709</v>
      </c>
      <c r="AJ64" s="220">
        <f t="shared" si="69"/>
        <v>37504483</v>
      </c>
    </row>
    <row r="65" spans="1:38" ht="12.75" thickTop="1" x14ac:dyDescent="0.2">
      <c r="D65" s="221"/>
      <c r="E65" s="222"/>
      <c r="F65" s="223"/>
      <c r="G65" s="222"/>
      <c r="H65" s="222"/>
      <c r="I65" s="222"/>
      <c r="J65" s="224"/>
      <c r="K65" s="225"/>
      <c r="L65" s="226"/>
      <c r="M65" s="226"/>
      <c r="N65" s="227"/>
      <c r="O65" s="227"/>
      <c r="P65" s="227"/>
      <c r="Q65" s="226"/>
      <c r="R65" s="226"/>
      <c r="S65" s="227"/>
      <c r="T65" s="227"/>
      <c r="U65" s="228"/>
      <c r="V65" s="229"/>
      <c r="W65" s="227"/>
      <c r="X65" s="226"/>
      <c r="Y65" s="227"/>
      <c r="Z65" s="230"/>
      <c r="AA65" s="227"/>
      <c r="AB65" s="227"/>
      <c r="AC65" s="227"/>
      <c r="AD65" s="227"/>
      <c r="AE65" s="230"/>
      <c r="AF65" s="24"/>
      <c r="AG65" s="24"/>
      <c r="AH65" s="24"/>
      <c r="AI65" s="24"/>
      <c r="AJ65" s="24"/>
    </row>
    <row r="66" spans="1:38" s="242" customFormat="1" ht="12.75" thickBot="1" x14ac:dyDescent="0.25">
      <c r="A66" s="231"/>
      <c r="B66" s="231"/>
      <c r="C66" s="231"/>
      <c r="D66" s="232" t="s">
        <v>98</v>
      </c>
      <c r="E66" s="233"/>
      <c r="F66" s="232" t="s">
        <v>98</v>
      </c>
      <c r="G66" s="234"/>
      <c r="H66" s="234"/>
      <c r="I66" s="234"/>
      <c r="J66" s="235">
        <f>SUM(J51+J64)</f>
        <v>46182888.888888896</v>
      </c>
      <c r="K66" s="235">
        <f>SUM(K51+K64)</f>
        <v>57182888.888888896</v>
      </c>
      <c r="L66" s="236">
        <f>SUM(L51+L64)</f>
        <v>57293309</v>
      </c>
      <c r="M66" s="217">
        <f>M51+M64</f>
        <v>59307135</v>
      </c>
      <c r="N66" s="236">
        <f>SUM(N51+N64)</f>
        <v>6872012.3456790121</v>
      </c>
      <c r="O66" s="196"/>
      <c r="P66" s="237">
        <f t="shared" ref="P66:AJ66" si="70">P51+P64</f>
        <v>8072012.3456790131</v>
      </c>
      <c r="Q66" s="217">
        <f t="shared" si="70"/>
        <v>62473086</v>
      </c>
      <c r="R66" s="217">
        <f t="shared" si="70"/>
        <v>66659154</v>
      </c>
      <c r="S66" s="237">
        <f t="shared" si="70"/>
        <v>8505765</v>
      </c>
      <c r="T66" s="237">
        <f t="shared" si="70"/>
        <v>8168280</v>
      </c>
      <c r="U66" s="238">
        <f t="shared" si="70"/>
        <v>51834308.641975313</v>
      </c>
      <c r="V66" s="238">
        <f t="shared" si="70"/>
        <v>64034308.641975313</v>
      </c>
      <c r="W66" s="237">
        <f t="shared" si="70"/>
        <v>6077820</v>
      </c>
      <c r="X66" s="217">
        <f t="shared" si="70"/>
        <v>66939129</v>
      </c>
      <c r="Y66" s="237">
        <f t="shared" si="70"/>
        <v>5326567</v>
      </c>
      <c r="Z66" s="239">
        <f t="shared" si="70"/>
        <v>65799074</v>
      </c>
      <c r="AA66" s="237">
        <f t="shared" si="70"/>
        <v>69786690</v>
      </c>
      <c r="AB66" s="237">
        <f t="shared" si="70"/>
        <v>5641840</v>
      </c>
      <c r="AC66" s="237">
        <f t="shared" si="70"/>
        <v>71465918</v>
      </c>
      <c r="AD66" s="237">
        <f t="shared" si="70"/>
        <v>5943891</v>
      </c>
      <c r="AE66" s="239">
        <f t="shared" si="70"/>
        <v>77209809</v>
      </c>
      <c r="AF66" s="240"/>
      <c r="AG66" s="240">
        <f t="shared" si="70"/>
        <v>68863882</v>
      </c>
      <c r="AH66" s="240"/>
      <c r="AI66" s="240">
        <f t="shared" si="70"/>
        <v>8976182</v>
      </c>
      <c r="AJ66" s="240">
        <f t="shared" si="70"/>
        <v>77840064</v>
      </c>
      <c r="AK66" s="241"/>
    </row>
    <row r="67" spans="1:38" ht="12.75" thickTop="1" x14ac:dyDescent="0.2"/>
    <row r="68" spans="1:38" x14ac:dyDescent="0.2">
      <c r="F68" s="245"/>
    </row>
    <row r="69" spans="1:38" x14ac:dyDescent="0.2">
      <c r="D69" s="243" t="s">
        <v>23</v>
      </c>
      <c r="F69" s="245" t="s">
        <v>99</v>
      </c>
      <c r="U69" s="174">
        <v>3000000</v>
      </c>
      <c r="V69" s="174">
        <v>3000000</v>
      </c>
      <c r="Z69" s="175">
        <v>3000000</v>
      </c>
      <c r="AE69" s="175">
        <v>3000000</v>
      </c>
      <c r="AJ69" s="244">
        <v>3000000</v>
      </c>
      <c r="AK69" s="200" t="s">
        <v>0</v>
      </c>
    </row>
    <row r="70" spans="1:38" x14ac:dyDescent="0.2">
      <c r="D70" s="243" t="s">
        <v>23</v>
      </c>
      <c r="F70" s="245" t="s">
        <v>254</v>
      </c>
      <c r="M70" s="246"/>
      <c r="O70" s="8"/>
      <c r="P70" s="8"/>
      <c r="Q70" s="8"/>
      <c r="R70" s="8"/>
      <c r="S70" s="8"/>
      <c r="T70" s="8"/>
      <c r="U70" s="79"/>
      <c r="V70" s="79"/>
      <c r="W70" s="79"/>
      <c r="X70" s="79"/>
      <c r="Y70" s="79"/>
      <c r="Z70" s="80"/>
      <c r="AA70" s="80"/>
      <c r="AB70" s="80"/>
      <c r="AC70" s="80"/>
      <c r="AD70" s="80"/>
      <c r="AE70" s="80"/>
      <c r="AF70" s="63"/>
      <c r="AG70" s="63"/>
      <c r="AH70" s="63"/>
      <c r="AI70" s="63"/>
      <c r="AJ70" s="63"/>
    </row>
    <row r="71" spans="1:38" ht="12.75" thickBot="1" x14ac:dyDescent="0.25">
      <c r="O71" s="8"/>
      <c r="P71" s="8"/>
      <c r="Q71" s="8"/>
      <c r="R71" s="8"/>
      <c r="S71" s="8"/>
      <c r="T71" s="8"/>
      <c r="U71" s="9" t="e">
        <f>SUM(U66+U69+#REF!)</f>
        <v>#REF!</v>
      </c>
      <c r="V71" s="9">
        <f>SUM(V66+V69)</f>
        <v>67034308.641975313</v>
      </c>
      <c r="W71" s="9"/>
      <c r="X71" s="9"/>
      <c r="Y71" s="9"/>
      <c r="Z71" s="10">
        <f>Z66+Z69</f>
        <v>68799074</v>
      </c>
      <c r="AA71" s="10"/>
      <c r="AB71" s="10"/>
      <c r="AC71" s="10"/>
      <c r="AD71" s="10"/>
      <c r="AE71" s="247">
        <f>SUM(AE66+AE69)</f>
        <v>80209809</v>
      </c>
      <c r="AF71" s="25"/>
      <c r="AG71" s="25"/>
      <c r="AH71" s="25"/>
      <c r="AI71" s="25"/>
      <c r="AJ71" s="248">
        <f>AJ66+AJ69</f>
        <v>80840064</v>
      </c>
      <c r="AK71" s="200" t="s">
        <v>0</v>
      </c>
    </row>
    <row r="72" spans="1:38" ht="12.75" thickTop="1" x14ac:dyDescent="0.2"/>
    <row r="76" spans="1:38" x14ac:dyDescent="0.2">
      <c r="D76" s="243" t="s">
        <v>255</v>
      </c>
    </row>
    <row r="77" spans="1:38" s="249" customFormat="1" ht="48" x14ac:dyDescent="0.2">
      <c r="B77" s="250" t="s">
        <v>256</v>
      </c>
      <c r="D77" s="251" t="s">
        <v>243</v>
      </c>
      <c r="E77" s="252"/>
      <c r="F77" s="252" t="s">
        <v>194</v>
      </c>
      <c r="G77" s="252" t="s">
        <v>192</v>
      </c>
      <c r="H77" s="252" t="s">
        <v>193</v>
      </c>
      <c r="I77" s="252" t="s">
        <v>39</v>
      </c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4"/>
      <c r="V77" s="254"/>
      <c r="W77" s="254"/>
      <c r="X77" s="254"/>
      <c r="Y77" s="254"/>
      <c r="Z77" s="255"/>
      <c r="AA77" s="255">
        <v>350000</v>
      </c>
      <c r="AB77" s="255"/>
      <c r="AC77" s="255">
        <v>350000</v>
      </c>
      <c r="AD77" s="255"/>
      <c r="AE77" s="255"/>
      <c r="AF77" s="256" t="s">
        <v>244</v>
      </c>
      <c r="AG77" s="257">
        <v>350000</v>
      </c>
      <c r="AH77" s="257"/>
      <c r="AI77" s="257">
        <v>0</v>
      </c>
      <c r="AJ77" s="257">
        <f>AG77+AI77</f>
        <v>350000</v>
      </c>
      <c r="AK77" s="252" t="s">
        <v>203</v>
      </c>
      <c r="AL77" s="249" t="s">
        <v>195</v>
      </c>
    </row>
    <row r="78" spans="1:38" s="269" customFormat="1" ht="24" x14ac:dyDescent="0.2">
      <c r="A78" s="258"/>
      <c r="B78" s="250" t="s">
        <v>257</v>
      </c>
      <c r="C78" s="249"/>
      <c r="D78" s="259" t="s">
        <v>31</v>
      </c>
      <c r="E78" s="260">
        <v>30201</v>
      </c>
      <c r="F78" s="261" t="s">
        <v>258</v>
      </c>
      <c r="G78" s="262" t="s">
        <v>259</v>
      </c>
      <c r="H78" s="262" t="s">
        <v>260</v>
      </c>
      <c r="I78" s="262" t="s">
        <v>24</v>
      </c>
      <c r="J78" s="263">
        <v>1430679.0123456791</v>
      </c>
      <c r="K78" s="263">
        <v>1430679.0123456791</v>
      </c>
      <c r="L78" s="264">
        <f>ROUND(J78,0)</f>
        <v>1430679</v>
      </c>
      <c r="M78" s="264">
        <f>ROUND(L78/113.8*117.8,0)</f>
        <v>1480966</v>
      </c>
      <c r="N78" s="264">
        <v>408765.43209876545</v>
      </c>
      <c r="O78" s="264">
        <v>0</v>
      </c>
      <c r="P78" s="264">
        <v>408765.43209876545</v>
      </c>
      <c r="Q78" s="264">
        <f>ROUND(M78/117.8*118.7,0)</f>
        <v>1492281</v>
      </c>
      <c r="R78" s="264">
        <f>ROUND(Q78*11.36%+Q78,0)</f>
        <v>1661804</v>
      </c>
      <c r="S78" s="264">
        <f>ROUND(N78,0)</f>
        <v>408765</v>
      </c>
      <c r="T78" s="264">
        <f>ROUND(P78/110.8*113.8,0)</f>
        <v>419833</v>
      </c>
      <c r="U78" s="265">
        <f>J78+N78</f>
        <v>1839444.4444444445</v>
      </c>
      <c r="V78" s="265">
        <f>K78+P78</f>
        <v>1839444.4444444445</v>
      </c>
      <c r="W78" s="264">
        <f>ROUND(T78/113.8*113.8,0)</f>
        <v>419833</v>
      </c>
      <c r="X78" s="264">
        <f>ROUND(R78/120.2*120.7,0)</f>
        <v>1668717</v>
      </c>
      <c r="Y78" s="264">
        <f>ROUND(W78-W78*25%,0)</f>
        <v>314875</v>
      </c>
      <c r="Z78" s="266">
        <f>L78+S78</f>
        <v>1839444</v>
      </c>
      <c r="AA78" s="264">
        <f>ROUND(X78/120.7*122.4,0)</f>
        <v>1692220</v>
      </c>
      <c r="AB78" s="264">
        <v>0</v>
      </c>
      <c r="AC78" s="264">
        <v>0</v>
      </c>
      <c r="AD78" s="264"/>
      <c r="AE78" s="266">
        <v>1728166</v>
      </c>
      <c r="AF78" s="267"/>
      <c r="AG78" s="267"/>
      <c r="AH78" s="267"/>
      <c r="AI78" s="267"/>
      <c r="AJ78" s="267"/>
      <c r="AK78" s="268" t="s">
        <v>261</v>
      </c>
      <c r="AL78" s="258"/>
    </row>
    <row r="79" spans="1:38" s="269" customFormat="1" ht="24" x14ac:dyDescent="0.2">
      <c r="A79" s="269" t="s">
        <v>262</v>
      </c>
      <c r="B79" s="270" t="s">
        <v>257</v>
      </c>
      <c r="C79" s="271" t="s">
        <v>263</v>
      </c>
      <c r="D79" s="272" t="s">
        <v>117</v>
      </c>
      <c r="E79" s="273">
        <v>30203</v>
      </c>
      <c r="F79" s="273" t="s">
        <v>264</v>
      </c>
      <c r="G79" s="274" t="s">
        <v>265</v>
      </c>
      <c r="H79" s="274" t="s">
        <v>260</v>
      </c>
      <c r="I79" s="274" t="s">
        <v>24</v>
      </c>
      <c r="J79" s="275">
        <v>493370.37037037039</v>
      </c>
      <c r="K79" s="275">
        <v>493370.37037037039</v>
      </c>
      <c r="L79" s="276">
        <f>ROUND(J79,0)</f>
        <v>493370</v>
      </c>
      <c r="M79" s="276">
        <f>ROUND(L79/113.8*117.8,0)</f>
        <v>510712</v>
      </c>
      <c r="N79" s="276">
        <v>382148.14814814815</v>
      </c>
      <c r="O79" s="276">
        <v>0</v>
      </c>
      <c r="P79" s="276">
        <v>382148.14814814815</v>
      </c>
      <c r="Q79" s="276">
        <f>ROUND(M79/117.8*118.7,0)</f>
        <v>514614</v>
      </c>
      <c r="R79" s="276">
        <f>ROUND(Q79*11.36%+Q79,0)</f>
        <v>573074</v>
      </c>
      <c r="S79" s="276">
        <f>ROUND(N79,0)</f>
        <v>382148</v>
      </c>
      <c r="T79" s="276">
        <v>0</v>
      </c>
      <c r="U79" s="277"/>
      <c r="V79" s="277"/>
      <c r="W79" s="276"/>
      <c r="X79" s="276">
        <f>ROUND(R79/120.2*120.7,0)</f>
        <v>575458</v>
      </c>
      <c r="Y79" s="276"/>
      <c r="Z79" s="278">
        <f>L79+S79</f>
        <v>875518</v>
      </c>
      <c r="AA79" s="276">
        <f>ROUND(X79/120.7*122.4,0)</f>
        <v>583563</v>
      </c>
      <c r="AB79" s="276">
        <f>ROUND(Y79/115.7*116.1,0)</f>
        <v>0</v>
      </c>
      <c r="AC79" s="276">
        <v>0</v>
      </c>
      <c r="AD79" s="276"/>
      <c r="AE79" s="278">
        <v>595959</v>
      </c>
      <c r="AF79" s="279"/>
      <c r="AG79" s="279"/>
      <c r="AH79" s="279"/>
      <c r="AI79" s="279"/>
      <c r="AJ79" s="279"/>
      <c r="AK79" s="252" t="s">
        <v>261</v>
      </c>
    </row>
    <row r="80" spans="1:38" s="258" customFormat="1" x14ac:dyDescent="0.2">
      <c r="B80" s="250" t="s">
        <v>266</v>
      </c>
      <c r="C80" s="249"/>
      <c r="D80" s="272" t="s">
        <v>267</v>
      </c>
      <c r="E80" s="280">
        <v>16101</v>
      </c>
      <c r="F80" s="280" t="s">
        <v>268</v>
      </c>
      <c r="G80" s="252" t="s">
        <v>269</v>
      </c>
      <c r="H80" s="274" t="s">
        <v>143</v>
      </c>
      <c r="I80" s="252" t="s">
        <v>43</v>
      </c>
      <c r="J80" s="263">
        <v>2432629.6296296292</v>
      </c>
      <c r="K80" s="263">
        <v>2432629.6296296292</v>
      </c>
      <c r="L80" s="276">
        <f>ROUND(J80,0)</f>
        <v>2432630</v>
      </c>
      <c r="M80" s="276">
        <f>ROUND(L80/113.8*117.8,0)</f>
        <v>2518135</v>
      </c>
      <c r="N80" s="276">
        <v>0</v>
      </c>
      <c r="O80" s="276">
        <v>0</v>
      </c>
      <c r="P80" s="276">
        <v>0</v>
      </c>
      <c r="Q80" s="276">
        <f>ROUND(M80/117.8*118.7,0)</f>
        <v>2537374</v>
      </c>
      <c r="R80" s="276">
        <f>ROUND(Q80*11.36%+Q80,0)</f>
        <v>2825620</v>
      </c>
      <c r="S80" s="276">
        <f>ROUND(N80,0)</f>
        <v>0</v>
      </c>
      <c r="T80" s="276">
        <f>ROUND(P80/110.8*113.8,0)</f>
        <v>0</v>
      </c>
      <c r="U80" s="277">
        <f>J80+N80</f>
        <v>2432629.6296296292</v>
      </c>
      <c r="V80" s="277">
        <f>K80+P80</f>
        <v>2432629.6296296292</v>
      </c>
      <c r="W80" s="276"/>
      <c r="X80" s="276">
        <f>ROUND(R80/120.2*120.7,0)</f>
        <v>2837374</v>
      </c>
      <c r="Y80" s="276"/>
      <c r="Z80" s="278">
        <f>L80+S80</f>
        <v>2432630</v>
      </c>
      <c r="AA80" s="276">
        <f>ROUND(X80/120.7*122.4,0)</f>
        <v>2877337</v>
      </c>
      <c r="AB80" s="276">
        <f>ROUND(Y80/115.7*116.1,0)</f>
        <v>0</v>
      </c>
      <c r="AC80" s="276">
        <v>0</v>
      </c>
      <c r="AD80" s="276"/>
      <c r="AE80" s="278">
        <v>2938457</v>
      </c>
      <c r="AF80" s="279"/>
      <c r="AG80" s="279"/>
      <c r="AH80" s="279"/>
      <c r="AI80" s="279"/>
      <c r="AJ80" s="279"/>
      <c r="AK80" s="281" t="s">
        <v>270</v>
      </c>
    </row>
    <row r="81" spans="2:38" s="258" customFormat="1" ht="48" x14ac:dyDescent="0.2">
      <c r="B81" s="250" t="s">
        <v>256</v>
      </c>
      <c r="C81" s="249"/>
      <c r="D81" s="282" t="s">
        <v>125</v>
      </c>
      <c r="E81" s="283"/>
      <c r="F81" s="283" t="s">
        <v>76</v>
      </c>
      <c r="G81" s="284"/>
      <c r="H81" s="283"/>
      <c r="I81" s="283" t="s">
        <v>24</v>
      </c>
      <c r="J81" s="263">
        <v>203432.09876543214</v>
      </c>
      <c r="K81" s="263">
        <v>203432.09876543214</v>
      </c>
      <c r="L81" s="285">
        <f t="shared" ref="L81" si="71">ROUND(J81,0)</f>
        <v>203432</v>
      </c>
      <c r="M81" s="285">
        <f t="shared" ref="M81" si="72">ROUND(L81/113.8*117.8,0)</f>
        <v>210583</v>
      </c>
      <c r="N81" s="285">
        <v>0</v>
      </c>
      <c r="O81" s="285">
        <v>0</v>
      </c>
      <c r="P81" s="285">
        <v>0</v>
      </c>
      <c r="Q81" s="285">
        <f>ROUND(M81/117.8*118.7,0)</f>
        <v>212192</v>
      </c>
      <c r="R81" s="285">
        <f>ROUND(Q81*11.36%+Q81,0)</f>
        <v>236297</v>
      </c>
      <c r="S81" s="285">
        <f t="shared" ref="S81" si="73">ROUND(N81,0)</f>
        <v>0</v>
      </c>
      <c r="T81" s="285">
        <f>ROUND(P81/110.8*113.8,0)</f>
        <v>0</v>
      </c>
      <c r="U81" s="286">
        <f>J81+N81</f>
        <v>203432.09876543214</v>
      </c>
      <c r="V81" s="286">
        <f>K81+P81</f>
        <v>203432.09876543214</v>
      </c>
      <c r="W81" s="285"/>
      <c r="X81" s="285">
        <f t="shared" ref="X81" si="74">ROUND(R81/120.2*120.7,0)</f>
        <v>237280</v>
      </c>
      <c r="Y81" s="285"/>
      <c r="Z81" s="287">
        <f t="shared" ref="Z81" si="75">L81+S81</f>
        <v>203432</v>
      </c>
      <c r="AA81" s="285">
        <f>ROUND(X81/120.7*122.4,0)</f>
        <v>240622</v>
      </c>
      <c r="AB81" s="285">
        <f t="shared" ref="AB81" si="76">ROUND(Y81/115.7*116.1,0)</f>
        <v>0</v>
      </c>
      <c r="AC81" s="285">
        <f t="shared" ref="AC81" si="77">ROUND(AA81/122.4*125,0)</f>
        <v>245733</v>
      </c>
      <c r="AD81" s="285">
        <f t="shared" ref="AD81" si="78">ROUND(AB81/116.1*118.2,0)</f>
        <v>0</v>
      </c>
      <c r="AE81" s="287">
        <f t="shared" ref="AE81" si="79">AC81+AD81</f>
        <v>245733</v>
      </c>
      <c r="AF81" s="288"/>
      <c r="AG81" s="288"/>
      <c r="AH81" s="288"/>
      <c r="AI81" s="288"/>
      <c r="AJ81" s="288"/>
      <c r="AK81" s="289" t="s">
        <v>271</v>
      </c>
    </row>
    <row r="82" spans="2:38" s="249" customFormat="1" ht="48" x14ac:dyDescent="0.2">
      <c r="B82" s="250" t="s">
        <v>256</v>
      </c>
      <c r="D82" s="251"/>
      <c r="E82" s="252"/>
      <c r="F82" s="252" t="s">
        <v>216</v>
      </c>
      <c r="G82" s="252" t="s">
        <v>215</v>
      </c>
      <c r="H82" s="252" t="s">
        <v>154</v>
      </c>
      <c r="I82" s="252" t="s">
        <v>39</v>
      </c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4"/>
      <c r="V82" s="254"/>
      <c r="W82" s="254"/>
      <c r="X82" s="254"/>
      <c r="Y82" s="254"/>
      <c r="Z82" s="255"/>
      <c r="AA82" s="255"/>
      <c r="AB82" s="255"/>
      <c r="AC82" s="255"/>
      <c r="AD82" s="255">
        <f>25000+175000</f>
        <v>200000</v>
      </c>
      <c r="AE82" s="255"/>
      <c r="AF82" s="257"/>
      <c r="AG82" s="257"/>
      <c r="AH82" s="257"/>
      <c r="AI82" s="257"/>
      <c r="AJ82" s="257"/>
      <c r="AK82" s="252" t="s">
        <v>217</v>
      </c>
    </row>
    <row r="83" spans="2:38" s="258" customFormat="1" ht="48" x14ac:dyDescent="0.2">
      <c r="B83" s="250" t="s">
        <v>256</v>
      </c>
      <c r="C83" s="249"/>
      <c r="D83" s="290"/>
      <c r="E83" s="280"/>
      <c r="F83" s="280" t="s">
        <v>218</v>
      </c>
      <c r="G83" s="291" t="s">
        <v>219</v>
      </c>
      <c r="H83" s="280" t="s">
        <v>220</v>
      </c>
      <c r="I83" s="280" t="s">
        <v>24</v>
      </c>
      <c r="J83" s="292">
        <v>203432.09876543214</v>
      </c>
      <c r="K83" s="292">
        <v>203432.09876543214</v>
      </c>
      <c r="L83" s="276">
        <f t="shared" ref="L83" si="80">ROUND(J83,0)</f>
        <v>203432</v>
      </c>
      <c r="M83" s="276">
        <f t="shared" ref="M83" si="81">ROUND(L83/113.8*117.8,0)</f>
        <v>210583</v>
      </c>
      <c r="N83" s="276">
        <v>0</v>
      </c>
      <c r="O83" s="276">
        <v>0</v>
      </c>
      <c r="P83" s="276">
        <v>0</v>
      </c>
      <c r="Q83" s="276">
        <f>ROUND(M83/117.8*118.7,0)</f>
        <v>212192</v>
      </c>
      <c r="R83" s="276">
        <f>ROUND(Q83*11.36%+Q83,0)</f>
        <v>236297</v>
      </c>
      <c r="S83" s="276">
        <f t="shared" ref="S83" si="82">ROUND(N83,0)</f>
        <v>0</v>
      </c>
      <c r="T83" s="276">
        <f>ROUND(P83/110.8*113.8,0)</f>
        <v>0</v>
      </c>
      <c r="U83" s="277">
        <f>J83+N83</f>
        <v>203432.09876543214</v>
      </c>
      <c r="V83" s="277">
        <f>K83+P83</f>
        <v>203432.09876543214</v>
      </c>
      <c r="W83" s="276"/>
      <c r="X83" s="276">
        <f t="shared" ref="X83" si="83">ROUND(R83/120.2*120.7,0)</f>
        <v>237280</v>
      </c>
      <c r="Y83" s="276"/>
      <c r="Z83" s="278">
        <f t="shared" ref="Z83" si="84">L83+S83</f>
        <v>203432</v>
      </c>
      <c r="AA83" s="276">
        <f>ROUND(X83/120.7*122.4,0)</f>
        <v>240622</v>
      </c>
      <c r="AB83" s="276">
        <f t="shared" ref="AB83" si="85">ROUND(Y83/115.7*116.1,0)</f>
        <v>0</v>
      </c>
      <c r="AC83" s="276">
        <v>740000</v>
      </c>
      <c r="AD83" s="276">
        <f t="shared" ref="AD83" si="86">ROUND(AB83/116.1*118.2,0)</f>
        <v>0</v>
      </c>
      <c r="AE83" s="278">
        <f t="shared" ref="AE83:AE84" si="87">AC83+AD83</f>
        <v>740000</v>
      </c>
      <c r="AF83" s="279"/>
      <c r="AG83" s="279"/>
      <c r="AH83" s="279"/>
      <c r="AI83" s="279"/>
      <c r="AJ83" s="279"/>
      <c r="AK83" s="252" t="s">
        <v>252</v>
      </c>
    </row>
    <row r="84" spans="2:38" s="249" customFormat="1" ht="48" x14ac:dyDescent="0.2">
      <c r="B84" s="250" t="s">
        <v>256</v>
      </c>
      <c r="D84" s="251"/>
      <c r="E84" s="252"/>
      <c r="F84" s="252" t="s">
        <v>221</v>
      </c>
      <c r="G84" s="252" t="s">
        <v>222</v>
      </c>
      <c r="H84" s="252" t="s">
        <v>223</v>
      </c>
      <c r="I84" s="252" t="s">
        <v>43</v>
      </c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4"/>
      <c r="V84" s="254"/>
      <c r="W84" s="254"/>
      <c r="X84" s="254"/>
      <c r="Y84" s="254"/>
      <c r="Z84" s="255"/>
      <c r="AA84" s="255"/>
      <c r="AB84" s="255"/>
      <c r="AC84" s="255">
        <v>60000</v>
      </c>
      <c r="AD84" s="255"/>
      <c r="AE84" s="278">
        <f t="shared" si="87"/>
        <v>60000</v>
      </c>
      <c r="AF84" s="279"/>
      <c r="AG84" s="279"/>
      <c r="AH84" s="279"/>
      <c r="AI84" s="279"/>
      <c r="AJ84" s="279"/>
      <c r="AK84" s="252" t="s">
        <v>224</v>
      </c>
    </row>
    <row r="85" spans="2:38" s="249" customFormat="1" ht="36" x14ac:dyDescent="0.2">
      <c r="B85" s="250" t="s">
        <v>272</v>
      </c>
      <c r="D85" s="272" t="s">
        <v>119</v>
      </c>
      <c r="E85" s="293">
        <v>20003</v>
      </c>
      <c r="F85" s="273" t="s">
        <v>273</v>
      </c>
      <c r="G85" s="274" t="s">
        <v>52</v>
      </c>
      <c r="H85" s="274" t="s">
        <v>149</v>
      </c>
      <c r="I85" s="274" t="s">
        <v>39</v>
      </c>
      <c r="J85" s="263">
        <v>957271.60493827157</v>
      </c>
      <c r="K85" s="263">
        <v>957271.60493827157</v>
      </c>
      <c r="L85" s="276">
        <f t="shared" ref="L85" si="88">ROUND(J85,0)</f>
        <v>957272</v>
      </c>
      <c r="M85" s="276">
        <f t="shared" ref="M85" si="89">ROUND(L85/113.8*117.8,0)</f>
        <v>990920</v>
      </c>
      <c r="N85" s="276">
        <v>23765.432098765432</v>
      </c>
      <c r="O85" s="276">
        <v>0</v>
      </c>
      <c r="P85" s="276">
        <v>23765.432098765432</v>
      </c>
      <c r="Q85" s="276">
        <f t="shared" ref="Q85" si="90">ROUND(M85/117.8*118.7,0)</f>
        <v>998491</v>
      </c>
      <c r="R85" s="276">
        <v>705000</v>
      </c>
      <c r="S85" s="276">
        <f t="shared" ref="S85" si="91">ROUND(N85,0)</f>
        <v>23765</v>
      </c>
      <c r="T85" s="276">
        <f>ROUND(P85/110.8*113.8,0)</f>
        <v>24409</v>
      </c>
      <c r="U85" s="277">
        <f>J85+N85</f>
        <v>981037.03703703696</v>
      </c>
      <c r="V85" s="277">
        <f>K85+P85</f>
        <v>981037.03703703696</v>
      </c>
      <c r="W85" s="276">
        <f>ROUND(T85/113.8*113.8,0)</f>
        <v>24409</v>
      </c>
      <c r="X85" s="294">
        <f>ROUND(R85/120.4*120.7,0)</f>
        <v>706757</v>
      </c>
      <c r="Y85" s="276">
        <v>18307</v>
      </c>
      <c r="Z85" s="278">
        <f t="shared" ref="Z85" si="92">L85+S85</f>
        <v>981037</v>
      </c>
      <c r="AA85" s="276">
        <v>860000</v>
      </c>
      <c r="AB85" s="278">
        <v>0</v>
      </c>
      <c r="AC85" s="276">
        <v>0</v>
      </c>
      <c r="AD85" s="276">
        <f t="shared" ref="AD85" si="93">ROUND(AB85/116.1*118.2,0)</f>
        <v>0</v>
      </c>
      <c r="AE85" s="278">
        <v>878268</v>
      </c>
      <c r="AF85" s="279"/>
      <c r="AG85" s="279"/>
      <c r="AH85" s="279"/>
      <c r="AI85" s="279"/>
      <c r="AJ85" s="279"/>
      <c r="AK85" s="252" t="s">
        <v>274</v>
      </c>
      <c r="AL85" s="249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0"/>
  <sheetViews>
    <sheetView topLeftCell="B1" workbookViewId="0">
      <selection activeCell="B10" sqref="A10:XFD10"/>
    </sheetView>
  </sheetViews>
  <sheetFormatPr defaultColWidth="15.28515625" defaultRowHeight="12" x14ac:dyDescent="0.2"/>
  <cols>
    <col min="1" max="1" width="32.7109375" style="50" hidden="1" customWidth="1"/>
    <col min="2" max="2" width="4.140625" style="50" customWidth="1"/>
    <col min="3" max="3" width="14.5703125" style="50" hidden="1" customWidth="1"/>
    <col min="4" max="4" width="17.28515625" style="64" customWidth="1"/>
    <col min="5" max="5" width="7.85546875" style="48" bestFit="1" customWidth="1"/>
    <col min="6" max="6" width="35.42578125" style="48" customWidth="1"/>
    <col min="7" max="7" width="20.7109375" style="48" bestFit="1" customWidth="1"/>
    <col min="8" max="8" width="11.5703125" style="48" bestFit="1" customWidth="1"/>
    <col min="9" max="9" width="14.140625" style="48" customWidth="1"/>
    <col min="10" max="11" width="16.7109375" style="8" hidden="1" customWidth="1"/>
    <col min="12" max="12" width="19.7109375" style="8" hidden="1" customWidth="1"/>
    <col min="13" max="13" width="19" style="8" hidden="1" customWidth="1"/>
    <col min="14" max="14" width="16.5703125" style="8" hidden="1" customWidth="1"/>
    <col min="15" max="15" width="13.85546875" style="8" hidden="1" customWidth="1"/>
    <col min="16" max="16" width="16.28515625" style="8" hidden="1" customWidth="1"/>
    <col min="17" max="18" width="19.140625" style="8" hidden="1" customWidth="1"/>
    <col min="19" max="20" width="17.7109375" style="8" hidden="1" customWidth="1"/>
    <col min="21" max="25" width="18.5703125" style="79" hidden="1" customWidth="1"/>
    <col min="26" max="28" width="19" style="80" hidden="1" customWidth="1"/>
    <col min="29" max="30" width="19" style="80" customWidth="1"/>
    <col min="31" max="31" width="16.85546875" style="80" bestFit="1" customWidth="1"/>
    <col min="32" max="34" width="16.85546875" style="80" customWidth="1"/>
    <col min="35" max="39" width="16.85546875" style="63" hidden="1" customWidth="1"/>
    <col min="40" max="40" width="36.7109375" style="48" hidden="1" customWidth="1"/>
    <col min="41" max="41" width="41.85546875" style="44" hidden="1" customWidth="1"/>
    <col min="42" max="42" width="15.28515625" style="44" hidden="1" customWidth="1"/>
    <col min="43" max="16384" width="15.28515625" style="44"/>
  </cols>
  <sheetData>
    <row r="1" spans="1:42" s="38" customFormat="1" ht="12" customHeight="1" x14ac:dyDescent="0.2">
      <c r="A1" s="35" t="s">
        <v>0</v>
      </c>
      <c r="B1" s="35"/>
      <c r="C1" s="35"/>
      <c r="D1" s="26" t="s">
        <v>204</v>
      </c>
      <c r="E1" s="101" t="s">
        <v>1</v>
      </c>
      <c r="F1" s="101" t="s">
        <v>2</v>
      </c>
      <c r="G1" s="101" t="s">
        <v>3</v>
      </c>
      <c r="H1" s="101" t="s">
        <v>134</v>
      </c>
      <c r="I1" s="101" t="s">
        <v>4</v>
      </c>
      <c r="J1" s="26" t="s">
        <v>5</v>
      </c>
      <c r="K1" s="26" t="s">
        <v>6</v>
      </c>
      <c r="L1" s="27" t="s">
        <v>7</v>
      </c>
      <c r="M1" s="27" t="s">
        <v>7</v>
      </c>
      <c r="N1" s="27" t="s">
        <v>8</v>
      </c>
      <c r="O1" s="27" t="s">
        <v>9</v>
      </c>
      <c r="P1" s="27" t="s">
        <v>10</v>
      </c>
      <c r="Q1" s="27" t="s">
        <v>7</v>
      </c>
      <c r="R1" s="27" t="s">
        <v>7</v>
      </c>
      <c r="S1" s="27" t="s">
        <v>11</v>
      </c>
      <c r="T1" s="27" t="s">
        <v>11</v>
      </c>
      <c r="U1" s="28" t="s">
        <v>12</v>
      </c>
      <c r="V1" s="28" t="s">
        <v>13</v>
      </c>
      <c r="W1" s="27" t="s">
        <v>11</v>
      </c>
      <c r="X1" s="27" t="s">
        <v>7</v>
      </c>
      <c r="Y1" s="27" t="s">
        <v>11</v>
      </c>
      <c r="Z1" s="36" t="s">
        <v>14</v>
      </c>
      <c r="AA1" s="27" t="s">
        <v>7</v>
      </c>
      <c r="AB1" s="27" t="s">
        <v>11</v>
      </c>
      <c r="AC1" s="100" t="s">
        <v>7</v>
      </c>
      <c r="AD1" s="100" t="s">
        <v>11</v>
      </c>
      <c r="AE1" s="97" t="s">
        <v>207</v>
      </c>
      <c r="AF1" s="100" t="s">
        <v>7</v>
      </c>
      <c r="AG1" s="100" t="s">
        <v>11</v>
      </c>
      <c r="AH1" s="97" t="s">
        <v>207</v>
      </c>
      <c r="AI1" s="37" t="s">
        <v>225</v>
      </c>
      <c r="AJ1" s="37"/>
      <c r="AK1" s="37" t="s">
        <v>225</v>
      </c>
      <c r="AL1" s="37"/>
      <c r="AM1" s="37"/>
      <c r="AN1" s="26" t="s">
        <v>183</v>
      </c>
    </row>
    <row r="2" spans="1:42" s="38" customFormat="1" x14ac:dyDescent="0.2">
      <c r="A2" s="35"/>
      <c r="B2" s="35"/>
      <c r="C2" s="35"/>
      <c r="D2" s="26" t="s">
        <v>205</v>
      </c>
      <c r="E2" s="102"/>
      <c r="F2" s="102"/>
      <c r="G2" s="102"/>
      <c r="H2" s="102"/>
      <c r="I2" s="102"/>
      <c r="J2" s="26"/>
      <c r="K2" s="26"/>
      <c r="L2" s="27" t="s">
        <v>15</v>
      </c>
      <c r="M2" s="27" t="s">
        <v>16</v>
      </c>
      <c r="N2" s="27"/>
      <c r="O2" s="27"/>
      <c r="P2" s="27"/>
      <c r="Q2" s="27" t="s">
        <v>17</v>
      </c>
      <c r="R2" s="27" t="s">
        <v>103</v>
      </c>
      <c r="S2" s="27" t="s">
        <v>15</v>
      </c>
      <c r="T2" s="27" t="s">
        <v>16</v>
      </c>
      <c r="U2" s="28"/>
      <c r="V2" s="28"/>
      <c r="W2" s="27" t="s">
        <v>17</v>
      </c>
      <c r="X2" s="27" t="s">
        <v>128</v>
      </c>
      <c r="Y2" s="27" t="s">
        <v>128</v>
      </c>
      <c r="Z2" s="27" t="s">
        <v>15</v>
      </c>
      <c r="AA2" s="27" t="s">
        <v>173</v>
      </c>
      <c r="AB2" s="27" t="s">
        <v>173</v>
      </c>
      <c r="AC2" s="98" t="s">
        <v>208</v>
      </c>
      <c r="AD2" s="98" t="s">
        <v>208</v>
      </c>
      <c r="AE2" s="98" t="s">
        <v>206</v>
      </c>
      <c r="AF2" s="98" t="s">
        <v>246</v>
      </c>
      <c r="AG2" s="98" t="s">
        <v>246</v>
      </c>
      <c r="AH2" s="98" t="s">
        <v>206</v>
      </c>
      <c r="AI2" s="27"/>
      <c r="AJ2" s="27"/>
      <c r="AK2" s="27"/>
      <c r="AL2" s="27"/>
      <c r="AM2" s="27"/>
      <c r="AN2" s="26"/>
    </row>
    <row r="3" spans="1:42" s="43" customFormat="1" x14ac:dyDescent="0.2">
      <c r="A3" s="39"/>
      <c r="B3" s="39"/>
      <c r="C3" s="39"/>
      <c r="D3" s="40"/>
      <c r="E3" s="103"/>
      <c r="F3" s="103"/>
      <c r="G3" s="103"/>
      <c r="H3" s="103"/>
      <c r="I3" s="103"/>
      <c r="J3" s="41"/>
      <c r="K3" s="41"/>
      <c r="L3" s="42" t="s">
        <v>18</v>
      </c>
      <c r="M3" s="42" t="s">
        <v>19</v>
      </c>
      <c r="N3" s="42"/>
      <c r="O3" s="42"/>
      <c r="P3" s="42"/>
      <c r="Q3" s="42" t="s">
        <v>20</v>
      </c>
      <c r="R3" s="42" t="s">
        <v>105</v>
      </c>
      <c r="S3" s="42" t="s">
        <v>18</v>
      </c>
      <c r="T3" s="42" t="s">
        <v>21</v>
      </c>
      <c r="U3" s="42"/>
      <c r="V3" s="42"/>
      <c r="W3" s="42" t="s">
        <v>21</v>
      </c>
      <c r="X3" s="42" t="s">
        <v>133</v>
      </c>
      <c r="Y3" s="42" t="s">
        <v>104</v>
      </c>
      <c r="Z3" s="42" t="s">
        <v>18</v>
      </c>
      <c r="AA3" s="42" t="s">
        <v>174</v>
      </c>
      <c r="AB3" s="42" t="s">
        <v>175</v>
      </c>
      <c r="AC3" s="99" t="s">
        <v>210</v>
      </c>
      <c r="AD3" s="99" t="s">
        <v>209</v>
      </c>
      <c r="AE3" s="99" t="s">
        <v>208</v>
      </c>
      <c r="AF3" s="99" t="s">
        <v>247</v>
      </c>
      <c r="AG3" s="99" t="s">
        <v>248</v>
      </c>
      <c r="AH3" s="99" t="s">
        <v>246</v>
      </c>
      <c r="AI3" s="42"/>
      <c r="AJ3" s="42" t="s">
        <v>227</v>
      </c>
      <c r="AK3" s="42"/>
      <c r="AL3" s="42" t="s">
        <v>228</v>
      </c>
      <c r="AM3" s="42" t="s">
        <v>237</v>
      </c>
      <c r="AN3" s="26"/>
    </row>
    <row r="4" spans="1:42" s="43" customFormat="1" x14ac:dyDescent="0.2">
      <c r="A4" s="39"/>
      <c r="B4" s="39"/>
      <c r="C4" s="39"/>
      <c r="D4" s="43" t="s">
        <v>22</v>
      </c>
      <c r="E4" s="90"/>
      <c r="F4" s="84" t="s">
        <v>22</v>
      </c>
      <c r="G4" s="85"/>
      <c r="H4" s="85"/>
      <c r="I4" s="85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/>
      <c r="V4" s="87"/>
      <c r="W4" s="87"/>
      <c r="X4" s="87"/>
      <c r="Y4" s="87"/>
      <c r="Z4" s="88"/>
      <c r="AA4" s="88"/>
      <c r="AB4" s="88"/>
      <c r="AC4" s="88"/>
      <c r="AD4" s="88"/>
      <c r="AE4" s="88"/>
      <c r="AF4" s="88"/>
      <c r="AG4" s="88"/>
      <c r="AH4" s="89"/>
      <c r="AI4" s="22"/>
      <c r="AJ4" s="22"/>
      <c r="AK4" s="22"/>
      <c r="AL4" s="22"/>
      <c r="AM4" s="22"/>
      <c r="AN4" s="38"/>
    </row>
    <row r="5" spans="1:42" x14ac:dyDescent="0.2">
      <c r="A5" s="44"/>
      <c r="B5" s="44"/>
      <c r="C5" s="44"/>
      <c r="D5" s="45" t="s">
        <v>118</v>
      </c>
      <c r="E5" s="5">
        <v>30601</v>
      </c>
      <c r="F5" s="5" t="s">
        <v>44</v>
      </c>
      <c r="G5" s="6" t="s">
        <v>45</v>
      </c>
      <c r="H5" s="6" t="s">
        <v>137</v>
      </c>
      <c r="I5" s="6" t="s">
        <v>24</v>
      </c>
      <c r="J5" s="2">
        <v>68444.444444444453</v>
      </c>
      <c r="K5" s="2">
        <v>68444.444444444453</v>
      </c>
      <c r="L5" s="2">
        <f>ROUND(J5,0)</f>
        <v>68444</v>
      </c>
      <c r="M5" s="2">
        <f>ROUND(L5/113.8*117.8,0)</f>
        <v>70850</v>
      </c>
      <c r="N5" s="2">
        <v>0</v>
      </c>
      <c r="O5" s="2">
        <v>0</v>
      </c>
      <c r="P5" s="2">
        <v>0</v>
      </c>
      <c r="Q5" s="2">
        <f>ROUND(M5/117.8*118.7,0)</f>
        <v>71391</v>
      </c>
      <c r="R5" s="2">
        <f>ROUND(Q5*11.36%+Q5,0)</f>
        <v>79501</v>
      </c>
      <c r="S5" s="2">
        <f>ROUND(N5,0)</f>
        <v>0</v>
      </c>
      <c r="T5" s="2">
        <f t="shared" ref="T5:T11" si="0">ROUND(P5/110.8*113.8,0)</f>
        <v>0</v>
      </c>
      <c r="U5" s="3">
        <f t="shared" ref="U5:U11" si="1">J5+N5</f>
        <v>68444.444444444453</v>
      </c>
      <c r="V5" s="3">
        <f t="shared" ref="V5:V11" si="2">K5+P5</f>
        <v>68444.444444444453</v>
      </c>
      <c r="W5" s="2"/>
      <c r="X5" s="2">
        <f>ROUND(R5/120.2*120.7,0)</f>
        <v>79832</v>
      </c>
      <c r="Y5" s="12"/>
      <c r="Z5" s="4">
        <f>L5+S5</f>
        <v>68444</v>
      </c>
      <c r="AA5" s="2">
        <f t="shared" ref="AA5:AA10" si="3">ROUND(X5/120.7*122.4,0)</f>
        <v>80956</v>
      </c>
      <c r="AB5" s="2">
        <f>ROUND(Y5/115.7*116.1,0)</f>
        <v>0</v>
      </c>
      <c r="AC5" s="2">
        <f>ROUND(AA5/122.4*125,0)</f>
        <v>82676</v>
      </c>
      <c r="AD5" s="2">
        <f>ROUND(AB5/116.1*118.2,0)</f>
        <v>0</v>
      </c>
      <c r="AE5" s="4">
        <f>AC5+AD5</f>
        <v>82676</v>
      </c>
      <c r="AF5" s="4">
        <v>89200</v>
      </c>
      <c r="AG5" s="4">
        <v>0</v>
      </c>
      <c r="AH5" s="4">
        <f>AF5+AG5</f>
        <v>89200</v>
      </c>
      <c r="AI5" s="46" t="s">
        <v>226</v>
      </c>
      <c r="AJ5" s="46">
        <v>83000</v>
      </c>
      <c r="AK5" s="46"/>
      <c r="AL5" s="47">
        <v>0</v>
      </c>
      <c r="AM5" s="46">
        <f>AJ5+AL5</f>
        <v>83000</v>
      </c>
      <c r="AP5" s="49" t="s">
        <v>245</v>
      </c>
    </row>
    <row r="6" spans="1:42" x14ac:dyDescent="0.2">
      <c r="A6" s="44"/>
      <c r="B6" s="44"/>
      <c r="C6" s="44"/>
      <c r="D6" s="45"/>
      <c r="E6" s="5"/>
      <c r="F6" s="5" t="s">
        <v>218</v>
      </c>
      <c r="G6" s="13" t="s">
        <v>219</v>
      </c>
      <c r="H6" s="5" t="s">
        <v>220</v>
      </c>
      <c r="I6" s="5" t="s">
        <v>24</v>
      </c>
      <c r="J6" s="2">
        <v>203432.09876543214</v>
      </c>
      <c r="K6" s="2">
        <v>203432.09876543214</v>
      </c>
      <c r="L6" s="2">
        <f t="shared" ref="L6" si="4">ROUND(J6,0)</f>
        <v>203432</v>
      </c>
      <c r="M6" s="2">
        <f t="shared" ref="M6" si="5">ROUND(L6/113.8*117.8,0)</f>
        <v>210583</v>
      </c>
      <c r="N6" s="2">
        <v>0</v>
      </c>
      <c r="O6" s="2">
        <v>0</v>
      </c>
      <c r="P6" s="2">
        <v>0</v>
      </c>
      <c r="Q6" s="2">
        <f>ROUND(M6/117.8*118.7,0)</f>
        <v>212192</v>
      </c>
      <c r="R6" s="2">
        <f>ROUND(Q6*11.36%+Q6,0)</f>
        <v>236297</v>
      </c>
      <c r="S6" s="2">
        <f t="shared" ref="S6" si="6">ROUND(N6,0)</f>
        <v>0</v>
      </c>
      <c r="T6" s="2">
        <f t="shared" si="0"/>
        <v>0</v>
      </c>
      <c r="U6" s="3">
        <f t="shared" si="1"/>
        <v>203432.09876543214</v>
      </c>
      <c r="V6" s="3">
        <f t="shared" si="2"/>
        <v>203432.09876543214</v>
      </c>
      <c r="W6" s="2"/>
      <c r="X6" s="2">
        <f t="shared" ref="X6" si="7">ROUND(R6/120.2*120.7,0)</f>
        <v>237280</v>
      </c>
      <c r="Y6" s="2"/>
      <c r="Z6" s="4">
        <f t="shared" ref="Z6:Z7" si="8">L6+S6</f>
        <v>203432</v>
      </c>
      <c r="AA6" s="2">
        <f t="shared" si="3"/>
        <v>240622</v>
      </c>
      <c r="AB6" s="2">
        <f t="shared" ref="AB6" si="9">ROUND(Y6/115.7*116.1,0)</f>
        <v>0</v>
      </c>
      <c r="AC6" s="2">
        <v>740000</v>
      </c>
      <c r="AD6" s="2">
        <f t="shared" ref="AD6:AD50" si="10">ROUND(AB6/116.1*118.2,0)</f>
        <v>0</v>
      </c>
      <c r="AE6" s="4">
        <f t="shared" ref="AE6:AE50" si="11">AC6+AD6</f>
        <v>740000</v>
      </c>
      <c r="AF6" s="4">
        <v>823500</v>
      </c>
      <c r="AG6" s="4">
        <v>0</v>
      </c>
      <c r="AH6" s="4">
        <f t="shared" ref="AH6:AH50" si="12">AF6+AG6</f>
        <v>823500</v>
      </c>
      <c r="AI6" s="47"/>
      <c r="AJ6" s="47"/>
      <c r="AK6" s="47"/>
      <c r="AL6" s="47"/>
      <c r="AM6" s="47"/>
    </row>
    <row r="7" spans="1:42" ht="60" x14ac:dyDescent="0.2">
      <c r="C7" s="51" t="s">
        <v>169</v>
      </c>
      <c r="D7" s="45" t="s">
        <v>172</v>
      </c>
      <c r="E7" s="5">
        <v>30501</v>
      </c>
      <c r="F7" s="5" t="s">
        <v>106</v>
      </c>
      <c r="G7" s="6" t="s">
        <v>102</v>
      </c>
      <c r="H7" s="6" t="s">
        <v>135</v>
      </c>
      <c r="I7" s="6" t="s">
        <v>24</v>
      </c>
      <c r="J7" s="2">
        <v>6193271.6049382715</v>
      </c>
      <c r="K7" s="2">
        <v>6193271.6049382715</v>
      </c>
      <c r="L7" s="2">
        <f>ROUND(J7,0)</f>
        <v>6193272</v>
      </c>
      <c r="M7" s="2">
        <f>ROUND(L7/113.8*117.8,0)</f>
        <v>6410962</v>
      </c>
      <c r="N7" s="2">
        <v>2990641.9753086418</v>
      </c>
      <c r="O7" s="2">
        <v>0</v>
      </c>
      <c r="P7" s="2">
        <v>2990641.9753086418</v>
      </c>
      <c r="Q7" s="11">
        <v>15130000</v>
      </c>
      <c r="R7" s="2">
        <f>ROUND(Q7/119.5*120.2,0)</f>
        <v>15218628</v>
      </c>
      <c r="S7" s="2">
        <f>ROUND(N7,0)</f>
        <v>2990642</v>
      </c>
      <c r="T7" s="2">
        <f t="shared" si="0"/>
        <v>3071616</v>
      </c>
      <c r="U7" s="3">
        <f t="shared" si="1"/>
        <v>9183913.5802469142</v>
      </c>
      <c r="V7" s="3">
        <f t="shared" si="2"/>
        <v>9183913.5802469142</v>
      </c>
      <c r="W7" s="11">
        <v>1470050</v>
      </c>
      <c r="X7" s="2">
        <v>13845433</v>
      </c>
      <c r="Y7" s="2">
        <f>ROUND(W7/115.2*115.7,0)</f>
        <v>1476430</v>
      </c>
      <c r="Z7" s="4">
        <f t="shared" si="8"/>
        <v>9183914</v>
      </c>
      <c r="AA7" s="2">
        <f t="shared" si="3"/>
        <v>14040439</v>
      </c>
      <c r="AB7" s="2">
        <f>ROUND(Y7/115.7*116.1,0)</f>
        <v>1481534</v>
      </c>
      <c r="AC7" s="2">
        <f t="shared" ref="AC7:AC50" si="13">ROUND(AA7/122.4*125,0)</f>
        <v>14338684</v>
      </c>
      <c r="AD7" s="2">
        <f t="shared" si="10"/>
        <v>1508332</v>
      </c>
      <c r="AE7" s="4">
        <f t="shared" si="11"/>
        <v>15847016</v>
      </c>
      <c r="AF7" s="4">
        <v>14460800</v>
      </c>
      <c r="AG7" s="4">
        <v>1885800</v>
      </c>
      <c r="AH7" s="4">
        <f t="shared" si="12"/>
        <v>16346600</v>
      </c>
      <c r="AI7" s="52" t="s">
        <v>230</v>
      </c>
      <c r="AJ7" s="46">
        <v>13452407</v>
      </c>
      <c r="AK7" s="52" t="s">
        <v>231</v>
      </c>
      <c r="AL7" s="46">
        <v>1830000</v>
      </c>
      <c r="AM7" s="46">
        <f t="shared" ref="AM7:AM50" si="14">AJ7+AL7</f>
        <v>15282407</v>
      </c>
      <c r="AN7" s="48" t="s">
        <v>211</v>
      </c>
    </row>
    <row r="8" spans="1:42" x14ac:dyDescent="0.2">
      <c r="A8" s="44" t="s">
        <v>28</v>
      </c>
      <c r="B8" s="44"/>
      <c r="C8" s="53" t="s">
        <v>170</v>
      </c>
      <c r="D8" s="45" t="s">
        <v>116</v>
      </c>
      <c r="E8" s="5">
        <v>10222</v>
      </c>
      <c r="F8" s="5" t="s">
        <v>29</v>
      </c>
      <c r="G8" s="6" t="s">
        <v>30</v>
      </c>
      <c r="H8" s="6" t="s">
        <v>135</v>
      </c>
      <c r="I8" s="6" t="s">
        <v>24</v>
      </c>
      <c r="J8" s="2">
        <v>1045679.0123456791</v>
      </c>
      <c r="K8" s="2">
        <v>1045679.0123456791</v>
      </c>
      <c r="L8" s="2">
        <f>ROUND(J8,0)</f>
        <v>1045679</v>
      </c>
      <c r="M8" s="2">
        <f>ROUND(L8/113.8*117.8,0)</f>
        <v>1082434</v>
      </c>
      <c r="N8" s="2">
        <v>0</v>
      </c>
      <c r="O8" s="2">
        <v>0</v>
      </c>
      <c r="P8" s="2">
        <v>0</v>
      </c>
      <c r="Q8" s="2">
        <v>0</v>
      </c>
      <c r="R8" s="2">
        <f>ROUND(Q8/118.7*120.2,0)</f>
        <v>0</v>
      </c>
      <c r="S8" s="2">
        <f>ROUND(N8,0)</f>
        <v>0</v>
      </c>
      <c r="T8" s="2">
        <f t="shared" si="0"/>
        <v>0</v>
      </c>
      <c r="U8" s="3">
        <f t="shared" si="1"/>
        <v>1045679.0123456791</v>
      </c>
      <c r="V8" s="3">
        <f t="shared" si="2"/>
        <v>1045679.0123456791</v>
      </c>
      <c r="W8" s="2"/>
      <c r="X8" s="2">
        <v>1436500</v>
      </c>
      <c r="Y8" s="2"/>
      <c r="Z8" s="4">
        <f>L8+S8</f>
        <v>1045679</v>
      </c>
      <c r="AA8" s="2">
        <f t="shared" si="3"/>
        <v>1456732</v>
      </c>
      <c r="AB8" s="2">
        <f>ROUND(Y8/115.7*116.1,0)</f>
        <v>0</v>
      </c>
      <c r="AC8" s="2">
        <f t="shared" si="13"/>
        <v>1487676</v>
      </c>
      <c r="AD8" s="2">
        <f t="shared" si="10"/>
        <v>0</v>
      </c>
      <c r="AE8" s="4">
        <f t="shared" si="11"/>
        <v>1487676</v>
      </c>
      <c r="AF8" s="4">
        <v>1655500</v>
      </c>
      <c r="AG8" s="4">
        <v>0</v>
      </c>
      <c r="AH8" s="4">
        <f t="shared" si="12"/>
        <v>1655500</v>
      </c>
      <c r="AI8" s="47"/>
      <c r="AJ8" s="47"/>
      <c r="AK8" s="46"/>
      <c r="AL8" s="46"/>
      <c r="AM8" s="46"/>
    </row>
    <row r="9" spans="1:42" x14ac:dyDescent="0.2">
      <c r="D9" s="45" t="s">
        <v>115</v>
      </c>
      <c r="E9" s="5">
        <v>15000</v>
      </c>
      <c r="F9" s="5" t="s">
        <v>25</v>
      </c>
      <c r="G9" s="6" t="s">
        <v>26</v>
      </c>
      <c r="H9" s="6" t="s">
        <v>135</v>
      </c>
      <c r="I9" s="6" t="s">
        <v>24</v>
      </c>
      <c r="J9" s="2">
        <v>2199728.3950617285</v>
      </c>
      <c r="K9" s="2">
        <v>2199728.3950617285</v>
      </c>
      <c r="L9" s="2">
        <f>ROUND(J9,0)</f>
        <v>2199728</v>
      </c>
      <c r="M9" s="2">
        <f>ROUND(L9/113.8*117.8,0)</f>
        <v>2277047</v>
      </c>
      <c r="N9" s="2">
        <v>229098.76543209879</v>
      </c>
      <c r="O9" s="2">
        <v>0</v>
      </c>
      <c r="P9" s="2">
        <v>229098.76543209879</v>
      </c>
      <c r="Q9" s="11">
        <v>0</v>
      </c>
      <c r="R9" s="2">
        <f>ROUND(Q9/118.7*120.2,0)</f>
        <v>0</v>
      </c>
      <c r="S9" s="2">
        <f>ROUND(N9,0)</f>
        <v>229099</v>
      </c>
      <c r="T9" s="2">
        <f t="shared" si="0"/>
        <v>235302</v>
      </c>
      <c r="U9" s="3">
        <f t="shared" si="1"/>
        <v>2428827.1604938274</v>
      </c>
      <c r="V9" s="3">
        <f t="shared" si="2"/>
        <v>2428827.1604938274</v>
      </c>
      <c r="W9" s="11">
        <v>225000</v>
      </c>
      <c r="X9" s="2">
        <f>ROUND(R9/120.2*120.7,0)</f>
        <v>0</v>
      </c>
      <c r="Y9" s="2">
        <f>ROUND(W9/115.2*115.7,0)</f>
        <v>225977</v>
      </c>
      <c r="Z9" s="4">
        <f>L9+S9</f>
        <v>2428827</v>
      </c>
      <c r="AA9" s="2">
        <f t="shared" si="3"/>
        <v>0</v>
      </c>
      <c r="AB9" s="2">
        <f>ROUND(Y9/115.7*116.1,0)</f>
        <v>226758</v>
      </c>
      <c r="AC9" s="2">
        <f t="shared" si="13"/>
        <v>0</v>
      </c>
      <c r="AD9" s="2">
        <f t="shared" si="10"/>
        <v>230860</v>
      </c>
      <c r="AE9" s="4">
        <f t="shared" si="11"/>
        <v>230860</v>
      </c>
      <c r="AF9" s="4">
        <v>0</v>
      </c>
      <c r="AG9" s="4">
        <v>237500</v>
      </c>
      <c r="AH9" s="4">
        <f t="shared" si="12"/>
        <v>237500</v>
      </c>
      <c r="AI9" s="47"/>
      <c r="AJ9" s="47"/>
      <c r="AK9" s="46"/>
      <c r="AL9" s="46"/>
      <c r="AM9" s="46">
        <f t="shared" si="14"/>
        <v>0</v>
      </c>
    </row>
    <row r="10" spans="1:42" ht="12" customHeight="1" x14ac:dyDescent="0.2">
      <c r="D10" s="45" t="s">
        <v>115</v>
      </c>
      <c r="E10" s="5">
        <v>15000</v>
      </c>
      <c r="F10" s="13" t="s">
        <v>27</v>
      </c>
      <c r="G10" s="6" t="s">
        <v>26</v>
      </c>
      <c r="H10" s="6" t="s">
        <v>135</v>
      </c>
      <c r="I10" s="6" t="s">
        <v>24</v>
      </c>
      <c r="J10" s="2">
        <v>2548604.9382716049</v>
      </c>
      <c r="K10" s="2">
        <v>2548604.9382716049</v>
      </c>
      <c r="L10" s="2">
        <f>ROUND(J10,0)</f>
        <v>2548605</v>
      </c>
      <c r="M10" s="2">
        <f>ROUND(L10/113.8*117.8,0)</f>
        <v>2638187</v>
      </c>
      <c r="N10" s="2">
        <v>527592.59259259258</v>
      </c>
      <c r="O10" s="2">
        <v>0</v>
      </c>
      <c r="P10" s="2">
        <v>527592.59259259258</v>
      </c>
      <c r="Q10" s="11">
        <v>0</v>
      </c>
      <c r="R10" s="2">
        <f>ROUND(Q10/118.7*120.2,0)</f>
        <v>0</v>
      </c>
      <c r="S10" s="2">
        <f>ROUND(N10,0)</f>
        <v>527593</v>
      </c>
      <c r="T10" s="2">
        <f t="shared" si="0"/>
        <v>541878</v>
      </c>
      <c r="U10" s="3">
        <f t="shared" si="1"/>
        <v>3076197.5308641978</v>
      </c>
      <c r="V10" s="3">
        <f t="shared" si="2"/>
        <v>3076197.5308641978</v>
      </c>
      <c r="W10" s="11">
        <v>220950</v>
      </c>
      <c r="X10" s="2">
        <f>ROUND(R10/120.2*120.7,0)</f>
        <v>0</v>
      </c>
      <c r="Y10" s="2">
        <f>ROUND(W10/115.2*115.7,0)</f>
        <v>221909</v>
      </c>
      <c r="Z10" s="4">
        <f>L10+S10</f>
        <v>3076198</v>
      </c>
      <c r="AA10" s="2">
        <f t="shared" si="3"/>
        <v>0</v>
      </c>
      <c r="AB10" s="2">
        <f>ROUND(Y10/115.7*116.1,0)</f>
        <v>222676</v>
      </c>
      <c r="AC10" s="2">
        <v>886277</v>
      </c>
      <c r="AD10" s="2">
        <f t="shared" si="10"/>
        <v>226704</v>
      </c>
      <c r="AE10" s="4">
        <f t="shared" si="11"/>
        <v>1112981</v>
      </c>
      <c r="AF10" s="4">
        <v>986200</v>
      </c>
      <c r="AG10" s="4">
        <v>233200</v>
      </c>
      <c r="AH10" s="4">
        <f t="shared" si="12"/>
        <v>1219400</v>
      </c>
      <c r="AI10" s="46"/>
      <c r="AJ10" s="46"/>
      <c r="AK10" s="46"/>
      <c r="AL10" s="46"/>
      <c r="AM10" s="46"/>
    </row>
    <row r="11" spans="1:42" ht="24" x14ac:dyDescent="0.2">
      <c r="A11" s="44"/>
      <c r="B11" s="44"/>
      <c r="C11" s="44"/>
      <c r="D11" s="45" t="s">
        <v>119</v>
      </c>
      <c r="E11" s="5">
        <v>20002</v>
      </c>
      <c r="F11" s="5" t="s">
        <v>112</v>
      </c>
      <c r="G11" s="6" t="s">
        <v>111</v>
      </c>
      <c r="H11" s="6" t="s">
        <v>136</v>
      </c>
      <c r="I11" s="6" t="s">
        <v>24</v>
      </c>
      <c r="J11" s="2">
        <v>558012.34567901236</v>
      </c>
      <c r="K11" s="2">
        <v>558012.34567901236</v>
      </c>
      <c r="L11" s="2">
        <f t="shared" ref="L11" si="15">ROUND(J11,0)</f>
        <v>558012</v>
      </c>
      <c r="M11" s="2">
        <f t="shared" ref="M11" si="16">ROUND(L11/113.8*117.8,0)</f>
        <v>577626</v>
      </c>
      <c r="N11" s="2">
        <v>0</v>
      </c>
      <c r="O11" s="2">
        <v>0</v>
      </c>
      <c r="P11" s="2">
        <v>0</v>
      </c>
      <c r="Q11" s="2">
        <f t="shared" ref="Q11" si="17">ROUND(M11/117.8*118.7,0)</f>
        <v>582039</v>
      </c>
      <c r="R11" s="2">
        <v>675000</v>
      </c>
      <c r="S11" s="2">
        <f t="shared" ref="S11" si="18">ROUND(N11,0)</f>
        <v>0</v>
      </c>
      <c r="T11" s="2">
        <f t="shared" si="0"/>
        <v>0</v>
      </c>
      <c r="U11" s="3">
        <f t="shared" si="1"/>
        <v>558012.34567901236</v>
      </c>
      <c r="V11" s="3">
        <f t="shared" si="2"/>
        <v>558012.34567901236</v>
      </c>
      <c r="W11" s="2"/>
      <c r="X11" s="2">
        <f t="shared" ref="X11" si="19">ROUND(R11/120.4*120.7,0)</f>
        <v>676682</v>
      </c>
      <c r="Y11" s="12"/>
      <c r="Z11" s="4">
        <f t="shared" ref="Z11" si="20">L11+S11</f>
        <v>558012</v>
      </c>
      <c r="AA11" s="11">
        <v>860000</v>
      </c>
      <c r="AB11" s="4"/>
      <c r="AC11" s="2">
        <f t="shared" si="13"/>
        <v>878268</v>
      </c>
      <c r="AD11" s="2">
        <f t="shared" si="10"/>
        <v>0</v>
      </c>
      <c r="AE11" s="4">
        <f t="shared" si="11"/>
        <v>878268</v>
      </c>
      <c r="AF11" s="4">
        <v>977300</v>
      </c>
      <c r="AG11" s="4">
        <v>0</v>
      </c>
      <c r="AH11" s="4">
        <f t="shared" si="12"/>
        <v>977300</v>
      </c>
      <c r="AI11" s="47"/>
      <c r="AJ11" s="47"/>
      <c r="AK11" s="47"/>
      <c r="AL11" s="47"/>
      <c r="AM11" s="47"/>
      <c r="AN11" s="48" t="s">
        <v>177</v>
      </c>
    </row>
    <row r="12" spans="1:42" s="54" customFormat="1" x14ac:dyDescent="0.2">
      <c r="A12" s="50"/>
      <c r="B12" s="50"/>
      <c r="C12" s="50"/>
      <c r="D12" s="45" t="s">
        <v>119</v>
      </c>
      <c r="E12" s="5">
        <v>20002</v>
      </c>
      <c r="F12" s="5" t="s">
        <v>46</v>
      </c>
      <c r="G12" s="6" t="s">
        <v>111</v>
      </c>
      <c r="H12" s="6" t="s">
        <v>136</v>
      </c>
      <c r="I12" s="6" t="s">
        <v>24</v>
      </c>
      <c r="J12" s="2">
        <v>18061.728395061727</v>
      </c>
      <c r="K12" s="2">
        <v>18061.728395061727</v>
      </c>
      <c r="L12" s="2">
        <f>ROUND(J12,0)</f>
        <v>18062</v>
      </c>
      <c r="M12" s="2">
        <f>ROUND(L12/113.8*117.8,0)</f>
        <v>18697</v>
      </c>
      <c r="N12" s="2">
        <v>0</v>
      </c>
      <c r="O12" s="2">
        <v>0</v>
      </c>
      <c r="P12" s="2">
        <v>0</v>
      </c>
      <c r="Q12" s="2">
        <f>ROUND(M12/117.8*118.7,0)</f>
        <v>18840</v>
      </c>
      <c r="R12" s="2">
        <f>ROUND(Q12*11.36%+Q12,0)</f>
        <v>20980</v>
      </c>
      <c r="S12" s="2">
        <f>ROUND(N12,0)</f>
        <v>0</v>
      </c>
      <c r="T12" s="2">
        <f>ROUND(P12/110.8*113.8,0)</f>
        <v>0</v>
      </c>
      <c r="U12" s="3">
        <f>J12+N12</f>
        <v>18061.728395061727</v>
      </c>
      <c r="V12" s="3">
        <f>K12+P12</f>
        <v>18061.728395061727</v>
      </c>
      <c r="W12" s="2"/>
      <c r="X12" s="2">
        <f>ROUND(R12/120.2*120.7,0)</f>
        <v>21067</v>
      </c>
      <c r="Y12" s="12"/>
      <c r="Z12" s="4">
        <f>L12+S12</f>
        <v>18062</v>
      </c>
      <c r="AA12" s="2">
        <f>ROUND(X12/120.7*122.4,0)</f>
        <v>21364</v>
      </c>
      <c r="AB12" s="2">
        <f>ROUND(Y12/115.7*116.1,0)</f>
        <v>0</v>
      </c>
      <c r="AC12" s="2">
        <f t="shared" si="13"/>
        <v>21818</v>
      </c>
      <c r="AD12" s="2">
        <f t="shared" si="10"/>
        <v>0</v>
      </c>
      <c r="AE12" s="4">
        <f t="shared" si="11"/>
        <v>21818</v>
      </c>
      <c r="AF12" s="4">
        <v>24300</v>
      </c>
      <c r="AG12" s="4">
        <v>0</v>
      </c>
      <c r="AH12" s="4">
        <f t="shared" si="12"/>
        <v>24300</v>
      </c>
      <c r="AI12" s="47"/>
      <c r="AJ12" s="47"/>
      <c r="AK12" s="47"/>
      <c r="AL12" s="47"/>
      <c r="AM12" s="47"/>
      <c r="AN12" s="48"/>
      <c r="AO12" s="44"/>
    </row>
    <row r="13" spans="1:42" x14ac:dyDescent="0.2">
      <c r="D13" s="45" t="s">
        <v>31</v>
      </c>
      <c r="E13" s="5">
        <v>30201</v>
      </c>
      <c r="F13" s="5" t="s">
        <v>198</v>
      </c>
      <c r="G13" s="6" t="s">
        <v>184</v>
      </c>
      <c r="H13" s="6" t="s">
        <v>186</v>
      </c>
      <c r="I13" s="6" t="s">
        <v>39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19"/>
      <c r="AA13" s="19">
        <v>0</v>
      </c>
      <c r="AB13" s="19">
        <v>100000</v>
      </c>
      <c r="AC13" s="2">
        <f t="shared" si="13"/>
        <v>0</v>
      </c>
      <c r="AD13" s="2">
        <f t="shared" si="10"/>
        <v>101809</v>
      </c>
      <c r="AE13" s="4">
        <f t="shared" si="11"/>
        <v>101809</v>
      </c>
      <c r="AF13" s="4">
        <v>0</v>
      </c>
      <c r="AG13" s="4">
        <v>104700</v>
      </c>
      <c r="AH13" s="4">
        <f t="shared" si="12"/>
        <v>104700</v>
      </c>
      <c r="AI13" s="47"/>
      <c r="AJ13" s="47">
        <v>0</v>
      </c>
      <c r="AK13" s="47"/>
      <c r="AL13" s="47"/>
      <c r="AM13" s="47"/>
      <c r="AO13" s="44" t="s">
        <v>187</v>
      </c>
    </row>
    <row r="14" spans="1:42" x14ac:dyDescent="0.2">
      <c r="D14" s="45" t="s">
        <v>31</v>
      </c>
      <c r="E14" s="5">
        <v>30201</v>
      </c>
      <c r="F14" s="5" t="s">
        <v>198</v>
      </c>
      <c r="G14" s="6" t="s">
        <v>196</v>
      </c>
      <c r="H14" s="6" t="s">
        <v>197</v>
      </c>
      <c r="I14" s="6" t="s">
        <v>39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3"/>
      <c r="V14" s="83"/>
      <c r="W14" s="83"/>
      <c r="X14" s="83"/>
      <c r="Y14" s="83"/>
      <c r="Z14" s="20"/>
      <c r="AA14" s="20">
        <v>0</v>
      </c>
      <c r="AB14" s="20">
        <v>200000</v>
      </c>
      <c r="AC14" s="2">
        <f t="shared" si="13"/>
        <v>0</v>
      </c>
      <c r="AD14" s="2">
        <f t="shared" si="10"/>
        <v>203618</v>
      </c>
      <c r="AE14" s="4">
        <f t="shared" si="11"/>
        <v>203618</v>
      </c>
      <c r="AF14" s="4">
        <v>0</v>
      </c>
      <c r="AG14" s="4">
        <v>209500</v>
      </c>
      <c r="AH14" s="4">
        <f t="shared" si="12"/>
        <v>209500</v>
      </c>
      <c r="AI14" s="47"/>
      <c r="AJ14" s="47">
        <v>0</v>
      </c>
      <c r="AK14" s="47"/>
      <c r="AL14" s="47"/>
      <c r="AM14" s="47"/>
    </row>
    <row r="15" spans="1:42" x14ac:dyDescent="0.2">
      <c r="D15" s="45" t="s">
        <v>31</v>
      </c>
      <c r="E15" s="5">
        <v>30201</v>
      </c>
      <c r="F15" s="5" t="s">
        <v>199</v>
      </c>
      <c r="G15" s="6" t="s">
        <v>185</v>
      </c>
      <c r="H15" s="6" t="s">
        <v>186</v>
      </c>
      <c r="I15" s="6" t="s">
        <v>39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19"/>
      <c r="AA15" s="19">
        <v>0</v>
      </c>
      <c r="AB15" s="20">
        <v>15964</v>
      </c>
      <c r="AC15" s="2">
        <f t="shared" si="13"/>
        <v>0</v>
      </c>
      <c r="AD15" s="2">
        <f t="shared" si="10"/>
        <v>16253</v>
      </c>
      <c r="AE15" s="4">
        <f t="shared" si="11"/>
        <v>16253</v>
      </c>
      <c r="AF15" s="4">
        <v>0</v>
      </c>
      <c r="AG15" s="4">
        <v>16700</v>
      </c>
      <c r="AH15" s="4">
        <f t="shared" si="12"/>
        <v>16700</v>
      </c>
      <c r="AI15" s="47"/>
      <c r="AJ15" s="47">
        <v>0</v>
      </c>
      <c r="AK15" s="47" t="s">
        <v>229</v>
      </c>
      <c r="AL15" s="47">
        <v>16253</v>
      </c>
      <c r="AM15" s="47">
        <f t="shared" si="14"/>
        <v>16253</v>
      </c>
    </row>
    <row r="16" spans="1:42" x14ac:dyDescent="0.2">
      <c r="A16" s="44"/>
      <c r="B16" s="44"/>
      <c r="C16" s="44"/>
      <c r="D16" s="45" t="s">
        <v>125</v>
      </c>
      <c r="E16" s="5">
        <v>30401</v>
      </c>
      <c r="F16" s="5" t="s">
        <v>74</v>
      </c>
      <c r="G16" s="6" t="s">
        <v>75</v>
      </c>
      <c r="H16" s="6" t="s">
        <v>139</v>
      </c>
      <c r="I16" s="6" t="s">
        <v>24</v>
      </c>
      <c r="J16" s="2">
        <v>18061.728395061727</v>
      </c>
      <c r="K16" s="2">
        <v>18061.728395061727</v>
      </c>
      <c r="L16" s="2">
        <f>ROUND(J16,0)</f>
        <v>18062</v>
      </c>
      <c r="M16" s="2">
        <f>ROUND(L16/113.8*117.8,0)</f>
        <v>18697</v>
      </c>
      <c r="N16" s="2">
        <v>17111.111111111113</v>
      </c>
      <c r="O16" s="2">
        <v>0</v>
      </c>
      <c r="P16" s="2">
        <v>17111.111111111113</v>
      </c>
      <c r="Q16" s="2">
        <f>ROUND(M16/117.8*118.7,0)</f>
        <v>18840</v>
      </c>
      <c r="R16" s="2">
        <f>ROUND(Q16*11.36%+Q16,0)</f>
        <v>20980</v>
      </c>
      <c r="S16" s="2">
        <f>ROUND(N16,0)</f>
        <v>17111</v>
      </c>
      <c r="T16" s="2">
        <f>ROUND(P16/110.8*113.8,0)</f>
        <v>17574</v>
      </c>
      <c r="U16" s="3">
        <f>J16+N16</f>
        <v>35172.839506172837</v>
      </c>
      <c r="V16" s="3">
        <f>K16+P16</f>
        <v>35172.839506172837</v>
      </c>
      <c r="W16" s="2">
        <f>ROUND(T16/113.8*113.8,0)</f>
        <v>17574</v>
      </c>
      <c r="X16" s="2">
        <f>ROUND(R16/120.2*120.7,0)</f>
        <v>21067</v>
      </c>
      <c r="Y16" s="2">
        <f>ROUND(W16-W16*25%,0)</f>
        <v>13181</v>
      </c>
      <c r="Z16" s="4">
        <f>L16+S16</f>
        <v>35173</v>
      </c>
      <c r="AA16" s="2">
        <f>ROUND(X16/120.7*122.4,0)</f>
        <v>21364</v>
      </c>
      <c r="AB16" s="2">
        <f>ROUND(Y16/115.7*116.1,0)</f>
        <v>13227</v>
      </c>
      <c r="AC16" s="2">
        <f t="shared" si="13"/>
        <v>21818</v>
      </c>
      <c r="AD16" s="2">
        <f t="shared" si="10"/>
        <v>13466</v>
      </c>
      <c r="AE16" s="4">
        <f t="shared" si="11"/>
        <v>35284</v>
      </c>
      <c r="AF16" s="4">
        <v>168800</v>
      </c>
      <c r="AG16" s="4">
        <v>64900</v>
      </c>
      <c r="AH16" s="4">
        <f t="shared" si="12"/>
        <v>233700</v>
      </c>
      <c r="AI16" s="46" t="s">
        <v>226</v>
      </c>
      <c r="AJ16" s="46">
        <v>157000</v>
      </c>
      <c r="AK16" s="46" t="s">
        <v>226</v>
      </c>
      <c r="AL16" s="46">
        <v>63000</v>
      </c>
      <c r="AM16" s="46">
        <f t="shared" si="14"/>
        <v>220000</v>
      </c>
    </row>
    <row r="17" spans="1:41" ht="12" customHeight="1" x14ac:dyDescent="0.2">
      <c r="A17" s="55"/>
      <c r="B17" s="55"/>
      <c r="C17" s="56"/>
      <c r="D17" s="45" t="s">
        <v>126</v>
      </c>
      <c r="E17" s="5">
        <v>60101</v>
      </c>
      <c r="F17" s="7" t="s">
        <v>81</v>
      </c>
      <c r="G17" s="6" t="s">
        <v>82</v>
      </c>
      <c r="H17" s="6" t="s">
        <v>140</v>
      </c>
      <c r="I17" s="6" t="s">
        <v>24</v>
      </c>
      <c r="J17" s="2">
        <v>869814.81481481472</v>
      </c>
      <c r="K17" s="2">
        <v>869814.81481481472</v>
      </c>
      <c r="L17" s="2">
        <f>ROUND(J17,0)</f>
        <v>869815</v>
      </c>
      <c r="M17" s="2">
        <f>ROUND(L17/113.8*117.8,0)</f>
        <v>900388</v>
      </c>
      <c r="N17" s="2">
        <v>102666.66666666666</v>
      </c>
      <c r="O17" s="2">
        <v>0</v>
      </c>
      <c r="P17" s="2">
        <v>102666.66666666666</v>
      </c>
      <c r="Q17" s="2">
        <f>ROUND(M17/117.8*118.7,0)</f>
        <v>907267</v>
      </c>
      <c r="R17" s="2">
        <f>ROUND(Q17*11.36%+Q17,0)</f>
        <v>1010333</v>
      </c>
      <c r="S17" s="2">
        <f>ROUND(N17,0)</f>
        <v>102667</v>
      </c>
      <c r="T17" s="2">
        <f>ROUND(P17/110.8*113.8,0)</f>
        <v>105446</v>
      </c>
      <c r="U17" s="3">
        <f>J17+N17</f>
        <v>972481.48148148134</v>
      </c>
      <c r="V17" s="3">
        <f>K17+P17</f>
        <v>972481.48148148134</v>
      </c>
      <c r="W17" s="2">
        <f>ROUND(T17/113.8*113.8,0)</f>
        <v>105446</v>
      </c>
      <c r="X17" s="2">
        <v>1150000</v>
      </c>
      <c r="Y17" s="2">
        <f>ROUND(W17-W17*25%,0)</f>
        <v>79085</v>
      </c>
      <c r="Z17" s="4">
        <f>L17+S17</f>
        <v>972482</v>
      </c>
      <c r="AA17" s="2">
        <f>ROUND(X17/120.7*122.4,0)</f>
        <v>1166197</v>
      </c>
      <c r="AB17" s="2">
        <f>ROUND(Y17/115.7*116.1,0)</f>
        <v>79358</v>
      </c>
      <c r="AC17" s="2">
        <f t="shared" si="13"/>
        <v>1190969</v>
      </c>
      <c r="AD17" s="2">
        <f t="shared" si="10"/>
        <v>80793</v>
      </c>
      <c r="AE17" s="4">
        <f t="shared" si="11"/>
        <v>1271762</v>
      </c>
      <c r="AF17" s="4">
        <v>1325300</v>
      </c>
      <c r="AG17" s="4">
        <v>83100</v>
      </c>
      <c r="AH17" s="4">
        <f t="shared" si="12"/>
        <v>1408400</v>
      </c>
      <c r="AI17" s="47"/>
      <c r="AJ17" s="47"/>
      <c r="AK17" s="47"/>
      <c r="AL17" s="47"/>
      <c r="AM17" s="47"/>
      <c r="AN17" s="30" t="s">
        <v>168</v>
      </c>
      <c r="AO17" s="57" t="s">
        <v>176</v>
      </c>
    </row>
    <row r="18" spans="1:41" ht="24" x14ac:dyDescent="0.2">
      <c r="D18" s="45" t="s">
        <v>120</v>
      </c>
      <c r="E18" s="5">
        <v>20010</v>
      </c>
      <c r="F18" s="5" t="s">
        <v>54</v>
      </c>
      <c r="G18" s="6" t="s">
        <v>55</v>
      </c>
      <c r="H18" s="6" t="s">
        <v>138</v>
      </c>
      <c r="I18" s="6" t="s">
        <v>24</v>
      </c>
      <c r="J18" s="2">
        <v>195827.16049382719</v>
      </c>
      <c r="K18" s="2">
        <v>195827.16049382719</v>
      </c>
      <c r="L18" s="2">
        <f t="shared" ref="L18:L37" si="21">ROUND(J18,0)</f>
        <v>195827</v>
      </c>
      <c r="M18" s="2">
        <f t="shared" ref="M18:M37" si="22">ROUND(L18/113.8*117.8,0)</f>
        <v>202710</v>
      </c>
      <c r="N18" s="2">
        <v>0</v>
      </c>
      <c r="O18" s="2">
        <v>0</v>
      </c>
      <c r="P18" s="2">
        <v>0</v>
      </c>
      <c r="Q18" s="2">
        <f t="shared" ref="Q18" si="23">ROUND(M18/117.8*118.7,0)</f>
        <v>204259</v>
      </c>
      <c r="R18" s="2">
        <v>250000</v>
      </c>
      <c r="S18" s="2">
        <f t="shared" ref="S18:S37" si="24">ROUND(N18,0)</f>
        <v>0</v>
      </c>
      <c r="T18" s="2">
        <f t="shared" ref="T18" si="25">ROUND(P18/110.8*113.8,0)</f>
        <v>0</v>
      </c>
      <c r="U18" s="3">
        <f t="shared" ref="U18" si="26">J18+N18</f>
        <v>195827.16049382719</v>
      </c>
      <c r="V18" s="3">
        <f t="shared" ref="V18" si="27">K18+P18</f>
        <v>195827.16049382719</v>
      </c>
      <c r="W18" s="2"/>
      <c r="X18" s="2">
        <f t="shared" ref="X18" si="28">ROUND(R18/120.4*120.7,0)</f>
        <v>250623</v>
      </c>
      <c r="Y18" s="2"/>
      <c r="Z18" s="4">
        <f t="shared" ref="Z18:Z37" si="29">L18+S18</f>
        <v>195827</v>
      </c>
      <c r="AA18" s="11">
        <v>310000</v>
      </c>
      <c r="AB18" s="4"/>
      <c r="AC18" s="2">
        <f t="shared" si="13"/>
        <v>316585</v>
      </c>
      <c r="AD18" s="2">
        <f t="shared" si="10"/>
        <v>0</v>
      </c>
      <c r="AE18" s="4">
        <f t="shared" si="11"/>
        <v>316585</v>
      </c>
      <c r="AF18" s="4">
        <v>352300</v>
      </c>
      <c r="AG18" s="4">
        <v>0</v>
      </c>
      <c r="AH18" s="4">
        <f t="shared" si="12"/>
        <v>352300</v>
      </c>
      <c r="AI18" s="47"/>
      <c r="AJ18" s="47"/>
      <c r="AK18" s="47"/>
      <c r="AL18" s="47"/>
      <c r="AM18" s="47"/>
      <c r="AN18" s="48" t="s">
        <v>179</v>
      </c>
    </row>
    <row r="19" spans="1:41" x14ac:dyDescent="0.2">
      <c r="D19" s="45" t="s">
        <v>120</v>
      </c>
      <c r="E19" s="5">
        <v>20010</v>
      </c>
      <c r="F19" s="5" t="s">
        <v>51</v>
      </c>
      <c r="G19" s="6" t="s">
        <v>55</v>
      </c>
      <c r="H19" s="6" t="s">
        <v>138</v>
      </c>
      <c r="I19" s="6" t="s">
        <v>24</v>
      </c>
      <c r="J19" s="2">
        <v>30419.753086419754</v>
      </c>
      <c r="K19" s="2">
        <v>30419.753086419754</v>
      </c>
      <c r="L19" s="2">
        <f t="shared" si="21"/>
        <v>30420</v>
      </c>
      <c r="M19" s="2">
        <f t="shared" si="22"/>
        <v>31489</v>
      </c>
      <c r="N19" s="2">
        <v>0</v>
      </c>
      <c r="O19" s="2">
        <v>0</v>
      </c>
      <c r="P19" s="2">
        <v>0</v>
      </c>
      <c r="Q19" s="2">
        <f>ROUND(M19/117.8*118.7,0)</f>
        <v>31730</v>
      </c>
      <c r="R19" s="2">
        <f>ROUND(Q19*11.36%+Q19,0)</f>
        <v>35335</v>
      </c>
      <c r="S19" s="2">
        <f t="shared" si="24"/>
        <v>0</v>
      </c>
      <c r="T19" s="2">
        <f>ROUND(P19/110.8*113.8,0)</f>
        <v>0</v>
      </c>
      <c r="U19" s="3">
        <f>J19+N19</f>
        <v>30419.753086419754</v>
      </c>
      <c r="V19" s="3">
        <f>K19+P19</f>
        <v>30419.753086419754</v>
      </c>
      <c r="W19" s="2"/>
      <c r="X19" s="2">
        <f t="shared" ref="X19:X23" si="30">ROUND(R19/120.2*120.7,0)</f>
        <v>35482</v>
      </c>
      <c r="Y19" s="2"/>
      <c r="Z19" s="4">
        <f t="shared" si="29"/>
        <v>30420</v>
      </c>
      <c r="AA19" s="2">
        <f>ROUND(X19/120.7*122.4,0)</f>
        <v>35982</v>
      </c>
      <c r="AB19" s="2">
        <f t="shared" ref="AB19:AB23" si="31">ROUND(Y19/115.7*116.1,0)</f>
        <v>0</v>
      </c>
      <c r="AC19" s="2">
        <f t="shared" si="13"/>
        <v>36746</v>
      </c>
      <c r="AD19" s="2">
        <f t="shared" si="10"/>
        <v>0</v>
      </c>
      <c r="AE19" s="4">
        <f t="shared" si="11"/>
        <v>36746</v>
      </c>
      <c r="AF19" s="4">
        <v>40900</v>
      </c>
      <c r="AG19" s="4">
        <v>0</v>
      </c>
      <c r="AH19" s="4">
        <f t="shared" si="12"/>
        <v>40900</v>
      </c>
      <c r="AI19" s="47"/>
      <c r="AJ19" s="47"/>
      <c r="AK19" s="47"/>
      <c r="AL19" s="47"/>
      <c r="AM19" s="47"/>
    </row>
    <row r="20" spans="1:41" x14ac:dyDescent="0.2">
      <c r="A20" s="44"/>
      <c r="B20" s="44"/>
      <c r="C20" s="44"/>
      <c r="D20" s="45" t="s">
        <v>125</v>
      </c>
      <c r="E20" s="5"/>
      <c r="F20" s="5" t="s">
        <v>76</v>
      </c>
      <c r="G20" s="13"/>
      <c r="H20" s="5"/>
      <c r="I20" s="5" t="s">
        <v>24</v>
      </c>
      <c r="J20" s="2">
        <v>203432.09876543214</v>
      </c>
      <c r="K20" s="2">
        <v>203432.09876543214</v>
      </c>
      <c r="L20" s="2">
        <f t="shared" si="21"/>
        <v>203432</v>
      </c>
      <c r="M20" s="2">
        <f t="shared" si="22"/>
        <v>210583</v>
      </c>
      <c r="N20" s="2">
        <v>0</v>
      </c>
      <c r="O20" s="2">
        <v>0</v>
      </c>
      <c r="P20" s="2">
        <v>0</v>
      </c>
      <c r="Q20" s="2">
        <f>ROUND(M20/117.8*118.7,0)</f>
        <v>212192</v>
      </c>
      <c r="R20" s="2">
        <f>ROUND(Q20*11.36%+Q20,0)</f>
        <v>236297</v>
      </c>
      <c r="S20" s="2">
        <f t="shared" si="24"/>
        <v>0</v>
      </c>
      <c r="T20" s="2">
        <f>ROUND(P20/110.8*113.8,0)</f>
        <v>0</v>
      </c>
      <c r="U20" s="3">
        <f>J20+N20</f>
        <v>203432.09876543214</v>
      </c>
      <c r="V20" s="3">
        <f>K20+P20</f>
        <v>203432.09876543214</v>
      </c>
      <c r="W20" s="2"/>
      <c r="X20" s="2">
        <f t="shared" si="30"/>
        <v>237280</v>
      </c>
      <c r="Y20" s="2"/>
      <c r="Z20" s="4">
        <f t="shared" si="29"/>
        <v>203432</v>
      </c>
      <c r="AA20" s="2">
        <f>ROUND(X20/120.7*122.4,0)</f>
        <v>240622</v>
      </c>
      <c r="AB20" s="2">
        <f t="shared" si="31"/>
        <v>0</v>
      </c>
      <c r="AC20" s="2">
        <f t="shared" si="13"/>
        <v>245733</v>
      </c>
      <c r="AD20" s="2">
        <f t="shared" si="10"/>
        <v>0</v>
      </c>
      <c r="AE20" s="4">
        <f t="shared" si="11"/>
        <v>245733</v>
      </c>
      <c r="AF20" s="4">
        <v>268700</v>
      </c>
      <c r="AG20" s="4">
        <v>0</v>
      </c>
      <c r="AH20" s="4">
        <f t="shared" si="12"/>
        <v>268700</v>
      </c>
      <c r="AI20" s="46" t="s">
        <v>226</v>
      </c>
      <c r="AJ20" s="46">
        <v>250000</v>
      </c>
      <c r="AK20" s="47"/>
      <c r="AL20" s="47">
        <v>0</v>
      </c>
      <c r="AM20" s="46">
        <f t="shared" si="14"/>
        <v>250000</v>
      </c>
      <c r="AN20" s="48" t="s">
        <v>202</v>
      </c>
    </row>
    <row r="21" spans="1:41" s="54" customFormat="1" ht="24" x14ac:dyDescent="0.2">
      <c r="A21" s="54" t="s">
        <v>40</v>
      </c>
      <c r="D21" s="45" t="s">
        <v>117</v>
      </c>
      <c r="E21" s="5">
        <v>36001</v>
      </c>
      <c r="F21" s="5" t="s">
        <v>41</v>
      </c>
      <c r="G21" s="6" t="s">
        <v>42</v>
      </c>
      <c r="H21" s="6" t="s">
        <v>143</v>
      </c>
      <c r="I21" s="6" t="s">
        <v>43</v>
      </c>
      <c r="J21" s="2">
        <v>447740.74074074073</v>
      </c>
      <c r="K21" s="2">
        <v>447740.74074074073</v>
      </c>
      <c r="L21" s="2">
        <f t="shared" si="21"/>
        <v>447741</v>
      </c>
      <c r="M21" s="2">
        <f t="shared" si="22"/>
        <v>463479</v>
      </c>
      <c r="N21" s="2">
        <v>62740.740740740737</v>
      </c>
      <c r="O21" s="2">
        <v>0</v>
      </c>
      <c r="P21" s="2">
        <v>62740.740740740737</v>
      </c>
      <c r="Q21" s="2">
        <f>ROUND(M21/117.8*118.7,0)</f>
        <v>467020</v>
      </c>
      <c r="R21" s="2">
        <f>ROUND(Q21*11.36%+Q21,0)</f>
        <v>520073</v>
      </c>
      <c r="S21" s="2">
        <f t="shared" si="24"/>
        <v>62741</v>
      </c>
      <c r="T21" s="2">
        <v>0</v>
      </c>
      <c r="U21" s="3"/>
      <c r="V21" s="3"/>
      <c r="W21" s="2"/>
      <c r="X21" s="2">
        <f t="shared" si="30"/>
        <v>522236</v>
      </c>
      <c r="Y21" s="12"/>
      <c r="Z21" s="4">
        <f t="shared" si="29"/>
        <v>510482</v>
      </c>
      <c r="AA21" s="2">
        <v>350000</v>
      </c>
      <c r="AB21" s="2">
        <f t="shared" si="31"/>
        <v>0</v>
      </c>
      <c r="AC21" s="2">
        <f t="shared" si="13"/>
        <v>357435</v>
      </c>
      <c r="AD21" s="2">
        <f t="shared" si="10"/>
        <v>0</v>
      </c>
      <c r="AE21" s="4">
        <f t="shared" si="11"/>
        <v>357435</v>
      </c>
      <c r="AF21" s="4">
        <v>397800</v>
      </c>
      <c r="AG21" s="4">
        <v>0</v>
      </c>
      <c r="AH21" s="4">
        <f t="shared" si="12"/>
        <v>397800</v>
      </c>
      <c r="AI21" s="47"/>
      <c r="AJ21" s="47"/>
      <c r="AK21" s="47"/>
      <c r="AL21" s="47"/>
      <c r="AM21" s="47"/>
      <c r="AN21" s="30" t="s">
        <v>190</v>
      </c>
    </row>
    <row r="22" spans="1:41" ht="36" x14ac:dyDescent="0.2">
      <c r="A22" s="44"/>
      <c r="B22" s="44"/>
      <c r="C22" s="44"/>
      <c r="D22" s="45" t="s">
        <v>115</v>
      </c>
      <c r="E22" s="5">
        <v>16202</v>
      </c>
      <c r="F22" s="5" t="s">
        <v>108</v>
      </c>
      <c r="G22" s="6" t="s">
        <v>70</v>
      </c>
      <c r="H22" s="6" t="s">
        <v>146</v>
      </c>
      <c r="I22" s="6" t="s">
        <v>43</v>
      </c>
      <c r="J22" s="2">
        <v>1837543.2098765431</v>
      </c>
      <c r="K22" s="2">
        <v>1837543.2098765431</v>
      </c>
      <c r="L22" s="2">
        <f t="shared" si="21"/>
        <v>1837543</v>
      </c>
      <c r="M22" s="2">
        <f t="shared" si="22"/>
        <v>1902132</v>
      </c>
      <c r="N22" s="2">
        <v>269975.30864197534</v>
      </c>
      <c r="O22" s="2">
        <v>0</v>
      </c>
      <c r="P22" s="2">
        <v>269975.30864197534</v>
      </c>
      <c r="Q22" s="11">
        <v>2100000</v>
      </c>
      <c r="R22" s="2">
        <f>ROUND(Q22/119.5*120.2,0)</f>
        <v>2112301</v>
      </c>
      <c r="S22" s="2">
        <f t="shared" si="24"/>
        <v>269975</v>
      </c>
      <c r="T22" s="2">
        <f t="shared" ref="T22:T32" si="32">ROUND(P22/110.8*113.8,0)</f>
        <v>277285</v>
      </c>
      <c r="U22" s="3">
        <f t="shared" ref="U22:U32" si="33">J22+N22</f>
        <v>2107518.5185185187</v>
      </c>
      <c r="V22" s="3">
        <f t="shared" ref="V22:V32" si="34">K22+P22</f>
        <v>2107518.5185185187</v>
      </c>
      <c r="W22" s="11">
        <v>119000</v>
      </c>
      <c r="X22" s="2">
        <f t="shared" si="30"/>
        <v>2121088</v>
      </c>
      <c r="Y22" s="2">
        <f>ROUND(W22/115.2*115.7,0)</f>
        <v>119516</v>
      </c>
      <c r="Z22" s="4">
        <f t="shared" si="29"/>
        <v>2107518</v>
      </c>
      <c r="AA22" s="2">
        <f>ROUND(X22/120.7*122.4,0)</f>
        <v>2150962</v>
      </c>
      <c r="AB22" s="2">
        <f t="shared" si="31"/>
        <v>119929</v>
      </c>
      <c r="AC22" s="2">
        <f t="shared" si="13"/>
        <v>2196652</v>
      </c>
      <c r="AD22" s="2">
        <f t="shared" si="10"/>
        <v>122098</v>
      </c>
      <c r="AE22" s="4">
        <f t="shared" si="11"/>
        <v>2318750</v>
      </c>
      <c r="AF22" s="4">
        <v>2444400</v>
      </c>
      <c r="AG22" s="4">
        <v>206100</v>
      </c>
      <c r="AH22" s="4">
        <f t="shared" si="12"/>
        <v>2650500</v>
      </c>
      <c r="AI22" s="47" t="s">
        <v>229</v>
      </c>
      <c r="AJ22" s="47">
        <v>2196652</v>
      </c>
      <c r="AK22" s="52" t="s">
        <v>232</v>
      </c>
      <c r="AL22" s="46">
        <v>200000</v>
      </c>
      <c r="AM22" s="46">
        <f t="shared" si="14"/>
        <v>2396652</v>
      </c>
      <c r="AN22" s="48" t="s">
        <v>212</v>
      </c>
    </row>
    <row r="23" spans="1:41" x14ac:dyDescent="0.2">
      <c r="A23" s="44"/>
      <c r="B23" s="44"/>
      <c r="C23" s="44"/>
      <c r="D23" s="45" t="s">
        <v>115</v>
      </c>
      <c r="E23" s="5">
        <v>16202</v>
      </c>
      <c r="F23" s="5" t="s">
        <v>71</v>
      </c>
      <c r="G23" s="6" t="s">
        <v>70</v>
      </c>
      <c r="H23" s="6" t="s">
        <v>146</v>
      </c>
      <c r="I23" s="6" t="s">
        <v>43</v>
      </c>
      <c r="J23" s="2">
        <v>0</v>
      </c>
      <c r="K23" s="2">
        <v>0</v>
      </c>
      <c r="L23" s="2">
        <f t="shared" si="21"/>
        <v>0</v>
      </c>
      <c r="M23" s="2">
        <f t="shared" si="22"/>
        <v>0</v>
      </c>
      <c r="N23" s="2">
        <v>98864.19753086417</v>
      </c>
      <c r="O23" s="2">
        <v>0</v>
      </c>
      <c r="P23" s="2">
        <v>98864.19753086417</v>
      </c>
      <c r="Q23" s="2">
        <f t="shared" ref="Q23:Q31" si="35">ROUND(M23/117.8*118.7,0)</f>
        <v>0</v>
      </c>
      <c r="R23" s="12">
        <f>ROUND(Q23/118.7*120.2,0)</f>
        <v>0</v>
      </c>
      <c r="S23" s="2">
        <f t="shared" si="24"/>
        <v>98864</v>
      </c>
      <c r="T23" s="2">
        <f t="shared" si="32"/>
        <v>101541</v>
      </c>
      <c r="U23" s="3">
        <f t="shared" si="33"/>
        <v>98864.19753086417</v>
      </c>
      <c r="V23" s="3">
        <f t="shared" si="34"/>
        <v>98864.19753086417</v>
      </c>
      <c r="W23" s="11">
        <v>75000</v>
      </c>
      <c r="X23" s="2">
        <f t="shared" si="30"/>
        <v>0</v>
      </c>
      <c r="Y23" s="2">
        <f>ROUND(W23/115.2*115.7,0)</f>
        <v>75326</v>
      </c>
      <c r="Z23" s="4">
        <f t="shared" si="29"/>
        <v>98864</v>
      </c>
      <c r="AA23" s="2">
        <f>ROUND(X23/120.7*122.4,0)</f>
        <v>0</v>
      </c>
      <c r="AB23" s="2">
        <f t="shared" si="31"/>
        <v>75586</v>
      </c>
      <c r="AC23" s="2">
        <f t="shared" si="13"/>
        <v>0</v>
      </c>
      <c r="AD23" s="2">
        <f t="shared" si="10"/>
        <v>76953</v>
      </c>
      <c r="AE23" s="4">
        <f t="shared" si="11"/>
        <v>76953</v>
      </c>
      <c r="AF23" s="4">
        <v>0</v>
      </c>
      <c r="AG23" s="4">
        <v>79200</v>
      </c>
      <c r="AH23" s="4">
        <f t="shared" si="12"/>
        <v>79200</v>
      </c>
      <c r="AI23" s="47"/>
      <c r="AJ23" s="47"/>
      <c r="AK23" s="46" t="s">
        <v>233</v>
      </c>
      <c r="AL23" s="47"/>
      <c r="AM23" s="46">
        <f t="shared" si="14"/>
        <v>0</v>
      </c>
    </row>
    <row r="24" spans="1:41" ht="24" x14ac:dyDescent="0.2">
      <c r="A24" s="44"/>
      <c r="B24" s="44"/>
      <c r="C24" s="44"/>
      <c r="D24" s="29"/>
      <c r="E24" s="6"/>
      <c r="F24" s="6" t="s">
        <v>221</v>
      </c>
      <c r="G24" s="6" t="s">
        <v>222</v>
      </c>
      <c r="H24" s="6" t="s">
        <v>223</v>
      </c>
      <c r="I24" s="6" t="s">
        <v>43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33"/>
      <c r="W24" s="33"/>
      <c r="X24" s="33"/>
      <c r="Y24" s="33"/>
      <c r="Z24" s="19"/>
      <c r="AA24" s="19"/>
      <c r="AB24" s="19"/>
      <c r="AC24" s="19">
        <v>60000</v>
      </c>
      <c r="AD24" s="19"/>
      <c r="AE24" s="4">
        <f>AC24+AD24</f>
        <v>60000</v>
      </c>
      <c r="AF24" s="4">
        <v>64500</v>
      </c>
      <c r="AG24" s="4">
        <v>0</v>
      </c>
      <c r="AH24" s="4">
        <f t="shared" si="12"/>
        <v>64500</v>
      </c>
      <c r="AI24" s="52" t="s">
        <v>241</v>
      </c>
      <c r="AJ24" s="46">
        <v>60000</v>
      </c>
      <c r="AK24" s="46"/>
      <c r="AL24" s="46">
        <v>0</v>
      </c>
      <c r="AM24" s="46">
        <f t="shared" si="14"/>
        <v>60000</v>
      </c>
      <c r="AN24" s="48" t="s">
        <v>224</v>
      </c>
    </row>
    <row r="25" spans="1:41" ht="24" x14ac:dyDescent="0.2">
      <c r="D25" s="45" t="s">
        <v>119</v>
      </c>
      <c r="E25" s="5">
        <v>20004</v>
      </c>
      <c r="F25" s="5" t="s">
        <v>114</v>
      </c>
      <c r="G25" s="6" t="s">
        <v>53</v>
      </c>
      <c r="H25" s="6" t="s">
        <v>144</v>
      </c>
      <c r="I25" s="6" t="s">
        <v>43</v>
      </c>
      <c r="J25" s="2">
        <v>498123.45679012348</v>
      </c>
      <c r="K25" s="2">
        <v>498123.45679012348</v>
      </c>
      <c r="L25" s="2">
        <f t="shared" si="21"/>
        <v>498123</v>
      </c>
      <c r="M25" s="2">
        <f t="shared" si="22"/>
        <v>515632</v>
      </c>
      <c r="N25" s="2">
        <v>0</v>
      </c>
      <c r="O25" s="2">
        <v>0</v>
      </c>
      <c r="P25" s="2">
        <v>0</v>
      </c>
      <c r="Q25" s="2">
        <f t="shared" si="35"/>
        <v>519571</v>
      </c>
      <c r="R25" s="2">
        <v>415000</v>
      </c>
      <c r="S25" s="2">
        <f t="shared" si="24"/>
        <v>0</v>
      </c>
      <c r="T25" s="2">
        <f t="shared" si="32"/>
        <v>0</v>
      </c>
      <c r="U25" s="3">
        <f t="shared" si="33"/>
        <v>498123.45679012348</v>
      </c>
      <c r="V25" s="3">
        <f t="shared" si="34"/>
        <v>498123.45679012348</v>
      </c>
      <c r="W25" s="2"/>
      <c r="X25" s="2">
        <f>ROUND(R25/120.4*120.7,0)</f>
        <v>416034</v>
      </c>
      <c r="Y25" s="2"/>
      <c r="Z25" s="4">
        <f t="shared" si="29"/>
        <v>498123</v>
      </c>
      <c r="AA25" s="11">
        <v>770000</v>
      </c>
      <c r="AB25" s="4"/>
      <c r="AC25" s="2">
        <f t="shared" si="13"/>
        <v>786356</v>
      </c>
      <c r="AD25" s="2">
        <f t="shared" si="10"/>
        <v>0</v>
      </c>
      <c r="AE25" s="4">
        <f t="shared" si="11"/>
        <v>786356</v>
      </c>
      <c r="AF25" s="4">
        <v>875100</v>
      </c>
      <c r="AG25" s="4">
        <v>0</v>
      </c>
      <c r="AH25" s="4">
        <f t="shared" si="12"/>
        <v>875100</v>
      </c>
      <c r="AI25" s="47"/>
      <c r="AJ25" s="47"/>
      <c r="AK25" s="47"/>
      <c r="AL25" s="47"/>
      <c r="AM25" s="47"/>
      <c r="AN25" s="48" t="s">
        <v>180</v>
      </c>
    </row>
    <row r="26" spans="1:41" x14ac:dyDescent="0.2">
      <c r="D26" s="45" t="s">
        <v>119</v>
      </c>
      <c r="E26" s="5">
        <v>20004</v>
      </c>
      <c r="F26" s="5" t="s">
        <v>51</v>
      </c>
      <c r="G26" s="6" t="s">
        <v>53</v>
      </c>
      <c r="H26" s="6" t="s">
        <v>144</v>
      </c>
      <c r="I26" s="6" t="s">
        <v>43</v>
      </c>
      <c r="J26" s="2">
        <v>18061.728395061727</v>
      </c>
      <c r="K26" s="2">
        <v>18061.728395061727</v>
      </c>
      <c r="L26" s="2">
        <f t="shared" si="21"/>
        <v>18062</v>
      </c>
      <c r="M26" s="2">
        <f t="shared" si="22"/>
        <v>18697</v>
      </c>
      <c r="N26" s="2">
        <v>0</v>
      </c>
      <c r="O26" s="2">
        <v>0</v>
      </c>
      <c r="P26" s="2">
        <v>0</v>
      </c>
      <c r="Q26" s="2">
        <f t="shared" si="35"/>
        <v>18840</v>
      </c>
      <c r="R26" s="2">
        <f>ROUND(Q26*11.36%+Q26,0)</f>
        <v>20980</v>
      </c>
      <c r="S26" s="2">
        <f t="shared" si="24"/>
        <v>0</v>
      </c>
      <c r="T26" s="2">
        <f t="shared" si="32"/>
        <v>0</v>
      </c>
      <c r="U26" s="3">
        <f t="shared" si="33"/>
        <v>18061.728395061727</v>
      </c>
      <c r="V26" s="3">
        <f t="shared" si="34"/>
        <v>18061.728395061727</v>
      </c>
      <c r="W26" s="2"/>
      <c r="X26" s="2">
        <f>ROUND(R26/120.2*120.7,0)</f>
        <v>21067</v>
      </c>
      <c r="Y26" s="2"/>
      <c r="Z26" s="4">
        <f t="shared" si="29"/>
        <v>18062</v>
      </c>
      <c r="AA26" s="2">
        <f>ROUND(X26/120.7*122.4,0)</f>
        <v>21364</v>
      </c>
      <c r="AB26" s="2">
        <f>ROUND(Y26/115.7*116.1,0)</f>
        <v>0</v>
      </c>
      <c r="AC26" s="2">
        <f t="shared" si="13"/>
        <v>21818</v>
      </c>
      <c r="AD26" s="2">
        <f t="shared" si="10"/>
        <v>0</v>
      </c>
      <c r="AE26" s="4">
        <f t="shared" si="11"/>
        <v>21818</v>
      </c>
      <c r="AF26" s="4">
        <v>24300</v>
      </c>
      <c r="AG26" s="4">
        <v>0</v>
      </c>
      <c r="AH26" s="4">
        <f t="shared" si="12"/>
        <v>24300</v>
      </c>
      <c r="AI26" s="47"/>
      <c r="AJ26" s="47"/>
      <c r="AK26" s="47"/>
      <c r="AL26" s="47"/>
      <c r="AM26" s="47"/>
    </row>
    <row r="27" spans="1:41" ht="24" x14ac:dyDescent="0.2">
      <c r="D27" s="45" t="s">
        <v>120</v>
      </c>
      <c r="E27" s="5">
        <v>20011</v>
      </c>
      <c r="F27" s="5" t="s">
        <v>56</v>
      </c>
      <c r="G27" s="6" t="s">
        <v>57</v>
      </c>
      <c r="H27" s="6" t="s">
        <v>145</v>
      </c>
      <c r="I27" s="6" t="s">
        <v>43</v>
      </c>
      <c r="J27" s="2">
        <v>262370.37037037039</v>
      </c>
      <c r="K27" s="2">
        <v>262370.37037037039</v>
      </c>
      <c r="L27" s="2">
        <f t="shared" si="21"/>
        <v>262370</v>
      </c>
      <c r="M27" s="2">
        <f t="shared" si="22"/>
        <v>271592</v>
      </c>
      <c r="N27" s="2">
        <v>0</v>
      </c>
      <c r="O27" s="2">
        <v>0</v>
      </c>
      <c r="P27" s="2">
        <v>0</v>
      </c>
      <c r="Q27" s="2">
        <f t="shared" si="35"/>
        <v>273667</v>
      </c>
      <c r="R27" s="2">
        <v>230000</v>
      </c>
      <c r="S27" s="2">
        <f t="shared" si="24"/>
        <v>0</v>
      </c>
      <c r="T27" s="2">
        <f t="shared" si="32"/>
        <v>0</v>
      </c>
      <c r="U27" s="3">
        <f t="shared" si="33"/>
        <v>262370.37037037039</v>
      </c>
      <c r="V27" s="3">
        <f t="shared" si="34"/>
        <v>262370.37037037039</v>
      </c>
      <c r="W27" s="2"/>
      <c r="X27" s="2">
        <f>ROUND(R27/120.4*120.7,0)</f>
        <v>230573</v>
      </c>
      <c r="Y27" s="2"/>
      <c r="Z27" s="4">
        <f t="shared" si="29"/>
        <v>262370</v>
      </c>
      <c r="AA27" s="11">
        <v>315000</v>
      </c>
      <c r="AB27" s="4"/>
      <c r="AC27" s="2">
        <f t="shared" si="13"/>
        <v>321691</v>
      </c>
      <c r="AD27" s="2">
        <f t="shared" si="10"/>
        <v>0</v>
      </c>
      <c r="AE27" s="4">
        <f t="shared" si="11"/>
        <v>321691</v>
      </c>
      <c r="AF27" s="4">
        <v>358000</v>
      </c>
      <c r="AG27" s="4">
        <v>0</v>
      </c>
      <c r="AH27" s="4">
        <f t="shared" si="12"/>
        <v>358000</v>
      </c>
      <c r="AI27" s="47"/>
      <c r="AJ27" s="47"/>
      <c r="AK27" s="47"/>
      <c r="AL27" s="47"/>
      <c r="AM27" s="47"/>
      <c r="AN27" s="48" t="s">
        <v>181</v>
      </c>
    </row>
    <row r="28" spans="1:41" x14ac:dyDescent="0.2">
      <c r="D28" s="45" t="s">
        <v>120</v>
      </c>
      <c r="E28" s="5">
        <v>20011</v>
      </c>
      <c r="F28" s="5" t="s">
        <v>51</v>
      </c>
      <c r="G28" s="6" t="s">
        <v>57</v>
      </c>
      <c r="H28" s="6" t="s">
        <v>145</v>
      </c>
      <c r="I28" s="6" t="s">
        <v>43</v>
      </c>
      <c r="J28" s="2">
        <v>30419.753086419754</v>
      </c>
      <c r="K28" s="2">
        <v>30419.753086419754</v>
      </c>
      <c r="L28" s="2">
        <f t="shared" si="21"/>
        <v>30420</v>
      </c>
      <c r="M28" s="2">
        <f t="shared" si="22"/>
        <v>31489</v>
      </c>
      <c r="N28" s="2">
        <v>0</v>
      </c>
      <c r="O28" s="2">
        <v>0</v>
      </c>
      <c r="P28" s="2">
        <v>0</v>
      </c>
      <c r="Q28" s="2">
        <f t="shared" si="35"/>
        <v>31730</v>
      </c>
      <c r="R28" s="2">
        <f>ROUND(Q28*11.36%+Q28,0)</f>
        <v>35335</v>
      </c>
      <c r="S28" s="2">
        <f t="shared" si="24"/>
        <v>0</v>
      </c>
      <c r="T28" s="2">
        <f t="shared" si="32"/>
        <v>0</v>
      </c>
      <c r="U28" s="3">
        <f t="shared" si="33"/>
        <v>30419.753086419754</v>
      </c>
      <c r="V28" s="3">
        <f t="shared" si="34"/>
        <v>30419.753086419754</v>
      </c>
      <c r="W28" s="2"/>
      <c r="X28" s="2">
        <f t="shared" ref="X28:X35" si="36">ROUND(R28/120.2*120.7,0)</f>
        <v>35482</v>
      </c>
      <c r="Y28" s="2"/>
      <c r="Z28" s="4">
        <f t="shared" si="29"/>
        <v>30420</v>
      </c>
      <c r="AA28" s="2">
        <f>ROUND(X28/120.7*122.4,0)</f>
        <v>35982</v>
      </c>
      <c r="AB28" s="2">
        <f t="shared" ref="AB28:AB35" si="37">ROUND(Y28/115.7*116.1,0)</f>
        <v>0</v>
      </c>
      <c r="AC28" s="2">
        <f t="shared" si="13"/>
        <v>36746</v>
      </c>
      <c r="AD28" s="2">
        <f t="shared" si="10"/>
        <v>0</v>
      </c>
      <c r="AE28" s="4">
        <f t="shared" si="11"/>
        <v>36746</v>
      </c>
      <c r="AF28" s="4">
        <v>40900</v>
      </c>
      <c r="AG28" s="4">
        <v>0</v>
      </c>
      <c r="AH28" s="4">
        <f t="shared" si="12"/>
        <v>40900</v>
      </c>
      <c r="AI28" s="47"/>
      <c r="AJ28" s="47"/>
      <c r="AK28" s="47"/>
      <c r="AL28" s="47"/>
      <c r="AM28" s="47"/>
    </row>
    <row r="29" spans="1:41" x14ac:dyDescent="0.2">
      <c r="A29" s="44"/>
      <c r="B29" s="44"/>
      <c r="C29" s="44"/>
      <c r="D29" s="45" t="s">
        <v>125</v>
      </c>
      <c r="E29" s="5"/>
      <c r="F29" s="5" t="s">
        <v>100</v>
      </c>
      <c r="G29" s="5"/>
      <c r="H29" s="5"/>
      <c r="I29" s="5" t="s">
        <v>43</v>
      </c>
      <c r="J29" s="2">
        <v>35172.839506172837</v>
      </c>
      <c r="K29" s="2">
        <v>35172.839506172837</v>
      </c>
      <c r="L29" s="2">
        <f t="shared" si="21"/>
        <v>35173</v>
      </c>
      <c r="M29" s="2">
        <f t="shared" si="22"/>
        <v>36409</v>
      </c>
      <c r="N29" s="2">
        <v>0</v>
      </c>
      <c r="O29" s="2">
        <v>0</v>
      </c>
      <c r="P29" s="2">
        <v>0</v>
      </c>
      <c r="Q29" s="2">
        <f t="shared" si="35"/>
        <v>36687</v>
      </c>
      <c r="R29" s="2">
        <f>ROUND(Q29*11.36%+Q29,0)</f>
        <v>40855</v>
      </c>
      <c r="S29" s="2">
        <f t="shared" si="24"/>
        <v>0</v>
      </c>
      <c r="T29" s="2">
        <f t="shared" si="32"/>
        <v>0</v>
      </c>
      <c r="U29" s="3">
        <f t="shared" si="33"/>
        <v>35172.839506172837</v>
      </c>
      <c r="V29" s="3">
        <f t="shared" si="34"/>
        <v>35172.839506172837</v>
      </c>
      <c r="W29" s="2"/>
      <c r="X29" s="2">
        <f t="shared" si="36"/>
        <v>41025</v>
      </c>
      <c r="Y29" s="2"/>
      <c r="Z29" s="4">
        <f t="shared" si="29"/>
        <v>35173</v>
      </c>
      <c r="AA29" s="2">
        <f>ROUND(X29/120.7*122.4,0)</f>
        <v>41603</v>
      </c>
      <c r="AB29" s="2">
        <f t="shared" si="37"/>
        <v>0</v>
      </c>
      <c r="AC29" s="2">
        <f t="shared" si="13"/>
        <v>42487</v>
      </c>
      <c r="AD29" s="2">
        <f t="shared" si="10"/>
        <v>0</v>
      </c>
      <c r="AE29" s="4">
        <f t="shared" si="11"/>
        <v>42487</v>
      </c>
      <c r="AF29" s="4">
        <v>48400</v>
      </c>
      <c r="AG29" s="4"/>
      <c r="AH29" s="4">
        <f t="shared" si="12"/>
        <v>48400</v>
      </c>
      <c r="AI29" s="46" t="s">
        <v>226</v>
      </c>
      <c r="AJ29" s="46">
        <v>45000</v>
      </c>
      <c r="AK29" s="47"/>
      <c r="AL29" s="47">
        <v>0</v>
      </c>
      <c r="AM29" s="46">
        <f t="shared" si="14"/>
        <v>45000</v>
      </c>
    </row>
    <row r="30" spans="1:41" x14ac:dyDescent="0.2">
      <c r="A30" s="44"/>
      <c r="B30" s="44"/>
      <c r="C30" s="44"/>
      <c r="D30" s="45" t="s">
        <v>124</v>
      </c>
      <c r="E30" s="5">
        <v>10501</v>
      </c>
      <c r="F30" s="5" t="s">
        <v>72</v>
      </c>
      <c r="G30" s="6" t="s">
        <v>73</v>
      </c>
      <c r="H30" s="6" t="s">
        <v>153</v>
      </c>
      <c r="I30" s="6" t="s">
        <v>39</v>
      </c>
      <c r="J30" s="2">
        <v>412567.90123456792</v>
      </c>
      <c r="K30" s="2">
        <v>412567.90123456792</v>
      </c>
      <c r="L30" s="2">
        <f t="shared" si="21"/>
        <v>412568</v>
      </c>
      <c r="M30" s="2">
        <f t="shared" si="22"/>
        <v>427070</v>
      </c>
      <c r="N30" s="2">
        <v>0</v>
      </c>
      <c r="O30" s="2">
        <v>0</v>
      </c>
      <c r="P30" s="2">
        <v>0</v>
      </c>
      <c r="Q30" s="2">
        <f t="shared" si="35"/>
        <v>430333</v>
      </c>
      <c r="R30" s="2">
        <f>ROUND(Q30*11.36%+Q30,0)</f>
        <v>479219</v>
      </c>
      <c r="S30" s="2">
        <f t="shared" si="24"/>
        <v>0</v>
      </c>
      <c r="T30" s="2">
        <f t="shared" si="32"/>
        <v>0</v>
      </c>
      <c r="U30" s="3">
        <f t="shared" si="33"/>
        <v>412567.90123456792</v>
      </c>
      <c r="V30" s="3">
        <f t="shared" si="34"/>
        <v>412567.90123456792</v>
      </c>
      <c r="W30" s="2"/>
      <c r="X30" s="2">
        <f t="shared" si="36"/>
        <v>481212</v>
      </c>
      <c r="Y30" s="2"/>
      <c r="Z30" s="4">
        <f t="shared" si="29"/>
        <v>412568</v>
      </c>
      <c r="AA30" s="2">
        <f>ROUND(X30/120.7*122.4,0)</f>
        <v>487990</v>
      </c>
      <c r="AB30" s="2">
        <f t="shared" si="37"/>
        <v>0</v>
      </c>
      <c r="AC30" s="2">
        <f t="shared" si="13"/>
        <v>498356</v>
      </c>
      <c r="AD30" s="2">
        <f t="shared" si="10"/>
        <v>0</v>
      </c>
      <c r="AE30" s="4">
        <f t="shared" si="11"/>
        <v>498356</v>
      </c>
      <c r="AF30" s="4">
        <v>483700</v>
      </c>
      <c r="AG30" s="4"/>
      <c r="AH30" s="4">
        <f t="shared" si="12"/>
        <v>483700</v>
      </c>
      <c r="AI30" s="46" t="s">
        <v>226</v>
      </c>
      <c r="AJ30" s="46">
        <v>450000</v>
      </c>
      <c r="AK30" s="47"/>
      <c r="AL30" s="47"/>
      <c r="AM30" s="46">
        <f t="shared" si="14"/>
        <v>450000</v>
      </c>
    </row>
    <row r="31" spans="1:41" x14ac:dyDescent="0.2">
      <c r="A31" s="44"/>
      <c r="B31" s="44"/>
      <c r="C31" s="44"/>
      <c r="D31" s="45" t="s">
        <v>115</v>
      </c>
      <c r="E31" s="5">
        <v>12002</v>
      </c>
      <c r="F31" s="5" t="s">
        <v>65</v>
      </c>
      <c r="G31" s="6" t="s">
        <v>66</v>
      </c>
      <c r="H31" s="6" t="s">
        <v>152</v>
      </c>
      <c r="I31" s="6" t="s">
        <v>39</v>
      </c>
      <c r="J31" s="2">
        <v>0</v>
      </c>
      <c r="K31" s="2">
        <v>0</v>
      </c>
      <c r="L31" s="2">
        <f t="shared" si="21"/>
        <v>0</v>
      </c>
      <c r="M31" s="2">
        <f t="shared" si="22"/>
        <v>0</v>
      </c>
      <c r="N31" s="2">
        <v>145444.44444444444</v>
      </c>
      <c r="O31" s="2">
        <v>0</v>
      </c>
      <c r="P31" s="2">
        <v>145444.44444444444</v>
      </c>
      <c r="Q31" s="2">
        <f t="shared" si="35"/>
        <v>0</v>
      </c>
      <c r="R31" s="2">
        <f>ROUND(Q31/119.5*120.2,0)</f>
        <v>0</v>
      </c>
      <c r="S31" s="2">
        <f t="shared" si="24"/>
        <v>145444</v>
      </c>
      <c r="T31" s="2">
        <f t="shared" si="32"/>
        <v>149382</v>
      </c>
      <c r="U31" s="3">
        <f t="shared" si="33"/>
        <v>145444.44444444444</v>
      </c>
      <c r="V31" s="3">
        <f t="shared" si="34"/>
        <v>145444.44444444444</v>
      </c>
      <c r="W31" s="11">
        <v>225000</v>
      </c>
      <c r="X31" s="2">
        <f t="shared" si="36"/>
        <v>0</v>
      </c>
      <c r="Y31" s="2">
        <f>ROUND(W31/115.2*115.7,0)</f>
        <v>225977</v>
      </c>
      <c r="Z31" s="4">
        <f t="shared" si="29"/>
        <v>145444</v>
      </c>
      <c r="AA31" s="2">
        <f>ROUND(X31/120.7*122.4,0)</f>
        <v>0</v>
      </c>
      <c r="AB31" s="2">
        <f t="shared" si="37"/>
        <v>226758</v>
      </c>
      <c r="AC31" s="2">
        <f t="shared" si="13"/>
        <v>0</v>
      </c>
      <c r="AD31" s="2">
        <f t="shared" si="10"/>
        <v>230860</v>
      </c>
      <c r="AE31" s="4">
        <f t="shared" si="11"/>
        <v>230860</v>
      </c>
      <c r="AF31" s="4">
        <v>0</v>
      </c>
      <c r="AG31" s="4">
        <v>237500</v>
      </c>
      <c r="AH31" s="4">
        <f t="shared" si="12"/>
        <v>237500</v>
      </c>
      <c r="AI31" s="47"/>
      <c r="AJ31" s="47"/>
      <c r="AK31" s="46"/>
      <c r="AL31" s="46"/>
      <c r="AM31" s="46"/>
    </row>
    <row r="32" spans="1:41" ht="36" x14ac:dyDescent="0.2">
      <c r="A32" s="44"/>
      <c r="B32" s="44"/>
      <c r="C32" s="44"/>
      <c r="D32" s="45" t="s">
        <v>115</v>
      </c>
      <c r="E32" s="5">
        <v>12002</v>
      </c>
      <c r="F32" s="5" t="s">
        <v>107</v>
      </c>
      <c r="G32" s="6" t="s">
        <v>64</v>
      </c>
      <c r="H32" s="6" t="s">
        <v>152</v>
      </c>
      <c r="I32" s="6" t="s">
        <v>39</v>
      </c>
      <c r="J32" s="2">
        <v>3521086.4197530863</v>
      </c>
      <c r="K32" s="2">
        <v>3521086.4197530863</v>
      </c>
      <c r="L32" s="2">
        <f t="shared" si="21"/>
        <v>3521086</v>
      </c>
      <c r="M32" s="2">
        <f t="shared" si="22"/>
        <v>3644850</v>
      </c>
      <c r="N32" s="2">
        <v>336518.51851851854</v>
      </c>
      <c r="O32" s="2">
        <v>0</v>
      </c>
      <c r="P32" s="2">
        <v>336518.51851851854</v>
      </c>
      <c r="Q32" s="11">
        <v>3500000</v>
      </c>
      <c r="R32" s="2">
        <f>ROUND(Q32/119.5*120.2,0)</f>
        <v>3520502</v>
      </c>
      <c r="S32" s="2">
        <f t="shared" si="24"/>
        <v>336519</v>
      </c>
      <c r="T32" s="2">
        <f t="shared" si="32"/>
        <v>345630</v>
      </c>
      <c r="U32" s="3">
        <f t="shared" si="33"/>
        <v>3857604.9382716049</v>
      </c>
      <c r="V32" s="3">
        <f t="shared" si="34"/>
        <v>3857604.9382716049</v>
      </c>
      <c r="W32" s="11">
        <v>185000</v>
      </c>
      <c r="X32" s="2">
        <f t="shared" si="36"/>
        <v>3535146</v>
      </c>
      <c r="Y32" s="2">
        <f>ROUND(W32/115.2*115.7,0)</f>
        <v>185803</v>
      </c>
      <c r="Z32" s="4">
        <f t="shared" si="29"/>
        <v>3857605</v>
      </c>
      <c r="AA32" s="2">
        <f>ROUND(X32/120.7*122.4,0)</f>
        <v>3584937</v>
      </c>
      <c r="AB32" s="2">
        <f t="shared" si="37"/>
        <v>186445</v>
      </c>
      <c r="AC32" s="2">
        <f t="shared" si="13"/>
        <v>3661088</v>
      </c>
      <c r="AD32" s="2">
        <f t="shared" si="10"/>
        <v>189817</v>
      </c>
      <c r="AE32" s="4">
        <f t="shared" si="11"/>
        <v>3850905</v>
      </c>
      <c r="AF32" s="4">
        <v>4074100</v>
      </c>
      <c r="AG32" s="4">
        <v>427700</v>
      </c>
      <c r="AH32" s="4">
        <f t="shared" si="12"/>
        <v>4501800</v>
      </c>
      <c r="AI32" s="47" t="s">
        <v>229</v>
      </c>
      <c r="AJ32" s="47">
        <v>3661088</v>
      </c>
      <c r="AK32" s="52" t="s">
        <v>234</v>
      </c>
      <c r="AL32" s="46">
        <v>415000</v>
      </c>
      <c r="AM32" s="46">
        <f t="shared" si="14"/>
        <v>4076088</v>
      </c>
      <c r="AN32" s="48" t="s">
        <v>214</v>
      </c>
    </row>
    <row r="33" spans="1:41" s="54" customFormat="1" ht="24" x14ac:dyDescent="0.2">
      <c r="A33" s="54" t="s">
        <v>36</v>
      </c>
      <c r="D33" s="45" t="s">
        <v>117</v>
      </c>
      <c r="E33" s="5">
        <v>32401</v>
      </c>
      <c r="F33" s="5" t="s">
        <v>37</v>
      </c>
      <c r="G33" s="6" t="s">
        <v>38</v>
      </c>
      <c r="H33" s="6" t="s">
        <v>148</v>
      </c>
      <c r="I33" s="6" t="s">
        <v>39</v>
      </c>
      <c r="J33" s="2">
        <v>296592.59259259253</v>
      </c>
      <c r="K33" s="2">
        <v>296592.59259259253</v>
      </c>
      <c r="L33" s="2">
        <f t="shared" si="21"/>
        <v>296593</v>
      </c>
      <c r="M33" s="2">
        <f t="shared" si="22"/>
        <v>307018</v>
      </c>
      <c r="N33" s="2">
        <v>26617.283950617282</v>
      </c>
      <c r="O33" s="2">
        <v>0</v>
      </c>
      <c r="P33" s="2">
        <v>26617.283950617282</v>
      </c>
      <c r="Q33" s="2">
        <f t="shared" ref="Q33:Q37" si="38">ROUND(M33/117.8*118.7,0)</f>
        <v>309364</v>
      </c>
      <c r="R33" s="2">
        <f>ROUND(Q33*11.36%+Q33,0)</f>
        <v>344508</v>
      </c>
      <c r="S33" s="2">
        <f t="shared" si="24"/>
        <v>26617</v>
      </c>
      <c r="T33" s="2">
        <v>0</v>
      </c>
      <c r="U33" s="3"/>
      <c r="V33" s="3"/>
      <c r="W33" s="2"/>
      <c r="X33" s="2">
        <f t="shared" si="36"/>
        <v>345941</v>
      </c>
      <c r="Y33" s="12"/>
      <c r="Z33" s="4">
        <f t="shared" si="29"/>
        <v>323210</v>
      </c>
      <c r="AA33" s="11">
        <v>325000</v>
      </c>
      <c r="AB33" s="2">
        <f t="shared" si="37"/>
        <v>0</v>
      </c>
      <c r="AC33" s="2">
        <f t="shared" si="13"/>
        <v>331904</v>
      </c>
      <c r="AD33" s="2">
        <f t="shared" si="10"/>
        <v>0</v>
      </c>
      <c r="AE33" s="4">
        <f t="shared" si="11"/>
        <v>331904</v>
      </c>
      <c r="AF33" s="4">
        <v>369300</v>
      </c>
      <c r="AG33" s="4">
        <v>0</v>
      </c>
      <c r="AH33" s="4">
        <f t="shared" si="12"/>
        <v>369300</v>
      </c>
      <c r="AI33" s="47"/>
      <c r="AJ33" s="47"/>
      <c r="AK33" s="47"/>
      <c r="AL33" s="47"/>
      <c r="AM33" s="47"/>
      <c r="AN33" s="30" t="s">
        <v>189</v>
      </c>
    </row>
    <row r="34" spans="1:41" x14ac:dyDescent="0.2">
      <c r="D34" s="45" t="s">
        <v>121</v>
      </c>
      <c r="E34" s="5">
        <v>32301</v>
      </c>
      <c r="F34" s="5" t="s">
        <v>62</v>
      </c>
      <c r="G34" s="6" t="s">
        <v>63</v>
      </c>
      <c r="H34" s="6" t="s">
        <v>151</v>
      </c>
      <c r="I34" s="6" t="s">
        <v>39</v>
      </c>
      <c r="J34" s="2">
        <v>30419.753086419754</v>
      </c>
      <c r="K34" s="2">
        <v>30419.753086419754</v>
      </c>
      <c r="L34" s="2">
        <f t="shared" si="21"/>
        <v>30420</v>
      </c>
      <c r="M34" s="2">
        <f t="shared" si="22"/>
        <v>31489</v>
      </c>
      <c r="N34" s="2">
        <v>0</v>
      </c>
      <c r="O34" s="2">
        <v>0</v>
      </c>
      <c r="P34" s="2">
        <v>0</v>
      </c>
      <c r="Q34" s="2">
        <f t="shared" si="38"/>
        <v>31730</v>
      </c>
      <c r="R34" s="2">
        <f>ROUND(Q34*11.36%+Q34,0)</f>
        <v>35335</v>
      </c>
      <c r="S34" s="2">
        <f t="shared" si="24"/>
        <v>0</v>
      </c>
      <c r="T34" s="2">
        <f>ROUND(P34/110.8*113.8,0)</f>
        <v>0</v>
      </c>
      <c r="U34" s="3">
        <f>J34+N34</f>
        <v>30419.753086419754</v>
      </c>
      <c r="V34" s="3">
        <f>K34+P34</f>
        <v>30419.753086419754</v>
      </c>
      <c r="W34" s="2"/>
      <c r="X34" s="2">
        <f t="shared" si="36"/>
        <v>35482</v>
      </c>
      <c r="Y34" s="12"/>
      <c r="Z34" s="4">
        <f t="shared" si="29"/>
        <v>30420</v>
      </c>
      <c r="AA34" s="2">
        <f>ROUND(X34/120.7*122.4,0)</f>
        <v>35982</v>
      </c>
      <c r="AB34" s="2">
        <f t="shared" si="37"/>
        <v>0</v>
      </c>
      <c r="AC34" s="2">
        <f t="shared" si="13"/>
        <v>36746</v>
      </c>
      <c r="AD34" s="2">
        <f t="shared" si="10"/>
        <v>0</v>
      </c>
      <c r="AE34" s="4">
        <f t="shared" si="11"/>
        <v>36746</v>
      </c>
      <c r="AF34" s="4">
        <v>37600</v>
      </c>
      <c r="AG34" s="4">
        <v>0</v>
      </c>
      <c r="AH34" s="4">
        <f t="shared" si="12"/>
        <v>37600</v>
      </c>
      <c r="AI34" s="46" t="s">
        <v>235</v>
      </c>
      <c r="AJ34" s="46">
        <v>35000</v>
      </c>
      <c r="AK34" s="47"/>
      <c r="AL34" s="47">
        <v>0</v>
      </c>
      <c r="AM34" s="46">
        <f t="shared" si="14"/>
        <v>35000</v>
      </c>
    </row>
    <row r="35" spans="1:41" ht="24" x14ac:dyDescent="0.2">
      <c r="D35" s="45" t="s">
        <v>121</v>
      </c>
      <c r="E35" s="5">
        <v>42600</v>
      </c>
      <c r="F35" s="5" t="s">
        <v>60</v>
      </c>
      <c r="G35" s="6" t="s">
        <v>61</v>
      </c>
      <c r="H35" s="6" t="s">
        <v>150</v>
      </c>
      <c r="I35" s="6" t="s">
        <v>39</v>
      </c>
      <c r="J35" s="2">
        <v>1159753.0864197533</v>
      </c>
      <c r="K35" s="2">
        <v>1159753.0864197533</v>
      </c>
      <c r="L35" s="2">
        <f t="shared" si="21"/>
        <v>1159753</v>
      </c>
      <c r="M35" s="2">
        <f t="shared" si="22"/>
        <v>1200518</v>
      </c>
      <c r="N35" s="2">
        <v>0</v>
      </c>
      <c r="O35" s="2">
        <v>0</v>
      </c>
      <c r="P35" s="2">
        <v>0</v>
      </c>
      <c r="Q35" s="2">
        <f t="shared" si="38"/>
        <v>1209690</v>
      </c>
      <c r="R35" s="2">
        <f>ROUND(Q35*11.36%+Q35,0)</f>
        <v>1347111</v>
      </c>
      <c r="S35" s="2">
        <f t="shared" si="24"/>
        <v>0</v>
      </c>
      <c r="T35" s="2">
        <f>ROUND(P35/110.8*113.8,0)</f>
        <v>0</v>
      </c>
      <c r="U35" s="3">
        <f>J35+N35</f>
        <v>1159753.0864197533</v>
      </c>
      <c r="V35" s="3">
        <f>K35+P35</f>
        <v>1159753.0864197533</v>
      </c>
      <c r="W35" s="2"/>
      <c r="X35" s="2">
        <f t="shared" si="36"/>
        <v>1352715</v>
      </c>
      <c r="Y35" s="12"/>
      <c r="Z35" s="4">
        <f t="shared" si="29"/>
        <v>1159753</v>
      </c>
      <c r="AA35" s="11">
        <v>2090000</v>
      </c>
      <c r="AB35" s="2">
        <f t="shared" si="37"/>
        <v>0</v>
      </c>
      <c r="AC35" s="2">
        <f t="shared" si="13"/>
        <v>2134395</v>
      </c>
      <c r="AD35" s="2">
        <f t="shared" si="10"/>
        <v>0</v>
      </c>
      <c r="AE35" s="4">
        <f t="shared" si="11"/>
        <v>2134395</v>
      </c>
      <c r="AF35" s="4">
        <v>2375200</v>
      </c>
      <c r="AG35" s="4">
        <v>0</v>
      </c>
      <c r="AH35" s="4">
        <f t="shared" si="12"/>
        <v>2375200</v>
      </c>
      <c r="AI35" s="47"/>
      <c r="AJ35" s="47"/>
      <c r="AK35" s="47"/>
      <c r="AL35" s="47"/>
      <c r="AM35" s="47"/>
      <c r="AN35" s="30" t="s">
        <v>191</v>
      </c>
    </row>
    <row r="36" spans="1:41" x14ac:dyDescent="0.2">
      <c r="D36" s="45" t="s">
        <v>119</v>
      </c>
      <c r="E36" s="5">
        <v>20003</v>
      </c>
      <c r="F36" s="5" t="s">
        <v>236</v>
      </c>
      <c r="G36" s="6" t="s">
        <v>52</v>
      </c>
      <c r="H36" s="6" t="s">
        <v>149</v>
      </c>
      <c r="I36" s="6" t="s">
        <v>39</v>
      </c>
      <c r="J36" s="2">
        <v>18061.728395061727</v>
      </c>
      <c r="K36" s="2">
        <v>18061.728395061727</v>
      </c>
      <c r="L36" s="2">
        <f t="shared" si="21"/>
        <v>18062</v>
      </c>
      <c r="M36" s="2">
        <f t="shared" si="22"/>
        <v>18697</v>
      </c>
      <c r="N36" s="2">
        <v>0</v>
      </c>
      <c r="O36" s="2">
        <v>0</v>
      </c>
      <c r="P36" s="2">
        <v>0</v>
      </c>
      <c r="Q36" s="2">
        <f t="shared" si="38"/>
        <v>18840</v>
      </c>
      <c r="R36" s="2">
        <f>ROUND(Q36*11.36%+Q36,0)</f>
        <v>20980</v>
      </c>
      <c r="S36" s="2">
        <f t="shared" si="24"/>
        <v>0</v>
      </c>
      <c r="T36" s="2">
        <f>ROUND(P36/110.8*113.8,0)</f>
        <v>0</v>
      </c>
      <c r="U36" s="3">
        <f>J36+N36</f>
        <v>18061.728395061727</v>
      </c>
      <c r="V36" s="3">
        <f>K36+P36</f>
        <v>18061.728395061727</v>
      </c>
      <c r="W36" s="2"/>
      <c r="X36" s="2">
        <f>ROUND(R36/120.2*120.7,0)</f>
        <v>21067</v>
      </c>
      <c r="Y36" s="2"/>
      <c r="Z36" s="4">
        <f t="shared" si="29"/>
        <v>18062</v>
      </c>
      <c r="AA36" s="2">
        <f>ROUND(X36/120.7*122.4,0)</f>
        <v>21364</v>
      </c>
      <c r="AB36" s="2">
        <f>ROUND(Y36/115.7*116.1,0)</f>
        <v>0</v>
      </c>
      <c r="AC36" s="2">
        <f t="shared" si="13"/>
        <v>21818</v>
      </c>
      <c r="AD36" s="2">
        <f t="shared" si="10"/>
        <v>0</v>
      </c>
      <c r="AE36" s="4">
        <f t="shared" si="11"/>
        <v>21818</v>
      </c>
      <c r="AF36" s="4">
        <v>24300</v>
      </c>
      <c r="AG36" s="4">
        <v>0</v>
      </c>
      <c r="AH36" s="4">
        <f t="shared" si="12"/>
        <v>24300</v>
      </c>
      <c r="AI36" s="47"/>
      <c r="AJ36" s="47"/>
      <c r="AK36" s="47"/>
      <c r="AL36" s="47"/>
      <c r="AM36" s="47"/>
    </row>
    <row r="37" spans="1:41" x14ac:dyDescent="0.2">
      <c r="A37" s="44"/>
      <c r="B37" s="44"/>
      <c r="C37" s="44"/>
      <c r="D37" s="45" t="s">
        <v>125</v>
      </c>
      <c r="E37" s="5"/>
      <c r="F37" s="5" t="s">
        <v>77</v>
      </c>
      <c r="G37" s="5"/>
      <c r="H37" s="5"/>
      <c r="I37" s="5" t="s">
        <v>39</v>
      </c>
      <c r="J37" s="2">
        <v>71296.296296296307</v>
      </c>
      <c r="K37" s="2">
        <v>71296.296296296307</v>
      </c>
      <c r="L37" s="2">
        <f t="shared" si="21"/>
        <v>71296</v>
      </c>
      <c r="M37" s="2">
        <f t="shared" si="22"/>
        <v>73802</v>
      </c>
      <c r="N37" s="2">
        <v>0</v>
      </c>
      <c r="O37" s="2">
        <v>0</v>
      </c>
      <c r="P37" s="2">
        <v>0</v>
      </c>
      <c r="Q37" s="2">
        <f t="shared" si="38"/>
        <v>74366</v>
      </c>
      <c r="R37" s="2">
        <f>ROUND(Q37*11.36%+Q37,0)</f>
        <v>82814</v>
      </c>
      <c r="S37" s="2">
        <f t="shared" si="24"/>
        <v>0</v>
      </c>
      <c r="T37" s="2">
        <f>ROUND(P37/110.8*113.8,0)</f>
        <v>0</v>
      </c>
      <c r="U37" s="3">
        <f>J37+N37</f>
        <v>71296.296296296307</v>
      </c>
      <c r="V37" s="3">
        <f>K37+P37</f>
        <v>71296.296296296307</v>
      </c>
      <c r="W37" s="2"/>
      <c r="X37" s="2">
        <f>ROUND(R37/120.2*120.7,0)</f>
        <v>83158</v>
      </c>
      <c r="Y37" s="2"/>
      <c r="Z37" s="4">
        <f t="shared" si="29"/>
        <v>71296</v>
      </c>
      <c r="AA37" s="2">
        <f>ROUND(X37/120.7*122.4,0)</f>
        <v>84329</v>
      </c>
      <c r="AB37" s="2">
        <f>ROUND(Y37/115.7*116.1,0)</f>
        <v>0</v>
      </c>
      <c r="AC37" s="2">
        <f t="shared" si="13"/>
        <v>86120</v>
      </c>
      <c r="AD37" s="2">
        <f t="shared" si="10"/>
        <v>0</v>
      </c>
      <c r="AE37" s="4">
        <f t="shared" si="11"/>
        <v>86120</v>
      </c>
      <c r="AF37" s="4">
        <v>91400</v>
      </c>
      <c r="AG37" s="4">
        <v>0</v>
      </c>
      <c r="AH37" s="4">
        <f t="shared" si="12"/>
        <v>91400</v>
      </c>
      <c r="AI37" s="46" t="s">
        <v>226</v>
      </c>
      <c r="AJ37" s="46">
        <v>85000</v>
      </c>
      <c r="AK37" s="47"/>
      <c r="AL37" s="47"/>
      <c r="AM37" s="46">
        <f t="shared" si="14"/>
        <v>85000</v>
      </c>
    </row>
    <row r="38" spans="1:41" ht="36" x14ac:dyDescent="0.2">
      <c r="A38" s="44"/>
      <c r="B38" s="58"/>
      <c r="C38" s="44"/>
      <c r="D38" s="29" t="s">
        <v>243</v>
      </c>
      <c r="E38" s="6"/>
      <c r="F38" s="6" t="s">
        <v>194</v>
      </c>
      <c r="G38" s="6" t="s">
        <v>192</v>
      </c>
      <c r="H38" s="6" t="s">
        <v>193</v>
      </c>
      <c r="I38" s="6" t="s">
        <v>39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3"/>
      <c r="V38" s="33"/>
      <c r="W38" s="33"/>
      <c r="X38" s="33"/>
      <c r="Y38" s="33"/>
      <c r="Z38" s="19"/>
      <c r="AA38" s="19">
        <v>350000</v>
      </c>
      <c r="AB38" s="19"/>
      <c r="AC38" s="19">
        <v>350000</v>
      </c>
      <c r="AD38" s="19">
        <v>0</v>
      </c>
      <c r="AE38" s="4">
        <f t="shared" si="11"/>
        <v>350000</v>
      </c>
      <c r="AF38" s="19">
        <v>389500</v>
      </c>
      <c r="AG38" s="19">
        <v>0</v>
      </c>
      <c r="AH38" s="4">
        <f t="shared" si="12"/>
        <v>389500</v>
      </c>
      <c r="AI38" s="59" t="s">
        <v>244</v>
      </c>
      <c r="AJ38" s="60">
        <v>350000</v>
      </c>
      <c r="AK38" s="60"/>
      <c r="AL38" s="60">
        <v>0</v>
      </c>
      <c r="AM38" s="60">
        <f>AJ38+AL38</f>
        <v>350000</v>
      </c>
      <c r="AN38" s="48" t="s">
        <v>203</v>
      </c>
      <c r="AO38" s="44" t="s">
        <v>195</v>
      </c>
    </row>
    <row r="39" spans="1:41" x14ac:dyDescent="0.2">
      <c r="D39" s="45" t="s">
        <v>121</v>
      </c>
      <c r="E39" s="5">
        <v>34105</v>
      </c>
      <c r="F39" s="5" t="s">
        <v>122</v>
      </c>
      <c r="G39" s="6" t="s">
        <v>123</v>
      </c>
      <c r="H39" s="6"/>
      <c r="I39" s="6" t="s">
        <v>35</v>
      </c>
      <c r="J39" s="2"/>
      <c r="K39" s="2"/>
      <c r="L39" s="2"/>
      <c r="M39" s="2"/>
      <c r="N39" s="2"/>
      <c r="O39" s="2"/>
      <c r="P39" s="2"/>
      <c r="Q39" s="2"/>
      <c r="R39" s="2">
        <v>60000</v>
      </c>
      <c r="S39" s="2"/>
      <c r="T39" s="2"/>
      <c r="U39" s="3"/>
      <c r="V39" s="3"/>
      <c r="W39" s="2"/>
      <c r="X39" s="2">
        <f>ROUND(R39/120.2*120.7,0)</f>
        <v>60250</v>
      </c>
      <c r="Y39" s="12"/>
      <c r="Z39" s="4"/>
      <c r="AA39" s="2">
        <f>ROUND(X39/120.7*122.4,0)</f>
        <v>61099</v>
      </c>
      <c r="AB39" s="2">
        <f>ROUND(Y39/115.7*116.1,0)</f>
        <v>0</v>
      </c>
      <c r="AC39" s="2">
        <f t="shared" si="13"/>
        <v>62397</v>
      </c>
      <c r="AD39" s="2">
        <f t="shared" si="10"/>
        <v>0</v>
      </c>
      <c r="AE39" s="4">
        <f t="shared" si="11"/>
        <v>62397</v>
      </c>
      <c r="AF39" s="4">
        <v>60200</v>
      </c>
      <c r="AG39" s="4">
        <v>0</v>
      </c>
      <c r="AH39" s="4">
        <f t="shared" si="12"/>
        <v>60200</v>
      </c>
      <c r="AI39" s="46" t="s">
        <v>238</v>
      </c>
      <c r="AJ39" s="46">
        <v>56000</v>
      </c>
      <c r="AK39" s="47"/>
      <c r="AL39" s="47"/>
      <c r="AM39" s="46">
        <f t="shared" si="14"/>
        <v>56000</v>
      </c>
    </row>
    <row r="40" spans="1:41" s="54" customFormat="1" ht="24" x14ac:dyDescent="0.2">
      <c r="A40" s="54" t="s">
        <v>32</v>
      </c>
      <c r="D40" s="45" t="s">
        <v>117</v>
      </c>
      <c r="E40" s="5">
        <v>34006</v>
      </c>
      <c r="F40" s="5" t="s">
        <v>33</v>
      </c>
      <c r="G40" s="6" t="s">
        <v>34</v>
      </c>
      <c r="H40" s="6" t="s">
        <v>156</v>
      </c>
      <c r="I40" s="6" t="s">
        <v>35</v>
      </c>
      <c r="J40" s="2">
        <v>360283.95061728393</v>
      </c>
      <c r="K40" s="2">
        <v>360283.95061728393</v>
      </c>
      <c r="L40" s="2">
        <f t="shared" ref="L40:L48" si="39">ROUND(J40,0)</f>
        <v>360284</v>
      </c>
      <c r="M40" s="2">
        <f t="shared" ref="M40:M48" si="40">ROUND(L40/113.8*117.8,0)</f>
        <v>372948</v>
      </c>
      <c r="N40" s="2">
        <v>26617.283950617282</v>
      </c>
      <c r="O40" s="2">
        <v>0</v>
      </c>
      <c r="P40" s="2">
        <v>26617.283950617282</v>
      </c>
      <c r="Q40" s="2">
        <f>ROUND(M40/117.8*118.7,0)</f>
        <v>375797</v>
      </c>
      <c r="R40" s="2">
        <f>ROUND(Q40*11.36%+Q40,0)</f>
        <v>418488</v>
      </c>
      <c r="S40" s="2">
        <f t="shared" ref="S40:S47" si="41">ROUND(N40,0)</f>
        <v>26617</v>
      </c>
      <c r="T40" s="2">
        <v>0</v>
      </c>
      <c r="U40" s="3"/>
      <c r="V40" s="3"/>
      <c r="W40" s="2"/>
      <c r="X40" s="2">
        <f>ROUND(R40/120.2*120.7,0)</f>
        <v>420229</v>
      </c>
      <c r="Y40" s="12"/>
      <c r="Z40" s="4">
        <f t="shared" ref="Z40:Z48" si="42">L40+S40</f>
        <v>386901</v>
      </c>
      <c r="AA40" s="11">
        <v>375000</v>
      </c>
      <c r="AB40" s="2">
        <f>ROUND(Y40/115.7*116.1,0)</f>
        <v>0</v>
      </c>
      <c r="AC40" s="2">
        <f t="shared" si="13"/>
        <v>382966</v>
      </c>
      <c r="AD40" s="2">
        <f t="shared" si="10"/>
        <v>0</v>
      </c>
      <c r="AE40" s="4">
        <f t="shared" si="11"/>
        <v>382966</v>
      </c>
      <c r="AF40" s="4">
        <v>426200</v>
      </c>
      <c r="AG40" s="4">
        <v>0</v>
      </c>
      <c r="AH40" s="4">
        <f t="shared" si="12"/>
        <v>426200</v>
      </c>
      <c r="AI40" s="47"/>
      <c r="AJ40" s="47"/>
      <c r="AK40" s="47"/>
      <c r="AL40" s="47"/>
      <c r="AM40" s="47"/>
      <c r="AN40" s="30" t="s">
        <v>188</v>
      </c>
    </row>
    <row r="41" spans="1:41" ht="24" x14ac:dyDescent="0.2">
      <c r="D41" s="45" t="s">
        <v>119</v>
      </c>
      <c r="E41" s="5">
        <v>20001</v>
      </c>
      <c r="F41" s="5" t="s">
        <v>113</v>
      </c>
      <c r="G41" s="6" t="s">
        <v>50</v>
      </c>
      <c r="H41" s="6" t="s">
        <v>157</v>
      </c>
      <c r="I41" s="6" t="s">
        <v>35</v>
      </c>
      <c r="J41" s="2">
        <v>423975.30864197528</v>
      </c>
      <c r="K41" s="2">
        <v>423975.30864197528</v>
      </c>
      <c r="L41" s="2">
        <f t="shared" si="39"/>
        <v>423975</v>
      </c>
      <c r="M41" s="2">
        <f t="shared" si="40"/>
        <v>438877</v>
      </c>
      <c r="N41" s="2">
        <v>0</v>
      </c>
      <c r="O41" s="2">
        <v>0</v>
      </c>
      <c r="P41" s="2">
        <v>0</v>
      </c>
      <c r="Q41" s="2">
        <f>ROUND(M41/117.8*118.7,0)</f>
        <v>442230</v>
      </c>
      <c r="R41" s="2">
        <v>425000</v>
      </c>
      <c r="S41" s="2">
        <f t="shared" si="41"/>
        <v>0</v>
      </c>
      <c r="T41" s="2">
        <f t="shared" ref="T41:T47" si="43">ROUND(P41/110.8*113.8,0)</f>
        <v>0</v>
      </c>
      <c r="U41" s="3">
        <f t="shared" ref="U41:U48" si="44">J41+N41</f>
        <v>423975.30864197528</v>
      </c>
      <c r="V41" s="3">
        <f t="shared" ref="V41:V48" si="45">K41+P41</f>
        <v>423975.30864197528</v>
      </c>
      <c r="W41" s="2"/>
      <c r="X41" s="2">
        <f>ROUND(R41/120.4*120.7,0)</f>
        <v>426059</v>
      </c>
      <c r="Y41" s="2"/>
      <c r="Z41" s="4">
        <f t="shared" si="42"/>
        <v>423975</v>
      </c>
      <c r="AA41" s="11">
        <v>655000</v>
      </c>
      <c r="AB41" s="4"/>
      <c r="AC41" s="2">
        <f t="shared" si="13"/>
        <v>668913</v>
      </c>
      <c r="AD41" s="2">
        <f t="shared" si="10"/>
        <v>0</v>
      </c>
      <c r="AE41" s="4">
        <f t="shared" si="11"/>
        <v>668913</v>
      </c>
      <c r="AF41" s="4">
        <v>744400</v>
      </c>
      <c r="AG41" s="4">
        <v>0</v>
      </c>
      <c r="AH41" s="4">
        <f t="shared" si="12"/>
        <v>744400</v>
      </c>
      <c r="AI41" s="47"/>
      <c r="AJ41" s="47"/>
      <c r="AK41" s="47"/>
      <c r="AL41" s="47"/>
      <c r="AM41" s="47"/>
      <c r="AN41" s="48" t="s">
        <v>201</v>
      </c>
    </row>
    <row r="42" spans="1:41" x14ac:dyDescent="0.2">
      <c r="D42" s="45" t="s">
        <v>119</v>
      </c>
      <c r="E42" s="5">
        <v>20001</v>
      </c>
      <c r="F42" s="5" t="s">
        <v>51</v>
      </c>
      <c r="G42" s="6" t="s">
        <v>50</v>
      </c>
      <c r="H42" s="6" t="s">
        <v>157</v>
      </c>
      <c r="I42" s="6" t="s">
        <v>35</v>
      </c>
      <c r="J42" s="2">
        <v>18061.728395061727</v>
      </c>
      <c r="K42" s="2">
        <v>18061.728395061727</v>
      </c>
      <c r="L42" s="2">
        <f t="shared" si="39"/>
        <v>18062</v>
      </c>
      <c r="M42" s="2">
        <f t="shared" si="40"/>
        <v>18697</v>
      </c>
      <c r="N42" s="2">
        <v>0</v>
      </c>
      <c r="O42" s="2">
        <v>0</v>
      </c>
      <c r="P42" s="2">
        <v>0</v>
      </c>
      <c r="Q42" s="2">
        <f>ROUND(M42/117.8*118.7,0)</f>
        <v>18840</v>
      </c>
      <c r="R42" s="2">
        <f>ROUND(Q42*11.36%+Q42,0)</f>
        <v>20980</v>
      </c>
      <c r="S42" s="2">
        <f t="shared" si="41"/>
        <v>0</v>
      </c>
      <c r="T42" s="2">
        <f t="shared" si="43"/>
        <v>0</v>
      </c>
      <c r="U42" s="3">
        <f t="shared" si="44"/>
        <v>18061.728395061727</v>
      </c>
      <c r="V42" s="3">
        <f t="shared" si="45"/>
        <v>18061.728395061727</v>
      </c>
      <c r="W42" s="2"/>
      <c r="X42" s="2">
        <f>ROUND(R42/120.2*120.7,0)</f>
        <v>21067</v>
      </c>
      <c r="Y42" s="2"/>
      <c r="Z42" s="4">
        <f t="shared" si="42"/>
        <v>18062</v>
      </c>
      <c r="AA42" s="2">
        <f>ROUND(X42/120.7*122.4,0)</f>
        <v>21364</v>
      </c>
      <c r="AB42" s="2">
        <f>ROUND(Y42/115.7*116.1,0)</f>
        <v>0</v>
      </c>
      <c r="AC42" s="2">
        <f t="shared" si="13"/>
        <v>21818</v>
      </c>
      <c r="AD42" s="2">
        <f t="shared" si="10"/>
        <v>0</v>
      </c>
      <c r="AE42" s="4">
        <f t="shared" si="11"/>
        <v>21818</v>
      </c>
      <c r="AF42" s="4">
        <v>24300</v>
      </c>
      <c r="AG42" s="4">
        <v>0</v>
      </c>
      <c r="AH42" s="4">
        <f t="shared" si="12"/>
        <v>24300</v>
      </c>
      <c r="AI42" s="47"/>
      <c r="AJ42" s="47"/>
      <c r="AK42" s="47"/>
      <c r="AL42" s="47"/>
      <c r="AM42" s="47"/>
    </row>
    <row r="43" spans="1:41" ht="24" x14ac:dyDescent="0.2">
      <c r="D43" s="45" t="s">
        <v>120</v>
      </c>
      <c r="E43" s="5">
        <v>20012</v>
      </c>
      <c r="F43" s="5" t="s">
        <v>58</v>
      </c>
      <c r="G43" s="6" t="s">
        <v>59</v>
      </c>
      <c r="H43" s="6" t="s">
        <v>158</v>
      </c>
      <c r="I43" s="6" t="s">
        <v>35</v>
      </c>
      <c r="J43" s="2">
        <v>215790.12345679011</v>
      </c>
      <c r="K43" s="2">
        <v>215790.12345679011</v>
      </c>
      <c r="L43" s="2">
        <f t="shared" si="39"/>
        <v>215790</v>
      </c>
      <c r="M43" s="2">
        <f t="shared" si="40"/>
        <v>223375</v>
      </c>
      <c r="N43" s="2">
        <v>12358.024691358021</v>
      </c>
      <c r="O43" s="2">
        <v>0</v>
      </c>
      <c r="P43" s="2">
        <v>12358.024691358021</v>
      </c>
      <c r="Q43" s="2">
        <f>ROUND(M43/117.8*118.7,0)</f>
        <v>225082</v>
      </c>
      <c r="R43" s="2">
        <v>385000</v>
      </c>
      <c r="S43" s="2">
        <f t="shared" si="41"/>
        <v>12358</v>
      </c>
      <c r="T43" s="2">
        <f t="shared" si="43"/>
        <v>12693</v>
      </c>
      <c r="U43" s="3">
        <f t="shared" si="44"/>
        <v>228148.14814814815</v>
      </c>
      <c r="V43" s="3">
        <f t="shared" si="45"/>
        <v>228148.14814814815</v>
      </c>
      <c r="W43" s="2">
        <f>ROUND(T43/113.8*113.8,0)</f>
        <v>12693</v>
      </c>
      <c r="X43" s="2">
        <f>ROUND(R43/120.4*120.7,0)</f>
        <v>385959</v>
      </c>
      <c r="Y43" s="2">
        <v>9520</v>
      </c>
      <c r="Z43" s="4">
        <f t="shared" si="42"/>
        <v>228148</v>
      </c>
      <c r="AA43" s="11">
        <v>410000</v>
      </c>
      <c r="AB43" s="14">
        <v>0</v>
      </c>
      <c r="AC43" s="2">
        <f t="shared" si="13"/>
        <v>418709</v>
      </c>
      <c r="AD43" s="2">
        <f t="shared" si="10"/>
        <v>0</v>
      </c>
      <c r="AE43" s="4">
        <f t="shared" si="11"/>
        <v>418709</v>
      </c>
      <c r="AF43" s="4">
        <v>465900</v>
      </c>
      <c r="AG43" s="4">
        <v>0</v>
      </c>
      <c r="AH43" s="4">
        <f t="shared" si="12"/>
        <v>465900</v>
      </c>
      <c r="AI43" s="47"/>
      <c r="AJ43" s="47"/>
      <c r="AK43" s="47"/>
      <c r="AL43" s="47"/>
      <c r="AM43" s="47"/>
      <c r="AN43" s="48" t="s">
        <v>182</v>
      </c>
      <c r="AO43" s="44" t="s">
        <v>178</v>
      </c>
    </row>
    <row r="44" spans="1:41" x14ac:dyDescent="0.2">
      <c r="D44" s="45" t="s">
        <v>120</v>
      </c>
      <c r="E44" s="5">
        <v>20012</v>
      </c>
      <c r="F44" s="5" t="s">
        <v>51</v>
      </c>
      <c r="G44" s="6" t="s">
        <v>59</v>
      </c>
      <c r="H44" s="6" t="s">
        <v>158</v>
      </c>
      <c r="I44" s="6" t="s">
        <v>35</v>
      </c>
      <c r="J44" s="2">
        <v>25666.666666666664</v>
      </c>
      <c r="K44" s="2">
        <v>25666.666666666664</v>
      </c>
      <c r="L44" s="2">
        <f t="shared" si="39"/>
        <v>25667</v>
      </c>
      <c r="M44" s="2">
        <f t="shared" si="40"/>
        <v>26569</v>
      </c>
      <c r="N44" s="2">
        <v>0</v>
      </c>
      <c r="O44" s="2">
        <v>0</v>
      </c>
      <c r="P44" s="2">
        <v>0</v>
      </c>
      <c r="Q44" s="2">
        <f>ROUND(M44/117.8*118.7,0)</f>
        <v>26772</v>
      </c>
      <c r="R44" s="2">
        <f>ROUND(Q44*11.36%+Q44,0)</f>
        <v>29813</v>
      </c>
      <c r="S44" s="2">
        <f t="shared" si="41"/>
        <v>0</v>
      </c>
      <c r="T44" s="2">
        <f t="shared" si="43"/>
        <v>0</v>
      </c>
      <c r="U44" s="3">
        <f t="shared" si="44"/>
        <v>25666.666666666664</v>
      </c>
      <c r="V44" s="3">
        <f t="shared" si="45"/>
        <v>25666.666666666664</v>
      </c>
      <c r="W44" s="2"/>
      <c r="X44" s="2">
        <f>ROUND(R44/120.2*120.7,0)</f>
        <v>29937</v>
      </c>
      <c r="Y44" s="12"/>
      <c r="Z44" s="4">
        <f t="shared" si="42"/>
        <v>25667</v>
      </c>
      <c r="AA44" s="2">
        <f>ROUND(X44/120.7*122.4,0)</f>
        <v>30359</v>
      </c>
      <c r="AB44" s="2">
        <f>ROUND(Y44/115.7*116.1,0)</f>
        <v>0</v>
      </c>
      <c r="AC44" s="2">
        <f t="shared" si="13"/>
        <v>31004</v>
      </c>
      <c r="AD44" s="2">
        <f t="shared" si="10"/>
        <v>0</v>
      </c>
      <c r="AE44" s="4">
        <f t="shared" si="11"/>
        <v>31004</v>
      </c>
      <c r="AF44" s="4">
        <v>34500</v>
      </c>
      <c r="AG44" s="4">
        <v>0</v>
      </c>
      <c r="AH44" s="4">
        <f t="shared" si="12"/>
        <v>34500</v>
      </c>
      <c r="AI44" s="47"/>
      <c r="AJ44" s="47"/>
      <c r="AK44" s="47"/>
      <c r="AL44" s="47"/>
      <c r="AM44" s="47"/>
    </row>
    <row r="45" spans="1:41" ht="36" x14ac:dyDescent="0.2">
      <c r="A45" s="44"/>
      <c r="B45" s="44"/>
      <c r="C45" s="44"/>
      <c r="D45" s="45" t="s">
        <v>115</v>
      </c>
      <c r="E45" s="5">
        <v>24002</v>
      </c>
      <c r="F45" s="5" t="s">
        <v>109</v>
      </c>
      <c r="G45" s="6" t="s">
        <v>67</v>
      </c>
      <c r="H45" s="6" t="s">
        <v>159</v>
      </c>
      <c r="I45" s="6" t="s">
        <v>35</v>
      </c>
      <c r="J45" s="2">
        <v>2995395.0617283951</v>
      </c>
      <c r="K45" s="2">
        <v>2995395.0617283951</v>
      </c>
      <c r="L45" s="2">
        <f t="shared" si="39"/>
        <v>2995395</v>
      </c>
      <c r="M45" s="2">
        <f t="shared" si="40"/>
        <v>3100681</v>
      </c>
      <c r="N45" s="2">
        <v>229098.76543209879</v>
      </c>
      <c r="O45" s="2">
        <v>0</v>
      </c>
      <c r="P45" s="2">
        <v>229098.76543209879</v>
      </c>
      <c r="Q45" s="11">
        <v>3200000</v>
      </c>
      <c r="R45" s="2">
        <f>ROUND(Q45/119.5*120.2,0)</f>
        <v>3218745</v>
      </c>
      <c r="S45" s="2">
        <f t="shared" si="41"/>
        <v>229099</v>
      </c>
      <c r="T45" s="2">
        <f t="shared" si="43"/>
        <v>235302</v>
      </c>
      <c r="U45" s="3">
        <f t="shared" si="44"/>
        <v>3224493.8271604939</v>
      </c>
      <c r="V45" s="3">
        <f t="shared" si="45"/>
        <v>3224493.8271604939</v>
      </c>
      <c r="W45" s="11">
        <v>266000</v>
      </c>
      <c r="X45" s="2">
        <f>ROUND(R45/120.2*120.7,0)</f>
        <v>3232134</v>
      </c>
      <c r="Y45" s="2">
        <f>ROUND(W45/115.2*115.7,0)</f>
        <v>267155</v>
      </c>
      <c r="Z45" s="4">
        <f t="shared" si="42"/>
        <v>3224494</v>
      </c>
      <c r="AA45" s="2">
        <f>ROUND(X45/120.7*122.4,0)</f>
        <v>3277657</v>
      </c>
      <c r="AB45" s="2">
        <f>ROUND(Y45/115.7*116.1,0)</f>
        <v>268079</v>
      </c>
      <c r="AC45" s="2">
        <f t="shared" si="13"/>
        <v>3347280</v>
      </c>
      <c r="AD45" s="2">
        <f t="shared" si="10"/>
        <v>272928</v>
      </c>
      <c r="AE45" s="4">
        <f t="shared" si="11"/>
        <v>3620208</v>
      </c>
      <c r="AF45" s="4">
        <v>3724900</v>
      </c>
      <c r="AG45" s="4">
        <v>515300</v>
      </c>
      <c r="AH45" s="4">
        <f t="shared" si="12"/>
        <v>4240200</v>
      </c>
      <c r="AI45" s="47" t="s">
        <v>229</v>
      </c>
      <c r="AJ45" s="47">
        <v>3347280</v>
      </c>
      <c r="AK45" s="52" t="s">
        <v>239</v>
      </c>
      <c r="AL45" s="46">
        <v>500000</v>
      </c>
      <c r="AM45" s="46">
        <f t="shared" si="14"/>
        <v>3847280</v>
      </c>
      <c r="AN45" s="48" t="s">
        <v>213</v>
      </c>
    </row>
    <row r="46" spans="1:41" x14ac:dyDescent="0.2">
      <c r="A46" s="44"/>
      <c r="B46" s="44"/>
      <c r="C46" s="44"/>
      <c r="D46" s="45" t="s">
        <v>115</v>
      </c>
      <c r="E46" s="5">
        <v>24002</v>
      </c>
      <c r="F46" s="5" t="s">
        <v>68</v>
      </c>
      <c r="G46" s="6" t="s">
        <v>69</v>
      </c>
      <c r="H46" s="6" t="s">
        <v>159</v>
      </c>
      <c r="I46" s="6" t="s">
        <v>35</v>
      </c>
      <c r="J46" s="2">
        <v>0</v>
      </c>
      <c r="K46" s="2">
        <v>0</v>
      </c>
      <c r="L46" s="2">
        <f t="shared" si="39"/>
        <v>0</v>
      </c>
      <c r="M46" s="2">
        <f t="shared" si="40"/>
        <v>0</v>
      </c>
      <c r="N46" s="2">
        <v>139740.74074074076</v>
      </c>
      <c r="O46" s="2">
        <v>0</v>
      </c>
      <c r="P46" s="2">
        <v>139740.74074074076</v>
      </c>
      <c r="Q46" s="2">
        <f>ROUND(M46/117.8*118.7,0)</f>
        <v>0</v>
      </c>
      <c r="R46" s="2">
        <f>ROUND(Q46/119.5*120.2,0)</f>
        <v>0</v>
      </c>
      <c r="S46" s="2">
        <f t="shared" si="41"/>
        <v>139741</v>
      </c>
      <c r="T46" s="2">
        <f t="shared" si="43"/>
        <v>143524</v>
      </c>
      <c r="U46" s="3">
        <f t="shared" si="44"/>
        <v>139740.74074074076</v>
      </c>
      <c r="V46" s="3">
        <f t="shared" si="45"/>
        <v>139740.74074074076</v>
      </c>
      <c r="W46" s="11">
        <v>225000</v>
      </c>
      <c r="X46" s="2">
        <f>ROUND(R46/120.2*120.7,0)</f>
        <v>0</v>
      </c>
      <c r="Y46" s="2">
        <f>ROUND(W46/115.2*115.7,0)</f>
        <v>225977</v>
      </c>
      <c r="Z46" s="4">
        <f t="shared" si="42"/>
        <v>139741</v>
      </c>
      <c r="AA46" s="2">
        <f>ROUND(X46/120.7*122.4,0)</f>
        <v>0</v>
      </c>
      <c r="AB46" s="2">
        <f>ROUND(Y46/115.7*116.1,0)</f>
        <v>226758</v>
      </c>
      <c r="AC46" s="2">
        <f t="shared" si="13"/>
        <v>0</v>
      </c>
      <c r="AD46" s="2">
        <f t="shared" si="10"/>
        <v>230860</v>
      </c>
      <c r="AE46" s="4">
        <f t="shared" si="11"/>
        <v>230860</v>
      </c>
      <c r="AF46" s="4">
        <v>0</v>
      </c>
      <c r="AG46" s="4">
        <v>237500</v>
      </c>
      <c r="AH46" s="4">
        <f t="shared" si="12"/>
        <v>237500</v>
      </c>
      <c r="AI46" s="47" t="s">
        <v>229</v>
      </c>
      <c r="AJ46" s="47"/>
      <c r="AK46" s="46" t="s">
        <v>233</v>
      </c>
      <c r="AL46" s="46"/>
      <c r="AM46" s="46">
        <f t="shared" si="14"/>
        <v>0</v>
      </c>
    </row>
    <row r="47" spans="1:41" x14ac:dyDescent="0.2">
      <c r="A47" s="44" t="s">
        <v>78</v>
      </c>
      <c r="B47" s="44"/>
      <c r="C47" s="44"/>
      <c r="D47" s="45" t="s">
        <v>125</v>
      </c>
      <c r="E47" s="5"/>
      <c r="F47" s="5" t="s">
        <v>127</v>
      </c>
      <c r="G47" s="5"/>
      <c r="H47" s="5"/>
      <c r="I47" s="5" t="s">
        <v>35</v>
      </c>
      <c r="J47" s="2">
        <v>146395.06172839506</v>
      </c>
      <c r="K47" s="2">
        <v>146395.06172839506</v>
      </c>
      <c r="L47" s="2">
        <f t="shared" si="39"/>
        <v>146395</v>
      </c>
      <c r="M47" s="2">
        <f t="shared" si="40"/>
        <v>151541</v>
      </c>
      <c r="N47" s="2">
        <v>0</v>
      </c>
      <c r="O47" s="2">
        <v>0</v>
      </c>
      <c r="P47" s="2">
        <v>0</v>
      </c>
      <c r="Q47" s="2">
        <f>ROUND(M47/117.8*118.7,0)</f>
        <v>152699</v>
      </c>
      <c r="R47" s="2">
        <v>82814</v>
      </c>
      <c r="S47" s="2">
        <f t="shared" si="41"/>
        <v>0</v>
      </c>
      <c r="T47" s="2">
        <f t="shared" si="43"/>
        <v>0</v>
      </c>
      <c r="U47" s="3">
        <f t="shared" si="44"/>
        <v>146395.06172839506</v>
      </c>
      <c r="V47" s="3">
        <f t="shared" si="45"/>
        <v>146395.06172839506</v>
      </c>
      <c r="W47" s="2"/>
      <c r="X47" s="2">
        <f>ROUND(R47/120.2*120.7,0)</f>
        <v>83158</v>
      </c>
      <c r="Y47" s="2"/>
      <c r="Z47" s="4">
        <f t="shared" si="42"/>
        <v>146395</v>
      </c>
      <c r="AA47" s="2">
        <f>ROUND(X47/120.7*122.4,0)</f>
        <v>84329</v>
      </c>
      <c r="AB47" s="2">
        <f>ROUND(Y47/115.7*116.1,0)</f>
        <v>0</v>
      </c>
      <c r="AC47" s="2">
        <f t="shared" si="13"/>
        <v>86120</v>
      </c>
      <c r="AD47" s="2">
        <f t="shared" si="10"/>
        <v>0</v>
      </c>
      <c r="AE47" s="4">
        <f t="shared" si="11"/>
        <v>86120</v>
      </c>
      <c r="AF47" s="4">
        <v>91400</v>
      </c>
      <c r="AG47" s="4">
        <v>0</v>
      </c>
      <c r="AH47" s="4">
        <f t="shared" si="12"/>
        <v>91400</v>
      </c>
      <c r="AI47" s="46" t="s">
        <v>226</v>
      </c>
      <c r="AJ47" s="46">
        <v>85000</v>
      </c>
      <c r="AK47" s="47"/>
      <c r="AL47" s="47"/>
      <c r="AM47" s="46">
        <f t="shared" si="14"/>
        <v>85000</v>
      </c>
    </row>
    <row r="48" spans="1:41" ht="24" x14ac:dyDescent="0.2">
      <c r="D48" s="45" t="s">
        <v>119</v>
      </c>
      <c r="E48" s="5">
        <v>20005</v>
      </c>
      <c r="F48" s="5" t="s">
        <v>110</v>
      </c>
      <c r="G48" s="6" t="s">
        <v>47</v>
      </c>
      <c r="H48" s="6" t="s">
        <v>161</v>
      </c>
      <c r="I48" s="6" t="s">
        <v>48</v>
      </c>
      <c r="J48" s="2">
        <v>540901.23456790124</v>
      </c>
      <c r="K48" s="2">
        <v>540901.23456790124</v>
      </c>
      <c r="L48" s="2">
        <f t="shared" si="39"/>
        <v>540901</v>
      </c>
      <c r="M48" s="2">
        <f t="shared" si="40"/>
        <v>559913</v>
      </c>
      <c r="N48" s="2">
        <v>12358.024691358021</v>
      </c>
      <c r="O48" s="2">
        <v>0</v>
      </c>
      <c r="P48" s="2">
        <v>12358.024691358021</v>
      </c>
      <c r="Q48" s="2">
        <f t="shared" ref="Q48" si="46">ROUND(M48/117.8*118.7,0)</f>
        <v>564191</v>
      </c>
      <c r="R48" s="2">
        <v>445000</v>
      </c>
      <c r="S48" s="2">
        <v>446109</v>
      </c>
      <c r="T48" s="2">
        <v>9520</v>
      </c>
      <c r="U48" s="3">
        <f t="shared" si="44"/>
        <v>553259.25925925921</v>
      </c>
      <c r="V48" s="3">
        <f t="shared" si="45"/>
        <v>553259.25925925921</v>
      </c>
      <c r="W48" s="2">
        <f>ROUND(T48/113.8*113.8,0)</f>
        <v>9520</v>
      </c>
      <c r="X48" s="2">
        <f>ROUND(R48/120.4*120.7,0)</f>
        <v>446109</v>
      </c>
      <c r="Y48" s="2">
        <v>9520</v>
      </c>
      <c r="Z48" s="4">
        <f t="shared" si="42"/>
        <v>987010</v>
      </c>
      <c r="AA48" s="11">
        <v>645000</v>
      </c>
      <c r="AB48" s="14">
        <v>0</v>
      </c>
      <c r="AC48" s="2">
        <f t="shared" si="13"/>
        <v>658701</v>
      </c>
      <c r="AD48" s="2">
        <f t="shared" si="10"/>
        <v>0</v>
      </c>
      <c r="AE48" s="4">
        <f t="shared" si="11"/>
        <v>658701</v>
      </c>
      <c r="AF48" s="4">
        <v>733000</v>
      </c>
      <c r="AG48" s="4">
        <v>0</v>
      </c>
      <c r="AH48" s="4">
        <f t="shared" si="12"/>
        <v>733000</v>
      </c>
      <c r="AI48" s="47"/>
      <c r="AJ48" s="47"/>
      <c r="AK48" s="47"/>
      <c r="AL48" s="47"/>
      <c r="AM48" s="47"/>
      <c r="AN48" s="48" t="s">
        <v>200</v>
      </c>
      <c r="AO48" s="44" t="s">
        <v>178</v>
      </c>
    </row>
    <row r="49" spans="1:41" x14ac:dyDescent="0.2">
      <c r="D49" s="45" t="s">
        <v>119</v>
      </c>
      <c r="E49" s="5">
        <v>20005</v>
      </c>
      <c r="F49" s="5" t="s">
        <v>49</v>
      </c>
      <c r="G49" s="6" t="s">
        <v>47</v>
      </c>
      <c r="H49" s="6" t="s">
        <v>161</v>
      </c>
      <c r="I49" s="6" t="s">
        <v>48</v>
      </c>
      <c r="J49" s="2">
        <v>18061.728395061727</v>
      </c>
      <c r="K49" s="2">
        <v>18061.728395061727</v>
      </c>
      <c r="L49" s="2">
        <f>ROUND(J49,0)</f>
        <v>18062</v>
      </c>
      <c r="M49" s="2">
        <f>ROUND(L49/113.8*117.8,0)</f>
        <v>18697</v>
      </c>
      <c r="N49" s="2">
        <v>0</v>
      </c>
      <c r="O49" s="2">
        <v>0</v>
      </c>
      <c r="P49" s="2">
        <v>0</v>
      </c>
      <c r="Q49" s="2">
        <f>ROUND(M49/117.8*118.7,0)</f>
        <v>18840</v>
      </c>
      <c r="R49" s="2">
        <f>ROUND(Q49*11.36%+Q49,0)</f>
        <v>20980</v>
      </c>
      <c r="S49" s="2">
        <f>ROUND(N49,0)</f>
        <v>0</v>
      </c>
      <c r="T49" s="2">
        <f>ROUND(P49/110.8*113.8,0)</f>
        <v>0</v>
      </c>
      <c r="U49" s="3">
        <f>J49+N49</f>
        <v>18061.728395061727</v>
      </c>
      <c r="V49" s="3">
        <f>K49+P49</f>
        <v>18061.728395061727</v>
      </c>
      <c r="W49" s="2"/>
      <c r="X49" s="2">
        <f>ROUND(R49/120.2*120.7,0)</f>
        <v>21067</v>
      </c>
      <c r="Y49" s="2"/>
      <c r="Z49" s="4">
        <f>L49+S49</f>
        <v>18062</v>
      </c>
      <c r="AA49" s="2">
        <f>ROUND(X49/120.7*122.4,0)</f>
        <v>21364</v>
      </c>
      <c r="AB49" s="2">
        <f>ROUND(Y49/115.7*116.1,0)</f>
        <v>0</v>
      </c>
      <c r="AC49" s="2">
        <f t="shared" si="13"/>
        <v>21818</v>
      </c>
      <c r="AD49" s="2">
        <f t="shared" si="10"/>
        <v>0</v>
      </c>
      <c r="AE49" s="4">
        <f t="shared" si="11"/>
        <v>21818</v>
      </c>
      <c r="AF49" s="4">
        <v>24300</v>
      </c>
      <c r="AG49" s="4">
        <v>0</v>
      </c>
      <c r="AH49" s="4">
        <f t="shared" si="12"/>
        <v>24300</v>
      </c>
      <c r="AI49" s="47"/>
      <c r="AJ49" s="47"/>
      <c r="AK49" s="47"/>
      <c r="AL49" s="47"/>
      <c r="AM49" s="47"/>
    </row>
    <row r="50" spans="1:41" s="54" customFormat="1" x14ac:dyDescent="0.2">
      <c r="A50" s="44" t="s">
        <v>79</v>
      </c>
      <c r="B50" s="44"/>
      <c r="C50" s="44"/>
      <c r="D50" s="45" t="s">
        <v>125</v>
      </c>
      <c r="E50" s="5"/>
      <c r="F50" s="5" t="s">
        <v>80</v>
      </c>
      <c r="G50" s="5"/>
      <c r="H50" s="5"/>
      <c r="I50" s="5"/>
      <c r="J50" s="2">
        <v>591283.95061728405</v>
      </c>
      <c r="K50" s="2">
        <v>591283.95061728405</v>
      </c>
      <c r="L50" s="2">
        <v>701704</v>
      </c>
      <c r="M50" s="2">
        <f>ROUND(L50/113.8*117.8,0)</f>
        <v>726368</v>
      </c>
      <c r="N50" s="2">
        <v>0</v>
      </c>
      <c r="O50" s="2">
        <v>0</v>
      </c>
      <c r="P50" s="2">
        <v>0</v>
      </c>
      <c r="Q50" s="2">
        <f>ROUND(M50/117.8*118.7,0)</f>
        <v>731918</v>
      </c>
      <c r="R50" s="2">
        <f>ROUND(Q50*11.36%+Q50,0)</f>
        <v>815064</v>
      </c>
      <c r="S50" s="2">
        <f>ROUND(N50,0)</f>
        <v>0</v>
      </c>
      <c r="T50" s="2">
        <f>ROUND(P50/110.8*113.8,0)</f>
        <v>0</v>
      </c>
      <c r="U50" s="3">
        <f>J50+N50</f>
        <v>591283.95061728405</v>
      </c>
      <c r="V50" s="3">
        <f>K50+P50</f>
        <v>591283.95061728405</v>
      </c>
      <c r="W50" s="2"/>
      <c r="X50" s="2">
        <f>ROUND(R50/120.2*120.7,0)</f>
        <v>818454</v>
      </c>
      <c r="Y50" s="2"/>
      <c r="Z50" s="4">
        <f>L50+S50</f>
        <v>701704</v>
      </c>
      <c r="AA50" s="2">
        <f>ROUND(X50/120.7*122.4,0)</f>
        <v>829982</v>
      </c>
      <c r="AB50" s="2">
        <f>ROUND(Y50/115.7*116.1,0)</f>
        <v>0</v>
      </c>
      <c r="AC50" s="2">
        <f t="shared" si="13"/>
        <v>847612</v>
      </c>
      <c r="AD50" s="2">
        <f t="shared" si="10"/>
        <v>0</v>
      </c>
      <c r="AE50" s="4">
        <f t="shared" si="11"/>
        <v>847612</v>
      </c>
      <c r="AF50" s="4">
        <v>900000</v>
      </c>
      <c r="AG50" s="4">
        <v>0</v>
      </c>
      <c r="AH50" s="4">
        <f t="shared" si="12"/>
        <v>900000</v>
      </c>
      <c r="AI50" s="46" t="s">
        <v>226</v>
      </c>
      <c r="AJ50" s="46">
        <v>837250</v>
      </c>
      <c r="AK50" s="47"/>
      <c r="AL50" s="47"/>
      <c r="AM50" s="46">
        <f t="shared" si="14"/>
        <v>837250</v>
      </c>
      <c r="AN50" s="48"/>
      <c r="AO50" s="44"/>
    </row>
    <row r="51" spans="1:41" x14ac:dyDescent="0.2">
      <c r="D51" s="29"/>
      <c r="E51" s="30"/>
      <c r="F51" s="30"/>
      <c r="G51" s="30"/>
      <c r="H51" s="30"/>
      <c r="I51" s="30"/>
      <c r="J51" s="15">
        <f t="shared" ref="J51:AE51" si="47">SUM(J5:J50)</f>
        <v>28127814.814814817</v>
      </c>
      <c r="K51" s="15">
        <f t="shared" si="47"/>
        <v>28127814.814814817</v>
      </c>
      <c r="L51" s="15">
        <f t="shared" si="47"/>
        <v>28238235</v>
      </c>
      <c r="M51" s="16">
        <f t="shared" si="47"/>
        <v>29230793</v>
      </c>
      <c r="N51" s="15">
        <f t="shared" si="47"/>
        <v>5227444.444444444</v>
      </c>
      <c r="O51" s="15">
        <f t="shared" si="47"/>
        <v>0</v>
      </c>
      <c r="P51" s="16">
        <f t="shared" si="47"/>
        <v>5227444.444444444</v>
      </c>
      <c r="Q51" s="16">
        <f t="shared" si="47"/>
        <v>32166957</v>
      </c>
      <c r="R51" s="16">
        <f t="shared" si="47"/>
        <v>32910248</v>
      </c>
      <c r="S51" s="16">
        <f t="shared" si="47"/>
        <v>5661196</v>
      </c>
      <c r="T51" s="16">
        <f t="shared" si="47"/>
        <v>5246693</v>
      </c>
      <c r="U51" s="16">
        <f t="shared" si="47"/>
        <v>32134666.666666668</v>
      </c>
      <c r="V51" s="16">
        <f t="shared" si="47"/>
        <v>32134666.666666668</v>
      </c>
      <c r="W51" s="16">
        <f t="shared" si="47"/>
        <v>3156233</v>
      </c>
      <c r="X51" s="16">
        <f t="shared" si="47"/>
        <v>33177895</v>
      </c>
      <c r="Y51" s="16">
        <f t="shared" si="47"/>
        <v>3135376</v>
      </c>
      <c r="Z51" s="17">
        <f t="shared" si="47"/>
        <v>33899431</v>
      </c>
      <c r="AA51" s="16">
        <f t="shared" si="47"/>
        <v>35549945</v>
      </c>
      <c r="AB51" s="16">
        <f t="shared" si="47"/>
        <v>3443072</v>
      </c>
      <c r="AC51" s="16">
        <f t="shared" si="47"/>
        <v>37738200</v>
      </c>
      <c r="AD51" s="16">
        <f t="shared" si="47"/>
        <v>3505351</v>
      </c>
      <c r="AE51" s="16">
        <f t="shared" si="47"/>
        <v>41243551</v>
      </c>
      <c r="AF51" s="16">
        <f>SUM(AF5:AF50)</f>
        <v>40500400</v>
      </c>
      <c r="AG51" s="16">
        <f>SUM(AG5:AG50)</f>
        <v>4538700</v>
      </c>
      <c r="AH51" s="16">
        <f>SUM(AH5:AH50)</f>
        <v>45039100</v>
      </c>
      <c r="AI51" s="61"/>
      <c r="AJ51" s="61">
        <f t="shared" ref="AJ51" si="48">SUM(AJ5:AJ50)</f>
        <v>25150677</v>
      </c>
      <c r="AK51" s="61"/>
      <c r="AL51" s="61">
        <f t="shared" ref="AL51:AM51" si="49">SUM(AL5:AL50)</f>
        <v>3024253</v>
      </c>
      <c r="AM51" s="61">
        <f t="shared" si="49"/>
        <v>28174930</v>
      </c>
    </row>
    <row r="52" spans="1:41" x14ac:dyDescent="0.2">
      <c r="D52" s="29"/>
      <c r="E52" s="30"/>
      <c r="F52" s="30"/>
      <c r="G52" s="30"/>
      <c r="H52" s="30"/>
      <c r="I52" s="30"/>
      <c r="J52" s="15"/>
      <c r="K52" s="15"/>
      <c r="L52" s="15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  <c r="AA52" s="16"/>
      <c r="AB52" s="16"/>
      <c r="AC52" s="16"/>
      <c r="AD52" s="16"/>
      <c r="AE52" s="17"/>
      <c r="AF52" s="17"/>
      <c r="AG52" s="17"/>
      <c r="AH52" s="17"/>
      <c r="AI52" s="23"/>
      <c r="AJ52" s="23"/>
      <c r="AK52" s="23"/>
      <c r="AL52" s="23"/>
      <c r="AM52" s="23"/>
    </row>
    <row r="53" spans="1:41" s="43" customFormat="1" x14ac:dyDescent="0.2">
      <c r="A53" s="39"/>
      <c r="B53" s="39"/>
      <c r="C53" s="39"/>
      <c r="D53" s="18"/>
      <c r="E53" s="18"/>
      <c r="F53" s="91" t="s">
        <v>83</v>
      </c>
      <c r="G53" s="92"/>
      <c r="H53" s="92"/>
      <c r="I53" s="92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4"/>
      <c r="V53" s="94"/>
      <c r="W53" s="94"/>
      <c r="X53" s="93"/>
      <c r="Y53" s="94"/>
      <c r="Z53" s="95"/>
      <c r="AA53" s="94"/>
      <c r="AB53" s="94"/>
      <c r="AC53" s="94"/>
      <c r="AD53" s="94"/>
      <c r="AE53" s="95"/>
      <c r="AF53" s="95"/>
      <c r="AG53" s="95"/>
      <c r="AH53" s="96"/>
      <c r="AI53" s="22"/>
      <c r="AJ53" s="22"/>
      <c r="AK53" s="22"/>
      <c r="AL53" s="22"/>
      <c r="AM53" s="22"/>
      <c r="AN53" s="38"/>
    </row>
    <row r="54" spans="1:41" ht="12.75" customHeight="1" x14ac:dyDescent="0.2">
      <c r="C54" s="62" t="s">
        <v>171</v>
      </c>
      <c r="D54" s="45" t="s">
        <v>129</v>
      </c>
      <c r="E54" s="31">
        <v>71403</v>
      </c>
      <c r="F54" s="5" t="s">
        <v>84</v>
      </c>
      <c r="G54" s="6" t="s">
        <v>163</v>
      </c>
      <c r="H54" s="6" t="s">
        <v>155</v>
      </c>
      <c r="I54" s="6" t="s">
        <v>39</v>
      </c>
      <c r="J54" s="2">
        <v>4401358.0246913582</v>
      </c>
      <c r="K54" s="2">
        <v>4401358.0246913582</v>
      </c>
      <c r="L54" s="2">
        <f t="shared" ref="L54:L59" si="50">ROUND(J54,0)</f>
        <v>4401358</v>
      </c>
      <c r="M54" s="2">
        <f t="shared" ref="M54:M63" si="51">ROUND(L54/113.8*117.8,0)</f>
        <v>4556063</v>
      </c>
      <c r="N54" s="2">
        <v>526641.97530864202</v>
      </c>
      <c r="O54" s="2">
        <v>0</v>
      </c>
      <c r="P54" s="2">
        <v>526641.97530864202</v>
      </c>
      <c r="Q54" s="2">
        <f t="shared" ref="Q54:Q63" si="52">ROUND(M54/117.8*118.7,0)</f>
        <v>4590872</v>
      </c>
      <c r="R54" s="2">
        <f t="shared" ref="R54:R63" si="53">ROUND(Q54*11.36%+Q54,0)</f>
        <v>5112395</v>
      </c>
      <c r="S54" s="2">
        <f t="shared" ref="S54:S59" si="54">ROUND(N54,0)</f>
        <v>526642</v>
      </c>
      <c r="T54" s="2">
        <f t="shared" ref="T54:T63" si="55">ROUND(P54/110.8*113.8,0)</f>
        <v>540901</v>
      </c>
      <c r="U54" s="3">
        <f>J54+N54</f>
        <v>4928000</v>
      </c>
      <c r="V54" s="3">
        <f t="shared" ref="V54:V63" si="56">K54+P54</f>
        <v>4928000</v>
      </c>
      <c r="W54" s="2">
        <f t="shared" ref="W54:W63" si="57">ROUND(T54/113.8*113.8,0)</f>
        <v>540901</v>
      </c>
      <c r="X54" s="2">
        <v>4065000</v>
      </c>
      <c r="Y54" s="2">
        <f t="shared" ref="Y54:Y63" si="58">ROUND(W54-W54*25%,0)</f>
        <v>405676</v>
      </c>
      <c r="Z54" s="4">
        <f t="shared" ref="Z54:Z63" si="59">L54+S54</f>
        <v>4928000</v>
      </c>
      <c r="AA54" s="2">
        <f t="shared" ref="AA54:AA63" si="60">ROUND(X54/120.7*122.4,0)</f>
        <v>4122254</v>
      </c>
      <c r="AB54" s="2">
        <f t="shared" ref="AB54:AB63" si="61">ROUND(Y54/115.7*116.1,0)</f>
        <v>407079</v>
      </c>
      <c r="AC54" s="2">
        <f t="shared" ref="AC54:AC63" si="62">ROUND(AA54/122.4*125,0)</f>
        <v>4209818</v>
      </c>
      <c r="AD54" s="2">
        <f t="shared" ref="AD54:AD63" si="63">ROUND(AB54/116.1*118.2,0)</f>
        <v>414442</v>
      </c>
      <c r="AE54" s="4">
        <f t="shared" ref="AE54:AE63" si="64">AC54+AD54</f>
        <v>4624260</v>
      </c>
      <c r="AF54" s="4">
        <v>4684700</v>
      </c>
      <c r="AG54" s="4">
        <v>426400</v>
      </c>
      <c r="AH54" s="4">
        <f>AF54+AG54</f>
        <v>5111100</v>
      </c>
      <c r="AI54" s="47"/>
      <c r="AJ54" s="47"/>
      <c r="AK54" s="47"/>
      <c r="AL54" s="47"/>
      <c r="AM54" s="47"/>
      <c r="AN54" s="30" t="s">
        <v>166</v>
      </c>
      <c r="AO54" s="57" t="s">
        <v>176</v>
      </c>
    </row>
    <row r="55" spans="1:41" x14ac:dyDescent="0.2">
      <c r="C55" s="56"/>
      <c r="D55" s="45" t="s">
        <v>129</v>
      </c>
      <c r="E55" s="13">
        <v>74001</v>
      </c>
      <c r="F55" s="13" t="s">
        <v>85</v>
      </c>
      <c r="G55" s="21" t="s">
        <v>86</v>
      </c>
      <c r="H55" s="21" t="s">
        <v>160</v>
      </c>
      <c r="I55" s="21" t="s">
        <v>35</v>
      </c>
      <c r="J55" s="2">
        <v>1505777.7777777778</v>
      </c>
      <c r="K55" s="2">
        <v>1505777.7777777778</v>
      </c>
      <c r="L55" s="2">
        <f t="shared" si="50"/>
        <v>1505778</v>
      </c>
      <c r="M55" s="2">
        <f t="shared" si="51"/>
        <v>1558705</v>
      </c>
      <c r="N55" s="2">
        <v>173012.34567901236</v>
      </c>
      <c r="O55" s="2">
        <v>0</v>
      </c>
      <c r="P55" s="2">
        <v>173012.34567901236</v>
      </c>
      <c r="Q55" s="2">
        <f t="shared" si="52"/>
        <v>1570614</v>
      </c>
      <c r="R55" s="2">
        <f t="shared" si="53"/>
        <v>1749036</v>
      </c>
      <c r="S55" s="2">
        <f t="shared" si="54"/>
        <v>173012</v>
      </c>
      <c r="T55" s="2">
        <f t="shared" si="55"/>
        <v>177697</v>
      </c>
      <c r="U55" s="3">
        <f t="shared" ref="U55:U63" si="65">J55+N55</f>
        <v>1678790.1234567901</v>
      </c>
      <c r="V55" s="3">
        <f t="shared" si="56"/>
        <v>1678790.1234567901</v>
      </c>
      <c r="W55" s="2">
        <f t="shared" si="57"/>
        <v>177697</v>
      </c>
      <c r="X55" s="2">
        <v>2215000</v>
      </c>
      <c r="Y55" s="2">
        <f t="shared" si="58"/>
        <v>133273</v>
      </c>
      <c r="Z55" s="4">
        <f t="shared" si="59"/>
        <v>1678790</v>
      </c>
      <c r="AA55" s="2">
        <f t="shared" si="60"/>
        <v>2246197</v>
      </c>
      <c r="AB55" s="2">
        <f t="shared" si="61"/>
        <v>133734</v>
      </c>
      <c r="AC55" s="2">
        <f t="shared" si="62"/>
        <v>2293910</v>
      </c>
      <c r="AD55" s="2">
        <f t="shared" si="63"/>
        <v>136153</v>
      </c>
      <c r="AE55" s="4">
        <f t="shared" si="64"/>
        <v>2430063</v>
      </c>
      <c r="AF55" s="4">
        <v>2552700</v>
      </c>
      <c r="AG55" s="4">
        <v>140100</v>
      </c>
      <c r="AH55" s="4">
        <f t="shared" ref="AH55:AH63" si="66">AF55+AG55</f>
        <v>2692800</v>
      </c>
      <c r="AI55" s="47"/>
      <c r="AJ55" s="47"/>
      <c r="AK55" s="47"/>
      <c r="AL55" s="47"/>
      <c r="AM55" s="47"/>
      <c r="AN55" s="54" t="s">
        <v>167</v>
      </c>
      <c r="AO55" s="57" t="s">
        <v>176</v>
      </c>
    </row>
    <row r="56" spans="1:41" ht="12" customHeight="1" x14ac:dyDescent="0.2">
      <c r="C56" s="62" t="s">
        <v>171</v>
      </c>
      <c r="D56" s="45" t="s">
        <v>129</v>
      </c>
      <c r="E56" s="31">
        <v>71405</v>
      </c>
      <c r="F56" s="5" t="s">
        <v>87</v>
      </c>
      <c r="G56" s="6" t="s">
        <v>164</v>
      </c>
      <c r="H56" s="6" t="s">
        <v>147</v>
      </c>
      <c r="I56" s="6" t="s">
        <v>43</v>
      </c>
      <c r="J56" s="2">
        <v>2596135.8024691357</v>
      </c>
      <c r="K56" s="2">
        <v>2596135.8024691357</v>
      </c>
      <c r="L56" s="2">
        <f t="shared" si="50"/>
        <v>2596136</v>
      </c>
      <c r="M56" s="2">
        <f t="shared" si="51"/>
        <v>2687389</v>
      </c>
      <c r="N56" s="2">
        <v>192024.69135802469</v>
      </c>
      <c r="O56" s="2">
        <v>0</v>
      </c>
      <c r="P56" s="2">
        <v>192024.69135802469</v>
      </c>
      <c r="Q56" s="2">
        <f t="shared" si="52"/>
        <v>2707921</v>
      </c>
      <c r="R56" s="2">
        <f t="shared" si="53"/>
        <v>3015541</v>
      </c>
      <c r="S56" s="2">
        <f t="shared" si="54"/>
        <v>192025</v>
      </c>
      <c r="T56" s="2">
        <f t="shared" si="55"/>
        <v>197224</v>
      </c>
      <c r="U56" s="3">
        <f t="shared" si="65"/>
        <v>2788160.4938271604</v>
      </c>
      <c r="V56" s="3">
        <f t="shared" si="56"/>
        <v>2788160.4938271604</v>
      </c>
      <c r="W56" s="2">
        <f t="shared" si="57"/>
        <v>197224</v>
      </c>
      <c r="X56" s="2">
        <v>3510000</v>
      </c>
      <c r="Y56" s="2">
        <f t="shared" si="58"/>
        <v>147918</v>
      </c>
      <c r="Z56" s="4">
        <f t="shared" si="59"/>
        <v>2788161</v>
      </c>
      <c r="AA56" s="2">
        <f t="shared" si="60"/>
        <v>3559437</v>
      </c>
      <c r="AB56" s="2">
        <f t="shared" si="61"/>
        <v>148429</v>
      </c>
      <c r="AC56" s="2">
        <f t="shared" si="62"/>
        <v>3635046</v>
      </c>
      <c r="AD56" s="2">
        <f t="shared" si="63"/>
        <v>151114</v>
      </c>
      <c r="AE56" s="4">
        <f t="shared" si="64"/>
        <v>3786160</v>
      </c>
      <c r="AF56" s="4">
        <v>4045100</v>
      </c>
      <c r="AG56" s="4">
        <v>155500</v>
      </c>
      <c r="AH56" s="4">
        <f t="shared" si="66"/>
        <v>4200600</v>
      </c>
      <c r="AI56" s="47"/>
      <c r="AJ56" s="47"/>
      <c r="AK56" s="47"/>
      <c r="AL56" s="47"/>
      <c r="AM56" s="47"/>
      <c r="AN56" s="30" t="s">
        <v>165</v>
      </c>
      <c r="AO56" s="57" t="s">
        <v>176</v>
      </c>
    </row>
    <row r="57" spans="1:41" x14ac:dyDescent="0.2">
      <c r="D57" s="45" t="s">
        <v>129</v>
      </c>
      <c r="E57" s="5">
        <v>70301</v>
      </c>
      <c r="F57" s="5" t="s">
        <v>88</v>
      </c>
      <c r="G57" s="6" t="s">
        <v>89</v>
      </c>
      <c r="H57" s="6" t="s">
        <v>141</v>
      </c>
      <c r="I57" s="6" t="s">
        <v>24</v>
      </c>
      <c r="J57" s="2">
        <v>1535246.913580247</v>
      </c>
      <c r="K57" s="2">
        <v>1535246.913580247</v>
      </c>
      <c r="L57" s="2">
        <f t="shared" si="50"/>
        <v>1535247</v>
      </c>
      <c r="M57" s="2">
        <f t="shared" si="51"/>
        <v>1589210</v>
      </c>
      <c r="N57" s="2">
        <v>126432.09876543209</v>
      </c>
      <c r="O57" s="2">
        <v>0</v>
      </c>
      <c r="P57" s="2">
        <v>126432.09876543209</v>
      </c>
      <c r="Q57" s="2">
        <f t="shared" si="52"/>
        <v>1601352</v>
      </c>
      <c r="R57" s="2">
        <f t="shared" si="53"/>
        <v>1783266</v>
      </c>
      <c r="S57" s="2">
        <f t="shared" si="54"/>
        <v>126432</v>
      </c>
      <c r="T57" s="2">
        <f t="shared" si="55"/>
        <v>129855</v>
      </c>
      <c r="U57" s="3">
        <f t="shared" si="65"/>
        <v>1661679.0123456791</v>
      </c>
      <c r="V57" s="3">
        <f t="shared" si="56"/>
        <v>1661679.0123456791</v>
      </c>
      <c r="W57" s="2">
        <f t="shared" si="57"/>
        <v>129855</v>
      </c>
      <c r="X57" s="2">
        <f t="shared" ref="X57:X63" si="67">ROUND(R57/120.2*120.7,0)</f>
        <v>1790684</v>
      </c>
      <c r="Y57" s="2">
        <f t="shared" si="58"/>
        <v>97391</v>
      </c>
      <c r="Z57" s="4">
        <f t="shared" si="59"/>
        <v>1661679</v>
      </c>
      <c r="AA57" s="2">
        <f t="shared" si="60"/>
        <v>1815905</v>
      </c>
      <c r="AB57" s="2">
        <f t="shared" si="61"/>
        <v>97728</v>
      </c>
      <c r="AC57" s="2">
        <f t="shared" si="62"/>
        <v>1854478</v>
      </c>
      <c r="AD57" s="2">
        <f t="shared" si="63"/>
        <v>99496</v>
      </c>
      <c r="AE57" s="4">
        <f t="shared" si="64"/>
        <v>1953974</v>
      </c>
      <c r="AF57" s="4">
        <v>1977900</v>
      </c>
      <c r="AG57" s="4">
        <v>343200</v>
      </c>
      <c r="AH57" s="4">
        <f t="shared" si="66"/>
        <v>2321100</v>
      </c>
      <c r="AI57" s="46" t="s">
        <v>226</v>
      </c>
      <c r="AJ57" s="46">
        <v>1840000</v>
      </c>
      <c r="AK57" s="46" t="s">
        <v>226</v>
      </c>
      <c r="AL57" s="46">
        <v>333000</v>
      </c>
      <c r="AM57" s="46">
        <f t="shared" ref="AM57:AM63" si="68">AJ57+AL57</f>
        <v>2173000</v>
      </c>
    </row>
    <row r="58" spans="1:41" ht="36" x14ac:dyDescent="0.2">
      <c r="D58" s="45" t="s">
        <v>129</v>
      </c>
      <c r="E58" s="5">
        <v>70501</v>
      </c>
      <c r="F58" s="5" t="s">
        <v>90</v>
      </c>
      <c r="G58" s="6" t="s">
        <v>91</v>
      </c>
      <c r="H58" s="6" t="s">
        <v>162</v>
      </c>
      <c r="I58" s="6" t="s">
        <v>48</v>
      </c>
      <c r="J58" s="2">
        <v>829888.88888888888</v>
      </c>
      <c r="K58" s="2">
        <v>829888.88888888888</v>
      </c>
      <c r="L58" s="2">
        <f t="shared" si="50"/>
        <v>829889</v>
      </c>
      <c r="M58" s="2">
        <f t="shared" si="51"/>
        <v>859059</v>
      </c>
      <c r="N58" s="2">
        <v>87456.790123456798</v>
      </c>
      <c r="O58" s="2">
        <v>0</v>
      </c>
      <c r="P58" s="2">
        <v>87456.790123456798</v>
      </c>
      <c r="Q58" s="2">
        <f t="shared" si="52"/>
        <v>865622</v>
      </c>
      <c r="R58" s="2">
        <f t="shared" si="53"/>
        <v>963957</v>
      </c>
      <c r="S58" s="2">
        <f t="shared" si="54"/>
        <v>87457</v>
      </c>
      <c r="T58" s="2">
        <f t="shared" si="55"/>
        <v>89825</v>
      </c>
      <c r="U58" s="3">
        <f t="shared" si="65"/>
        <v>917345.67901234562</v>
      </c>
      <c r="V58" s="3">
        <f t="shared" si="56"/>
        <v>917345.67901234562</v>
      </c>
      <c r="W58" s="2">
        <f t="shared" si="57"/>
        <v>89825</v>
      </c>
      <c r="X58" s="2">
        <f t="shared" si="67"/>
        <v>967967</v>
      </c>
      <c r="Y58" s="2">
        <f t="shared" si="58"/>
        <v>67369</v>
      </c>
      <c r="Z58" s="4">
        <f t="shared" si="59"/>
        <v>917346</v>
      </c>
      <c r="AA58" s="2">
        <f t="shared" si="60"/>
        <v>981600</v>
      </c>
      <c r="AB58" s="2">
        <f t="shared" si="61"/>
        <v>67602</v>
      </c>
      <c r="AC58" s="2">
        <f t="shared" si="62"/>
        <v>1002451</v>
      </c>
      <c r="AD58" s="2">
        <f t="shared" si="63"/>
        <v>68825</v>
      </c>
      <c r="AE58" s="4">
        <f t="shared" si="64"/>
        <v>1071276</v>
      </c>
      <c r="AF58" s="4">
        <v>1247000</v>
      </c>
      <c r="AG58" s="4">
        <v>371000</v>
      </c>
      <c r="AH58" s="4">
        <f t="shared" si="66"/>
        <v>1618000</v>
      </c>
      <c r="AI58" s="52" t="s">
        <v>240</v>
      </c>
      <c r="AJ58" s="46">
        <v>1160000</v>
      </c>
      <c r="AK58" s="52" t="s">
        <v>240</v>
      </c>
      <c r="AL58" s="46">
        <v>360000</v>
      </c>
      <c r="AM58" s="46">
        <f t="shared" si="68"/>
        <v>1520000</v>
      </c>
    </row>
    <row r="59" spans="1:41" x14ac:dyDescent="0.2">
      <c r="A59" s="44"/>
      <c r="B59" s="44"/>
      <c r="C59" s="44"/>
      <c r="D59" s="45" t="s">
        <v>129</v>
      </c>
      <c r="E59" s="5">
        <v>70501</v>
      </c>
      <c r="F59" s="5" t="s">
        <v>92</v>
      </c>
      <c r="G59" s="6" t="s">
        <v>91</v>
      </c>
      <c r="H59" s="6" t="s">
        <v>162</v>
      </c>
      <c r="I59" s="6" t="s">
        <v>48</v>
      </c>
      <c r="J59" s="2">
        <v>157802.46913580253</v>
      </c>
      <c r="K59" s="2">
        <v>157802.46913580253</v>
      </c>
      <c r="L59" s="2">
        <f t="shared" si="50"/>
        <v>157802</v>
      </c>
      <c r="M59" s="2">
        <f t="shared" si="51"/>
        <v>163349</v>
      </c>
      <c r="N59" s="2">
        <v>28518.518518518518</v>
      </c>
      <c r="O59" s="2">
        <v>0</v>
      </c>
      <c r="P59" s="2">
        <v>28518.518518518518</v>
      </c>
      <c r="Q59" s="2">
        <f t="shared" si="52"/>
        <v>164597</v>
      </c>
      <c r="R59" s="2">
        <f t="shared" si="53"/>
        <v>183295</v>
      </c>
      <c r="S59" s="2">
        <f t="shared" si="54"/>
        <v>28519</v>
      </c>
      <c r="T59" s="2">
        <f t="shared" si="55"/>
        <v>29291</v>
      </c>
      <c r="U59" s="3">
        <f t="shared" si="65"/>
        <v>186320.98765432104</v>
      </c>
      <c r="V59" s="3">
        <f t="shared" si="56"/>
        <v>186320.98765432104</v>
      </c>
      <c r="W59" s="2">
        <f t="shared" si="57"/>
        <v>29291</v>
      </c>
      <c r="X59" s="2">
        <f t="shared" si="67"/>
        <v>184057</v>
      </c>
      <c r="Y59" s="2">
        <f t="shared" si="58"/>
        <v>21968</v>
      </c>
      <c r="Z59" s="4">
        <f t="shared" si="59"/>
        <v>186321</v>
      </c>
      <c r="AA59" s="2">
        <f t="shared" si="60"/>
        <v>186649</v>
      </c>
      <c r="AB59" s="2">
        <f t="shared" si="61"/>
        <v>22044</v>
      </c>
      <c r="AC59" s="2">
        <f t="shared" si="62"/>
        <v>190614</v>
      </c>
      <c r="AD59" s="2">
        <f t="shared" si="63"/>
        <v>22443</v>
      </c>
      <c r="AE59" s="4">
        <f t="shared" si="64"/>
        <v>213057</v>
      </c>
      <c r="AF59" s="4">
        <v>212100</v>
      </c>
      <c r="AG59" s="4">
        <v>23100</v>
      </c>
      <c r="AH59" s="4">
        <f t="shared" si="66"/>
        <v>235200</v>
      </c>
      <c r="AI59" s="46"/>
      <c r="AJ59" s="46"/>
      <c r="AK59" s="46"/>
      <c r="AL59" s="46"/>
      <c r="AM59" s="46"/>
    </row>
    <row r="60" spans="1:41" ht="36" x14ac:dyDescent="0.2">
      <c r="A60" s="44"/>
      <c r="B60" s="44"/>
      <c r="C60" s="44"/>
      <c r="D60" s="29"/>
      <c r="E60" s="6"/>
      <c r="F60" s="6" t="s">
        <v>216</v>
      </c>
      <c r="G60" s="6" t="s">
        <v>215</v>
      </c>
      <c r="H60" s="6" t="s">
        <v>154</v>
      </c>
      <c r="I60" s="6" t="s">
        <v>39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3"/>
      <c r="V60" s="33"/>
      <c r="W60" s="33"/>
      <c r="X60" s="33"/>
      <c r="Y60" s="33"/>
      <c r="Z60" s="19"/>
      <c r="AA60" s="19"/>
      <c r="AB60" s="19"/>
      <c r="AC60" s="19"/>
      <c r="AD60" s="19">
        <v>200000</v>
      </c>
      <c r="AE60" s="19"/>
      <c r="AF60" s="19">
        <v>0</v>
      </c>
      <c r="AG60" s="19">
        <v>205800</v>
      </c>
      <c r="AH60" s="4">
        <f t="shared" si="66"/>
        <v>205800</v>
      </c>
      <c r="AK60" s="59"/>
      <c r="AL60" s="60"/>
      <c r="AM60" s="46"/>
      <c r="AN60" s="48" t="s">
        <v>217</v>
      </c>
    </row>
    <row r="61" spans="1:41" ht="24" x14ac:dyDescent="0.2">
      <c r="A61" s="44" t="s">
        <v>93</v>
      </c>
      <c r="B61" s="44"/>
      <c r="C61" s="44"/>
      <c r="D61" s="45" t="s">
        <v>130</v>
      </c>
      <c r="E61" s="5"/>
      <c r="F61" s="5" t="s">
        <v>242</v>
      </c>
      <c r="G61" s="6" t="s">
        <v>101</v>
      </c>
      <c r="H61" s="6" t="s">
        <v>154</v>
      </c>
      <c r="I61" s="6" t="s">
        <v>39</v>
      </c>
      <c r="J61" s="2"/>
      <c r="K61" s="2">
        <v>11000000</v>
      </c>
      <c r="L61" s="2">
        <v>11000000</v>
      </c>
      <c r="M61" s="2">
        <f t="shared" si="51"/>
        <v>11386643</v>
      </c>
      <c r="N61" s="2"/>
      <c r="O61" s="2"/>
      <c r="P61" s="2">
        <v>1200000</v>
      </c>
      <c r="Q61" s="2">
        <f t="shared" si="52"/>
        <v>11473638</v>
      </c>
      <c r="R61" s="2">
        <f t="shared" si="53"/>
        <v>12777043</v>
      </c>
      <c r="S61" s="2">
        <v>1200000</v>
      </c>
      <c r="T61" s="2">
        <f t="shared" si="55"/>
        <v>1232491</v>
      </c>
      <c r="U61" s="3">
        <f t="shared" si="65"/>
        <v>0</v>
      </c>
      <c r="V61" s="3">
        <f t="shared" si="56"/>
        <v>12200000</v>
      </c>
      <c r="W61" s="2">
        <f t="shared" si="57"/>
        <v>1232491</v>
      </c>
      <c r="X61" s="2">
        <f t="shared" si="67"/>
        <v>12830192</v>
      </c>
      <c r="Y61" s="2">
        <f t="shared" si="58"/>
        <v>924368</v>
      </c>
      <c r="Z61" s="4">
        <f t="shared" si="59"/>
        <v>12200000</v>
      </c>
      <c r="AA61" s="2">
        <f t="shared" si="60"/>
        <v>13010899</v>
      </c>
      <c r="AB61" s="2">
        <f t="shared" si="61"/>
        <v>927564</v>
      </c>
      <c r="AC61" s="2">
        <f t="shared" si="62"/>
        <v>13287274</v>
      </c>
      <c r="AD61" s="2">
        <f t="shared" si="63"/>
        <v>944342</v>
      </c>
      <c r="AE61" s="4">
        <f t="shared" si="64"/>
        <v>14231616</v>
      </c>
      <c r="AF61" s="4">
        <v>13974500</v>
      </c>
      <c r="AG61" s="4">
        <v>2751500</v>
      </c>
      <c r="AH61" s="4">
        <f t="shared" si="66"/>
        <v>16726000</v>
      </c>
      <c r="AI61" s="46" t="s">
        <v>238</v>
      </c>
      <c r="AJ61" s="46">
        <v>13000000</v>
      </c>
      <c r="AK61" s="46" t="s">
        <v>238</v>
      </c>
      <c r="AL61" s="46">
        <v>2670000</v>
      </c>
      <c r="AM61" s="46">
        <f t="shared" si="68"/>
        <v>15670000</v>
      </c>
    </row>
    <row r="62" spans="1:41" x14ac:dyDescent="0.2">
      <c r="D62" s="45" t="s">
        <v>131</v>
      </c>
      <c r="E62" s="1">
        <v>70701</v>
      </c>
      <c r="F62" s="5" t="s">
        <v>94</v>
      </c>
      <c r="G62" s="5" t="s">
        <v>95</v>
      </c>
      <c r="H62" s="5" t="s">
        <v>142</v>
      </c>
      <c r="I62" s="5" t="s">
        <v>24</v>
      </c>
      <c r="J62" s="2">
        <v>6487962.9629629636</v>
      </c>
      <c r="K62" s="2">
        <v>6487962.9629629636</v>
      </c>
      <c r="L62" s="2">
        <f>ROUND(J62,0)</f>
        <v>6487963</v>
      </c>
      <c r="M62" s="2">
        <f t="shared" si="51"/>
        <v>6716011</v>
      </c>
      <c r="N62" s="2">
        <v>475308.64197530865</v>
      </c>
      <c r="O62" s="2"/>
      <c r="P62" s="2">
        <v>475308.64197530865</v>
      </c>
      <c r="Q62" s="2">
        <f t="shared" si="52"/>
        <v>6767322</v>
      </c>
      <c r="R62" s="2">
        <f t="shared" si="53"/>
        <v>7536090</v>
      </c>
      <c r="S62" s="2">
        <f>ROUND(N62,0)</f>
        <v>475309</v>
      </c>
      <c r="T62" s="2">
        <f t="shared" si="55"/>
        <v>488178</v>
      </c>
      <c r="U62" s="3">
        <f t="shared" si="65"/>
        <v>6963271.6049382724</v>
      </c>
      <c r="V62" s="3">
        <f t="shared" si="56"/>
        <v>6963271.6049382724</v>
      </c>
      <c r="W62" s="2">
        <f t="shared" si="57"/>
        <v>488178</v>
      </c>
      <c r="X62" s="2">
        <f t="shared" si="67"/>
        <v>7567438</v>
      </c>
      <c r="Y62" s="2">
        <f t="shared" si="58"/>
        <v>366134</v>
      </c>
      <c r="Z62" s="4">
        <f t="shared" si="59"/>
        <v>6963272</v>
      </c>
      <c r="AA62" s="2">
        <f t="shared" si="60"/>
        <v>7674022</v>
      </c>
      <c r="AB62" s="2">
        <f t="shared" si="61"/>
        <v>367400</v>
      </c>
      <c r="AC62" s="2">
        <f t="shared" si="62"/>
        <v>7837032</v>
      </c>
      <c r="AD62" s="2">
        <f t="shared" si="63"/>
        <v>374045</v>
      </c>
      <c r="AE62" s="4">
        <f t="shared" si="64"/>
        <v>8211077</v>
      </c>
      <c r="AF62" s="4">
        <v>5536100</v>
      </c>
      <c r="AG62" s="4">
        <v>1246900</v>
      </c>
      <c r="AH62" s="4">
        <f t="shared" si="66"/>
        <v>6783000</v>
      </c>
      <c r="AI62" s="46" t="s">
        <v>238</v>
      </c>
      <c r="AJ62" s="46">
        <v>5150000</v>
      </c>
      <c r="AK62" s="46" t="s">
        <v>238</v>
      </c>
      <c r="AL62" s="46">
        <v>1210000</v>
      </c>
      <c r="AM62" s="46">
        <f t="shared" si="68"/>
        <v>6360000</v>
      </c>
    </row>
    <row r="63" spans="1:41" x14ac:dyDescent="0.2">
      <c r="D63" s="45" t="s">
        <v>132</v>
      </c>
      <c r="E63" s="1">
        <v>20201</v>
      </c>
      <c r="F63" s="5" t="s">
        <v>96</v>
      </c>
      <c r="G63" s="6" t="s">
        <v>97</v>
      </c>
      <c r="H63" s="6" t="s">
        <v>141</v>
      </c>
      <c r="I63" s="6" t="s">
        <v>24</v>
      </c>
      <c r="J63" s="2">
        <v>540901.23456790124</v>
      </c>
      <c r="K63" s="2">
        <v>540901.23456790124</v>
      </c>
      <c r="L63" s="2">
        <f>ROUND(J63,0)</f>
        <v>540901</v>
      </c>
      <c r="M63" s="2">
        <f t="shared" si="51"/>
        <v>559913</v>
      </c>
      <c r="N63" s="2">
        <v>35172.839506172837</v>
      </c>
      <c r="O63" s="2">
        <v>0</v>
      </c>
      <c r="P63" s="2">
        <v>35172.839506172837</v>
      </c>
      <c r="Q63" s="2">
        <f t="shared" si="52"/>
        <v>564191</v>
      </c>
      <c r="R63" s="2">
        <f t="shared" si="53"/>
        <v>628283</v>
      </c>
      <c r="S63" s="2">
        <f>ROUND(N63,0)</f>
        <v>35173</v>
      </c>
      <c r="T63" s="2">
        <f t="shared" si="55"/>
        <v>36125</v>
      </c>
      <c r="U63" s="3">
        <f t="shared" si="65"/>
        <v>576074.07407407404</v>
      </c>
      <c r="V63" s="3">
        <f t="shared" si="56"/>
        <v>576074.07407407404</v>
      </c>
      <c r="W63" s="2">
        <f t="shared" si="57"/>
        <v>36125</v>
      </c>
      <c r="X63" s="2">
        <f t="shared" si="67"/>
        <v>630896</v>
      </c>
      <c r="Y63" s="2">
        <f t="shared" si="58"/>
        <v>27094</v>
      </c>
      <c r="Z63" s="4">
        <f t="shared" si="59"/>
        <v>576074</v>
      </c>
      <c r="AA63" s="2">
        <f t="shared" si="60"/>
        <v>639782</v>
      </c>
      <c r="AB63" s="2">
        <f t="shared" si="61"/>
        <v>27188</v>
      </c>
      <c r="AC63" s="2">
        <f t="shared" si="62"/>
        <v>653372</v>
      </c>
      <c r="AD63" s="2">
        <f t="shared" si="63"/>
        <v>27680</v>
      </c>
      <c r="AE63" s="4">
        <f t="shared" si="64"/>
        <v>681052</v>
      </c>
      <c r="AF63" s="4">
        <v>698700</v>
      </c>
      <c r="AG63" s="4">
        <v>93800</v>
      </c>
      <c r="AH63" s="4">
        <f t="shared" si="66"/>
        <v>792500</v>
      </c>
      <c r="AI63" s="46" t="s">
        <v>226</v>
      </c>
      <c r="AJ63" s="46">
        <v>650000</v>
      </c>
      <c r="AK63" s="46" t="s">
        <v>226</v>
      </c>
      <c r="AL63" s="46">
        <v>91000</v>
      </c>
      <c r="AM63" s="46">
        <f t="shared" si="68"/>
        <v>741000</v>
      </c>
    </row>
    <row r="64" spans="1:41" x14ac:dyDescent="0.2">
      <c r="F64" s="30"/>
      <c r="G64" s="30"/>
      <c r="H64" s="30"/>
      <c r="I64" s="30"/>
      <c r="J64" s="15">
        <f>SUM(J54:J63)</f>
        <v>18055074.074074075</v>
      </c>
      <c r="K64" s="15">
        <f>SUM(K54:K63)</f>
        <v>29055074.074074075</v>
      </c>
      <c r="L64" s="15">
        <f>SUM(L54:L63)</f>
        <v>29055074</v>
      </c>
      <c r="M64" s="65">
        <f>SUM(M54:M63)</f>
        <v>30076342</v>
      </c>
      <c r="N64" s="15">
        <f>SUM(N54:N63)</f>
        <v>1644567.9012345679</v>
      </c>
      <c r="O64" s="15">
        <v>0</v>
      </c>
      <c r="P64" s="65">
        <f t="shared" ref="P64:AE64" si="69">SUM(P54:P63)</f>
        <v>2844567.9012345686</v>
      </c>
      <c r="Q64" s="65">
        <f t="shared" si="69"/>
        <v>30306129</v>
      </c>
      <c r="R64" s="65">
        <f t="shared" si="69"/>
        <v>33748906</v>
      </c>
      <c r="S64" s="65">
        <f t="shared" si="69"/>
        <v>2844569</v>
      </c>
      <c r="T64" s="65">
        <f t="shared" si="69"/>
        <v>2921587</v>
      </c>
      <c r="U64" s="66">
        <f t="shared" si="69"/>
        <v>19699641.975308642</v>
      </c>
      <c r="V64" s="66">
        <f t="shared" si="69"/>
        <v>31899641.975308646</v>
      </c>
      <c r="W64" s="65">
        <f t="shared" si="69"/>
        <v>2921587</v>
      </c>
      <c r="X64" s="65">
        <f t="shared" si="69"/>
        <v>33761234</v>
      </c>
      <c r="Y64" s="65">
        <f t="shared" si="69"/>
        <v>2191191</v>
      </c>
      <c r="Z64" s="67">
        <f t="shared" si="69"/>
        <v>31899643</v>
      </c>
      <c r="AA64" s="65">
        <f t="shared" si="69"/>
        <v>34236745</v>
      </c>
      <c r="AB64" s="65">
        <f t="shared" si="69"/>
        <v>2198768</v>
      </c>
      <c r="AC64" s="65">
        <f t="shared" si="69"/>
        <v>34963995</v>
      </c>
      <c r="AD64" s="65">
        <f t="shared" si="69"/>
        <v>2438540</v>
      </c>
      <c r="AE64" s="65">
        <f t="shared" si="69"/>
        <v>37202535</v>
      </c>
      <c r="AF64" s="65">
        <f>SUM(AF54:AF63)</f>
        <v>34928800</v>
      </c>
      <c r="AG64" s="65">
        <f>SUM(AG54:AG63)</f>
        <v>5757300</v>
      </c>
      <c r="AH64" s="65">
        <f>SUM(AH54:AH63)</f>
        <v>40686100</v>
      </c>
      <c r="AI64" s="68"/>
      <c r="AJ64" s="68">
        <f t="shared" ref="AJ64" si="70">SUM(AJ54:AJ63)</f>
        <v>21800000</v>
      </c>
      <c r="AK64" s="68"/>
      <c r="AL64" s="68">
        <f t="shared" ref="AL64:AM64" si="71">SUM(AL54:AL63)</f>
        <v>4664000</v>
      </c>
      <c r="AM64" s="68">
        <f t="shared" si="71"/>
        <v>26464000</v>
      </c>
    </row>
    <row r="65" spans="1:40" x14ac:dyDescent="0.2">
      <c r="F65" s="30"/>
      <c r="G65" s="30"/>
      <c r="H65" s="30"/>
      <c r="I65" s="30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69"/>
      <c r="V65" s="69"/>
      <c r="W65" s="15"/>
      <c r="X65" s="15"/>
      <c r="Y65" s="15"/>
      <c r="Z65" s="34"/>
      <c r="AA65" s="15"/>
      <c r="AB65" s="15"/>
      <c r="AC65" s="15"/>
      <c r="AD65" s="15"/>
      <c r="AE65" s="34"/>
      <c r="AF65" s="34"/>
      <c r="AG65" s="34"/>
      <c r="AH65" s="34"/>
      <c r="AI65" s="24"/>
      <c r="AJ65" s="24"/>
      <c r="AK65" s="24"/>
      <c r="AL65" s="24"/>
      <c r="AM65" s="24"/>
    </row>
    <row r="66" spans="1:40" s="71" customFormat="1" x14ac:dyDescent="0.2">
      <c r="A66" s="70"/>
      <c r="B66" s="70"/>
      <c r="C66" s="70"/>
      <c r="D66" s="71" t="s">
        <v>98</v>
      </c>
      <c r="F66" s="72" t="s">
        <v>98</v>
      </c>
      <c r="G66" s="73"/>
      <c r="H66" s="73"/>
      <c r="I66" s="73"/>
      <c r="J66" s="74">
        <f>SUM(J51+J64)</f>
        <v>46182888.888888896</v>
      </c>
      <c r="K66" s="74">
        <f>SUM(K51+K64)</f>
        <v>57182888.888888896</v>
      </c>
      <c r="L66" s="74">
        <f>SUM(L51+L64)</f>
        <v>57293309</v>
      </c>
      <c r="M66" s="65">
        <f>M51+M64</f>
        <v>59307135</v>
      </c>
      <c r="N66" s="74">
        <f>SUM(N51+N64)</f>
        <v>6872012.3456790121</v>
      </c>
      <c r="O66" s="15"/>
      <c r="P66" s="65">
        <f t="shared" ref="P66:AM66" si="72">P51+P64</f>
        <v>8072012.3456790131</v>
      </c>
      <c r="Q66" s="65">
        <f t="shared" si="72"/>
        <v>62473086</v>
      </c>
      <c r="R66" s="65">
        <f t="shared" si="72"/>
        <v>66659154</v>
      </c>
      <c r="S66" s="65">
        <f t="shared" si="72"/>
        <v>8505765</v>
      </c>
      <c r="T66" s="65">
        <f t="shared" si="72"/>
        <v>8168280</v>
      </c>
      <c r="U66" s="75">
        <f t="shared" si="72"/>
        <v>51834308.641975313</v>
      </c>
      <c r="V66" s="75">
        <f t="shared" si="72"/>
        <v>64034308.641975313</v>
      </c>
      <c r="W66" s="65">
        <f t="shared" si="72"/>
        <v>6077820</v>
      </c>
      <c r="X66" s="65">
        <f t="shared" si="72"/>
        <v>66939129</v>
      </c>
      <c r="Y66" s="65">
        <f t="shared" si="72"/>
        <v>5326567</v>
      </c>
      <c r="Z66" s="76">
        <f t="shared" si="72"/>
        <v>65799074</v>
      </c>
      <c r="AA66" s="65">
        <f t="shared" si="72"/>
        <v>69786690</v>
      </c>
      <c r="AB66" s="65">
        <f t="shared" si="72"/>
        <v>5641840</v>
      </c>
      <c r="AC66" s="65">
        <f>AC51+AC64</f>
        <v>72702195</v>
      </c>
      <c r="AD66" s="65">
        <f>AD51+AD64</f>
        <v>5943891</v>
      </c>
      <c r="AE66" s="76">
        <f>AE51+AE64</f>
        <v>78446086</v>
      </c>
      <c r="AF66" s="76">
        <f>AF51+AF64</f>
        <v>75429200</v>
      </c>
      <c r="AG66" s="76">
        <f>AG64+AG51</f>
        <v>10296000</v>
      </c>
      <c r="AH66" s="76">
        <f>AH64+AH51</f>
        <v>85725200</v>
      </c>
      <c r="AI66" s="77"/>
      <c r="AJ66" s="77">
        <f t="shared" si="72"/>
        <v>46950677</v>
      </c>
      <c r="AK66" s="77"/>
      <c r="AL66" s="77">
        <f t="shared" si="72"/>
        <v>7688253</v>
      </c>
      <c r="AM66" s="77">
        <f t="shared" si="72"/>
        <v>54638930</v>
      </c>
      <c r="AN66" s="78"/>
    </row>
    <row r="68" spans="1:40" x14ac:dyDescent="0.2">
      <c r="F68" s="30"/>
    </row>
    <row r="69" spans="1:40" x14ac:dyDescent="0.2">
      <c r="D69" s="64" t="s">
        <v>23</v>
      </c>
      <c r="F69" s="30" t="s">
        <v>99</v>
      </c>
      <c r="U69" s="79">
        <v>3000000</v>
      </c>
      <c r="V69" s="79">
        <v>3000000</v>
      </c>
      <c r="Z69" s="80">
        <v>3000000</v>
      </c>
      <c r="AH69" s="80">
        <v>3000000</v>
      </c>
      <c r="AM69" s="63">
        <v>3000000</v>
      </c>
      <c r="AN69" s="48" t="s">
        <v>0</v>
      </c>
    </row>
    <row r="70" spans="1:40" x14ac:dyDescent="0.2">
      <c r="U70" s="9" t="e">
        <f>SUM(U66+U69+#REF!)</f>
        <v>#REF!</v>
      </c>
      <c r="V70" s="9">
        <f>SUM(V66+V69)</f>
        <v>67034308.641975313</v>
      </c>
      <c r="W70" s="9"/>
      <c r="X70" s="9"/>
      <c r="Y70" s="9"/>
      <c r="Z70" s="10">
        <f>Z66+Z69</f>
        <v>68799074</v>
      </c>
      <c r="AA70" s="10"/>
      <c r="AB70" s="10"/>
      <c r="AC70" s="10"/>
      <c r="AD70" s="10"/>
      <c r="AF70" s="10"/>
      <c r="AG70" s="10"/>
      <c r="AH70" s="10">
        <f>SUM(AH66+AH69)</f>
        <v>88725200</v>
      </c>
      <c r="AI70" s="25"/>
      <c r="AJ70" s="25"/>
      <c r="AK70" s="25"/>
      <c r="AL70" s="25"/>
      <c r="AM70" s="81">
        <f>AM66+AM69</f>
        <v>57638930</v>
      </c>
      <c r="AN70" s="48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P64"/>
  <sheetViews>
    <sheetView showGridLines="0" tabSelected="1" topLeftCell="C1" zoomScale="110" zoomScaleNormal="110" zoomScaleSheetLayoutView="80" workbookViewId="0">
      <pane ySplit="5" topLeftCell="A6" activePane="bottomLeft" state="frozen"/>
      <selection activeCell="B1" sqref="B1"/>
      <selection pane="bottomLeft" activeCell="F11" sqref="F11"/>
    </sheetView>
  </sheetViews>
  <sheetFormatPr defaultColWidth="15.28515625" defaultRowHeight="12" x14ac:dyDescent="0.2"/>
  <cols>
    <col min="1" max="1" width="32.7109375" style="50" hidden="1" customWidth="1"/>
    <col min="2" max="2" width="14.5703125" style="50" hidden="1" customWidth="1"/>
    <col min="3" max="3" width="40.42578125" style="50" customWidth="1"/>
    <col min="4" max="4" width="17.28515625" style="64" customWidth="1"/>
    <col min="5" max="5" width="7.7109375" style="48" bestFit="1" customWidth="1"/>
    <col min="6" max="6" width="53.5703125" style="48" bestFit="1" customWidth="1"/>
    <col min="7" max="7" width="20.7109375" style="48" bestFit="1" customWidth="1"/>
    <col min="8" max="8" width="9.28515625" style="48" bestFit="1" customWidth="1"/>
    <col min="9" max="9" width="11.42578125" style="48" bestFit="1" customWidth="1"/>
    <col min="10" max="11" width="16.7109375" style="8" hidden="1" customWidth="1"/>
    <col min="12" max="12" width="19.7109375" style="8" hidden="1" customWidth="1"/>
    <col min="13" max="13" width="19" style="8" hidden="1" customWidth="1"/>
    <col min="14" max="14" width="16.5703125" style="8" hidden="1" customWidth="1"/>
    <col min="15" max="15" width="13.85546875" style="8" hidden="1" customWidth="1"/>
    <col min="16" max="16" width="16.28515625" style="8" hidden="1" customWidth="1"/>
    <col min="17" max="18" width="19.140625" style="8" hidden="1" customWidth="1"/>
    <col min="19" max="20" width="17.7109375" style="8" hidden="1" customWidth="1"/>
    <col min="21" max="25" width="18.5703125" style="79" hidden="1" customWidth="1"/>
    <col min="26" max="30" width="19" style="80" hidden="1" customWidth="1"/>
    <col min="31" max="31" width="16.85546875" style="80" hidden="1" customWidth="1"/>
    <col min="32" max="34" width="16.85546875" style="104" hidden="1" customWidth="1"/>
    <col min="35" max="35" width="16.85546875" style="80" hidden="1" customWidth="1"/>
    <col min="36" max="36" width="5.85546875" style="80" hidden="1" customWidth="1"/>
    <col min="37" max="37" width="14" style="80" hidden="1" customWidth="1"/>
    <col min="38" max="38" width="6" style="80" hidden="1" customWidth="1"/>
    <col min="39" max="39" width="16.85546875" style="80" hidden="1" customWidth="1"/>
    <col min="40" max="44" width="16.85546875" style="63" hidden="1" customWidth="1"/>
    <col min="45" max="45" width="36.7109375" style="48" hidden="1" customWidth="1"/>
    <col min="46" max="46" width="41.85546875" style="44" hidden="1" customWidth="1"/>
    <col min="47" max="47" width="15.28515625" style="44" hidden="1" customWidth="1"/>
    <col min="48" max="48" width="3" style="44" hidden="1" customWidth="1"/>
    <col min="49" max="49" width="2.7109375" style="44" hidden="1" customWidth="1"/>
    <col min="50" max="50" width="15" style="44" hidden="1" customWidth="1"/>
    <col min="51" max="51" width="15.5703125" style="44" hidden="1" customWidth="1"/>
    <col min="52" max="52" width="15.5703125" style="44" customWidth="1"/>
    <col min="53" max="54" width="10.140625" style="44" bestFit="1" customWidth="1"/>
    <col min="55" max="56" width="6" style="44" hidden="1" customWidth="1"/>
    <col min="57" max="57" width="14" style="44" hidden="1" customWidth="1"/>
    <col min="58" max="58" width="5.85546875" style="396" customWidth="1"/>
    <col min="59" max="59" width="14" style="44" hidden="1" customWidth="1"/>
    <col min="60" max="60" width="14" style="44" customWidth="1"/>
    <col min="61" max="62" width="10.140625" style="44" bestFit="1" customWidth="1"/>
    <col min="63" max="63" width="5.7109375" style="357" customWidth="1"/>
    <col min="64" max="64" width="6" style="44" hidden="1" customWidth="1"/>
    <col min="65" max="65" width="6" style="44" customWidth="1"/>
    <col min="66" max="66" width="15" style="44" bestFit="1" customWidth="1"/>
    <col min="67" max="16384" width="15.28515625" style="44"/>
  </cols>
  <sheetData>
    <row r="1" spans="1:68" x14ac:dyDescent="0.2">
      <c r="F1" s="48" t="s">
        <v>297</v>
      </c>
      <c r="G1" s="48" t="s">
        <v>307</v>
      </c>
    </row>
    <row r="2" spans="1:68" ht="12.75" thickBot="1" x14ac:dyDescent="0.25"/>
    <row r="3" spans="1:68" s="38" customFormat="1" ht="12" customHeight="1" x14ac:dyDescent="0.2">
      <c r="A3" s="35" t="s">
        <v>0</v>
      </c>
      <c r="B3" s="35"/>
      <c r="C3" s="35"/>
      <c r="D3" s="101" t="s">
        <v>204</v>
      </c>
      <c r="E3" s="101" t="s">
        <v>1</v>
      </c>
      <c r="F3" s="101" t="s">
        <v>2</v>
      </c>
      <c r="G3" s="101" t="s">
        <v>3</v>
      </c>
      <c r="H3" s="101" t="s">
        <v>134</v>
      </c>
      <c r="I3" s="101" t="s">
        <v>4</v>
      </c>
      <c r="J3" s="26" t="s">
        <v>5</v>
      </c>
      <c r="K3" s="26" t="s">
        <v>6</v>
      </c>
      <c r="L3" s="27" t="s">
        <v>7</v>
      </c>
      <c r="M3" s="27" t="s">
        <v>7</v>
      </c>
      <c r="N3" s="27" t="s">
        <v>8</v>
      </c>
      <c r="O3" s="27" t="s">
        <v>9</v>
      </c>
      <c r="P3" s="27" t="s">
        <v>10</v>
      </c>
      <c r="Q3" s="27" t="s">
        <v>7</v>
      </c>
      <c r="R3" s="27" t="s">
        <v>7</v>
      </c>
      <c r="S3" s="27" t="s">
        <v>11</v>
      </c>
      <c r="T3" s="27" t="s">
        <v>11</v>
      </c>
      <c r="U3" s="28" t="s">
        <v>12</v>
      </c>
      <c r="V3" s="28" t="s">
        <v>13</v>
      </c>
      <c r="W3" s="27" t="s">
        <v>11</v>
      </c>
      <c r="X3" s="27" t="s">
        <v>7</v>
      </c>
      <c r="Y3" s="27" t="s">
        <v>11</v>
      </c>
      <c r="Z3" s="36" t="s">
        <v>14</v>
      </c>
      <c r="AA3" s="27" t="s">
        <v>7</v>
      </c>
      <c r="AB3" s="27" t="s">
        <v>11</v>
      </c>
      <c r="AC3" s="100" t="s">
        <v>7</v>
      </c>
      <c r="AD3" s="100" t="s">
        <v>11</v>
      </c>
      <c r="AE3" s="97" t="s">
        <v>207</v>
      </c>
      <c r="AF3" s="105" t="s">
        <v>7</v>
      </c>
      <c r="AG3" s="105" t="s">
        <v>11</v>
      </c>
      <c r="AH3" s="106" t="s">
        <v>249</v>
      </c>
      <c r="AI3" s="100" t="s">
        <v>7</v>
      </c>
      <c r="AJ3" s="100" t="s">
        <v>276</v>
      </c>
      <c r="AK3" s="100" t="s">
        <v>11</v>
      </c>
      <c r="AL3" s="100" t="s">
        <v>276</v>
      </c>
      <c r="AM3" s="97" t="s">
        <v>207</v>
      </c>
      <c r="AN3" s="37" t="s">
        <v>225</v>
      </c>
      <c r="AO3" s="37"/>
      <c r="AP3" s="37" t="s">
        <v>225</v>
      </c>
      <c r="AQ3" s="37"/>
      <c r="AR3" s="37"/>
      <c r="AS3" s="26" t="s">
        <v>183</v>
      </c>
      <c r="AX3" s="364" t="s">
        <v>7</v>
      </c>
      <c r="AY3" s="325" t="s">
        <v>7</v>
      </c>
      <c r="AZ3" s="325" t="s">
        <v>7</v>
      </c>
      <c r="BA3" s="326" t="s">
        <v>277</v>
      </c>
      <c r="BB3" s="326" t="s">
        <v>183</v>
      </c>
      <c r="BC3" s="327" t="s">
        <v>276</v>
      </c>
      <c r="BD3" s="372" t="s">
        <v>276</v>
      </c>
      <c r="BE3" s="364" t="s">
        <v>11</v>
      </c>
      <c r="BF3" s="397" t="s">
        <v>276</v>
      </c>
      <c r="BG3" s="325" t="s">
        <v>11</v>
      </c>
      <c r="BH3" s="325" t="s">
        <v>11</v>
      </c>
      <c r="BI3" s="326" t="s">
        <v>277</v>
      </c>
      <c r="BJ3" s="326" t="s">
        <v>183</v>
      </c>
      <c r="BK3" s="358" t="s">
        <v>276</v>
      </c>
      <c r="BL3" s="372" t="s">
        <v>276</v>
      </c>
      <c r="BM3" s="372" t="s">
        <v>276</v>
      </c>
      <c r="BN3" s="345" t="s">
        <v>207</v>
      </c>
    </row>
    <row r="4" spans="1:68" s="38" customFormat="1" ht="24" x14ac:dyDescent="0.2">
      <c r="A4" s="35"/>
      <c r="B4" s="35"/>
      <c r="C4" s="35"/>
      <c r="D4" s="102" t="s">
        <v>205</v>
      </c>
      <c r="E4" s="102"/>
      <c r="F4" s="102"/>
      <c r="G4" s="102"/>
      <c r="H4" s="102"/>
      <c r="I4" s="102"/>
      <c r="J4" s="26"/>
      <c r="K4" s="26"/>
      <c r="L4" s="27" t="s">
        <v>15</v>
      </c>
      <c r="M4" s="27" t="s">
        <v>16</v>
      </c>
      <c r="N4" s="27"/>
      <c r="O4" s="27"/>
      <c r="P4" s="27"/>
      <c r="Q4" s="27" t="s">
        <v>17</v>
      </c>
      <c r="R4" s="27" t="s">
        <v>103</v>
      </c>
      <c r="S4" s="27" t="s">
        <v>15</v>
      </c>
      <c r="T4" s="27" t="s">
        <v>16</v>
      </c>
      <c r="U4" s="28"/>
      <c r="V4" s="28"/>
      <c r="W4" s="27" t="s">
        <v>17</v>
      </c>
      <c r="X4" s="27" t="s">
        <v>128</v>
      </c>
      <c r="Y4" s="27" t="s">
        <v>128</v>
      </c>
      <c r="Z4" s="27" t="s">
        <v>15</v>
      </c>
      <c r="AA4" s="27" t="s">
        <v>173</v>
      </c>
      <c r="AB4" s="27" t="s">
        <v>173</v>
      </c>
      <c r="AC4" s="98" t="s">
        <v>208</v>
      </c>
      <c r="AD4" s="98" t="s">
        <v>208</v>
      </c>
      <c r="AE4" s="98" t="s">
        <v>206</v>
      </c>
      <c r="AF4" s="107" t="s">
        <v>250</v>
      </c>
      <c r="AG4" s="107" t="s">
        <v>250</v>
      </c>
      <c r="AH4" s="108" t="s">
        <v>251</v>
      </c>
      <c r="AI4" s="98" t="s">
        <v>246</v>
      </c>
      <c r="AJ4" s="98"/>
      <c r="AK4" s="98" t="s">
        <v>246</v>
      </c>
      <c r="AL4" s="98"/>
      <c r="AM4" s="98" t="s">
        <v>206</v>
      </c>
      <c r="AN4" s="27"/>
      <c r="AO4" s="27"/>
      <c r="AP4" s="27"/>
      <c r="AQ4" s="27"/>
      <c r="AR4" s="27"/>
      <c r="AS4" s="26"/>
      <c r="AX4" s="365" t="s">
        <v>246</v>
      </c>
      <c r="AY4" s="328" t="s">
        <v>288</v>
      </c>
      <c r="AZ4" s="328" t="s">
        <v>298</v>
      </c>
      <c r="BA4" s="98"/>
      <c r="BB4" s="98" t="s">
        <v>278</v>
      </c>
      <c r="BC4" s="329"/>
      <c r="BD4" s="373"/>
      <c r="BE4" s="365" t="s">
        <v>246</v>
      </c>
      <c r="BF4" s="398"/>
      <c r="BG4" s="328" t="s">
        <v>288</v>
      </c>
      <c r="BH4" s="328" t="s">
        <v>298</v>
      </c>
      <c r="BI4" s="98"/>
      <c r="BJ4" s="98" t="s">
        <v>278</v>
      </c>
      <c r="BK4" s="378"/>
      <c r="BL4" s="373"/>
      <c r="BM4" s="373"/>
      <c r="BN4" s="346" t="s">
        <v>206</v>
      </c>
    </row>
    <row r="5" spans="1:68" s="43" customFormat="1" x14ac:dyDescent="0.2">
      <c r="A5" s="39"/>
      <c r="B5" s="39"/>
      <c r="C5" s="39"/>
      <c r="D5" s="307"/>
      <c r="E5" s="102"/>
      <c r="F5" s="102"/>
      <c r="G5" s="102"/>
      <c r="H5" s="102"/>
      <c r="I5" s="102"/>
      <c r="J5" s="41"/>
      <c r="K5" s="41"/>
      <c r="L5" s="42" t="s">
        <v>18</v>
      </c>
      <c r="M5" s="42" t="s">
        <v>19</v>
      </c>
      <c r="N5" s="42"/>
      <c r="O5" s="42"/>
      <c r="P5" s="42"/>
      <c r="Q5" s="42" t="s">
        <v>20</v>
      </c>
      <c r="R5" s="42" t="s">
        <v>105</v>
      </c>
      <c r="S5" s="42" t="s">
        <v>18</v>
      </c>
      <c r="T5" s="42" t="s">
        <v>21</v>
      </c>
      <c r="U5" s="42"/>
      <c r="V5" s="42"/>
      <c r="W5" s="42" t="s">
        <v>21</v>
      </c>
      <c r="X5" s="42" t="s">
        <v>133</v>
      </c>
      <c r="Y5" s="42" t="s">
        <v>104</v>
      </c>
      <c r="Z5" s="42" t="s">
        <v>18</v>
      </c>
      <c r="AA5" s="42" t="s">
        <v>174</v>
      </c>
      <c r="AB5" s="42" t="s">
        <v>175</v>
      </c>
      <c r="AC5" s="312" t="s">
        <v>210</v>
      </c>
      <c r="AD5" s="312" t="s">
        <v>209</v>
      </c>
      <c r="AE5" s="312" t="s">
        <v>208</v>
      </c>
      <c r="AF5" s="313"/>
      <c r="AG5" s="313"/>
      <c r="AH5" s="108" t="s">
        <v>208</v>
      </c>
      <c r="AI5" s="312"/>
      <c r="AJ5" s="312"/>
      <c r="AK5" s="312"/>
      <c r="AL5" s="312"/>
      <c r="AM5" s="312"/>
      <c r="AN5" s="42"/>
      <c r="AO5" s="42" t="s">
        <v>227</v>
      </c>
      <c r="AP5" s="42"/>
      <c r="AQ5" s="42" t="s">
        <v>228</v>
      </c>
      <c r="AR5" s="42" t="s">
        <v>237</v>
      </c>
      <c r="AS5" s="26"/>
      <c r="AX5" s="366"/>
      <c r="AY5" s="330"/>
      <c r="AZ5" s="390"/>
      <c r="BA5" s="312"/>
      <c r="BB5" s="312"/>
      <c r="BC5" s="331"/>
      <c r="BD5" s="374"/>
      <c r="BE5" s="366"/>
      <c r="BF5" s="399"/>
      <c r="BG5" s="330"/>
      <c r="BH5" s="330"/>
      <c r="BI5" s="312"/>
      <c r="BJ5" s="312"/>
      <c r="BK5" s="379"/>
      <c r="BL5" s="374"/>
      <c r="BM5" s="374"/>
      <c r="BN5" s="347"/>
    </row>
    <row r="6" spans="1:68" s="43" customFormat="1" x14ac:dyDescent="0.2">
      <c r="A6" s="39"/>
      <c r="B6" s="39"/>
      <c r="C6" s="39"/>
      <c r="D6" s="43" t="s">
        <v>22</v>
      </c>
      <c r="E6" s="84"/>
      <c r="F6" s="86"/>
      <c r="G6" s="85"/>
      <c r="H6" s="85"/>
      <c r="I6" s="85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7"/>
      <c r="V6" s="87"/>
      <c r="W6" s="87"/>
      <c r="X6" s="87"/>
      <c r="Y6" s="87"/>
      <c r="Z6" s="88"/>
      <c r="AA6" s="88"/>
      <c r="AB6" s="88"/>
      <c r="AC6" s="88"/>
      <c r="AD6" s="88"/>
      <c r="AE6" s="88"/>
      <c r="AF6" s="109"/>
      <c r="AG6" s="109"/>
      <c r="AH6" s="109"/>
      <c r="AI6" s="88"/>
      <c r="AJ6" s="88"/>
      <c r="AK6" s="88"/>
      <c r="AL6" s="88"/>
      <c r="AM6" s="88"/>
      <c r="AN6" s="324"/>
      <c r="AO6" s="324"/>
      <c r="AP6" s="324"/>
      <c r="AQ6" s="324"/>
      <c r="AR6" s="324"/>
      <c r="AS6" s="85"/>
      <c r="AT6" s="86"/>
      <c r="AU6" s="86"/>
      <c r="AV6" s="86"/>
      <c r="AW6" s="86"/>
      <c r="AX6" s="332"/>
      <c r="AY6" s="332"/>
      <c r="AZ6" s="88"/>
      <c r="BA6" s="88"/>
      <c r="BB6" s="88"/>
      <c r="BC6" s="333"/>
      <c r="BD6" s="333"/>
      <c r="BE6" s="332"/>
      <c r="BF6" s="400"/>
      <c r="BG6" s="332"/>
      <c r="BH6" s="88"/>
      <c r="BI6" s="88"/>
      <c r="BJ6" s="88"/>
      <c r="BK6" s="380"/>
      <c r="BL6" s="333"/>
      <c r="BM6" s="333"/>
      <c r="BN6" s="348"/>
    </row>
    <row r="7" spans="1:68" x14ac:dyDescent="0.2">
      <c r="A7" s="44"/>
      <c r="B7" s="44"/>
      <c r="C7" s="44"/>
      <c r="D7" s="45" t="s">
        <v>118</v>
      </c>
      <c r="E7" s="314">
        <v>30601</v>
      </c>
      <c r="F7" s="314" t="s">
        <v>44</v>
      </c>
      <c r="G7" s="315" t="s">
        <v>45</v>
      </c>
      <c r="H7" s="315" t="s">
        <v>137</v>
      </c>
      <c r="I7" s="315" t="s">
        <v>24</v>
      </c>
      <c r="J7" s="209">
        <v>68444.444444444453</v>
      </c>
      <c r="K7" s="209">
        <v>68444.444444444453</v>
      </c>
      <c r="L7" s="209">
        <f>ROUND(J7,0)</f>
        <v>68444</v>
      </c>
      <c r="M7" s="209">
        <f>ROUND(L7/113.8*117.8,0)</f>
        <v>70850</v>
      </c>
      <c r="N7" s="209">
        <v>0</v>
      </c>
      <c r="O7" s="209">
        <v>0</v>
      </c>
      <c r="P7" s="209">
        <v>0</v>
      </c>
      <c r="Q7" s="209">
        <f>ROUND(M7/117.8*118.7,0)</f>
        <v>71391</v>
      </c>
      <c r="R7" s="209">
        <f>ROUND(Q7*11.36%+Q7,0)</f>
        <v>79501</v>
      </c>
      <c r="S7" s="209">
        <f>ROUND(N7,0)</f>
        <v>0</v>
      </c>
      <c r="T7" s="209">
        <f t="shared" ref="T7:T13" si="0">ROUND(P7/110.8*113.8,0)</f>
        <v>0</v>
      </c>
      <c r="U7" s="210">
        <f t="shared" ref="U7:U13" si="1">J7+N7</f>
        <v>68444.444444444453</v>
      </c>
      <c r="V7" s="210">
        <f t="shared" ref="V7:V13" si="2">K7+P7</f>
        <v>68444.444444444453</v>
      </c>
      <c r="W7" s="209"/>
      <c r="X7" s="209">
        <f>ROUND(R7/120.2*120.7,0)</f>
        <v>79832</v>
      </c>
      <c r="Y7" s="316"/>
      <c r="Z7" s="211">
        <f>L7+S7</f>
        <v>68444</v>
      </c>
      <c r="AA7" s="209">
        <f t="shared" ref="AA7:AA12" si="3">ROUND(X7/120.7*122.4,0)</f>
        <v>80956</v>
      </c>
      <c r="AB7" s="209">
        <f>ROUND(Y7/115.7*116.1,0)</f>
        <v>0</v>
      </c>
      <c r="AC7" s="317">
        <f>ROUND(AA7/122.4*125,0)</f>
        <v>82676</v>
      </c>
      <c r="AD7" s="317">
        <f>ROUND(AB7/116.1*118.2,0)</f>
        <v>0</v>
      </c>
      <c r="AE7" s="318">
        <f>AC7+AD7</f>
        <v>82676</v>
      </c>
      <c r="AF7" s="319">
        <v>83000</v>
      </c>
      <c r="AG7" s="319">
        <v>0</v>
      </c>
      <c r="AH7" s="319">
        <f>AF7+AG7</f>
        <v>83000</v>
      </c>
      <c r="AI7" s="211">
        <v>83000</v>
      </c>
      <c r="AJ7" s="320">
        <v>131.5</v>
      </c>
      <c r="AK7" s="211">
        <v>0</v>
      </c>
      <c r="AL7" s="321"/>
      <c r="AM7" s="211">
        <f>AI7+AK7</f>
        <v>83000</v>
      </c>
      <c r="AN7" s="46" t="s">
        <v>226</v>
      </c>
      <c r="AO7" s="46">
        <v>83000</v>
      </c>
      <c r="AP7" s="46"/>
      <c r="AQ7" s="47">
        <v>0</v>
      </c>
      <c r="AR7" s="46">
        <f>AO7+AQ7</f>
        <v>83000</v>
      </c>
      <c r="AU7" s="49" t="s">
        <v>245</v>
      </c>
      <c r="AV7" s="54"/>
      <c r="AX7" s="367">
        <f>BD7/AJ7*AI7</f>
        <v>89248.669201520912</v>
      </c>
      <c r="AY7" s="334">
        <f>AX7/100*105</f>
        <v>93711.10266159696</v>
      </c>
      <c r="AZ7" s="391">
        <f>BF7/BC7*AY7</f>
        <v>96388.562737642584</v>
      </c>
      <c r="BA7" s="322">
        <v>43440</v>
      </c>
      <c r="BB7" s="322">
        <v>45632</v>
      </c>
      <c r="BC7" s="335">
        <v>105</v>
      </c>
      <c r="BD7" s="375">
        <v>141.4</v>
      </c>
      <c r="BE7" s="367">
        <v>0</v>
      </c>
      <c r="BF7" s="412">
        <v>108</v>
      </c>
      <c r="BG7" s="391"/>
      <c r="BH7" s="391"/>
      <c r="BI7" s="323"/>
      <c r="BJ7" s="323"/>
      <c r="BK7" s="381"/>
      <c r="BL7" s="375"/>
      <c r="BM7" s="375"/>
      <c r="BN7" s="349">
        <f>AZ7+BH7</f>
        <v>96388.562737642584</v>
      </c>
    </row>
    <row r="8" spans="1:68" x14ac:dyDescent="0.2">
      <c r="A8" s="44"/>
      <c r="B8" s="44"/>
      <c r="C8" s="44" t="s">
        <v>302</v>
      </c>
      <c r="D8" s="45" t="s">
        <v>31</v>
      </c>
      <c r="E8" s="5">
        <v>30201</v>
      </c>
      <c r="F8" s="5" t="s">
        <v>218</v>
      </c>
      <c r="G8" s="13" t="s">
        <v>219</v>
      </c>
      <c r="H8" s="5" t="s">
        <v>220</v>
      </c>
      <c r="I8" s="5" t="s">
        <v>24</v>
      </c>
      <c r="J8" s="2">
        <v>203432.09876543214</v>
      </c>
      <c r="K8" s="2">
        <v>203432.09876543214</v>
      </c>
      <c r="L8" s="2">
        <f t="shared" ref="L8" si="4">ROUND(J8,0)</f>
        <v>203432</v>
      </c>
      <c r="M8" s="2">
        <f t="shared" ref="M8" si="5">ROUND(L8/113.8*117.8,0)</f>
        <v>210583</v>
      </c>
      <c r="N8" s="2">
        <v>0</v>
      </c>
      <c r="O8" s="2">
        <v>0</v>
      </c>
      <c r="P8" s="2">
        <v>0</v>
      </c>
      <c r="Q8" s="2">
        <f>ROUND(M8/117.8*118.7,0)</f>
        <v>212192</v>
      </c>
      <c r="R8" s="2">
        <f>ROUND(Q8*11.36%+Q8,0)</f>
        <v>236297</v>
      </c>
      <c r="S8" s="2">
        <f t="shared" ref="S8" si="6">ROUND(N8,0)</f>
        <v>0</v>
      </c>
      <c r="T8" s="2">
        <f t="shared" si="0"/>
        <v>0</v>
      </c>
      <c r="U8" s="3">
        <f t="shared" si="1"/>
        <v>203432.09876543214</v>
      </c>
      <c r="V8" s="3">
        <f t="shared" si="2"/>
        <v>203432.09876543214</v>
      </c>
      <c r="W8" s="2"/>
      <c r="X8" s="2">
        <f t="shared" ref="X8" si="7">ROUND(R8/120.2*120.7,0)</f>
        <v>237280</v>
      </c>
      <c r="Y8" s="2"/>
      <c r="Z8" s="4">
        <f t="shared" ref="Z8:Z9" si="8">L8+S8</f>
        <v>203432</v>
      </c>
      <c r="AA8" s="2">
        <f t="shared" si="3"/>
        <v>240622</v>
      </c>
      <c r="AB8" s="2">
        <f t="shared" ref="AB8" si="9">ROUND(Y8/115.7*116.1,0)</f>
        <v>0</v>
      </c>
      <c r="AC8" s="121">
        <v>740000</v>
      </c>
      <c r="AD8" s="121">
        <f t="shared" ref="AD8:AD45" si="10">ROUND(AB8/116.1*118.2,0)</f>
        <v>0</v>
      </c>
      <c r="AE8" s="120">
        <f t="shared" ref="AE8:AE45" si="11">AC8+AD8</f>
        <v>740000</v>
      </c>
      <c r="AF8" s="110">
        <v>740000</v>
      </c>
      <c r="AG8" s="110">
        <v>0</v>
      </c>
      <c r="AH8" s="110">
        <f t="shared" ref="AH8:AH57" si="12">AF8+AG8</f>
        <v>740000</v>
      </c>
      <c r="AI8" s="4">
        <v>740000</v>
      </c>
      <c r="AJ8" s="301">
        <v>125</v>
      </c>
      <c r="AK8" s="4">
        <v>0</v>
      </c>
      <c r="AL8" s="301"/>
      <c r="AM8" s="4">
        <f t="shared" ref="AM8:AM45" si="13">AI8+AK8</f>
        <v>740000</v>
      </c>
      <c r="AN8" s="47"/>
      <c r="AO8" s="47"/>
      <c r="AP8" s="47"/>
      <c r="AQ8" s="47"/>
      <c r="AR8" s="47"/>
      <c r="AX8" s="368">
        <v>2237088</v>
      </c>
      <c r="AY8" s="336">
        <f>AX8/100*105</f>
        <v>2348942.4</v>
      </c>
      <c r="AZ8" s="391">
        <v>2777100</v>
      </c>
      <c r="BA8" s="309">
        <v>44007</v>
      </c>
      <c r="BB8" s="309">
        <v>46198</v>
      </c>
      <c r="BC8" s="337">
        <v>105</v>
      </c>
      <c r="BD8" s="376">
        <v>141.4</v>
      </c>
      <c r="BE8" s="368">
        <v>336376.04</v>
      </c>
      <c r="BF8" s="412">
        <v>108</v>
      </c>
      <c r="BG8" s="392">
        <f>BE8/100*101.6</f>
        <v>341758.05663999997</v>
      </c>
      <c r="BH8" s="392">
        <v>332500</v>
      </c>
      <c r="BI8" s="431">
        <v>44356</v>
      </c>
      <c r="BJ8" s="431">
        <v>45452</v>
      </c>
      <c r="BK8" s="382">
        <v>101.6</v>
      </c>
      <c r="BL8" s="376"/>
      <c r="BM8" s="376">
        <v>103.5</v>
      </c>
      <c r="BN8" s="349">
        <f t="shared" ref="BN8:BN45" si="14">AZ8+BH8</f>
        <v>3109600</v>
      </c>
    </row>
    <row r="9" spans="1:68" ht="27.2" customHeight="1" x14ac:dyDescent="0.2">
      <c r="B9" s="51" t="s">
        <v>169</v>
      </c>
      <c r="C9" s="432" t="s">
        <v>303</v>
      </c>
      <c r="D9" s="45" t="s">
        <v>172</v>
      </c>
      <c r="E9" s="5">
        <v>30501</v>
      </c>
      <c r="F9" s="5" t="s">
        <v>106</v>
      </c>
      <c r="G9" s="6" t="s">
        <v>102</v>
      </c>
      <c r="H9" s="6" t="s">
        <v>135</v>
      </c>
      <c r="I9" s="6" t="s">
        <v>24</v>
      </c>
      <c r="J9" s="2">
        <v>6193271.6049382715</v>
      </c>
      <c r="K9" s="2">
        <v>6193271.6049382715</v>
      </c>
      <c r="L9" s="2">
        <f>ROUND(J9,0)</f>
        <v>6193272</v>
      </c>
      <c r="M9" s="2">
        <f>ROUND(L9/113.8*117.8,0)</f>
        <v>6410962</v>
      </c>
      <c r="N9" s="2">
        <v>2990641.9753086418</v>
      </c>
      <c r="O9" s="2">
        <v>0</v>
      </c>
      <c r="P9" s="2">
        <v>2990641.9753086418</v>
      </c>
      <c r="Q9" s="11">
        <v>15130000</v>
      </c>
      <c r="R9" s="2">
        <f>ROUND(Q9/119.5*120.2,0)</f>
        <v>15218628</v>
      </c>
      <c r="S9" s="2">
        <f>ROUND(N9,0)</f>
        <v>2990642</v>
      </c>
      <c r="T9" s="2">
        <f t="shared" si="0"/>
        <v>3071616</v>
      </c>
      <c r="U9" s="3">
        <f t="shared" si="1"/>
        <v>9183913.5802469142</v>
      </c>
      <c r="V9" s="3">
        <f t="shared" si="2"/>
        <v>9183913.5802469142</v>
      </c>
      <c r="W9" s="11">
        <v>1470050</v>
      </c>
      <c r="X9" s="2">
        <v>13845433</v>
      </c>
      <c r="Y9" s="2">
        <f>ROUND(W9/115.2*115.7,0)</f>
        <v>1476430</v>
      </c>
      <c r="Z9" s="4">
        <f t="shared" si="8"/>
        <v>9183914</v>
      </c>
      <c r="AA9" s="2">
        <f t="shared" si="3"/>
        <v>14040439</v>
      </c>
      <c r="AB9" s="2">
        <f>ROUND(Y9/115.7*116.1,0)</f>
        <v>1481534</v>
      </c>
      <c r="AC9" s="121">
        <f t="shared" ref="AC9:AC45" si="15">ROUND(AA9/122.4*125,0)</f>
        <v>14338684</v>
      </c>
      <c r="AD9" s="121">
        <f t="shared" si="10"/>
        <v>1508332</v>
      </c>
      <c r="AE9" s="120">
        <f t="shared" si="11"/>
        <v>15847016</v>
      </c>
      <c r="AF9" s="119">
        <v>13452407</v>
      </c>
      <c r="AG9" s="118">
        <v>1830000</v>
      </c>
      <c r="AH9" s="110">
        <f t="shared" si="12"/>
        <v>15282407</v>
      </c>
      <c r="AI9" s="4">
        <v>13452407</v>
      </c>
      <c r="AJ9" s="301">
        <v>125</v>
      </c>
      <c r="AK9" s="4">
        <v>1830000</v>
      </c>
      <c r="AL9" s="306">
        <v>119.9</v>
      </c>
      <c r="AM9" s="4">
        <f t="shared" si="13"/>
        <v>15282407</v>
      </c>
      <c r="AN9" s="296" t="s">
        <v>230</v>
      </c>
      <c r="AO9" s="297">
        <v>13452407</v>
      </c>
      <c r="AP9" s="296" t="s">
        <v>231</v>
      </c>
      <c r="AQ9" s="297">
        <v>1830000</v>
      </c>
      <c r="AR9" s="297">
        <f t="shared" ref="AR9:AR45" si="16">AO9+AQ9</f>
        <v>15282407</v>
      </c>
      <c r="AS9" s="30" t="s">
        <v>211</v>
      </c>
      <c r="AT9" s="54"/>
      <c r="AU9" s="54"/>
      <c r="AV9" s="54"/>
      <c r="AX9" s="368">
        <v>17902778.43</v>
      </c>
      <c r="AY9" s="334">
        <f t="shared" ref="AY9:AY57" si="17">AX9/100*105</f>
        <v>18797917.351500001</v>
      </c>
      <c r="AZ9" s="391">
        <f t="shared" ref="AZ9:AZ45" si="18">BF9/BC9*AY9</f>
        <v>19335000.704399999</v>
      </c>
      <c r="BA9" s="309">
        <v>42038</v>
      </c>
      <c r="BB9" s="309">
        <v>44230</v>
      </c>
      <c r="BC9" s="335">
        <v>105</v>
      </c>
      <c r="BD9" s="376">
        <v>141.4</v>
      </c>
      <c r="BE9" s="368">
        <f>BL9/AL9*AK9</f>
        <v>1886472.0600500416</v>
      </c>
      <c r="BF9" s="412">
        <v>108</v>
      </c>
      <c r="BG9" s="392">
        <f>BE9/100*101.6</f>
        <v>1916655.6130108421</v>
      </c>
      <c r="BH9" s="392">
        <v>3000000</v>
      </c>
      <c r="BI9" s="309">
        <v>43439</v>
      </c>
      <c r="BJ9" s="309">
        <v>44535</v>
      </c>
      <c r="BK9" s="382">
        <v>101.6</v>
      </c>
      <c r="BL9" s="376">
        <v>123.6</v>
      </c>
      <c r="BM9" s="375">
        <v>103.5</v>
      </c>
      <c r="BN9" s="349">
        <f t="shared" si="14"/>
        <v>22335000.704399999</v>
      </c>
    </row>
    <row r="10" spans="1:68" x14ac:dyDescent="0.2">
      <c r="A10" s="44" t="s">
        <v>28</v>
      </c>
      <c r="B10" s="53" t="s">
        <v>170</v>
      </c>
      <c r="C10" s="430" t="s">
        <v>304</v>
      </c>
      <c r="D10" s="45" t="s">
        <v>116</v>
      </c>
      <c r="E10" s="5">
        <v>10222</v>
      </c>
      <c r="F10" s="5" t="s">
        <v>29</v>
      </c>
      <c r="G10" s="6" t="s">
        <v>30</v>
      </c>
      <c r="H10" s="6" t="s">
        <v>135</v>
      </c>
      <c r="I10" s="6" t="s">
        <v>24</v>
      </c>
      <c r="J10" s="2">
        <v>1045679.0123456791</v>
      </c>
      <c r="K10" s="2">
        <v>1045679.0123456791</v>
      </c>
      <c r="L10" s="2">
        <f>ROUND(J10,0)</f>
        <v>1045679</v>
      </c>
      <c r="M10" s="2">
        <f>ROUND(L10/113.8*117.8,0)</f>
        <v>1082434</v>
      </c>
      <c r="N10" s="2">
        <v>0</v>
      </c>
      <c r="O10" s="2">
        <v>0</v>
      </c>
      <c r="P10" s="2">
        <v>0</v>
      </c>
      <c r="Q10" s="2">
        <v>0</v>
      </c>
      <c r="R10" s="2">
        <f>ROUND(Q10/118.7*120.2,0)</f>
        <v>0</v>
      </c>
      <c r="S10" s="2">
        <f>ROUND(N10,0)</f>
        <v>0</v>
      </c>
      <c r="T10" s="2">
        <f t="shared" si="0"/>
        <v>0</v>
      </c>
      <c r="U10" s="3">
        <f t="shared" si="1"/>
        <v>1045679.0123456791</v>
      </c>
      <c r="V10" s="3">
        <f t="shared" si="2"/>
        <v>1045679.0123456791</v>
      </c>
      <c r="W10" s="2"/>
      <c r="X10" s="2">
        <v>1436500</v>
      </c>
      <c r="Y10" s="2"/>
      <c r="Z10" s="4">
        <f>L10+S10</f>
        <v>1045679</v>
      </c>
      <c r="AA10" s="2">
        <f t="shared" si="3"/>
        <v>1456732</v>
      </c>
      <c r="AB10" s="2">
        <f>ROUND(Y10/115.7*116.1,0)</f>
        <v>0</v>
      </c>
      <c r="AC10" s="121">
        <f t="shared" si="15"/>
        <v>1487676</v>
      </c>
      <c r="AD10" s="121">
        <f t="shared" si="10"/>
        <v>0</v>
      </c>
      <c r="AE10" s="120">
        <f t="shared" si="11"/>
        <v>1487676</v>
      </c>
      <c r="AF10" s="110">
        <v>1487676</v>
      </c>
      <c r="AG10" s="118"/>
      <c r="AH10" s="110">
        <f t="shared" si="12"/>
        <v>1487676</v>
      </c>
      <c r="AI10" s="4">
        <v>1487676</v>
      </c>
      <c r="AJ10" s="301">
        <v>125</v>
      </c>
      <c r="AK10" s="4">
        <v>0</v>
      </c>
      <c r="AL10" s="301"/>
      <c r="AM10" s="4">
        <f t="shared" si="13"/>
        <v>1487676</v>
      </c>
      <c r="AN10" s="47"/>
      <c r="AO10" s="47"/>
      <c r="AP10" s="46"/>
      <c r="AQ10" s="46"/>
      <c r="AR10" s="46"/>
      <c r="AX10" s="368">
        <v>0</v>
      </c>
      <c r="AY10" s="336">
        <f t="shared" si="17"/>
        <v>0</v>
      </c>
      <c r="AZ10" s="391">
        <f t="shared" si="18"/>
        <v>0</v>
      </c>
      <c r="BA10" s="308"/>
      <c r="BB10" s="308"/>
      <c r="BC10" s="337">
        <v>105</v>
      </c>
      <c r="BD10" s="376">
        <v>141.4</v>
      </c>
      <c r="BE10" s="368">
        <v>0</v>
      </c>
      <c r="BF10" s="413">
        <v>108</v>
      </c>
      <c r="BG10" s="392"/>
      <c r="BH10" s="392">
        <f>150000+87440.99</f>
        <v>237440.99</v>
      </c>
      <c r="BI10" s="308"/>
      <c r="BJ10" s="308"/>
      <c r="BK10" s="382"/>
      <c r="BL10" s="376"/>
      <c r="BM10" s="376"/>
      <c r="BN10" s="349">
        <f t="shared" si="14"/>
        <v>237440.99</v>
      </c>
    </row>
    <row r="11" spans="1:68" x14ac:dyDescent="0.2">
      <c r="C11" s="429"/>
      <c r="D11" s="45" t="s">
        <v>115</v>
      </c>
      <c r="E11" s="5">
        <v>15000</v>
      </c>
      <c r="F11" s="5" t="s">
        <v>25</v>
      </c>
      <c r="G11" s="6" t="s">
        <v>26</v>
      </c>
      <c r="H11" s="6" t="s">
        <v>135</v>
      </c>
      <c r="I11" s="6" t="s">
        <v>24</v>
      </c>
      <c r="J11" s="2">
        <v>2199728.3950617285</v>
      </c>
      <c r="K11" s="2">
        <v>2199728.3950617285</v>
      </c>
      <c r="L11" s="2">
        <f>ROUND(J11,0)</f>
        <v>2199728</v>
      </c>
      <c r="M11" s="2">
        <f>ROUND(L11/113.8*117.8,0)</f>
        <v>2277047</v>
      </c>
      <c r="N11" s="2">
        <v>229098.76543209879</v>
      </c>
      <c r="O11" s="2">
        <v>0</v>
      </c>
      <c r="P11" s="2">
        <v>229098.76543209879</v>
      </c>
      <c r="Q11" s="11">
        <v>0</v>
      </c>
      <c r="R11" s="2">
        <f>ROUND(Q11/118.7*120.2,0)</f>
        <v>0</v>
      </c>
      <c r="S11" s="2">
        <f>ROUND(N11,0)</f>
        <v>229099</v>
      </c>
      <c r="T11" s="2">
        <f t="shared" si="0"/>
        <v>235302</v>
      </c>
      <c r="U11" s="3">
        <f t="shared" si="1"/>
        <v>2428827.1604938274</v>
      </c>
      <c r="V11" s="3">
        <f t="shared" si="2"/>
        <v>2428827.1604938274</v>
      </c>
      <c r="W11" s="11">
        <v>225000</v>
      </c>
      <c r="X11" s="2">
        <f>ROUND(R11/120.2*120.7,0)</f>
        <v>0</v>
      </c>
      <c r="Y11" s="2">
        <f>ROUND(W11/115.2*115.7,0)</f>
        <v>225977</v>
      </c>
      <c r="Z11" s="4">
        <f>L11+S11</f>
        <v>2428827</v>
      </c>
      <c r="AA11" s="2">
        <f t="shared" si="3"/>
        <v>0</v>
      </c>
      <c r="AB11" s="2">
        <f>ROUND(Y11/115.7*116.1,0)</f>
        <v>226758</v>
      </c>
      <c r="AC11" s="121">
        <f t="shared" si="15"/>
        <v>0</v>
      </c>
      <c r="AD11" s="121">
        <f t="shared" si="10"/>
        <v>230860</v>
      </c>
      <c r="AE11" s="120">
        <f t="shared" si="11"/>
        <v>230860</v>
      </c>
      <c r="AF11" s="110">
        <v>0</v>
      </c>
      <c r="AG11" s="118"/>
      <c r="AH11" s="110">
        <f t="shared" si="12"/>
        <v>0</v>
      </c>
      <c r="AI11" s="4">
        <v>0</v>
      </c>
      <c r="AJ11" s="301"/>
      <c r="AK11" s="4">
        <v>0</v>
      </c>
      <c r="AL11" s="301"/>
      <c r="AM11" s="4">
        <f t="shared" si="13"/>
        <v>0</v>
      </c>
      <c r="AN11" s="47"/>
      <c r="AO11" s="47"/>
      <c r="AP11" s="46"/>
      <c r="AQ11" s="46"/>
      <c r="AR11" s="46">
        <f t="shared" si="16"/>
        <v>0</v>
      </c>
      <c r="AX11" s="368">
        <v>0</v>
      </c>
      <c r="AY11" s="334">
        <f t="shared" si="17"/>
        <v>0</v>
      </c>
      <c r="AZ11" s="391">
        <f t="shared" si="18"/>
        <v>0</v>
      </c>
      <c r="BA11" s="308"/>
      <c r="BB11" s="308"/>
      <c r="BC11" s="335">
        <v>105</v>
      </c>
      <c r="BD11" s="376"/>
      <c r="BE11" s="368">
        <v>0</v>
      </c>
      <c r="BF11" s="412">
        <v>108</v>
      </c>
      <c r="BG11" s="392"/>
      <c r="BH11" s="392"/>
      <c r="BI11" s="308"/>
      <c r="BJ11" s="308"/>
      <c r="BK11" s="382"/>
      <c r="BL11" s="376"/>
      <c r="BM11" s="375"/>
      <c r="BN11" s="349">
        <f t="shared" si="14"/>
        <v>0</v>
      </c>
      <c r="BO11" s="354"/>
      <c r="BP11" s="355"/>
    </row>
    <row r="12" spans="1:68" ht="12" customHeight="1" x14ac:dyDescent="0.2">
      <c r="C12" s="429"/>
      <c r="D12" s="45" t="s">
        <v>115</v>
      </c>
      <c r="E12" s="5">
        <v>15000</v>
      </c>
      <c r="F12" s="13" t="s">
        <v>27</v>
      </c>
      <c r="G12" s="6" t="s">
        <v>26</v>
      </c>
      <c r="H12" s="6" t="s">
        <v>135</v>
      </c>
      <c r="I12" s="6" t="s">
        <v>24</v>
      </c>
      <c r="J12" s="2">
        <v>2548604.9382716049</v>
      </c>
      <c r="K12" s="2">
        <v>2548604.9382716049</v>
      </c>
      <c r="L12" s="2">
        <f>ROUND(J12,0)</f>
        <v>2548605</v>
      </c>
      <c r="M12" s="2">
        <f>ROUND(L12/113.8*117.8,0)</f>
        <v>2638187</v>
      </c>
      <c r="N12" s="2">
        <v>527592.59259259258</v>
      </c>
      <c r="O12" s="2">
        <v>0</v>
      </c>
      <c r="P12" s="2">
        <v>527592.59259259258</v>
      </c>
      <c r="Q12" s="11">
        <v>0</v>
      </c>
      <c r="R12" s="2">
        <f>ROUND(Q12/118.7*120.2,0)</f>
        <v>0</v>
      </c>
      <c r="S12" s="2">
        <f>ROUND(N12,0)</f>
        <v>527593</v>
      </c>
      <c r="T12" s="2">
        <f t="shared" si="0"/>
        <v>541878</v>
      </c>
      <c r="U12" s="3">
        <f t="shared" si="1"/>
        <v>3076197.5308641978</v>
      </c>
      <c r="V12" s="3">
        <f t="shared" si="2"/>
        <v>3076197.5308641978</v>
      </c>
      <c r="W12" s="11">
        <v>220950</v>
      </c>
      <c r="X12" s="2">
        <f>ROUND(R12/120.2*120.7,0)</f>
        <v>0</v>
      </c>
      <c r="Y12" s="2">
        <f>ROUND(W12/115.2*115.7,0)</f>
        <v>221909</v>
      </c>
      <c r="Z12" s="4">
        <f>L12+S12</f>
        <v>3076198</v>
      </c>
      <c r="AA12" s="2">
        <f t="shared" si="3"/>
        <v>0</v>
      </c>
      <c r="AB12" s="2">
        <f>ROUND(Y12/115.7*116.1,0)</f>
        <v>222676</v>
      </c>
      <c r="AC12" s="122">
        <v>0</v>
      </c>
      <c r="AD12" s="121">
        <f t="shared" si="10"/>
        <v>226704</v>
      </c>
      <c r="AE12" s="120">
        <f t="shared" si="11"/>
        <v>226704</v>
      </c>
      <c r="AF12" s="119">
        <v>886277</v>
      </c>
      <c r="AG12" s="118"/>
      <c r="AH12" s="110">
        <f t="shared" si="12"/>
        <v>886277</v>
      </c>
      <c r="AI12" s="4">
        <v>886277</v>
      </c>
      <c r="AJ12" s="301">
        <v>125</v>
      </c>
      <c r="AK12" s="4">
        <v>0</v>
      </c>
      <c r="AL12" s="301"/>
      <c r="AM12" s="4">
        <f t="shared" si="13"/>
        <v>886277</v>
      </c>
      <c r="AN12" s="46"/>
      <c r="AO12" s="46"/>
      <c r="AP12" s="46"/>
      <c r="AQ12" s="46"/>
      <c r="AR12" s="46"/>
      <c r="AX12" s="368">
        <v>0</v>
      </c>
      <c r="AY12" s="336">
        <f t="shared" si="17"/>
        <v>0</v>
      </c>
      <c r="AZ12" s="391">
        <f t="shared" si="18"/>
        <v>0</v>
      </c>
      <c r="BA12" s="308"/>
      <c r="BB12" s="308"/>
      <c r="BC12" s="337">
        <v>105</v>
      </c>
      <c r="BD12" s="376">
        <v>141.4</v>
      </c>
      <c r="BE12" s="368">
        <v>0</v>
      </c>
      <c r="BF12" s="412">
        <v>108</v>
      </c>
      <c r="BG12" s="392"/>
      <c r="BH12" s="392"/>
      <c r="BI12" s="308"/>
      <c r="BJ12" s="308"/>
      <c r="BK12" s="382"/>
      <c r="BL12" s="376"/>
      <c r="BM12" s="376"/>
      <c r="BN12" s="349">
        <f t="shared" si="14"/>
        <v>0</v>
      </c>
    </row>
    <row r="13" spans="1:68" ht="14.25" customHeight="1" x14ac:dyDescent="0.2">
      <c r="A13" s="44"/>
      <c r="B13" s="44"/>
      <c r="C13" s="430"/>
      <c r="D13" s="45" t="s">
        <v>119</v>
      </c>
      <c r="E13" s="5">
        <v>20002</v>
      </c>
      <c r="F13" s="5" t="s">
        <v>289</v>
      </c>
      <c r="G13" s="6" t="s">
        <v>111</v>
      </c>
      <c r="H13" s="6" t="s">
        <v>136</v>
      </c>
      <c r="I13" s="6" t="s">
        <v>24</v>
      </c>
      <c r="J13" s="2">
        <v>558012.34567901236</v>
      </c>
      <c r="K13" s="2">
        <v>558012.34567901236</v>
      </c>
      <c r="L13" s="2">
        <f t="shared" ref="L13" si="19">ROUND(J13,0)</f>
        <v>558012</v>
      </c>
      <c r="M13" s="2">
        <f t="shared" ref="M13" si="20">ROUND(L13/113.8*117.8,0)</f>
        <v>577626</v>
      </c>
      <c r="N13" s="2">
        <v>0</v>
      </c>
      <c r="O13" s="2">
        <v>0</v>
      </c>
      <c r="P13" s="2">
        <v>0</v>
      </c>
      <c r="Q13" s="2">
        <f t="shared" ref="Q13" si="21">ROUND(M13/117.8*118.7,0)</f>
        <v>582039</v>
      </c>
      <c r="R13" s="2">
        <v>675000</v>
      </c>
      <c r="S13" s="2">
        <f t="shared" ref="S13" si="22">ROUND(N13,0)</f>
        <v>0</v>
      </c>
      <c r="T13" s="2">
        <f t="shared" si="0"/>
        <v>0</v>
      </c>
      <c r="U13" s="3">
        <f t="shared" si="1"/>
        <v>558012.34567901236</v>
      </c>
      <c r="V13" s="3">
        <f t="shared" si="2"/>
        <v>558012.34567901236</v>
      </c>
      <c r="W13" s="2"/>
      <c r="X13" s="2">
        <f t="shared" ref="X13" si="23">ROUND(R13/120.4*120.7,0)</f>
        <v>676682</v>
      </c>
      <c r="Y13" s="12"/>
      <c r="Z13" s="4">
        <f t="shared" ref="Z13" si="24">L13+S13</f>
        <v>558012</v>
      </c>
      <c r="AA13" s="11">
        <v>860000</v>
      </c>
      <c r="AB13" s="4"/>
      <c r="AC13" s="121">
        <f t="shared" si="15"/>
        <v>878268</v>
      </c>
      <c r="AD13" s="121">
        <f t="shared" si="10"/>
        <v>0</v>
      </c>
      <c r="AE13" s="120">
        <f t="shared" si="11"/>
        <v>878268</v>
      </c>
      <c r="AF13" s="110">
        <v>878268</v>
      </c>
      <c r="AG13" s="110">
        <v>0</v>
      </c>
      <c r="AH13" s="110">
        <f t="shared" si="12"/>
        <v>878268</v>
      </c>
      <c r="AI13" s="4">
        <v>878268</v>
      </c>
      <c r="AJ13" s="301">
        <v>125</v>
      </c>
      <c r="AK13" s="4">
        <v>0</v>
      </c>
      <c r="AL13" s="301"/>
      <c r="AM13" s="4">
        <f t="shared" si="13"/>
        <v>878268</v>
      </c>
      <c r="AN13" s="47"/>
      <c r="AO13" s="47"/>
      <c r="AP13" s="47"/>
      <c r="AQ13" s="47"/>
      <c r="AR13" s="47"/>
      <c r="AS13" s="48" t="s">
        <v>177</v>
      </c>
      <c r="AX13" s="368">
        <f>BD13/AJ13*AI13</f>
        <v>993496.76159999997</v>
      </c>
      <c r="AY13" s="334">
        <f t="shared" si="17"/>
        <v>1043171.59968</v>
      </c>
      <c r="AZ13" s="391">
        <f t="shared" si="18"/>
        <v>1072976.5025279999</v>
      </c>
      <c r="BA13" s="309">
        <v>42849</v>
      </c>
      <c r="BB13" s="309">
        <v>45040</v>
      </c>
      <c r="BC13" s="335">
        <v>105</v>
      </c>
      <c r="BD13" s="376">
        <v>141.4</v>
      </c>
      <c r="BE13" s="368">
        <v>0</v>
      </c>
      <c r="BF13" s="413">
        <v>108</v>
      </c>
      <c r="BG13" s="392"/>
      <c r="BH13" s="392"/>
      <c r="BI13" s="308"/>
      <c r="BJ13" s="308"/>
      <c r="BK13" s="382"/>
      <c r="BL13" s="376"/>
      <c r="BM13" s="375"/>
      <c r="BN13" s="349">
        <f t="shared" si="14"/>
        <v>1072976.5025279999</v>
      </c>
    </row>
    <row r="14" spans="1:68" s="54" customFormat="1" x14ac:dyDescent="0.2">
      <c r="A14" s="50"/>
      <c r="B14" s="50"/>
      <c r="C14" s="429"/>
      <c r="D14" s="45" t="s">
        <v>119</v>
      </c>
      <c r="E14" s="5">
        <v>20002</v>
      </c>
      <c r="F14" s="5" t="s">
        <v>285</v>
      </c>
      <c r="G14" s="6" t="s">
        <v>111</v>
      </c>
      <c r="H14" s="6" t="s">
        <v>136</v>
      </c>
      <c r="I14" s="6" t="s">
        <v>24</v>
      </c>
      <c r="J14" s="2">
        <v>18061.728395061727</v>
      </c>
      <c r="K14" s="2">
        <v>18061.728395061727</v>
      </c>
      <c r="L14" s="2">
        <f>ROUND(J14,0)</f>
        <v>18062</v>
      </c>
      <c r="M14" s="2">
        <f>ROUND(L14/113.8*117.8,0)</f>
        <v>18697</v>
      </c>
      <c r="N14" s="2">
        <v>0</v>
      </c>
      <c r="O14" s="2">
        <v>0</v>
      </c>
      <c r="P14" s="2">
        <v>0</v>
      </c>
      <c r="Q14" s="2">
        <f>ROUND(M14/117.8*118.7,0)</f>
        <v>18840</v>
      </c>
      <c r="R14" s="2">
        <f>ROUND(Q14*11.36%+Q14,0)</f>
        <v>20980</v>
      </c>
      <c r="S14" s="2">
        <f>ROUND(N14,0)</f>
        <v>0</v>
      </c>
      <c r="T14" s="2">
        <f>ROUND(P14/110.8*113.8,0)</f>
        <v>0</v>
      </c>
      <c r="U14" s="3">
        <f>J14+N14</f>
        <v>18061.728395061727</v>
      </c>
      <c r="V14" s="3">
        <f>K14+P14</f>
        <v>18061.728395061727</v>
      </c>
      <c r="W14" s="2"/>
      <c r="X14" s="2">
        <f>ROUND(R14/120.2*120.7,0)</f>
        <v>21067</v>
      </c>
      <c r="Y14" s="12"/>
      <c r="Z14" s="4">
        <f>L14+S14</f>
        <v>18062</v>
      </c>
      <c r="AA14" s="2">
        <f>ROUND(X14/120.7*122.4,0)</f>
        <v>21364</v>
      </c>
      <c r="AB14" s="2">
        <f>ROUND(Y14/115.7*116.1,0)</f>
        <v>0</v>
      </c>
      <c r="AC14" s="121">
        <f t="shared" si="15"/>
        <v>21818</v>
      </c>
      <c r="AD14" s="121">
        <f t="shared" si="10"/>
        <v>0</v>
      </c>
      <c r="AE14" s="120">
        <f t="shared" si="11"/>
        <v>21818</v>
      </c>
      <c r="AF14" s="110">
        <v>21818</v>
      </c>
      <c r="AG14" s="110">
        <v>0</v>
      </c>
      <c r="AH14" s="110">
        <f t="shared" si="12"/>
        <v>21818</v>
      </c>
      <c r="AI14" s="4">
        <v>21818</v>
      </c>
      <c r="AJ14" s="301">
        <v>125</v>
      </c>
      <c r="AK14" s="4">
        <v>0</v>
      </c>
      <c r="AL14" s="301"/>
      <c r="AM14" s="4">
        <f t="shared" si="13"/>
        <v>21818</v>
      </c>
      <c r="AN14" s="47"/>
      <c r="AO14" s="47"/>
      <c r="AP14" s="47"/>
      <c r="AQ14" s="47"/>
      <c r="AR14" s="47"/>
      <c r="AS14" s="48"/>
      <c r="AT14" s="44"/>
      <c r="AX14" s="368">
        <f>BD14/AJ14*AI14</f>
        <v>24680.5216</v>
      </c>
      <c r="AY14" s="336">
        <f t="shared" si="17"/>
        <v>25914.54768</v>
      </c>
      <c r="AZ14" s="391">
        <f t="shared" si="18"/>
        <v>26654.963327999998</v>
      </c>
      <c r="BA14" s="308"/>
      <c r="BB14" s="308"/>
      <c r="BC14" s="337">
        <v>105</v>
      </c>
      <c r="BD14" s="376">
        <v>141.4</v>
      </c>
      <c r="BE14" s="368">
        <v>0</v>
      </c>
      <c r="BF14" s="412">
        <v>108</v>
      </c>
      <c r="BG14" s="392"/>
      <c r="BH14" s="392"/>
      <c r="BI14" s="308"/>
      <c r="BJ14" s="308"/>
      <c r="BK14" s="382"/>
      <c r="BL14" s="376"/>
      <c r="BM14" s="376"/>
      <c r="BN14" s="349">
        <f t="shared" si="14"/>
        <v>26654.963327999998</v>
      </c>
    </row>
    <row r="15" spans="1:68" x14ac:dyDescent="0.2">
      <c r="A15" s="44"/>
      <c r="B15" s="44"/>
      <c r="C15" s="430"/>
      <c r="D15" s="45" t="s">
        <v>125</v>
      </c>
      <c r="E15" s="5">
        <v>30401</v>
      </c>
      <c r="F15" s="5" t="s">
        <v>74</v>
      </c>
      <c r="G15" s="6" t="s">
        <v>75</v>
      </c>
      <c r="H15" s="6" t="s">
        <v>139</v>
      </c>
      <c r="I15" s="6" t="s">
        <v>24</v>
      </c>
      <c r="J15" s="2">
        <v>18061.728395061727</v>
      </c>
      <c r="K15" s="2">
        <v>18061.728395061727</v>
      </c>
      <c r="L15" s="2">
        <f>ROUND(J15,0)</f>
        <v>18062</v>
      </c>
      <c r="M15" s="2">
        <f>ROUND(L15/113.8*117.8,0)</f>
        <v>18697</v>
      </c>
      <c r="N15" s="2">
        <v>17111.111111111113</v>
      </c>
      <c r="O15" s="2">
        <v>0</v>
      </c>
      <c r="P15" s="2">
        <v>17111.111111111113</v>
      </c>
      <c r="Q15" s="2">
        <f>ROUND(M15/117.8*118.7,0)</f>
        <v>18840</v>
      </c>
      <c r="R15" s="2">
        <f>ROUND(Q15*11.36%+Q15,0)</f>
        <v>20980</v>
      </c>
      <c r="S15" s="2">
        <f>ROUND(N15,0)</f>
        <v>17111</v>
      </c>
      <c r="T15" s="2">
        <f>ROUND(P15/110.8*113.8,0)</f>
        <v>17574</v>
      </c>
      <c r="U15" s="3">
        <f>J15+N15</f>
        <v>35172.839506172837</v>
      </c>
      <c r="V15" s="3">
        <f>K15+P15</f>
        <v>35172.839506172837</v>
      </c>
      <c r="W15" s="2">
        <f>ROUND(T15/113.8*113.8,0)</f>
        <v>17574</v>
      </c>
      <c r="X15" s="2">
        <f>ROUND(R15/120.2*120.7,0)</f>
        <v>21067</v>
      </c>
      <c r="Y15" s="2">
        <f>ROUND(W15-W15*25%,0)</f>
        <v>13181</v>
      </c>
      <c r="Z15" s="4">
        <f>L15+S15</f>
        <v>35173</v>
      </c>
      <c r="AA15" s="2">
        <f>ROUND(X15/120.7*122.4,0)</f>
        <v>21364</v>
      </c>
      <c r="AB15" s="2">
        <f>ROUND(Y15/115.7*116.1,0)</f>
        <v>13227</v>
      </c>
      <c r="AC15" s="121">
        <f t="shared" si="15"/>
        <v>21818</v>
      </c>
      <c r="AD15" s="121">
        <f t="shared" si="10"/>
        <v>13466</v>
      </c>
      <c r="AE15" s="120">
        <f t="shared" si="11"/>
        <v>35284</v>
      </c>
      <c r="AF15" s="118">
        <v>157000</v>
      </c>
      <c r="AG15" s="118">
        <v>63000</v>
      </c>
      <c r="AH15" s="118">
        <f t="shared" si="12"/>
        <v>220000</v>
      </c>
      <c r="AI15" s="4">
        <v>157000</v>
      </c>
      <c r="AJ15" s="306">
        <v>131.5</v>
      </c>
      <c r="AK15" s="4">
        <v>63000</v>
      </c>
      <c r="AL15" s="306">
        <v>119.9</v>
      </c>
      <c r="AM15" s="4">
        <f t="shared" si="13"/>
        <v>220000</v>
      </c>
      <c r="AN15" s="297" t="s">
        <v>226</v>
      </c>
      <c r="AO15" s="297">
        <v>157000</v>
      </c>
      <c r="AP15" s="297" t="s">
        <v>226</v>
      </c>
      <c r="AQ15" s="297">
        <v>63000</v>
      </c>
      <c r="AR15" s="297">
        <f t="shared" si="16"/>
        <v>220000</v>
      </c>
      <c r="AS15" s="30"/>
      <c r="AT15" s="54"/>
      <c r="AU15" s="54"/>
      <c r="AV15" s="54"/>
      <c r="AX15" s="368">
        <f t="shared" ref="AX15:AX21" si="25">BD15/AJ15*AI15</f>
        <v>168819.77186311787</v>
      </c>
      <c r="AY15" s="334">
        <f t="shared" si="17"/>
        <v>177260.76045627377</v>
      </c>
      <c r="AZ15" s="391">
        <f t="shared" si="18"/>
        <v>182325.3536121673</v>
      </c>
      <c r="BA15" s="309">
        <v>43425</v>
      </c>
      <c r="BB15" s="309">
        <v>45617</v>
      </c>
      <c r="BC15" s="335">
        <v>105</v>
      </c>
      <c r="BD15" s="376">
        <v>141.4</v>
      </c>
      <c r="BE15" s="368">
        <f>BL15/AL15*AK15</f>
        <v>64944.120100083397</v>
      </c>
      <c r="BF15" s="412">
        <v>108</v>
      </c>
      <c r="BG15" s="392">
        <f>BE15/100*101.6</f>
        <v>65983.226021684735</v>
      </c>
      <c r="BH15" s="392">
        <f>BM15/BK15*BG15</f>
        <v>67217.164303586324</v>
      </c>
      <c r="BI15" s="309">
        <v>43425</v>
      </c>
      <c r="BJ15" s="309">
        <v>44521</v>
      </c>
      <c r="BK15" s="382">
        <v>101.6</v>
      </c>
      <c r="BL15" s="376">
        <v>123.6</v>
      </c>
      <c r="BM15" s="376">
        <v>103.5</v>
      </c>
      <c r="BN15" s="349">
        <f t="shared" si="14"/>
        <v>249542.51791575362</v>
      </c>
    </row>
    <row r="16" spans="1:68" ht="12" customHeight="1" x14ac:dyDescent="0.2">
      <c r="A16" s="55"/>
      <c r="B16" s="56"/>
      <c r="C16" s="430" t="s">
        <v>305</v>
      </c>
      <c r="D16" s="45" t="s">
        <v>126</v>
      </c>
      <c r="E16" s="5">
        <v>60101</v>
      </c>
      <c r="F16" s="7" t="s">
        <v>81</v>
      </c>
      <c r="G16" s="6" t="s">
        <v>82</v>
      </c>
      <c r="H16" s="6" t="s">
        <v>140</v>
      </c>
      <c r="I16" s="6" t="s">
        <v>24</v>
      </c>
      <c r="J16" s="2">
        <v>869814.81481481472</v>
      </c>
      <c r="K16" s="2">
        <v>869814.81481481472</v>
      </c>
      <c r="L16" s="2">
        <f>ROUND(J16,0)</f>
        <v>869815</v>
      </c>
      <c r="M16" s="2">
        <f>ROUND(L16/113.8*117.8,0)</f>
        <v>900388</v>
      </c>
      <c r="N16" s="2">
        <v>102666.66666666666</v>
      </c>
      <c r="O16" s="2">
        <v>0</v>
      </c>
      <c r="P16" s="2">
        <v>102666.66666666666</v>
      </c>
      <c r="Q16" s="2">
        <f>ROUND(M16/117.8*118.7,0)</f>
        <v>907267</v>
      </c>
      <c r="R16" s="2">
        <f>ROUND(Q16*11.36%+Q16,0)</f>
        <v>1010333</v>
      </c>
      <c r="S16" s="2">
        <f>ROUND(N16,0)</f>
        <v>102667</v>
      </c>
      <c r="T16" s="2">
        <f>ROUND(P16/110.8*113.8,0)</f>
        <v>105446</v>
      </c>
      <c r="U16" s="3">
        <f>J16+N16</f>
        <v>972481.48148148134</v>
      </c>
      <c r="V16" s="3">
        <f>K16+P16</f>
        <v>972481.48148148134</v>
      </c>
      <c r="W16" s="2">
        <f>ROUND(T16/113.8*113.8,0)</f>
        <v>105446</v>
      </c>
      <c r="X16" s="2">
        <v>1150000</v>
      </c>
      <c r="Y16" s="2">
        <f>ROUND(W16-W16*25%,0)</f>
        <v>79085</v>
      </c>
      <c r="Z16" s="4">
        <f>L16+S16</f>
        <v>972482</v>
      </c>
      <c r="AA16" s="2">
        <f>ROUND(X16/120.7*122.4,0)</f>
        <v>1166197</v>
      </c>
      <c r="AB16" s="2">
        <f>ROUND(Y16/115.7*116.1,0)</f>
        <v>79358</v>
      </c>
      <c r="AC16" s="121">
        <f t="shared" si="15"/>
        <v>1190969</v>
      </c>
      <c r="AD16" s="121">
        <f t="shared" si="10"/>
        <v>80793</v>
      </c>
      <c r="AE16" s="120">
        <f t="shared" si="11"/>
        <v>1271762</v>
      </c>
      <c r="AF16" s="110">
        <v>1190969</v>
      </c>
      <c r="AG16" s="110">
        <v>80793</v>
      </c>
      <c r="AH16" s="110">
        <f t="shared" si="12"/>
        <v>1271762</v>
      </c>
      <c r="AI16" s="4">
        <v>1190969</v>
      </c>
      <c r="AJ16" s="301">
        <v>125</v>
      </c>
      <c r="AK16" s="4">
        <v>80793</v>
      </c>
      <c r="AL16" s="301">
        <v>118.2</v>
      </c>
      <c r="AM16" s="4">
        <f t="shared" si="13"/>
        <v>1271762</v>
      </c>
      <c r="AN16" s="47"/>
      <c r="AO16" s="47"/>
      <c r="AP16" s="47"/>
      <c r="AQ16" s="47"/>
      <c r="AR16" s="47"/>
      <c r="AS16" s="30" t="s">
        <v>168</v>
      </c>
      <c r="AT16" s="57" t="s">
        <v>176</v>
      </c>
      <c r="AX16" s="368">
        <f t="shared" si="25"/>
        <v>1347224.1328</v>
      </c>
      <c r="AY16" s="336">
        <f t="shared" si="17"/>
        <v>1414585.33944</v>
      </c>
      <c r="AZ16" s="391">
        <f t="shared" si="18"/>
        <v>1455002.0634239998</v>
      </c>
      <c r="BA16" s="309">
        <v>42619</v>
      </c>
      <c r="BB16" s="309">
        <v>44810</v>
      </c>
      <c r="BC16" s="337">
        <v>105</v>
      </c>
      <c r="BD16" s="376">
        <v>141.4</v>
      </c>
      <c r="BE16" s="368">
        <f>BL16/AL16*AK16</f>
        <v>84484.050761421327</v>
      </c>
      <c r="BF16" s="413">
        <v>108</v>
      </c>
      <c r="BG16" s="392">
        <f>BE16/100*101.6</f>
        <v>85835.79557360406</v>
      </c>
      <c r="BH16" s="392"/>
      <c r="BI16" s="308"/>
      <c r="BJ16" s="308"/>
      <c r="BK16" s="382">
        <v>101.6</v>
      </c>
      <c r="BL16" s="376">
        <v>123.6</v>
      </c>
      <c r="BM16" s="375">
        <v>103.5</v>
      </c>
      <c r="BN16" s="349">
        <f t="shared" si="14"/>
        <v>1455002.0634239998</v>
      </c>
    </row>
    <row r="17" spans="1:66" ht="15" customHeight="1" x14ac:dyDescent="0.2">
      <c r="C17" s="429"/>
      <c r="D17" s="45" t="s">
        <v>120</v>
      </c>
      <c r="E17" s="5">
        <v>20010</v>
      </c>
      <c r="F17" s="5" t="s">
        <v>290</v>
      </c>
      <c r="G17" s="6" t="s">
        <v>55</v>
      </c>
      <c r="H17" s="6" t="s">
        <v>138</v>
      </c>
      <c r="I17" s="6" t="s">
        <v>24</v>
      </c>
      <c r="J17" s="2">
        <v>195827.16049382719</v>
      </c>
      <c r="K17" s="2">
        <v>195827.16049382719</v>
      </c>
      <c r="L17" s="2">
        <f t="shared" ref="L17:L34" si="26">ROUND(J17,0)</f>
        <v>195827</v>
      </c>
      <c r="M17" s="2">
        <f t="shared" ref="M17:M34" si="27">ROUND(L17/113.8*117.8,0)</f>
        <v>202710</v>
      </c>
      <c r="N17" s="2">
        <v>0</v>
      </c>
      <c r="O17" s="2">
        <v>0</v>
      </c>
      <c r="P17" s="2">
        <v>0</v>
      </c>
      <c r="Q17" s="2">
        <f t="shared" ref="Q17" si="28">ROUND(M17/117.8*118.7,0)</f>
        <v>204259</v>
      </c>
      <c r="R17" s="2">
        <v>250000</v>
      </c>
      <c r="S17" s="2">
        <f t="shared" ref="S17:S34" si="29">ROUND(N17,0)</f>
        <v>0</v>
      </c>
      <c r="T17" s="2">
        <f t="shared" ref="T17" si="30">ROUND(P17/110.8*113.8,0)</f>
        <v>0</v>
      </c>
      <c r="U17" s="3">
        <f t="shared" ref="U17" si="31">J17+N17</f>
        <v>195827.16049382719</v>
      </c>
      <c r="V17" s="3">
        <f t="shared" ref="V17" si="32">K17+P17</f>
        <v>195827.16049382719</v>
      </c>
      <c r="W17" s="2"/>
      <c r="X17" s="2">
        <f t="shared" ref="X17" si="33">ROUND(R17/120.4*120.7,0)</f>
        <v>250623</v>
      </c>
      <c r="Y17" s="2"/>
      <c r="Z17" s="4">
        <f t="shared" ref="Z17:Z34" si="34">L17+S17</f>
        <v>195827</v>
      </c>
      <c r="AA17" s="11">
        <v>310000</v>
      </c>
      <c r="AB17" s="4"/>
      <c r="AC17" s="121">
        <f t="shared" si="15"/>
        <v>316585</v>
      </c>
      <c r="AD17" s="121">
        <f t="shared" si="10"/>
        <v>0</v>
      </c>
      <c r="AE17" s="120">
        <f t="shared" si="11"/>
        <v>316585</v>
      </c>
      <c r="AF17" s="110">
        <v>316585</v>
      </c>
      <c r="AG17" s="110">
        <v>0</v>
      </c>
      <c r="AH17" s="110">
        <f t="shared" si="12"/>
        <v>316585</v>
      </c>
      <c r="AI17" s="4">
        <v>316585</v>
      </c>
      <c r="AJ17" s="301">
        <v>125</v>
      </c>
      <c r="AK17" s="4">
        <v>0</v>
      </c>
      <c r="AL17" s="301"/>
      <c r="AM17" s="4">
        <f t="shared" si="13"/>
        <v>316585</v>
      </c>
      <c r="AN17" s="47"/>
      <c r="AO17" s="47"/>
      <c r="AP17" s="47"/>
      <c r="AQ17" s="47"/>
      <c r="AR17" s="47"/>
      <c r="AS17" s="48" t="s">
        <v>179</v>
      </c>
      <c r="AX17" s="368">
        <f t="shared" si="25"/>
        <v>358120.95199999999</v>
      </c>
      <c r="AY17" s="334">
        <v>397027</v>
      </c>
      <c r="AZ17" s="391">
        <f t="shared" si="18"/>
        <v>408370.62857142853</v>
      </c>
      <c r="BA17" s="309">
        <v>42849</v>
      </c>
      <c r="BB17" s="309">
        <v>45040</v>
      </c>
      <c r="BC17" s="335">
        <v>105</v>
      </c>
      <c r="BD17" s="376">
        <v>141.4</v>
      </c>
      <c r="BE17" s="368">
        <v>0</v>
      </c>
      <c r="BF17" s="412">
        <v>108</v>
      </c>
      <c r="BG17" s="392"/>
      <c r="BH17" s="392"/>
      <c r="BI17" s="308"/>
      <c r="BJ17" s="308"/>
      <c r="BK17" s="382"/>
      <c r="BL17" s="376"/>
      <c r="BM17" s="375"/>
      <c r="BN17" s="349">
        <f t="shared" si="14"/>
        <v>408370.62857142853</v>
      </c>
    </row>
    <row r="18" spans="1:66" x14ac:dyDescent="0.2">
      <c r="C18" s="429"/>
      <c r="D18" s="45" t="s">
        <v>120</v>
      </c>
      <c r="E18" s="5">
        <v>20010</v>
      </c>
      <c r="F18" s="5" t="s">
        <v>51</v>
      </c>
      <c r="G18" s="6" t="s">
        <v>55</v>
      </c>
      <c r="H18" s="6" t="s">
        <v>138</v>
      </c>
      <c r="I18" s="6" t="s">
        <v>24</v>
      </c>
      <c r="J18" s="2">
        <v>30419.753086419754</v>
      </c>
      <c r="K18" s="2">
        <v>30419.753086419754</v>
      </c>
      <c r="L18" s="2">
        <f t="shared" si="26"/>
        <v>30420</v>
      </c>
      <c r="M18" s="2">
        <f t="shared" si="27"/>
        <v>31489</v>
      </c>
      <c r="N18" s="2">
        <v>0</v>
      </c>
      <c r="O18" s="2">
        <v>0</v>
      </c>
      <c r="P18" s="2">
        <v>0</v>
      </c>
      <c r="Q18" s="2">
        <f>ROUND(M18/117.8*118.7,0)</f>
        <v>31730</v>
      </c>
      <c r="R18" s="2">
        <f>ROUND(Q18*11.36%+Q18,0)</f>
        <v>35335</v>
      </c>
      <c r="S18" s="2">
        <f t="shared" si="29"/>
        <v>0</v>
      </c>
      <c r="T18" s="2">
        <f>ROUND(P18/110.8*113.8,0)</f>
        <v>0</v>
      </c>
      <c r="U18" s="3">
        <f>J18+N18</f>
        <v>30419.753086419754</v>
      </c>
      <c r="V18" s="3">
        <f>K18+P18</f>
        <v>30419.753086419754</v>
      </c>
      <c r="W18" s="2"/>
      <c r="X18" s="2">
        <f t="shared" ref="X18:X21" si="35">ROUND(R18/120.2*120.7,0)</f>
        <v>35482</v>
      </c>
      <c r="Y18" s="2"/>
      <c r="Z18" s="4">
        <f t="shared" si="34"/>
        <v>30420</v>
      </c>
      <c r="AA18" s="2">
        <f>ROUND(X18/120.7*122.4,0)</f>
        <v>35982</v>
      </c>
      <c r="AB18" s="2">
        <f t="shared" ref="AB18:AB21" si="36">ROUND(Y18/115.7*116.1,0)</f>
        <v>0</v>
      </c>
      <c r="AC18" s="121">
        <f t="shared" si="15"/>
        <v>36746</v>
      </c>
      <c r="AD18" s="121">
        <f t="shared" si="10"/>
        <v>0</v>
      </c>
      <c r="AE18" s="120">
        <f t="shared" si="11"/>
        <v>36746</v>
      </c>
      <c r="AF18" s="110">
        <v>36746</v>
      </c>
      <c r="AG18" s="110">
        <v>0</v>
      </c>
      <c r="AH18" s="110">
        <f t="shared" si="12"/>
        <v>36746</v>
      </c>
      <c r="AI18" s="4">
        <v>36746</v>
      </c>
      <c r="AJ18" s="301">
        <v>125</v>
      </c>
      <c r="AK18" s="4">
        <v>0</v>
      </c>
      <c r="AL18" s="301"/>
      <c r="AM18" s="4">
        <f t="shared" si="13"/>
        <v>36746</v>
      </c>
      <c r="AN18" s="47"/>
      <c r="AO18" s="47"/>
      <c r="AP18" s="47"/>
      <c r="AQ18" s="47"/>
      <c r="AR18" s="47"/>
      <c r="AX18" s="368">
        <f t="shared" si="25"/>
        <v>41567.075199999999</v>
      </c>
      <c r="AY18" s="334">
        <f t="shared" si="17"/>
        <v>43645.428959999997</v>
      </c>
      <c r="AZ18" s="391">
        <f t="shared" si="18"/>
        <v>44892.441215999992</v>
      </c>
      <c r="BA18" s="308"/>
      <c r="BB18" s="308"/>
      <c r="BC18" s="335">
        <v>105</v>
      </c>
      <c r="BD18" s="376">
        <v>141.4</v>
      </c>
      <c r="BE18" s="368">
        <v>0</v>
      </c>
      <c r="BF18" s="412">
        <v>108</v>
      </c>
      <c r="BG18" s="392"/>
      <c r="BH18" s="392"/>
      <c r="BI18" s="308"/>
      <c r="BJ18" s="308"/>
      <c r="BK18" s="382"/>
      <c r="BL18" s="376"/>
      <c r="BM18" s="375"/>
      <c r="BN18" s="349">
        <f t="shared" si="14"/>
        <v>44892.441215999992</v>
      </c>
    </row>
    <row r="19" spans="1:66" x14ac:dyDescent="0.2">
      <c r="A19" s="44"/>
      <c r="B19" s="44"/>
      <c r="C19" s="430"/>
      <c r="D19" s="45" t="s">
        <v>125</v>
      </c>
      <c r="E19" s="5"/>
      <c r="F19" s="5" t="s">
        <v>76</v>
      </c>
      <c r="G19" s="13"/>
      <c r="H19" s="5"/>
      <c r="I19" s="5" t="s">
        <v>24</v>
      </c>
      <c r="J19" s="2">
        <v>203432.09876543214</v>
      </c>
      <c r="K19" s="2">
        <v>203432.09876543214</v>
      </c>
      <c r="L19" s="2">
        <f t="shared" si="26"/>
        <v>203432</v>
      </c>
      <c r="M19" s="2">
        <f t="shared" si="27"/>
        <v>210583</v>
      </c>
      <c r="N19" s="2">
        <v>0</v>
      </c>
      <c r="O19" s="2">
        <v>0</v>
      </c>
      <c r="P19" s="2">
        <v>0</v>
      </c>
      <c r="Q19" s="2">
        <f>ROUND(M19/117.8*118.7,0)</f>
        <v>212192</v>
      </c>
      <c r="R19" s="2">
        <f>ROUND(Q19*11.36%+Q19,0)</f>
        <v>236297</v>
      </c>
      <c r="S19" s="2">
        <f t="shared" si="29"/>
        <v>0</v>
      </c>
      <c r="T19" s="2">
        <f>ROUND(P19/110.8*113.8,0)</f>
        <v>0</v>
      </c>
      <c r="U19" s="3">
        <f>J19+N19</f>
        <v>203432.09876543214</v>
      </c>
      <c r="V19" s="3">
        <f>K19+P19</f>
        <v>203432.09876543214</v>
      </c>
      <c r="W19" s="2"/>
      <c r="X19" s="2">
        <f t="shared" si="35"/>
        <v>237280</v>
      </c>
      <c r="Y19" s="2"/>
      <c r="Z19" s="4">
        <f t="shared" si="34"/>
        <v>203432</v>
      </c>
      <c r="AA19" s="2">
        <f>ROUND(X19/120.7*122.4,0)</f>
        <v>240622</v>
      </c>
      <c r="AB19" s="2">
        <f t="shared" si="36"/>
        <v>0</v>
      </c>
      <c r="AC19" s="121">
        <f t="shared" si="15"/>
        <v>245733</v>
      </c>
      <c r="AD19" s="121">
        <f t="shared" si="10"/>
        <v>0</v>
      </c>
      <c r="AE19" s="120">
        <f t="shared" si="11"/>
        <v>245733</v>
      </c>
      <c r="AF19" s="118">
        <v>250000</v>
      </c>
      <c r="AG19" s="110">
        <v>0</v>
      </c>
      <c r="AH19" s="118">
        <f t="shared" si="12"/>
        <v>250000</v>
      </c>
      <c r="AI19" s="4">
        <v>250000</v>
      </c>
      <c r="AJ19" s="306">
        <v>131.5</v>
      </c>
      <c r="AK19" s="4">
        <v>0</v>
      </c>
      <c r="AL19" s="301"/>
      <c r="AM19" s="4">
        <f t="shared" si="13"/>
        <v>250000</v>
      </c>
      <c r="AN19" s="297" t="s">
        <v>226</v>
      </c>
      <c r="AO19" s="297">
        <v>250000</v>
      </c>
      <c r="AP19" s="297"/>
      <c r="AQ19" s="297">
        <v>0</v>
      </c>
      <c r="AR19" s="297">
        <f t="shared" si="16"/>
        <v>250000</v>
      </c>
      <c r="AS19" s="30" t="s">
        <v>202</v>
      </c>
      <c r="AT19" s="54"/>
      <c r="AU19" s="54"/>
      <c r="AV19" s="54"/>
      <c r="AX19" s="368">
        <f t="shared" si="25"/>
        <v>268821.29277566541</v>
      </c>
      <c r="AY19" s="336">
        <f t="shared" si="17"/>
        <v>282262.35741444869</v>
      </c>
      <c r="AZ19" s="391">
        <f t="shared" si="18"/>
        <v>290326.9961977186</v>
      </c>
      <c r="BA19" s="309">
        <v>43439</v>
      </c>
      <c r="BB19" s="309">
        <v>45631</v>
      </c>
      <c r="BC19" s="337">
        <v>105</v>
      </c>
      <c r="BD19" s="376">
        <v>141.4</v>
      </c>
      <c r="BE19" s="368">
        <v>0</v>
      </c>
      <c r="BF19" s="413">
        <v>108</v>
      </c>
      <c r="BG19" s="392"/>
      <c r="BH19" s="392"/>
      <c r="BI19" s="308"/>
      <c r="BJ19" s="308"/>
      <c r="BK19" s="382"/>
      <c r="BL19" s="376"/>
      <c r="BM19" s="376"/>
      <c r="BN19" s="349">
        <f t="shared" si="14"/>
        <v>290326.9961977186</v>
      </c>
    </row>
    <row r="20" spans="1:66" s="54" customFormat="1" ht="15.95" customHeight="1" x14ac:dyDescent="0.2">
      <c r="A20" s="54" t="s">
        <v>40</v>
      </c>
      <c r="C20" s="430"/>
      <c r="D20" s="45" t="s">
        <v>117</v>
      </c>
      <c r="E20" s="5">
        <v>36001</v>
      </c>
      <c r="F20" s="5" t="s">
        <v>41</v>
      </c>
      <c r="G20" s="6" t="s">
        <v>42</v>
      </c>
      <c r="H20" s="6" t="s">
        <v>143</v>
      </c>
      <c r="I20" s="6" t="s">
        <v>43</v>
      </c>
      <c r="J20" s="2">
        <v>447740.74074074073</v>
      </c>
      <c r="K20" s="2">
        <v>447740.74074074073</v>
      </c>
      <c r="L20" s="2">
        <f t="shared" si="26"/>
        <v>447741</v>
      </c>
      <c r="M20" s="2">
        <f t="shared" si="27"/>
        <v>463479</v>
      </c>
      <c r="N20" s="2">
        <v>62740.740740740737</v>
      </c>
      <c r="O20" s="2">
        <v>0</v>
      </c>
      <c r="P20" s="2">
        <v>62740.740740740737</v>
      </c>
      <c r="Q20" s="2">
        <f>ROUND(M20/117.8*118.7,0)</f>
        <v>467020</v>
      </c>
      <c r="R20" s="2">
        <f>ROUND(Q20*11.36%+Q20,0)</f>
        <v>520073</v>
      </c>
      <c r="S20" s="2">
        <f t="shared" si="29"/>
        <v>62741</v>
      </c>
      <c r="T20" s="2">
        <v>0</v>
      </c>
      <c r="U20" s="3"/>
      <c r="V20" s="3"/>
      <c r="W20" s="2"/>
      <c r="X20" s="2">
        <f t="shared" si="35"/>
        <v>522236</v>
      </c>
      <c r="Y20" s="12"/>
      <c r="Z20" s="4">
        <f t="shared" si="34"/>
        <v>510482</v>
      </c>
      <c r="AA20" s="2">
        <v>350000</v>
      </c>
      <c r="AB20" s="2">
        <f t="shared" si="36"/>
        <v>0</v>
      </c>
      <c r="AC20" s="121">
        <f t="shared" si="15"/>
        <v>357435</v>
      </c>
      <c r="AD20" s="121">
        <f t="shared" si="10"/>
        <v>0</v>
      </c>
      <c r="AE20" s="120">
        <f t="shared" si="11"/>
        <v>357435</v>
      </c>
      <c r="AF20" s="110">
        <v>357435</v>
      </c>
      <c r="AG20" s="110">
        <v>0</v>
      </c>
      <c r="AH20" s="110">
        <f t="shared" si="12"/>
        <v>357435</v>
      </c>
      <c r="AI20" s="4">
        <v>357435</v>
      </c>
      <c r="AJ20" s="301">
        <v>125</v>
      </c>
      <c r="AK20" s="4">
        <v>0</v>
      </c>
      <c r="AL20" s="301"/>
      <c r="AM20" s="4">
        <f t="shared" si="13"/>
        <v>357435</v>
      </c>
      <c r="AN20" s="47"/>
      <c r="AO20" s="47"/>
      <c r="AP20" s="47"/>
      <c r="AQ20" s="47"/>
      <c r="AR20" s="47"/>
      <c r="AS20" s="30" t="s">
        <v>190</v>
      </c>
      <c r="AX20" s="368">
        <f t="shared" si="25"/>
        <v>404330.47200000001</v>
      </c>
      <c r="AY20" s="334">
        <f t="shared" si="17"/>
        <v>424546.99560000002</v>
      </c>
      <c r="AZ20" s="391">
        <f t="shared" si="18"/>
        <v>436676.90976000001</v>
      </c>
      <c r="BA20" s="309">
        <v>43083</v>
      </c>
      <c r="BB20" s="309">
        <v>45274</v>
      </c>
      <c r="BC20" s="335">
        <v>105</v>
      </c>
      <c r="BD20" s="376">
        <v>141.4</v>
      </c>
      <c r="BE20" s="368">
        <v>0</v>
      </c>
      <c r="BF20" s="412">
        <v>108</v>
      </c>
      <c r="BG20" s="392"/>
      <c r="BH20" s="392"/>
      <c r="BI20" s="308"/>
      <c r="BJ20" s="308"/>
      <c r="BK20" s="382"/>
      <c r="BL20" s="376"/>
      <c r="BM20" s="375"/>
      <c r="BN20" s="349">
        <f t="shared" si="14"/>
        <v>436676.90976000001</v>
      </c>
    </row>
    <row r="21" spans="1:66" s="54" customFormat="1" ht="28.5" customHeight="1" x14ac:dyDescent="0.2">
      <c r="D21" s="45" t="s">
        <v>115</v>
      </c>
      <c r="E21" s="5">
        <v>16202</v>
      </c>
      <c r="F21" s="5" t="s">
        <v>108</v>
      </c>
      <c r="G21" s="6" t="s">
        <v>70</v>
      </c>
      <c r="H21" s="6" t="s">
        <v>146</v>
      </c>
      <c r="I21" s="6" t="s">
        <v>43</v>
      </c>
      <c r="J21" s="2">
        <v>1837543.2098765431</v>
      </c>
      <c r="K21" s="2">
        <v>1837543.2098765431</v>
      </c>
      <c r="L21" s="2">
        <f t="shared" si="26"/>
        <v>1837543</v>
      </c>
      <c r="M21" s="2">
        <f t="shared" si="27"/>
        <v>1902132</v>
      </c>
      <c r="N21" s="2">
        <v>269975.30864197534</v>
      </c>
      <c r="O21" s="2">
        <v>0</v>
      </c>
      <c r="P21" s="2">
        <v>269975.30864197534</v>
      </c>
      <c r="Q21" s="11">
        <v>2100000</v>
      </c>
      <c r="R21" s="2">
        <f>ROUND(Q21/119.5*120.2,0)</f>
        <v>2112301</v>
      </c>
      <c r="S21" s="2">
        <f t="shared" si="29"/>
        <v>269975</v>
      </c>
      <c r="T21" s="2">
        <f t="shared" ref="T21:T29" si="37">ROUND(P21/110.8*113.8,0)</f>
        <v>277285</v>
      </c>
      <c r="U21" s="3">
        <f t="shared" ref="U21:U29" si="38">J21+N21</f>
        <v>2107518.5185185187</v>
      </c>
      <c r="V21" s="3">
        <f t="shared" ref="V21:V29" si="39">K21+P21</f>
        <v>2107518.5185185187</v>
      </c>
      <c r="W21" s="11">
        <v>119000</v>
      </c>
      <c r="X21" s="2">
        <f t="shared" si="35"/>
        <v>2121088</v>
      </c>
      <c r="Y21" s="2">
        <f>ROUND(W21/115.2*115.7,0)</f>
        <v>119516</v>
      </c>
      <c r="Z21" s="4">
        <f t="shared" si="34"/>
        <v>2107518</v>
      </c>
      <c r="AA21" s="2">
        <f>ROUND(X21/120.7*122.4,0)</f>
        <v>2150962</v>
      </c>
      <c r="AB21" s="2">
        <f t="shared" si="36"/>
        <v>119929</v>
      </c>
      <c r="AC21" s="2">
        <f t="shared" si="15"/>
        <v>2196652</v>
      </c>
      <c r="AD21" s="2">
        <f t="shared" si="10"/>
        <v>122098</v>
      </c>
      <c r="AE21" s="4">
        <f t="shared" si="11"/>
        <v>2318750</v>
      </c>
      <c r="AF21" s="4">
        <v>2196652</v>
      </c>
      <c r="AG21" s="4">
        <v>200000</v>
      </c>
      <c r="AH21" s="4">
        <f t="shared" si="12"/>
        <v>2396652</v>
      </c>
      <c r="AI21" s="4">
        <v>2196652</v>
      </c>
      <c r="AJ21" s="301">
        <v>125</v>
      </c>
      <c r="AK21" s="4">
        <v>200000</v>
      </c>
      <c r="AL21" s="301">
        <v>119.9</v>
      </c>
      <c r="AM21" s="4">
        <f t="shared" si="13"/>
        <v>2396652</v>
      </c>
      <c r="AN21" s="297" t="s">
        <v>229</v>
      </c>
      <c r="AO21" s="297">
        <v>2196652</v>
      </c>
      <c r="AP21" s="296" t="s">
        <v>232</v>
      </c>
      <c r="AQ21" s="297">
        <v>200000</v>
      </c>
      <c r="AR21" s="297">
        <f t="shared" si="16"/>
        <v>2396652</v>
      </c>
      <c r="AS21" s="30" t="s">
        <v>212</v>
      </c>
      <c r="AX21" s="368">
        <f t="shared" si="25"/>
        <v>2484852.7423999999</v>
      </c>
      <c r="AY21" s="336">
        <f t="shared" si="17"/>
        <v>2609095.37952</v>
      </c>
      <c r="AZ21" s="391">
        <f t="shared" si="18"/>
        <v>2683640.9617919996</v>
      </c>
      <c r="BA21" s="309">
        <v>42038</v>
      </c>
      <c r="BB21" s="309">
        <v>44230</v>
      </c>
      <c r="BC21" s="337">
        <v>105</v>
      </c>
      <c r="BD21" s="376">
        <v>141.4</v>
      </c>
      <c r="BE21" s="368">
        <f>BL21/AL21*AK21</f>
        <v>206171.80984153462</v>
      </c>
      <c r="BF21" s="412">
        <v>108</v>
      </c>
      <c r="BG21" s="392">
        <f>BE21/100*101.6</f>
        <v>209470.55879899915</v>
      </c>
      <c r="BH21" s="392">
        <f>BM21/BK21*BG21</f>
        <v>213387.82318598829</v>
      </c>
      <c r="BI21" s="309">
        <v>43425</v>
      </c>
      <c r="BJ21" s="309">
        <v>44521</v>
      </c>
      <c r="BK21" s="382">
        <v>101.6</v>
      </c>
      <c r="BL21" s="376">
        <v>123.6</v>
      </c>
      <c r="BM21" s="376">
        <v>103.5</v>
      </c>
      <c r="BN21" s="349">
        <f t="shared" si="14"/>
        <v>2897028.7849779879</v>
      </c>
    </row>
    <row r="22" spans="1:66" s="54" customFormat="1" ht="16.5" customHeight="1" x14ac:dyDescent="0.2">
      <c r="C22" s="54" t="s">
        <v>301</v>
      </c>
      <c r="D22" s="29" t="s">
        <v>267</v>
      </c>
      <c r="E22" s="6">
        <v>16301</v>
      </c>
      <c r="F22" s="6" t="s">
        <v>287</v>
      </c>
      <c r="G22" s="6" t="s">
        <v>280</v>
      </c>
      <c r="H22" s="6" t="s">
        <v>223</v>
      </c>
      <c r="I22" s="6" t="s">
        <v>43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  <c r="V22" s="33"/>
      <c r="W22" s="33"/>
      <c r="X22" s="33"/>
      <c r="Y22" s="33"/>
      <c r="Z22" s="19"/>
      <c r="AA22" s="19"/>
      <c r="AB22" s="19"/>
      <c r="AC22" s="19">
        <v>60000</v>
      </c>
      <c r="AD22" s="19"/>
      <c r="AE22" s="4">
        <f>AC22+AD22</f>
        <v>60000</v>
      </c>
      <c r="AF22" s="4">
        <v>60000</v>
      </c>
      <c r="AG22" s="4">
        <v>0</v>
      </c>
      <c r="AH22" s="4">
        <f t="shared" si="12"/>
        <v>60000</v>
      </c>
      <c r="AI22" s="4">
        <v>60000</v>
      </c>
      <c r="AJ22" s="301">
        <v>131.5</v>
      </c>
      <c r="AK22" s="4">
        <v>0</v>
      </c>
      <c r="AL22" s="301"/>
      <c r="AM22" s="4">
        <f t="shared" si="13"/>
        <v>60000</v>
      </c>
      <c r="AN22" s="296" t="s">
        <v>241</v>
      </c>
      <c r="AO22" s="297">
        <v>60000</v>
      </c>
      <c r="AP22" s="297"/>
      <c r="AQ22" s="297">
        <v>0</v>
      </c>
      <c r="AR22" s="297">
        <f t="shared" si="16"/>
        <v>60000</v>
      </c>
      <c r="AS22" s="30" t="s">
        <v>224</v>
      </c>
      <c r="AX22" s="368">
        <f t="shared" ref="AX22:AX28" si="40">BD22/AJ22*AI22</f>
        <v>64517.110266159696</v>
      </c>
      <c r="AY22" s="334">
        <f t="shared" si="17"/>
        <v>67742.965779467675</v>
      </c>
      <c r="AZ22" s="391">
        <v>267400</v>
      </c>
      <c r="BA22" s="431">
        <v>44007</v>
      </c>
      <c r="BB22" s="431">
        <v>46198</v>
      </c>
      <c r="BC22" s="335">
        <v>105</v>
      </c>
      <c r="BD22" s="376">
        <v>141.4</v>
      </c>
      <c r="BE22" s="368">
        <v>0</v>
      </c>
      <c r="BF22" s="413">
        <v>108</v>
      </c>
      <c r="BG22" s="392"/>
      <c r="BH22" s="392"/>
      <c r="BI22" s="308"/>
      <c r="BJ22" s="308"/>
      <c r="BK22" s="382"/>
      <c r="BL22" s="376"/>
      <c r="BM22" s="375"/>
      <c r="BN22" s="349">
        <f t="shared" si="14"/>
        <v>267400</v>
      </c>
    </row>
    <row r="23" spans="1:66" ht="16.5" customHeight="1" x14ac:dyDescent="0.2">
      <c r="D23" s="45" t="s">
        <v>119</v>
      </c>
      <c r="E23" s="5">
        <v>20004</v>
      </c>
      <c r="F23" s="5" t="s">
        <v>291</v>
      </c>
      <c r="G23" s="6" t="s">
        <v>53</v>
      </c>
      <c r="H23" s="6" t="s">
        <v>144</v>
      </c>
      <c r="I23" s="6" t="s">
        <v>43</v>
      </c>
      <c r="J23" s="2">
        <v>498123.45679012348</v>
      </c>
      <c r="K23" s="2">
        <v>498123.45679012348</v>
      </c>
      <c r="L23" s="2">
        <f t="shared" si="26"/>
        <v>498123</v>
      </c>
      <c r="M23" s="2">
        <f t="shared" si="27"/>
        <v>515632</v>
      </c>
      <c r="N23" s="2">
        <v>0</v>
      </c>
      <c r="O23" s="2">
        <v>0</v>
      </c>
      <c r="P23" s="2">
        <v>0</v>
      </c>
      <c r="Q23" s="2">
        <f t="shared" ref="Q23:Q28" si="41">ROUND(M23/117.8*118.7,0)</f>
        <v>519571</v>
      </c>
      <c r="R23" s="2">
        <v>415000</v>
      </c>
      <c r="S23" s="2">
        <f t="shared" si="29"/>
        <v>0</v>
      </c>
      <c r="T23" s="2">
        <f t="shared" si="37"/>
        <v>0</v>
      </c>
      <c r="U23" s="3">
        <f t="shared" si="38"/>
        <v>498123.45679012348</v>
      </c>
      <c r="V23" s="3">
        <f t="shared" si="39"/>
        <v>498123.45679012348</v>
      </c>
      <c r="W23" s="2"/>
      <c r="X23" s="2">
        <f>ROUND(R23/120.4*120.7,0)</f>
        <v>416034</v>
      </c>
      <c r="Y23" s="2"/>
      <c r="Z23" s="4">
        <f t="shared" si="34"/>
        <v>498123</v>
      </c>
      <c r="AA23" s="11">
        <v>770000</v>
      </c>
      <c r="AB23" s="4"/>
      <c r="AC23" s="121">
        <f t="shared" si="15"/>
        <v>786356</v>
      </c>
      <c r="AD23" s="121">
        <f t="shared" si="10"/>
        <v>0</v>
      </c>
      <c r="AE23" s="120">
        <f t="shared" si="11"/>
        <v>786356</v>
      </c>
      <c r="AF23" s="110">
        <v>786356</v>
      </c>
      <c r="AG23" s="110"/>
      <c r="AH23" s="110">
        <f t="shared" si="12"/>
        <v>786356</v>
      </c>
      <c r="AI23" s="4">
        <v>786356</v>
      </c>
      <c r="AJ23" s="301">
        <v>125</v>
      </c>
      <c r="AK23" s="4">
        <v>0</v>
      </c>
      <c r="AL23" s="301"/>
      <c r="AM23" s="4">
        <f t="shared" si="13"/>
        <v>786356</v>
      </c>
      <c r="AN23" s="47"/>
      <c r="AO23" s="47"/>
      <c r="AP23" s="47"/>
      <c r="AQ23" s="47"/>
      <c r="AR23" s="47"/>
      <c r="AS23" s="48" t="s">
        <v>180</v>
      </c>
      <c r="AX23" s="368">
        <f t="shared" si="40"/>
        <v>889525.90720000002</v>
      </c>
      <c r="AY23" s="336">
        <f t="shared" si="17"/>
        <v>934002.20256000012</v>
      </c>
      <c r="AZ23" s="391">
        <f t="shared" si="18"/>
        <v>960687.97977600002</v>
      </c>
      <c r="BA23" s="309">
        <v>42849</v>
      </c>
      <c r="BB23" s="309">
        <v>45040</v>
      </c>
      <c r="BC23" s="337">
        <v>105</v>
      </c>
      <c r="BD23" s="376">
        <v>141.4</v>
      </c>
      <c r="BE23" s="368">
        <v>0</v>
      </c>
      <c r="BF23" s="412">
        <v>108</v>
      </c>
      <c r="BG23" s="392"/>
      <c r="BH23" s="392"/>
      <c r="BI23" s="308"/>
      <c r="BJ23" s="308"/>
      <c r="BK23" s="382"/>
      <c r="BL23" s="376"/>
      <c r="BM23" s="376"/>
      <c r="BN23" s="349">
        <f t="shared" si="14"/>
        <v>960687.97977600002</v>
      </c>
    </row>
    <row r="24" spans="1:66" x14ac:dyDescent="0.2">
      <c r="D24" s="45" t="s">
        <v>119</v>
      </c>
      <c r="E24" s="5">
        <v>20004</v>
      </c>
      <c r="F24" s="5" t="s">
        <v>51</v>
      </c>
      <c r="G24" s="6" t="s">
        <v>53</v>
      </c>
      <c r="H24" s="6" t="s">
        <v>144</v>
      </c>
      <c r="I24" s="6" t="s">
        <v>43</v>
      </c>
      <c r="J24" s="2">
        <v>18061.728395061727</v>
      </c>
      <c r="K24" s="2">
        <v>18061.728395061727</v>
      </c>
      <c r="L24" s="2">
        <f t="shared" si="26"/>
        <v>18062</v>
      </c>
      <c r="M24" s="2">
        <f t="shared" si="27"/>
        <v>18697</v>
      </c>
      <c r="N24" s="2">
        <v>0</v>
      </c>
      <c r="O24" s="2">
        <v>0</v>
      </c>
      <c r="P24" s="2">
        <v>0</v>
      </c>
      <c r="Q24" s="2">
        <f t="shared" si="41"/>
        <v>18840</v>
      </c>
      <c r="R24" s="2">
        <f>ROUND(Q24*11.36%+Q24,0)</f>
        <v>20980</v>
      </c>
      <c r="S24" s="2">
        <f t="shared" si="29"/>
        <v>0</v>
      </c>
      <c r="T24" s="2">
        <f t="shared" si="37"/>
        <v>0</v>
      </c>
      <c r="U24" s="3">
        <f t="shared" si="38"/>
        <v>18061.728395061727</v>
      </c>
      <c r="V24" s="3">
        <f t="shared" si="39"/>
        <v>18061.728395061727</v>
      </c>
      <c r="W24" s="2"/>
      <c r="X24" s="2">
        <f>ROUND(R24/120.2*120.7,0)</f>
        <v>21067</v>
      </c>
      <c r="Y24" s="2"/>
      <c r="Z24" s="4">
        <f t="shared" si="34"/>
        <v>18062</v>
      </c>
      <c r="AA24" s="2">
        <f>ROUND(X24/120.7*122.4,0)</f>
        <v>21364</v>
      </c>
      <c r="AB24" s="2">
        <f>ROUND(Y24/115.7*116.1,0)</f>
        <v>0</v>
      </c>
      <c r="AC24" s="121">
        <f t="shared" si="15"/>
        <v>21818</v>
      </c>
      <c r="AD24" s="121">
        <f t="shared" si="10"/>
        <v>0</v>
      </c>
      <c r="AE24" s="120">
        <f t="shared" si="11"/>
        <v>21818</v>
      </c>
      <c r="AF24" s="110">
        <v>21818</v>
      </c>
      <c r="AG24" s="110"/>
      <c r="AH24" s="110">
        <f t="shared" si="12"/>
        <v>21818</v>
      </c>
      <c r="AI24" s="4">
        <v>21818</v>
      </c>
      <c r="AJ24" s="301">
        <v>125</v>
      </c>
      <c r="AK24" s="4">
        <v>0</v>
      </c>
      <c r="AL24" s="301"/>
      <c r="AM24" s="4">
        <f t="shared" si="13"/>
        <v>21818</v>
      </c>
      <c r="AN24" s="47"/>
      <c r="AO24" s="47"/>
      <c r="AP24" s="47"/>
      <c r="AQ24" s="47"/>
      <c r="AR24" s="47"/>
      <c r="AX24" s="368">
        <f t="shared" si="40"/>
        <v>24680.5216</v>
      </c>
      <c r="AY24" s="334">
        <f t="shared" si="17"/>
        <v>25914.54768</v>
      </c>
      <c r="AZ24" s="391">
        <f t="shared" si="18"/>
        <v>26654.963327999998</v>
      </c>
      <c r="BA24" s="308"/>
      <c r="BB24" s="308"/>
      <c r="BC24" s="335">
        <v>105</v>
      </c>
      <c r="BD24" s="376">
        <v>141.4</v>
      </c>
      <c r="BE24" s="368">
        <v>0</v>
      </c>
      <c r="BF24" s="412">
        <v>108</v>
      </c>
      <c r="BG24" s="392"/>
      <c r="BH24" s="392"/>
      <c r="BI24" s="308"/>
      <c r="BJ24" s="308"/>
      <c r="BK24" s="382"/>
      <c r="BL24" s="376"/>
      <c r="BM24" s="375"/>
      <c r="BN24" s="349">
        <f t="shared" si="14"/>
        <v>26654.963327999998</v>
      </c>
    </row>
    <row r="25" spans="1:66" ht="15.95" customHeight="1" x14ac:dyDescent="0.2">
      <c r="D25" s="45" t="s">
        <v>120</v>
      </c>
      <c r="E25" s="5">
        <v>20011</v>
      </c>
      <c r="F25" s="5" t="s">
        <v>292</v>
      </c>
      <c r="G25" s="6" t="s">
        <v>57</v>
      </c>
      <c r="H25" s="6" t="s">
        <v>145</v>
      </c>
      <c r="I25" s="6" t="s">
        <v>43</v>
      </c>
      <c r="J25" s="2">
        <v>262370.37037037039</v>
      </c>
      <c r="K25" s="2">
        <v>262370.37037037039</v>
      </c>
      <c r="L25" s="2">
        <f t="shared" si="26"/>
        <v>262370</v>
      </c>
      <c r="M25" s="2">
        <f t="shared" si="27"/>
        <v>271592</v>
      </c>
      <c r="N25" s="2">
        <v>0</v>
      </c>
      <c r="O25" s="2">
        <v>0</v>
      </c>
      <c r="P25" s="2">
        <v>0</v>
      </c>
      <c r="Q25" s="2">
        <f t="shared" si="41"/>
        <v>273667</v>
      </c>
      <c r="R25" s="2">
        <v>230000</v>
      </c>
      <c r="S25" s="2">
        <f t="shared" si="29"/>
        <v>0</v>
      </c>
      <c r="T25" s="2">
        <f t="shared" si="37"/>
        <v>0</v>
      </c>
      <c r="U25" s="3">
        <f t="shared" si="38"/>
        <v>262370.37037037039</v>
      </c>
      <c r="V25" s="3">
        <f t="shared" si="39"/>
        <v>262370.37037037039</v>
      </c>
      <c r="W25" s="2"/>
      <c r="X25" s="2">
        <f>ROUND(R25/120.4*120.7,0)</f>
        <v>230573</v>
      </c>
      <c r="Y25" s="2"/>
      <c r="Z25" s="4">
        <f t="shared" si="34"/>
        <v>262370</v>
      </c>
      <c r="AA25" s="11">
        <v>315000</v>
      </c>
      <c r="AB25" s="4"/>
      <c r="AC25" s="121">
        <f t="shared" si="15"/>
        <v>321691</v>
      </c>
      <c r="AD25" s="121">
        <f t="shared" si="10"/>
        <v>0</v>
      </c>
      <c r="AE25" s="120">
        <f t="shared" si="11"/>
        <v>321691</v>
      </c>
      <c r="AF25" s="110">
        <v>321691</v>
      </c>
      <c r="AG25" s="110"/>
      <c r="AH25" s="110">
        <f t="shared" si="12"/>
        <v>321691</v>
      </c>
      <c r="AI25" s="4">
        <v>321691</v>
      </c>
      <c r="AJ25" s="301">
        <v>125</v>
      </c>
      <c r="AK25" s="4">
        <v>0</v>
      </c>
      <c r="AL25" s="301"/>
      <c r="AM25" s="4">
        <f t="shared" si="13"/>
        <v>321691</v>
      </c>
      <c r="AN25" s="47"/>
      <c r="AO25" s="47"/>
      <c r="AP25" s="47"/>
      <c r="AQ25" s="47"/>
      <c r="AR25" s="47"/>
      <c r="AS25" s="48" t="s">
        <v>181</v>
      </c>
      <c r="AX25" s="368">
        <f t="shared" si="40"/>
        <v>363896.85920000001</v>
      </c>
      <c r="AY25" s="336">
        <f t="shared" si="17"/>
        <v>382091.70216000004</v>
      </c>
      <c r="AZ25" s="391">
        <f t="shared" si="18"/>
        <v>393008.60793599999</v>
      </c>
      <c r="BA25" s="309">
        <v>42849</v>
      </c>
      <c r="BB25" s="309">
        <v>45040</v>
      </c>
      <c r="BC25" s="337">
        <v>105</v>
      </c>
      <c r="BD25" s="376">
        <v>141.4</v>
      </c>
      <c r="BE25" s="368">
        <v>0</v>
      </c>
      <c r="BF25" s="413">
        <v>108</v>
      </c>
      <c r="BG25" s="392"/>
      <c r="BH25" s="392"/>
      <c r="BI25" s="308"/>
      <c r="BJ25" s="308"/>
      <c r="BK25" s="382"/>
      <c r="BL25" s="376"/>
      <c r="BM25" s="376"/>
      <c r="BN25" s="349">
        <f t="shared" si="14"/>
        <v>393008.60793599999</v>
      </c>
    </row>
    <row r="26" spans="1:66" x14ac:dyDescent="0.2">
      <c r="D26" s="45" t="s">
        <v>120</v>
      </c>
      <c r="E26" s="5">
        <v>20011</v>
      </c>
      <c r="F26" s="5" t="s">
        <v>51</v>
      </c>
      <c r="G26" s="6" t="s">
        <v>57</v>
      </c>
      <c r="H26" s="6" t="s">
        <v>145</v>
      </c>
      <c r="I26" s="6" t="s">
        <v>43</v>
      </c>
      <c r="J26" s="2">
        <v>30419.753086419754</v>
      </c>
      <c r="K26" s="2">
        <v>30419.753086419754</v>
      </c>
      <c r="L26" s="2">
        <f t="shared" si="26"/>
        <v>30420</v>
      </c>
      <c r="M26" s="2">
        <f t="shared" si="27"/>
        <v>31489</v>
      </c>
      <c r="N26" s="2">
        <v>0</v>
      </c>
      <c r="O26" s="2">
        <v>0</v>
      </c>
      <c r="P26" s="2">
        <v>0</v>
      </c>
      <c r="Q26" s="2">
        <f t="shared" si="41"/>
        <v>31730</v>
      </c>
      <c r="R26" s="2">
        <f>ROUND(Q26*11.36%+Q26,0)</f>
        <v>35335</v>
      </c>
      <c r="S26" s="2">
        <f t="shared" si="29"/>
        <v>0</v>
      </c>
      <c r="T26" s="2">
        <f t="shared" si="37"/>
        <v>0</v>
      </c>
      <c r="U26" s="3">
        <f t="shared" si="38"/>
        <v>30419.753086419754</v>
      </c>
      <c r="V26" s="3">
        <f t="shared" si="39"/>
        <v>30419.753086419754</v>
      </c>
      <c r="W26" s="2"/>
      <c r="X26" s="2">
        <f t="shared" ref="X26:X32" si="42">ROUND(R26/120.2*120.7,0)</f>
        <v>35482</v>
      </c>
      <c r="Y26" s="2"/>
      <c r="Z26" s="4">
        <f t="shared" si="34"/>
        <v>30420</v>
      </c>
      <c r="AA26" s="2">
        <f>ROUND(X26/120.7*122.4,0)</f>
        <v>35982</v>
      </c>
      <c r="AB26" s="2">
        <f t="shared" ref="AB26:AB32" si="43">ROUND(Y26/115.7*116.1,0)</f>
        <v>0</v>
      </c>
      <c r="AC26" s="121">
        <f t="shared" si="15"/>
        <v>36746</v>
      </c>
      <c r="AD26" s="121">
        <f t="shared" si="10"/>
        <v>0</v>
      </c>
      <c r="AE26" s="120">
        <f t="shared" si="11"/>
        <v>36746</v>
      </c>
      <c r="AF26" s="110">
        <v>36746</v>
      </c>
      <c r="AG26" s="110"/>
      <c r="AH26" s="110">
        <f t="shared" si="12"/>
        <v>36746</v>
      </c>
      <c r="AI26" s="4">
        <v>36746</v>
      </c>
      <c r="AJ26" s="301">
        <v>125</v>
      </c>
      <c r="AK26" s="4">
        <v>0</v>
      </c>
      <c r="AL26" s="301"/>
      <c r="AM26" s="4">
        <f t="shared" si="13"/>
        <v>36746</v>
      </c>
      <c r="AN26" s="47"/>
      <c r="AO26" s="47"/>
      <c r="AP26" s="47"/>
      <c r="AQ26" s="47"/>
      <c r="AR26" s="47"/>
      <c r="AX26" s="368">
        <f t="shared" si="40"/>
        <v>41567.075199999999</v>
      </c>
      <c r="AY26" s="334">
        <f t="shared" si="17"/>
        <v>43645.428959999997</v>
      </c>
      <c r="AZ26" s="391">
        <f t="shared" si="18"/>
        <v>44892.441215999992</v>
      </c>
      <c r="BA26" s="308"/>
      <c r="BB26" s="308"/>
      <c r="BC26" s="335">
        <v>105</v>
      </c>
      <c r="BD26" s="376">
        <v>141.4</v>
      </c>
      <c r="BE26" s="368">
        <v>0</v>
      </c>
      <c r="BF26" s="412">
        <v>108</v>
      </c>
      <c r="BG26" s="392"/>
      <c r="BH26" s="392"/>
      <c r="BI26" s="308"/>
      <c r="BJ26" s="308"/>
      <c r="BK26" s="382"/>
      <c r="BL26" s="376"/>
      <c r="BM26" s="375"/>
      <c r="BN26" s="349">
        <f t="shared" si="14"/>
        <v>44892.441215999992</v>
      </c>
    </row>
    <row r="27" spans="1:66" x14ac:dyDescent="0.2">
      <c r="A27" s="44"/>
      <c r="B27" s="44"/>
      <c r="C27" s="44"/>
      <c r="D27" s="45" t="s">
        <v>125</v>
      </c>
      <c r="E27" s="5"/>
      <c r="F27" s="5" t="s">
        <v>100</v>
      </c>
      <c r="G27" s="5"/>
      <c r="H27" s="5"/>
      <c r="I27" s="5" t="s">
        <v>43</v>
      </c>
      <c r="J27" s="2">
        <v>35172.839506172837</v>
      </c>
      <c r="K27" s="2">
        <v>35172.839506172837</v>
      </c>
      <c r="L27" s="2">
        <f t="shared" si="26"/>
        <v>35173</v>
      </c>
      <c r="M27" s="2">
        <f t="shared" si="27"/>
        <v>36409</v>
      </c>
      <c r="N27" s="2">
        <v>0</v>
      </c>
      <c r="O27" s="2">
        <v>0</v>
      </c>
      <c r="P27" s="2">
        <v>0</v>
      </c>
      <c r="Q27" s="2">
        <f t="shared" si="41"/>
        <v>36687</v>
      </c>
      <c r="R27" s="2">
        <f>ROUND(Q27*11.36%+Q27,0)</f>
        <v>40855</v>
      </c>
      <c r="S27" s="2">
        <f t="shared" si="29"/>
        <v>0</v>
      </c>
      <c r="T27" s="2">
        <f t="shared" si="37"/>
        <v>0</v>
      </c>
      <c r="U27" s="3">
        <f t="shared" si="38"/>
        <v>35172.839506172837</v>
      </c>
      <c r="V27" s="3">
        <f t="shared" si="39"/>
        <v>35172.839506172837</v>
      </c>
      <c r="W27" s="2"/>
      <c r="X27" s="2">
        <f t="shared" si="42"/>
        <v>41025</v>
      </c>
      <c r="Y27" s="2"/>
      <c r="Z27" s="4">
        <f t="shared" si="34"/>
        <v>35173</v>
      </c>
      <c r="AA27" s="2">
        <f>ROUND(X27/120.7*122.4,0)</f>
        <v>41603</v>
      </c>
      <c r="AB27" s="2">
        <f t="shared" si="43"/>
        <v>0</v>
      </c>
      <c r="AC27" s="121">
        <f t="shared" si="15"/>
        <v>42487</v>
      </c>
      <c r="AD27" s="121">
        <f t="shared" si="10"/>
        <v>0</v>
      </c>
      <c r="AE27" s="120">
        <f t="shared" si="11"/>
        <v>42487</v>
      </c>
      <c r="AF27" s="118">
        <v>45000</v>
      </c>
      <c r="AG27" s="110"/>
      <c r="AH27" s="110">
        <f t="shared" si="12"/>
        <v>45000</v>
      </c>
      <c r="AI27" s="4">
        <v>45000</v>
      </c>
      <c r="AJ27" s="306">
        <v>131.5</v>
      </c>
      <c r="AK27" s="4"/>
      <c r="AL27" s="301"/>
      <c r="AM27" s="4">
        <f t="shared" si="13"/>
        <v>45000</v>
      </c>
      <c r="AN27" s="297" t="s">
        <v>226</v>
      </c>
      <c r="AO27" s="297">
        <v>45000</v>
      </c>
      <c r="AP27" s="297"/>
      <c r="AQ27" s="297">
        <v>0</v>
      </c>
      <c r="AR27" s="297">
        <f t="shared" si="16"/>
        <v>45000</v>
      </c>
      <c r="AS27" s="30"/>
      <c r="AT27" s="54"/>
      <c r="AU27" s="54"/>
      <c r="AV27" s="54"/>
      <c r="AX27" s="368">
        <f t="shared" si="40"/>
        <v>48387.832699619772</v>
      </c>
      <c r="AY27" s="336">
        <f t="shared" si="17"/>
        <v>50807.22433460076</v>
      </c>
      <c r="AZ27" s="391">
        <f t="shared" si="18"/>
        <v>52258.859315589347</v>
      </c>
      <c r="BA27" s="309">
        <v>43439</v>
      </c>
      <c r="BB27" s="309">
        <v>45631</v>
      </c>
      <c r="BC27" s="337">
        <v>105</v>
      </c>
      <c r="BD27" s="376">
        <v>141.4</v>
      </c>
      <c r="BE27" s="368">
        <v>0</v>
      </c>
      <c r="BF27" s="412">
        <v>108</v>
      </c>
      <c r="BG27" s="392"/>
      <c r="BH27" s="392"/>
      <c r="BI27" s="308"/>
      <c r="BJ27" s="308"/>
      <c r="BK27" s="382"/>
      <c r="BL27" s="376"/>
      <c r="BM27" s="376"/>
      <c r="BN27" s="349">
        <f t="shared" si="14"/>
        <v>52258.859315589347</v>
      </c>
    </row>
    <row r="28" spans="1:66" x14ac:dyDescent="0.2">
      <c r="A28" s="44"/>
      <c r="B28" s="44"/>
      <c r="C28" s="44"/>
      <c r="D28" s="45" t="s">
        <v>124</v>
      </c>
      <c r="E28" s="5">
        <v>10501</v>
      </c>
      <c r="F28" s="5" t="s">
        <v>72</v>
      </c>
      <c r="G28" s="6" t="s">
        <v>73</v>
      </c>
      <c r="H28" s="6" t="s">
        <v>153</v>
      </c>
      <c r="I28" s="6" t="s">
        <v>39</v>
      </c>
      <c r="J28" s="2">
        <v>412567.90123456792</v>
      </c>
      <c r="K28" s="2">
        <v>412567.90123456792</v>
      </c>
      <c r="L28" s="2">
        <f t="shared" si="26"/>
        <v>412568</v>
      </c>
      <c r="M28" s="2">
        <f t="shared" si="27"/>
        <v>427070</v>
      </c>
      <c r="N28" s="2">
        <v>0</v>
      </c>
      <c r="O28" s="2">
        <v>0</v>
      </c>
      <c r="P28" s="2">
        <v>0</v>
      </c>
      <c r="Q28" s="2">
        <f t="shared" si="41"/>
        <v>430333</v>
      </c>
      <c r="R28" s="2">
        <f>ROUND(Q28*11.36%+Q28,0)</f>
        <v>479219</v>
      </c>
      <c r="S28" s="2">
        <f t="shared" si="29"/>
        <v>0</v>
      </c>
      <c r="T28" s="2">
        <f t="shared" si="37"/>
        <v>0</v>
      </c>
      <c r="U28" s="3">
        <f t="shared" si="38"/>
        <v>412567.90123456792</v>
      </c>
      <c r="V28" s="3">
        <f t="shared" si="39"/>
        <v>412567.90123456792</v>
      </c>
      <c r="W28" s="2"/>
      <c r="X28" s="2">
        <f t="shared" si="42"/>
        <v>481212</v>
      </c>
      <c r="Y28" s="2"/>
      <c r="Z28" s="4">
        <f t="shared" si="34"/>
        <v>412568</v>
      </c>
      <c r="AA28" s="2">
        <f>ROUND(X28/120.7*122.4,0)</f>
        <v>487990</v>
      </c>
      <c r="AB28" s="2">
        <f t="shared" si="43"/>
        <v>0</v>
      </c>
      <c r="AC28" s="121">
        <f t="shared" si="15"/>
        <v>498356</v>
      </c>
      <c r="AD28" s="121">
        <f t="shared" si="10"/>
        <v>0</v>
      </c>
      <c r="AE28" s="120">
        <f t="shared" si="11"/>
        <v>498356</v>
      </c>
      <c r="AF28" s="118">
        <v>450000</v>
      </c>
      <c r="AG28" s="110"/>
      <c r="AH28" s="110">
        <f t="shared" si="12"/>
        <v>450000</v>
      </c>
      <c r="AI28" s="4">
        <v>450000</v>
      </c>
      <c r="AJ28" s="306">
        <v>131.5</v>
      </c>
      <c r="AK28" s="4"/>
      <c r="AL28" s="301"/>
      <c r="AM28" s="4">
        <f t="shared" si="13"/>
        <v>450000</v>
      </c>
      <c r="AN28" s="297" t="s">
        <v>226</v>
      </c>
      <c r="AO28" s="297">
        <v>450000</v>
      </c>
      <c r="AP28" s="297"/>
      <c r="AQ28" s="297"/>
      <c r="AR28" s="297">
        <f t="shared" si="16"/>
        <v>450000</v>
      </c>
      <c r="AS28" s="30"/>
      <c r="AT28" s="54"/>
      <c r="AU28" s="54"/>
      <c r="AV28" s="54"/>
      <c r="AX28" s="368">
        <f t="shared" si="40"/>
        <v>483878.32699619775</v>
      </c>
      <c r="AY28" s="334">
        <f t="shared" si="17"/>
        <v>508072.24334600766</v>
      </c>
      <c r="AZ28" s="391">
        <f t="shared" si="18"/>
        <v>522588.59315589356</v>
      </c>
      <c r="BA28" s="309">
        <v>43425</v>
      </c>
      <c r="BB28" s="309">
        <v>45617</v>
      </c>
      <c r="BC28" s="335">
        <v>105</v>
      </c>
      <c r="BD28" s="376">
        <v>141.4</v>
      </c>
      <c r="BE28" s="368">
        <v>0</v>
      </c>
      <c r="BF28" s="413">
        <v>108</v>
      </c>
      <c r="BG28" s="392"/>
      <c r="BH28" s="392"/>
      <c r="BI28" s="308"/>
      <c r="BJ28" s="308"/>
      <c r="BK28" s="382"/>
      <c r="BL28" s="376"/>
      <c r="BM28" s="375"/>
      <c r="BN28" s="349">
        <f t="shared" si="14"/>
        <v>522588.59315589356</v>
      </c>
    </row>
    <row r="29" spans="1:66" s="54" customFormat="1" ht="36" x14ac:dyDescent="0.2">
      <c r="D29" s="45" t="s">
        <v>115</v>
      </c>
      <c r="E29" s="5">
        <v>12002</v>
      </c>
      <c r="F29" s="5" t="s">
        <v>281</v>
      </c>
      <c r="G29" s="6" t="s">
        <v>64</v>
      </c>
      <c r="H29" s="6" t="s">
        <v>152</v>
      </c>
      <c r="I29" s="6" t="s">
        <v>39</v>
      </c>
      <c r="J29" s="2">
        <v>3521086.4197530863</v>
      </c>
      <c r="K29" s="2">
        <v>3521086.4197530863</v>
      </c>
      <c r="L29" s="2">
        <f t="shared" si="26"/>
        <v>3521086</v>
      </c>
      <c r="M29" s="2">
        <f t="shared" si="27"/>
        <v>3644850</v>
      </c>
      <c r="N29" s="2">
        <v>336518.51851851854</v>
      </c>
      <c r="O29" s="2">
        <v>0</v>
      </c>
      <c r="P29" s="2">
        <v>336518.51851851854</v>
      </c>
      <c r="Q29" s="11">
        <v>3500000</v>
      </c>
      <c r="R29" s="2">
        <f>ROUND(Q29/119.5*120.2,0)</f>
        <v>3520502</v>
      </c>
      <c r="S29" s="2">
        <f t="shared" si="29"/>
        <v>336519</v>
      </c>
      <c r="T29" s="2">
        <f t="shared" si="37"/>
        <v>345630</v>
      </c>
      <c r="U29" s="3">
        <f t="shared" si="38"/>
        <v>3857604.9382716049</v>
      </c>
      <c r="V29" s="3">
        <f t="shared" si="39"/>
        <v>3857604.9382716049</v>
      </c>
      <c r="W29" s="11">
        <v>185000</v>
      </c>
      <c r="X29" s="2">
        <f t="shared" si="42"/>
        <v>3535146</v>
      </c>
      <c r="Y29" s="2">
        <f>ROUND(W29/115.2*115.7,0)</f>
        <v>185803</v>
      </c>
      <c r="Z29" s="4">
        <f t="shared" si="34"/>
        <v>3857605</v>
      </c>
      <c r="AA29" s="2">
        <f>ROUND(X29/120.7*122.4,0)</f>
        <v>3584937</v>
      </c>
      <c r="AB29" s="2">
        <f t="shared" si="43"/>
        <v>186445</v>
      </c>
      <c r="AC29" s="2">
        <f t="shared" si="15"/>
        <v>3661088</v>
      </c>
      <c r="AD29" s="2">
        <f t="shared" si="10"/>
        <v>189817</v>
      </c>
      <c r="AE29" s="4">
        <f t="shared" si="11"/>
        <v>3850905</v>
      </c>
      <c r="AF29" s="4">
        <v>3661088</v>
      </c>
      <c r="AG29" s="4">
        <v>415000</v>
      </c>
      <c r="AH29" s="4">
        <f t="shared" si="12"/>
        <v>4076088</v>
      </c>
      <c r="AI29" s="4">
        <v>3661088</v>
      </c>
      <c r="AJ29" s="301">
        <v>125</v>
      </c>
      <c r="AK29" s="4">
        <v>415000</v>
      </c>
      <c r="AL29" s="301">
        <v>119.9</v>
      </c>
      <c r="AM29" s="4">
        <f t="shared" si="13"/>
        <v>4076088</v>
      </c>
      <c r="AN29" s="297" t="s">
        <v>229</v>
      </c>
      <c r="AO29" s="297">
        <v>3661088</v>
      </c>
      <c r="AP29" s="296" t="s">
        <v>234</v>
      </c>
      <c r="AQ29" s="297">
        <v>415000</v>
      </c>
      <c r="AR29" s="297">
        <f t="shared" si="16"/>
        <v>4076088</v>
      </c>
      <c r="AS29" s="30" t="s">
        <v>214</v>
      </c>
      <c r="AX29" s="368">
        <f t="shared" ref="AX29:AX41" si="44">BD29/AJ29*AI29</f>
        <v>4141422.7456</v>
      </c>
      <c r="AY29" s="336">
        <f t="shared" si="17"/>
        <v>4348493.8828800004</v>
      </c>
      <c r="AZ29" s="391">
        <f t="shared" si="18"/>
        <v>4472736.5652479995</v>
      </c>
      <c r="BA29" s="309">
        <v>42038</v>
      </c>
      <c r="BB29" s="309">
        <v>44230</v>
      </c>
      <c r="BC29" s="337">
        <v>105</v>
      </c>
      <c r="BD29" s="376">
        <v>141.4</v>
      </c>
      <c r="BE29" s="368">
        <f>BL29/AL29*AK29</f>
        <v>427806.50542118429</v>
      </c>
      <c r="BF29" s="412">
        <v>108</v>
      </c>
      <c r="BG29" s="392">
        <f>BE29/100*101.6</f>
        <v>434651.40950792324</v>
      </c>
      <c r="BH29" s="392">
        <f>BM29/BK29*BG29</f>
        <v>442779.73311092571</v>
      </c>
      <c r="BI29" s="309">
        <v>43425</v>
      </c>
      <c r="BJ29" s="309">
        <v>44521</v>
      </c>
      <c r="BK29" s="382">
        <v>101.6</v>
      </c>
      <c r="BL29" s="376">
        <v>123.6</v>
      </c>
      <c r="BM29" s="376">
        <v>103.5</v>
      </c>
      <c r="BN29" s="349">
        <f t="shared" si="14"/>
        <v>4915516.2983589256</v>
      </c>
    </row>
    <row r="30" spans="1:66" s="54" customFormat="1" ht="16.5" customHeight="1" x14ac:dyDescent="0.2">
      <c r="A30" s="54" t="s">
        <v>36</v>
      </c>
      <c r="D30" s="45" t="s">
        <v>117</v>
      </c>
      <c r="E30" s="5">
        <v>32401</v>
      </c>
      <c r="F30" s="5" t="s">
        <v>37</v>
      </c>
      <c r="G30" s="6" t="s">
        <v>38</v>
      </c>
      <c r="H30" s="6" t="s">
        <v>148</v>
      </c>
      <c r="I30" s="6" t="s">
        <v>39</v>
      </c>
      <c r="J30" s="2">
        <v>296592.59259259253</v>
      </c>
      <c r="K30" s="2">
        <v>296592.59259259253</v>
      </c>
      <c r="L30" s="2">
        <f t="shared" si="26"/>
        <v>296593</v>
      </c>
      <c r="M30" s="2">
        <f t="shared" si="27"/>
        <v>307018</v>
      </c>
      <c r="N30" s="2">
        <v>26617.283950617282</v>
      </c>
      <c r="O30" s="2">
        <v>0</v>
      </c>
      <c r="P30" s="2">
        <v>26617.283950617282</v>
      </c>
      <c r="Q30" s="2">
        <f t="shared" ref="Q30:Q34" si="45">ROUND(M30/117.8*118.7,0)</f>
        <v>309364</v>
      </c>
      <c r="R30" s="2">
        <f>ROUND(Q30*11.36%+Q30,0)</f>
        <v>344508</v>
      </c>
      <c r="S30" s="2">
        <f t="shared" si="29"/>
        <v>26617</v>
      </c>
      <c r="T30" s="2">
        <v>0</v>
      </c>
      <c r="U30" s="3"/>
      <c r="V30" s="3"/>
      <c r="W30" s="2"/>
      <c r="X30" s="2">
        <f t="shared" si="42"/>
        <v>345941</v>
      </c>
      <c r="Y30" s="12"/>
      <c r="Z30" s="4">
        <f t="shared" si="34"/>
        <v>323210</v>
      </c>
      <c r="AA30" s="11">
        <v>325000</v>
      </c>
      <c r="AB30" s="2">
        <f t="shared" si="43"/>
        <v>0</v>
      </c>
      <c r="AC30" s="121">
        <f t="shared" si="15"/>
        <v>331904</v>
      </c>
      <c r="AD30" s="121">
        <f t="shared" si="10"/>
        <v>0</v>
      </c>
      <c r="AE30" s="120">
        <f t="shared" si="11"/>
        <v>331904</v>
      </c>
      <c r="AF30" s="110">
        <v>331904</v>
      </c>
      <c r="AG30" s="110"/>
      <c r="AH30" s="110">
        <f t="shared" si="12"/>
        <v>331904</v>
      </c>
      <c r="AI30" s="4">
        <v>331904</v>
      </c>
      <c r="AJ30" s="301">
        <v>125</v>
      </c>
      <c r="AK30" s="4">
        <v>0</v>
      </c>
      <c r="AL30" s="301"/>
      <c r="AM30" s="4">
        <f t="shared" si="13"/>
        <v>331904</v>
      </c>
      <c r="AN30" s="47"/>
      <c r="AO30" s="47"/>
      <c r="AP30" s="47"/>
      <c r="AQ30" s="47"/>
      <c r="AR30" s="47"/>
      <c r="AS30" s="30" t="s">
        <v>189</v>
      </c>
      <c r="AX30" s="368">
        <f t="shared" si="44"/>
        <v>375449.80479999998</v>
      </c>
      <c r="AY30" s="334">
        <f t="shared" si="17"/>
        <v>394222.29504</v>
      </c>
      <c r="AZ30" s="391">
        <f t="shared" si="18"/>
        <v>405485.78918399994</v>
      </c>
      <c r="BA30" s="309">
        <v>43083</v>
      </c>
      <c r="BB30" s="309">
        <v>45274</v>
      </c>
      <c r="BC30" s="335">
        <v>105</v>
      </c>
      <c r="BD30" s="376">
        <v>141.4</v>
      </c>
      <c r="BE30" s="368">
        <v>0</v>
      </c>
      <c r="BF30" s="412">
        <v>108</v>
      </c>
      <c r="BG30" s="392"/>
      <c r="BH30" s="392"/>
      <c r="BI30" s="308"/>
      <c r="BJ30" s="308"/>
      <c r="BK30" s="382"/>
      <c r="BL30" s="376"/>
      <c r="BM30" s="375"/>
      <c r="BN30" s="349">
        <f t="shared" si="14"/>
        <v>405485.78918399994</v>
      </c>
    </row>
    <row r="31" spans="1:66" x14ac:dyDescent="0.2">
      <c r="D31" s="45" t="s">
        <v>121</v>
      </c>
      <c r="E31" s="5">
        <v>32301</v>
      </c>
      <c r="F31" s="5" t="s">
        <v>62</v>
      </c>
      <c r="G31" s="6" t="s">
        <v>63</v>
      </c>
      <c r="H31" s="6" t="s">
        <v>151</v>
      </c>
      <c r="I31" s="6" t="s">
        <v>39</v>
      </c>
      <c r="J31" s="2">
        <v>30419.753086419754</v>
      </c>
      <c r="K31" s="2">
        <v>30419.753086419754</v>
      </c>
      <c r="L31" s="2">
        <f t="shared" si="26"/>
        <v>30420</v>
      </c>
      <c r="M31" s="2">
        <f t="shared" si="27"/>
        <v>31489</v>
      </c>
      <c r="N31" s="2">
        <v>0</v>
      </c>
      <c r="O31" s="2">
        <v>0</v>
      </c>
      <c r="P31" s="2">
        <v>0</v>
      </c>
      <c r="Q31" s="2">
        <f t="shared" si="45"/>
        <v>31730</v>
      </c>
      <c r="R31" s="2">
        <f>ROUND(Q31*11.36%+Q31,0)</f>
        <v>35335</v>
      </c>
      <c r="S31" s="2">
        <f t="shared" si="29"/>
        <v>0</v>
      </c>
      <c r="T31" s="2">
        <f>ROUND(P31/110.8*113.8,0)</f>
        <v>0</v>
      </c>
      <c r="U31" s="3">
        <f>J31+N31</f>
        <v>30419.753086419754</v>
      </c>
      <c r="V31" s="3">
        <f>K31+P31</f>
        <v>30419.753086419754</v>
      </c>
      <c r="W31" s="2"/>
      <c r="X31" s="2">
        <f t="shared" si="42"/>
        <v>35482</v>
      </c>
      <c r="Y31" s="12"/>
      <c r="Z31" s="4">
        <f t="shared" si="34"/>
        <v>30420</v>
      </c>
      <c r="AA31" s="2">
        <f>ROUND(X31/120.7*122.4,0)</f>
        <v>35982</v>
      </c>
      <c r="AB31" s="2">
        <f t="shared" si="43"/>
        <v>0</v>
      </c>
      <c r="AC31" s="121">
        <f t="shared" si="15"/>
        <v>36746</v>
      </c>
      <c r="AD31" s="121">
        <f t="shared" si="10"/>
        <v>0</v>
      </c>
      <c r="AE31" s="120">
        <f t="shared" si="11"/>
        <v>36746</v>
      </c>
      <c r="AF31" s="118">
        <v>35000</v>
      </c>
      <c r="AG31" s="110"/>
      <c r="AH31" s="110">
        <f t="shared" si="12"/>
        <v>35000</v>
      </c>
      <c r="AI31" s="4">
        <v>35000</v>
      </c>
      <c r="AJ31" s="306">
        <v>131.5</v>
      </c>
      <c r="AK31" s="4">
        <v>0</v>
      </c>
      <c r="AL31" s="301"/>
      <c r="AM31" s="4">
        <f t="shared" si="13"/>
        <v>35000</v>
      </c>
      <c r="AN31" s="297" t="s">
        <v>235</v>
      </c>
      <c r="AO31" s="297">
        <v>35000</v>
      </c>
      <c r="AP31" s="297"/>
      <c r="AQ31" s="297">
        <v>0</v>
      </c>
      <c r="AR31" s="297">
        <f t="shared" si="16"/>
        <v>35000</v>
      </c>
      <c r="AS31" s="30"/>
      <c r="AT31" s="54"/>
      <c r="AU31" s="54"/>
      <c r="AV31" s="54"/>
      <c r="AX31" s="368">
        <f t="shared" si="44"/>
        <v>37634.980988593161</v>
      </c>
      <c r="AY31" s="336">
        <f t="shared" si="17"/>
        <v>39516.730038022819</v>
      </c>
      <c r="AZ31" s="391">
        <f t="shared" si="18"/>
        <v>40645.779467680608</v>
      </c>
      <c r="BA31" s="309">
        <v>43440</v>
      </c>
      <c r="BB31" s="309">
        <v>45632</v>
      </c>
      <c r="BC31" s="337">
        <v>105</v>
      </c>
      <c r="BD31" s="376">
        <v>141.4</v>
      </c>
      <c r="BE31" s="368">
        <v>0</v>
      </c>
      <c r="BF31" s="413">
        <v>108</v>
      </c>
      <c r="BG31" s="392"/>
      <c r="BH31" s="392"/>
      <c r="BI31" s="308"/>
      <c r="BJ31" s="308"/>
      <c r="BK31" s="382"/>
      <c r="BL31" s="376"/>
      <c r="BM31" s="376"/>
      <c r="BN31" s="349">
        <f t="shared" si="14"/>
        <v>40645.779467680608</v>
      </c>
    </row>
    <row r="32" spans="1:66" ht="16.5" customHeight="1" x14ac:dyDescent="0.2">
      <c r="D32" s="45" t="s">
        <v>121</v>
      </c>
      <c r="E32" s="5">
        <v>42600</v>
      </c>
      <c r="F32" s="5" t="s">
        <v>60</v>
      </c>
      <c r="G32" s="6" t="s">
        <v>61</v>
      </c>
      <c r="H32" s="6" t="s">
        <v>150</v>
      </c>
      <c r="I32" s="6" t="s">
        <v>39</v>
      </c>
      <c r="J32" s="2">
        <v>1159753.0864197533</v>
      </c>
      <c r="K32" s="2">
        <v>1159753.0864197533</v>
      </c>
      <c r="L32" s="2">
        <f t="shared" si="26"/>
        <v>1159753</v>
      </c>
      <c r="M32" s="2">
        <f t="shared" si="27"/>
        <v>1200518</v>
      </c>
      <c r="N32" s="2">
        <v>0</v>
      </c>
      <c r="O32" s="2">
        <v>0</v>
      </c>
      <c r="P32" s="2">
        <v>0</v>
      </c>
      <c r="Q32" s="2">
        <f t="shared" si="45"/>
        <v>1209690</v>
      </c>
      <c r="R32" s="2">
        <f>ROUND(Q32*11.36%+Q32,0)</f>
        <v>1347111</v>
      </c>
      <c r="S32" s="2">
        <f t="shared" si="29"/>
        <v>0</v>
      </c>
      <c r="T32" s="2">
        <f>ROUND(P32/110.8*113.8,0)</f>
        <v>0</v>
      </c>
      <c r="U32" s="3">
        <f>J32+N32</f>
        <v>1159753.0864197533</v>
      </c>
      <c r="V32" s="3">
        <f>K32+P32</f>
        <v>1159753.0864197533</v>
      </c>
      <c r="W32" s="2"/>
      <c r="X32" s="2">
        <f t="shared" si="42"/>
        <v>1352715</v>
      </c>
      <c r="Y32" s="12"/>
      <c r="Z32" s="4">
        <f t="shared" si="34"/>
        <v>1159753</v>
      </c>
      <c r="AA32" s="11">
        <v>2090000</v>
      </c>
      <c r="AB32" s="2">
        <f t="shared" si="43"/>
        <v>0</v>
      </c>
      <c r="AC32" s="121">
        <f t="shared" si="15"/>
        <v>2134395</v>
      </c>
      <c r="AD32" s="121">
        <f t="shared" si="10"/>
        <v>0</v>
      </c>
      <c r="AE32" s="120">
        <f t="shared" si="11"/>
        <v>2134395</v>
      </c>
      <c r="AF32" s="110">
        <v>2134395</v>
      </c>
      <c r="AG32" s="110"/>
      <c r="AH32" s="110">
        <f t="shared" si="12"/>
        <v>2134395</v>
      </c>
      <c r="AI32" s="4">
        <v>2134395</v>
      </c>
      <c r="AJ32" s="301">
        <v>125</v>
      </c>
      <c r="AK32" s="4">
        <v>0</v>
      </c>
      <c r="AL32" s="301"/>
      <c r="AM32" s="4">
        <f t="shared" si="13"/>
        <v>2134395</v>
      </c>
      <c r="AN32" s="47"/>
      <c r="AO32" s="47"/>
      <c r="AP32" s="47"/>
      <c r="AQ32" s="47"/>
      <c r="AR32" s="47"/>
      <c r="AS32" s="30" t="s">
        <v>191</v>
      </c>
      <c r="AX32" s="368">
        <f t="shared" si="44"/>
        <v>2414427.6239999998</v>
      </c>
      <c r="AY32" s="334">
        <f t="shared" si="17"/>
        <v>2535149.0052</v>
      </c>
      <c r="AZ32" s="391">
        <f t="shared" si="18"/>
        <v>2607581.8339199997</v>
      </c>
      <c r="BA32" s="309">
        <v>43083</v>
      </c>
      <c r="BB32" s="309">
        <v>45274</v>
      </c>
      <c r="BC32" s="335">
        <v>105</v>
      </c>
      <c r="BD32" s="376">
        <v>141.4</v>
      </c>
      <c r="BE32" s="368">
        <v>0</v>
      </c>
      <c r="BF32" s="412">
        <v>108</v>
      </c>
      <c r="BG32" s="392"/>
      <c r="BH32" s="392"/>
      <c r="BI32" s="308"/>
      <c r="BJ32" s="308"/>
      <c r="BK32" s="382"/>
      <c r="BL32" s="376"/>
      <c r="BM32" s="375"/>
      <c r="BN32" s="349">
        <f t="shared" si="14"/>
        <v>2607581.8339199997</v>
      </c>
    </row>
    <row r="33" spans="1:66" x14ac:dyDescent="0.2">
      <c r="D33" s="45" t="s">
        <v>119</v>
      </c>
      <c r="E33" s="5">
        <v>20003</v>
      </c>
      <c r="F33" s="5" t="s">
        <v>236</v>
      </c>
      <c r="G33" s="6" t="s">
        <v>52</v>
      </c>
      <c r="H33" s="6" t="s">
        <v>149</v>
      </c>
      <c r="I33" s="6" t="s">
        <v>39</v>
      </c>
      <c r="J33" s="2">
        <v>18061.728395061727</v>
      </c>
      <c r="K33" s="2">
        <v>18061.728395061727</v>
      </c>
      <c r="L33" s="2">
        <f t="shared" si="26"/>
        <v>18062</v>
      </c>
      <c r="M33" s="2">
        <f t="shared" si="27"/>
        <v>18697</v>
      </c>
      <c r="N33" s="2">
        <v>0</v>
      </c>
      <c r="O33" s="2">
        <v>0</v>
      </c>
      <c r="P33" s="2">
        <v>0</v>
      </c>
      <c r="Q33" s="2">
        <f t="shared" si="45"/>
        <v>18840</v>
      </c>
      <c r="R33" s="2">
        <f>ROUND(Q33*11.36%+Q33,0)</f>
        <v>20980</v>
      </c>
      <c r="S33" s="2">
        <f t="shared" si="29"/>
        <v>0</v>
      </c>
      <c r="T33" s="2">
        <f>ROUND(P33/110.8*113.8,0)</f>
        <v>0</v>
      </c>
      <c r="U33" s="3">
        <f>J33+N33</f>
        <v>18061.728395061727</v>
      </c>
      <c r="V33" s="3">
        <f>K33+P33</f>
        <v>18061.728395061727</v>
      </c>
      <c r="W33" s="2"/>
      <c r="X33" s="2">
        <f>ROUND(R33/120.2*120.7,0)</f>
        <v>21067</v>
      </c>
      <c r="Y33" s="2"/>
      <c r="Z33" s="4">
        <f t="shared" si="34"/>
        <v>18062</v>
      </c>
      <c r="AA33" s="2">
        <f>ROUND(X33/120.7*122.4,0)</f>
        <v>21364</v>
      </c>
      <c r="AB33" s="2">
        <f>ROUND(Y33/115.7*116.1,0)</f>
        <v>0</v>
      </c>
      <c r="AC33" s="121">
        <f t="shared" si="15"/>
        <v>21818</v>
      </c>
      <c r="AD33" s="121">
        <f t="shared" si="10"/>
        <v>0</v>
      </c>
      <c r="AE33" s="120">
        <f t="shared" si="11"/>
        <v>21818</v>
      </c>
      <c r="AF33" s="110">
        <v>21818</v>
      </c>
      <c r="AG33" s="110"/>
      <c r="AH33" s="110">
        <f t="shared" si="12"/>
        <v>21818</v>
      </c>
      <c r="AI33" s="4">
        <v>21818</v>
      </c>
      <c r="AJ33" s="301">
        <v>125</v>
      </c>
      <c r="AK33" s="4">
        <v>0</v>
      </c>
      <c r="AL33" s="301"/>
      <c r="AM33" s="4">
        <f t="shared" si="13"/>
        <v>21818</v>
      </c>
      <c r="AN33" s="47"/>
      <c r="AO33" s="47"/>
      <c r="AP33" s="47"/>
      <c r="AQ33" s="47"/>
      <c r="AR33" s="47"/>
      <c r="AX33" s="368">
        <f t="shared" si="44"/>
        <v>24680.5216</v>
      </c>
      <c r="AY33" s="336">
        <f t="shared" si="17"/>
        <v>25914.54768</v>
      </c>
      <c r="AZ33" s="391">
        <f t="shared" si="18"/>
        <v>26654.963327999998</v>
      </c>
      <c r="BA33" s="308"/>
      <c r="BB33" s="308"/>
      <c r="BC33" s="337">
        <v>105</v>
      </c>
      <c r="BD33" s="376">
        <v>141.4</v>
      </c>
      <c r="BE33" s="368">
        <v>0</v>
      </c>
      <c r="BF33" s="412">
        <v>108</v>
      </c>
      <c r="BG33" s="392"/>
      <c r="BH33" s="392"/>
      <c r="BI33" s="308"/>
      <c r="BJ33" s="308"/>
      <c r="BK33" s="382"/>
      <c r="BL33" s="376"/>
      <c r="BM33" s="376"/>
      <c r="BN33" s="349">
        <f t="shared" si="14"/>
        <v>26654.963327999998</v>
      </c>
    </row>
    <row r="34" spans="1:66" x14ac:dyDescent="0.2">
      <c r="A34" s="44"/>
      <c r="B34" s="44"/>
      <c r="C34" s="44"/>
      <c r="D34" s="45" t="s">
        <v>125</v>
      </c>
      <c r="E34" s="5"/>
      <c r="F34" s="5" t="s">
        <v>77</v>
      </c>
      <c r="G34" s="5"/>
      <c r="H34" s="5"/>
      <c r="I34" s="5" t="s">
        <v>39</v>
      </c>
      <c r="J34" s="2">
        <v>71296.296296296307</v>
      </c>
      <c r="K34" s="2">
        <v>71296.296296296307</v>
      </c>
      <c r="L34" s="2">
        <f t="shared" si="26"/>
        <v>71296</v>
      </c>
      <c r="M34" s="2">
        <f t="shared" si="27"/>
        <v>73802</v>
      </c>
      <c r="N34" s="2">
        <v>0</v>
      </c>
      <c r="O34" s="2">
        <v>0</v>
      </c>
      <c r="P34" s="2">
        <v>0</v>
      </c>
      <c r="Q34" s="2">
        <f t="shared" si="45"/>
        <v>74366</v>
      </c>
      <c r="R34" s="2">
        <f>ROUND(Q34*11.36%+Q34,0)</f>
        <v>82814</v>
      </c>
      <c r="S34" s="2">
        <f t="shared" si="29"/>
        <v>0</v>
      </c>
      <c r="T34" s="2">
        <f>ROUND(P34/110.8*113.8,0)</f>
        <v>0</v>
      </c>
      <c r="U34" s="3">
        <f>J34+N34</f>
        <v>71296.296296296307</v>
      </c>
      <c r="V34" s="3">
        <f>K34+P34</f>
        <v>71296.296296296307</v>
      </c>
      <c r="W34" s="2"/>
      <c r="X34" s="2">
        <f>ROUND(R34/120.2*120.7,0)</f>
        <v>83158</v>
      </c>
      <c r="Y34" s="2"/>
      <c r="Z34" s="4">
        <f t="shared" si="34"/>
        <v>71296</v>
      </c>
      <c r="AA34" s="2">
        <f>ROUND(X34/120.7*122.4,0)</f>
        <v>84329</v>
      </c>
      <c r="AB34" s="2">
        <f>ROUND(Y34/115.7*116.1,0)</f>
        <v>0</v>
      </c>
      <c r="AC34" s="121">
        <f t="shared" si="15"/>
        <v>86120</v>
      </c>
      <c r="AD34" s="121">
        <f t="shared" si="10"/>
        <v>0</v>
      </c>
      <c r="AE34" s="120">
        <f t="shared" si="11"/>
        <v>86120</v>
      </c>
      <c r="AF34" s="118">
        <v>85000</v>
      </c>
      <c r="AG34" s="110"/>
      <c r="AH34" s="110">
        <f t="shared" si="12"/>
        <v>85000</v>
      </c>
      <c r="AI34" s="4">
        <v>85000</v>
      </c>
      <c r="AJ34" s="306">
        <v>131.5</v>
      </c>
      <c r="AK34" s="4">
        <v>0</v>
      </c>
      <c r="AL34" s="301"/>
      <c r="AM34" s="4">
        <f t="shared" si="13"/>
        <v>85000</v>
      </c>
      <c r="AN34" s="297" t="s">
        <v>226</v>
      </c>
      <c r="AO34" s="297">
        <v>85000</v>
      </c>
      <c r="AP34" s="297"/>
      <c r="AQ34" s="297"/>
      <c r="AR34" s="297">
        <f t="shared" si="16"/>
        <v>85000</v>
      </c>
      <c r="AS34" s="30"/>
      <c r="AT34" s="54"/>
      <c r="AU34" s="54"/>
      <c r="AV34" s="54"/>
      <c r="AX34" s="368">
        <f t="shared" si="44"/>
        <v>91399.239543726246</v>
      </c>
      <c r="AY34" s="334">
        <f t="shared" si="17"/>
        <v>95969.201520912553</v>
      </c>
      <c r="AZ34" s="391">
        <f t="shared" si="18"/>
        <v>98711.178707224331</v>
      </c>
      <c r="BA34" s="309">
        <v>43439</v>
      </c>
      <c r="BB34" s="309">
        <v>45631</v>
      </c>
      <c r="BC34" s="335">
        <v>105</v>
      </c>
      <c r="BD34" s="376">
        <v>141.4</v>
      </c>
      <c r="BE34" s="368">
        <v>0</v>
      </c>
      <c r="BF34" s="413">
        <v>108</v>
      </c>
      <c r="BG34" s="392"/>
      <c r="BH34" s="392"/>
      <c r="BI34" s="308"/>
      <c r="BJ34" s="308"/>
      <c r="BK34" s="382"/>
      <c r="BL34" s="376"/>
      <c r="BM34" s="375"/>
      <c r="BN34" s="349">
        <f t="shared" si="14"/>
        <v>98711.178707224331</v>
      </c>
    </row>
    <row r="35" spans="1:66" x14ac:dyDescent="0.2">
      <c r="D35" s="45" t="s">
        <v>121</v>
      </c>
      <c r="E35" s="5">
        <v>34105</v>
      </c>
      <c r="F35" s="5" t="s">
        <v>122</v>
      </c>
      <c r="G35" s="6" t="s">
        <v>123</v>
      </c>
      <c r="H35" s="6"/>
      <c r="I35" s="6" t="s">
        <v>35</v>
      </c>
      <c r="J35" s="2"/>
      <c r="K35" s="2"/>
      <c r="L35" s="2"/>
      <c r="M35" s="2"/>
      <c r="N35" s="2"/>
      <c r="O35" s="2"/>
      <c r="P35" s="2"/>
      <c r="Q35" s="2"/>
      <c r="R35" s="2">
        <v>60000</v>
      </c>
      <c r="S35" s="2"/>
      <c r="T35" s="2"/>
      <c r="U35" s="3"/>
      <c r="V35" s="3"/>
      <c r="W35" s="2"/>
      <c r="X35" s="2">
        <f>ROUND(R35/120.2*120.7,0)</f>
        <v>60250</v>
      </c>
      <c r="Y35" s="12"/>
      <c r="Z35" s="4"/>
      <c r="AA35" s="2">
        <f>ROUND(X35/120.7*122.4,0)</f>
        <v>61099</v>
      </c>
      <c r="AB35" s="2">
        <f>ROUND(Y35/115.7*116.1,0)</f>
        <v>0</v>
      </c>
      <c r="AC35" s="121">
        <f t="shared" si="15"/>
        <v>62397</v>
      </c>
      <c r="AD35" s="121">
        <f t="shared" si="10"/>
        <v>0</v>
      </c>
      <c r="AE35" s="120">
        <f t="shared" si="11"/>
        <v>62397</v>
      </c>
      <c r="AF35" s="118">
        <v>56000</v>
      </c>
      <c r="AG35" s="110"/>
      <c r="AH35" s="110">
        <f t="shared" si="12"/>
        <v>56000</v>
      </c>
      <c r="AI35" s="4">
        <v>56000</v>
      </c>
      <c r="AJ35" s="306">
        <v>131.5</v>
      </c>
      <c r="AK35" s="4">
        <v>0</v>
      </c>
      <c r="AL35" s="301"/>
      <c r="AM35" s="4">
        <f t="shared" si="13"/>
        <v>56000</v>
      </c>
      <c r="AN35" s="297" t="s">
        <v>238</v>
      </c>
      <c r="AO35" s="297">
        <v>56000</v>
      </c>
      <c r="AP35" s="297"/>
      <c r="AQ35" s="297"/>
      <c r="AR35" s="297">
        <f t="shared" si="16"/>
        <v>56000</v>
      </c>
      <c r="AS35" s="30"/>
      <c r="AT35" s="54"/>
      <c r="AU35" s="54"/>
      <c r="AV35" s="54"/>
      <c r="AX35" s="368">
        <f t="shared" si="44"/>
        <v>60215.96958174905</v>
      </c>
      <c r="AY35" s="334">
        <f t="shared" si="17"/>
        <v>63226.768060836504</v>
      </c>
      <c r="AZ35" s="391">
        <f t="shared" si="18"/>
        <v>65033.247148288967</v>
      </c>
      <c r="BA35" s="309">
        <v>43425</v>
      </c>
      <c r="BB35" s="309">
        <v>45617</v>
      </c>
      <c r="BC35" s="335">
        <v>105</v>
      </c>
      <c r="BD35" s="376">
        <v>141.4</v>
      </c>
      <c r="BE35" s="368">
        <v>0</v>
      </c>
      <c r="BF35" s="412">
        <v>108</v>
      </c>
      <c r="BG35" s="392"/>
      <c r="BH35" s="392"/>
      <c r="BI35" s="308"/>
      <c r="BJ35" s="308"/>
      <c r="BK35" s="382"/>
      <c r="BL35" s="376"/>
      <c r="BM35" s="375"/>
      <c r="BN35" s="349">
        <f t="shared" si="14"/>
        <v>65033.247148288967</v>
      </c>
    </row>
    <row r="36" spans="1:66" s="54" customFormat="1" ht="18" customHeight="1" x14ac:dyDescent="0.2">
      <c r="A36" s="54" t="s">
        <v>32</v>
      </c>
      <c r="D36" s="45" t="s">
        <v>117</v>
      </c>
      <c r="E36" s="5">
        <v>34006</v>
      </c>
      <c r="F36" s="5" t="s">
        <v>33</v>
      </c>
      <c r="G36" s="6" t="s">
        <v>34</v>
      </c>
      <c r="H36" s="6" t="s">
        <v>156</v>
      </c>
      <c r="I36" s="6" t="s">
        <v>35</v>
      </c>
      <c r="J36" s="2">
        <v>360283.95061728393</v>
      </c>
      <c r="K36" s="2">
        <v>360283.95061728393</v>
      </c>
      <c r="L36" s="2">
        <f t="shared" ref="L36:L43" si="46">ROUND(J36,0)</f>
        <v>360284</v>
      </c>
      <c r="M36" s="2">
        <f t="shared" ref="M36:M43" si="47">ROUND(L36/113.8*117.8,0)</f>
        <v>372948</v>
      </c>
      <c r="N36" s="2">
        <v>26617.283950617282</v>
      </c>
      <c r="O36" s="2">
        <v>0</v>
      </c>
      <c r="P36" s="2">
        <v>26617.283950617282</v>
      </c>
      <c r="Q36" s="2">
        <f>ROUND(M36/117.8*118.7,0)</f>
        <v>375797</v>
      </c>
      <c r="R36" s="2">
        <f>ROUND(Q36*11.36%+Q36,0)</f>
        <v>418488</v>
      </c>
      <c r="S36" s="2">
        <f t="shared" ref="S36:S42" si="48">ROUND(N36,0)</f>
        <v>26617</v>
      </c>
      <c r="T36" s="2">
        <v>0</v>
      </c>
      <c r="U36" s="3"/>
      <c r="V36" s="3"/>
      <c r="W36" s="2"/>
      <c r="X36" s="2">
        <f>ROUND(R36/120.2*120.7,0)</f>
        <v>420229</v>
      </c>
      <c r="Y36" s="12"/>
      <c r="Z36" s="4">
        <f t="shared" ref="Z36:Z43" si="49">L36+S36</f>
        <v>386901</v>
      </c>
      <c r="AA36" s="11">
        <v>375000</v>
      </c>
      <c r="AB36" s="2">
        <f>ROUND(Y36/115.7*116.1,0)</f>
        <v>0</v>
      </c>
      <c r="AC36" s="121">
        <f t="shared" si="15"/>
        <v>382966</v>
      </c>
      <c r="AD36" s="121">
        <f t="shared" si="10"/>
        <v>0</v>
      </c>
      <c r="AE36" s="120">
        <f t="shared" si="11"/>
        <v>382966</v>
      </c>
      <c r="AF36" s="110">
        <v>382966</v>
      </c>
      <c r="AG36" s="110"/>
      <c r="AH36" s="110">
        <f t="shared" si="12"/>
        <v>382966</v>
      </c>
      <c r="AI36" s="4">
        <v>382966</v>
      </c>
      <c r="AJ36" s="301">
        <v>125</v>
      </c>
      <c r="AK36" s="4">
        <v>0</v>
      </c>
      <c r="AL36" s="301"/>
      <c r="AM36" s="4">
        <f t="shared" si="13"/>
        <v>382966</v>
      </c>
      <c r="AN36" s="47"/>
      <c r="AO36" s="47"/>
      <c r="AP36" s="47"/>
      <c r="AQ36" s="47"/>
      <c r="AR36" s="47"/>
      <c r="AS36" s="30" t="s">
        <v>188</v>
      </c>
      <c r="AX36" s="368">
        <f t="shared" si="44"/>
        <v>433211.13919999998</v>
      </c>
      <c r="AY36" s="336">
        <f t="shared" si="17"/>
        <v>454871.69615999999</v>
      </c>
      <c r="AZ36" s="391">
        <f t="shared" si="18"/>
        <v>467868.03033599997</v>
      </c>
      <c r="BA36" s="309">
        <v>43083</v>
      </c>
      <c r="BB36" s="309">
        <v>45274</v>
      </c>
      <c r="BC36" s="337">
        <v>105</v>
      </c>
      <c r="BD36" s="376">
        <v>141.4</v>
      </c>
      <c r="BE36" s="368">
        <v>0</v>
      </c>
      <c r="BF36" s="412">
        <v>108</v>
      </c>
      <c r="BG36" s="392"/>
      <c r="BH36" s="392"/>
      <c r="BI36" s="308"/>
      <c r="BJ36" s="308"/>
      <c r="BK36" s="382"/>
      <c r="BL36" s="376"/>
      <c r="BM36" s="376"/>
      <c r="BN36" s="349">
        <f t="shared" si="14"/>
        <v>467868.03033599997</v>
      </c>
    </row>
    <row r="37" spans="1:66" ht="18.75" customHeight="1" x14ac:dyDescent="0.2">
      <c r="D37" s="45" t="s">
        <v>119</v>
      </c>
      <c r="E37" s="5">
        <v>20001</v>
      </c>
      <c r="F37" s="5" t="s">
        <v>293</v>
      </c>
      <c r="G37" s="6" t="s">
        <v>50</v>
      </c>
      <c r="H37" s="6" t="s">
        <v>157</v>
      </c>
      <c r="I37" s="6" t="s">
        <v>35</v>
      </c>
      <c r="J37" s="2">
        <v>423975.30864197528</v>
      </c>
      <c r="K37" s="2">
        <v>423975.30864197528</v>
      </c>
      <c r="L37" s="2">
        <f t="shared" si="46"/>
        <v>423975</v>
      </c>
      <c r="M37" s="2">
        <f t="shared" si="47"/>
        <v>438877</v>
      </c>
      <c r="N37" s="2">
        <v>0</v>
      </c>
      <c r="O37" s="2">
        <v>0</v>
      </c>
      <c r="P37" s="2">
        <v>0</v>
      </c>
      <c r="Q37" s="2">
        <f>ROUND(M37/117.8*118.7,0)</f>
        <v>442230</v>
      </c>
      <c r="R37" s="2">
        <v>425000</v>
      </c>
      <c r="S37" s="2">
        <f t="shared" si="48"/>
        <v>0</v>
      </c>
      <c r="T37" s="2">
        <f t="shared" ref="T37:T42" si="50">ROUND(P37/110.8*113.8,0)</f>
        <v>0</v>
      </c>
      <c r="U37" s="3">
        <f t="shared" ref="U37:U43" si="51">J37+N37</f>
        <v>423975.30864197528</v>
      </c>
      <c r="V37" s="3">
        <f t="shared" ref="V37:V43" si="52">K37+P37</f>
        <v>423975.30864197528</v>
      </c>
      <c r="W37" s="2"/>
      <c r="X37" s="2">
        <f>ROUND(R37/120.4*120.7,0)</f>
        <v>426059</v>
      </c>
      <c r="Y37" s="2"/>
      <c r="Z37" s="4">
        <f t="shared" si="49"/>
        <v>423975</v>
      </c>
      <c r="AA37" s="11">
        <v>655000</v>
      </c>
      <c r="AB37" s="4"/>
      <c r="AC37" s="121">
        <f t="shared" si="15"/>
        <v>668913</v>
      </c>
      <c r="AD37" s="121">
        <f t="shared" si="10"/>
        <v>0</v>
      </c>
      <c r="AE37" s="120">
        <f t="shared" si="11"/>
        <v>668913</v>
      </c>
      <c r="AF37" s="110">
        <v>668913</v>
      </c>
      <c r="AG37" s="110"/>
      <c r="AH37" s="110">
        <f t="shared" si="12"/>
        <v>668913</v>
      </c>
      <c r="AI37" s="4">
        <v>668913</v>
      </c>
      <c r="AJ37" s="301">
        <v>125</v>
      </c>
      <c r="AK37" s="4">
        <v>0</v>
      </c>
      <c r="AL37" s="301"/>
      <c r="AM37" s="4">
        <f t="shared" si="13"/>
        <v>668913</v>
      </c>
      <c r="AN37" s="47"/>
      <c r="AO37" s="47"/>
      <c r="AP37" s="47"/>
      <c r="AQ37" s="47"/>
      <c r="AR37" s="47"/>
      <c r="AS37" s="48" t="s">
        <v>201</v>
      </c>
      <c r="AX37" s="368">
        <f t="shared" si="44"/>
        <v>756674.38560000004</v>
      </c>
      <c r="AY37" s="334">
        <f t="shared" si="17"/>
        <v>794508.10488</v>
      </c>
      <c r="AZ37" s="391">
        <f t="shared" si="18"/>
        <v>817208.33644799993</v>
      </c>
      <c r="BA37" s="309">
        <v>42849</v>
      </c>
      <c r="BB37" s="309">
        <v>45040</v>
      </c>
      <c r="BC37" s="335">
        <v>105</v>
      </c>
      <c r="BD37" s="376">
        <v>141.4</v>
      </c>
      <c r="BE37" s="368">
        <v>0</v>
      </c>
      <c r="BF37" s="413">
        <v>108</v>
      </c>
      <c r="BG37" s="392"/>
      <c r="BH37" s="392"/>
      <c r="BI37" s="308"/>
      <c r="BJ37" s="308"/>
      <c r="BK37" s="382"/>
      <c r="BL37" s="376"/>
      <c r="BM37" s="375"/>
      <c r="BN37" s="349">
        <f t="shared" si="14"/>
        <v>817208.33644799993</v>
      </c>
    </row>
    <row r="38" spans="1:66" x14ac:dyDescent="0.2">
      <c r="D38" s="45" t="s">
        <v>119</v>
      </c>
      <c r="E38" s="5">
        <v>20001</v>
      </c>
      <c r="F38" s="5" t="s">
        <v>51</v>
      </c>
      <c r="G38" s="6" t="s">
        <v>50</v>
      </c>
      <c r="H38" s="6" t="s">
        <v>157</v>
      </c>
      <c r="I38" s="6" t="s">
        <v>35</v>
      </c>
      <c r="J38" s="2">
        <v>18061.728395061727</v>
      </c>
      <c r="K38" s="2">
        <v>18061.728395061727</v>
      </c>
      <c r="L38" s="2">
        <f t="shared" si="46"/>
        <v>18062</v>
      </c>
      <c r="M38" s="2">
        <f t="shared" si="47"/>
        <v>18697</v>
      </c>
      <c r="N38" s="2">
        <v>0</v>
      </c>
      <c r="O38" s="2">
        <v>0</v>
      </c>
      <c r="P38" s="2">
        <v>0</v>
      </c>
      <c r="Q38" s="2">
        <f>ROUND(M38/117.8*118.7,0)</f>
        <v>18840</v>
      </c>
      <c r="R38" s="2">
        <f>ROUND(Q38*11.36%+Q38,0)</f>
        <v>20980</v>
      </c>
      <c r="S38" s="2">
        <f t="shared" si="48"/>
        <v>0</v>
      </c>
      <c r="T38" s="2">
        <f t="shared" si="50"/>
        <v>0</v>
      </c>
      <c r="U38" s="3">
        <f t="shared" si="51"/>
        <v>18061.728395061727</v>
      </c>
      <c r="V38" s="3">
        <f t="shared" si="52"/>
        <v>18061.728395061727</v>
      </c>
      <c r="W38" s="2"/>
      <c r="X38" s="2">
        <f>ROUND(R38/120.2*120.7,0)</f>
        <v>21067</v>
      </c>
      <c r="Y38" s="2"/>
      <c r="Z38" s="4">
        <f t="shared" si="49"/>
        <v>18062</v>
      </c>
      <c r="AA38" s="2">
        <f>ROUND(X38/120.7*122.4,0)</f>
        <v>21364</v>
      </c>
      <c r="AB38" s="2">
        <f>ROUND(Y38/115.7*116.1,0)</f>
        <v>0</v>
      </c>
      <c r="AC38" s="121">
        <f t="shared" si="15"/>
        <v>21818</v>
      </c>
      <c r="AD38" s="121">
        <f t="shared" si="10"/>
        <v>0</v>
      </c>
      <c r="AE38" s="120">
        <f t="shared" si="11"/>
        <v>21818</v>
      </c>
      <c r="AF38" s="110">
        <v>21818</v>
      </c>
      <c r="AG38" s="110"/>
      <c r="AH38" s="110">
        <f t="shared" si="12"/>
        <v>21818</v>
      </c>
      <c r="AI38" s="4">
        <v>21818</v>
      </c>
      <c r="AJ38" s="301">
        <v>125</v>
      </c>
      <c r="AK38" s="4">
        <v>0</v>
      </c>
      <c r="AL38" s="301"/>
      <c r="AM38" s="4">
        <f t="shared" si="13"/>
        <v>21818</v>
      </c>
      <c r="AN38" s="47"/>
      <c r="AO38" s="47"/>
      <c r="AP38" s="47"/>
      <c r="AQ38" s="47"/>
      <c r="AR38" s="47"/>
      <c r="AX38" s="368">
        <f t="shared" si="44"/>
        <v>24680.5216</v>
      </c>
      <c r="AY38" s="336">
        <f t="shared" si="17"/>
        <v>25914.54768</v>
      </c>
      <c r="AZ38" s="391">
        <f t="shared" si="18"/>
        <v>26654.963327999998</v>
      </c>
      <c r="BA38" s="308"/>
      <c r="BB38" s="308"/>
      <c r="BC38" s="337">
        <v>105</v>
      </c>
      <c r="BD38" s="376">
        <v>141.4</v>
      </c>
      <c r="BE38" s="368">
        <v>0</v>
      </c>
      <c r="BF38" s="412">
        <v>108</v>
      </c>
      <c r="BG38" s="392"/>
      <c r="BH38" s="392"/>
      <c r="BI38" s="308"/>
      <c r="BJ38" s="308"/>
      <c r="BK38" s="382"/>
      <c r="BL38" s="376"/>
      <c r="BM38" s="376"/>
      <c r="BN38" s="349">
        <f t="shared" si="14"/>
        <v>26654.963327999998</v>
      </c>
    </row>
    <row r="39" spans="1:66" ht="17.25" customHeight="1" x14ac:dyDescent="0.2">
      <c r="D39" s="45" t="s">
        <v>120</v>
      </c>
      <c r="E39" s="5">
        <v>20012</v>
      </c>
      <c r="F39" s="5" t="s">
        <v>294</v>
      </c>
      <c r="G39" s="6" t="s">
        <v>59</v>
      </c>
      <c r="H39" s="6" t="s">
        <v>158</v>
      </c>
      <c r="I39" s="6" t="s">
        <v>35</v>
      </c>
      <c r="J39" s="2">
        <v>215790.12345679011</v>
      </c>
      <c r="K39" s="2">
        <v>215790.12345679011</v>
      </c>
      <c r="L39" s="2">
        <f t="shared" si="46"/>
        <v>215790</v>
      </c>
      <c r="M39" s="2">
        <f t="shared" si="47"/>
        <v>223375</v>
      </c>
      <c r="N39" s="2">
        <v>12358.024691358021</v>
      </c>
      <c r="O39" s="2">
        <v>0</v>
      </c>
      <c r="P39" s="2">
        <v>12358.024691358021</v>
      </c>
      <c r="Q39" s="2">
        <f>ROUND(M39/117.8*118.7,0)</f>
        <v>225082</v>
      </c>
      <c r="R39" s="2">
        <v>385000</v>
      </c>
      <c r="S39" s="2">
        <f t="shared" si="48"/>
        <v>12358</v>
      </c>
      <c r="T39" s="2">
        <f t="shared" si="50"/>
        <v>12693</v>
      </c>
      <c r="U39" s="3">
        <f t="shared" si="51"/>
        <v>228148.14814814815</v>
      </c>
      <c r="V39" s="3">
        <f t="shared" si="52"/>
        <v>228148.14814814815</v>
      </c>
      <c r="W39" s="2">
        <f>ROUND(T39/113.8*113.8,0)</f>
        <v>12693</v>
      </c>
      <c r="X39" s="2">
        <f>ROUND(R39/120.4*120.7,0)</f>
        <v>385959</v>
      </c>
      <c r="Y39" s="2">
        <v>9520</v>
      </c>
      <c r="Z39" s="4">
        <f t="shared" si="49"/>
        <v>228148</v>
      </c>
      <c r="AA39" s="11">
        <v>410000</v>
      </c>
      <c r="AB39" s="14">
        <v>0</v>
      </c>
      <c r="AC39" s="121">
        <f t="shared" si="15"/>
        <v>418709</v>
      </c>
      <c r="AD39" s="121">
        <f t="shared" si="10"/>
        <v>0</v>
      </c>
      <c r="AE39" s="120">
        <f t="shared" si="11"/>
        <v>418709</v>
      </c>
      <c r="AF39" s="110">
        <v>418709</v>
      </c>
      <c r="AG39" s="110"/>
      <c r="AH39" s="110">
        <f t="shared" si="12"/>
        <v>418709</v>
      </c>
      <c r="AI39" s="4">
        <v>418709</v>
      </c>
      <c r="AJ39" s="301">
        <v>125</v>
      </c>
      <c r="AK39" s="4">
        <v>0</v>
      </c>
      <c r="AL39" s="301"/>
      <c r="AM39" s="4">
        <f t="shared" si="13"/>
        <v>418709</v>
      </c>
      <c r="AN39" s="47"/>
      <c r="AO39" s="47"/>
      <c r="AP39" s="47"/>
      <c r="AQ39" s="47"/>
      <c r="AR39" s="47"/>
      <c r="AS39" s="48" t="s">
        <v>182</v>
      </c>
      <c r="AT39" s="44" t="s">
        <v>178</v>
      </c>
      <c r="AX39" s="368">
        <f t="shared" si="44"/>
        <v>473643.62079999998</v>
      </c>
      <c r="AY39" s="334">
        <f t="shared" si="17"/>
        <v>497325.80184000003</v>
      </c>
      <c r="AZ39" s="391">
        <f t="shared" si="18"/>
        <v>511535.11046399997</v>
      </c>
      <c r="BA39" s="309">
        <v>42849</v>
      </c>
      <c r="BB39" s="309">
        <v>45040</v>
      </c>
      <c r="BC39" s="335">
        <v>105</v>
      </c>
      <c r="BD39" s="376">
        <v>141.4</v>
      </c>
      <c r="BE39" s="368">
        <v>0</v>
      </c>
      <c r="BF39" s="412">
        <v>108</v>
      </c>
      <c r="BG39" s="392"/>
      <c r="BH39" s="392"/>
      <c r="BI39" s="308"/>
      <c r="BJ39" s="308"/>
      <c r="BK39" s="382"/>
      <c r="BL39" s="376"/>
      <c r="BM39" s="375"/>
      <c r="BN39" s="349">
        <f t="shared" si="14"/>
        <v>511535.11046399997</v>
      </c>
    </row>
    <row r="40" spans="1:66" x14ac:dyDescent="0.2">
      <c r="D40" s="45" t="s">
        <v>120</v>
      </c>
      <c r="E40" s="5">
        <v>20012</v>
      </c>
      <c r="F40" s="5" t="s">
        <v>51</v>
      </c>
      <c r="G40" s="6" t="s">
        <v>59</v>
      </c>
      <c r="H40" s="6" t="s">
        <v>158</v>
      </c>
      <c r="I40" s="6" t="s">
        <v>35</v>
      </c>
      <c r="J40" s="2">
        <v>25666.666666666664</v>
      </c>
      <c r="K40" s="2">
        <v>25666.666666666664</v>
      </c>
      <c r="L40" s="2">
        <f t="shared" si="46"/>
        <v>25667</v>
      </c>
      <c r="M40" s="2">
        <f t="shared" si="47"/>
        <v>26569</v>
      </c>
      <c r="N40" s="2">
        <v>0</v>
      </c>
      <c r="O40" s="2">
        <v>0</v>
      </c>
      <c r="P40" s="2">
        <v>0</v>
      </c>
      <c r="Q40" s="2">
        <f>ROUND(M40/117.8*118.7,0)</f>
        <v>26772</v>
      </c>
      <c r="R40" s="2">
        <f>ROUND(Q40*11.36%+Q40,0)</f>
        <v>29813</v>
      </c>
      <c r="S40" s="2">
        <f t="shared" si="48"/>
        <v>0</v>
      </c>
      <c r="T40" s="2">
        <f t="shared" si="50"/>
        <v>0</v>
      </c>
      <c r="U40" s="3">
        <f t="shared" si="51"/>
        <v>25666.666666666664</v>
      </c>
      <c r="V40" s="3">
        <f t="shared" si="52"/>
        <v>25666.666666666664</v>
      </c>
      <c r="W40" s="2"/>
      <c r="X40" s="2">
        <f>ROUND(R40/120.2*120.7,0)</f>
        <v>29937</v>
      </c>
      <c r="Y40" s="12"/>
      <c r="Z40" s="4">
        <f t="shared" si="49"/>
        <v>25667</v>
      </c>
      <c r="AA40" s="2">
        <f>ROUND(X40/120.7*122.4,0)</f>
        <v>30359</v>
      </c>
      <c r="AB40" s="2">
        <f>ROUND(Y40/115.7*116.1,0)</f>
        <v>0</v>
      </c>
      <c r="AC40" s="121">
        <f t="shared" si="15"/>
        <v>31004</v>
      </c>
      <c r="AD40" s="121">
        <f t="shared" si="10"/>
        <v>0</v>
      </c>
      <c r="AE40" s="120">
        <f t="shared" si="11"/>
        <v>31004</v>
      </c>
      <c r="AF40" s="110">
        <v>31004</v>
      </c>
      <c r="AG40" s="110"/>
      <c r="AH40" s="110">
        <f t="shared" si="12"/>
        <v>31004</v>
      </c>
      <c r="AI40" s="4">
        <v>31004</v>
      </c>
      <c r="AJ40" s="301">
        <v>125</v>
      </c>
      <c r="AK40" s="4">
        <v>0</v>
      </c>
      <c r="AL40" s="301"/>
      <c r="AM40" s="4">
        <f t="shared" si="13"/>
        <v>31004</v>
      </c>
      <c r="AN40" s="47"/>
      <c r="AO40" s="47"/>
      <c r="AP40" s="47"/>
      <c r="AQ40" s="47"/>
      <c r="AR40" s="47"/>
      <c r="AX40" s="368">
        <f t="shared" si="44"/>
        <v>35071.724799999996</v>
      </c>
      <c r="AY40" s="336">
        <f t="shared" si="17"/>
        <v>36825.311040000001</v>
      </c>
      <c r="AZ40" s="391">
        <f t="shared" si="18"/>
        <v>37877.462783999996</v>
      </c>
      <c r="BA40" s="308"/>
      <c r="BB40" s="308"/>
      <c r="BC40" s="337">
        <v>105</v>
      </c>
      <c r="BD40" s="376">
        <v>141.4</v>
      </c>
      <c r="BE40" s="368">
        <v>0</v>
      </c>
      <c r="BF40" s="413">
        <v>108</v>
      </c>
      <c r="BG40" s="392"/>
      <c r="BH40" s="392"/>
      <c r="BI40" s="308"/>
      <c r="BJ40" s="308"/>
      <c r="BK40" s="382"/>
      <c r="BL40" s="376"/>
      <c r="BM40" s="376"/>
      <c r="BN40" s="349">
        <f t="shared" si="14"/>
        <v>37877.462783999996</v>
      </c>
    </row>
    <row r="41" spans="1:66" s="54" customFormat="1" ht="36" x14ac:dyDescent="0.2">
      <c r="D41" s="45" t="s">
        <v>115</v>
      </c>
      <c r="E41" s="5">
        <v>24002</v>
      </c>
      <c r="F41" s="5" t="s">
        <v>282</v>
      </c>
      <c r="G41" s="6" t="s">
        <v>67</v>
      </c>
      <c r="H41" s="6" t="s">
        <v>159</v>
      </c>
      <c r="I41" s="6" t="s">
        <v>35</v>
      </c>
      <c r="J41" s="2">
        <v>2995395.0617283951</v>
      </c>
      <c r="K41" s="2">
        <v>2995395.0617283951</v>
      </c>
      <c r="L41" s="2">
        <f t="shared" si="46"/>
        <v>2995395</v>
      </c>
      <c r="M41" s="2">
        <f t="shared" si="47"/>
        <v>3100681</v>
      </c>
      <c r="N41" s="2">
        <v>229098.76543209879</v>
      </c>
      <c r="O41" s="2">
        <v>0</v>
      </c>
      <c r="P41" s="2">
        <v>229098.76543209879</v>
      </c>
      <c r="Q41" s="11">
        <v>3200000</v>
      </c>
      <c r="R41" s="2">
        <f>ROUND(Q41/119.5*120.2,0)</f>
        <v>3218745</v>
      </c>
      <c r="S41" s="2">
        <f t="shared" si="48"/>
        <v>229099</v>
      </c>
      <c r="T41" s="2">
        <f t="shared" si="50"/>
        <v>235302</v>
      </c>
      <c r="U41" s="3">
        <f t="shared" si="51"/>
        <v>3224493.8271604939</v>
      </c>
      <c r="V41" s="3">
        <f t="shared" si="52"/>
        <v>3224493.8271604939</v>
      </c>
      <c r="W41" s="11">
        <v>266000</v>
      </c>
      <c r="X41" s="2">
        <f>ROUND(R41/120.2*120.7,0)</f>
        <v>3232134</v>
      </c>
      <c r="Y41" s="2">
        <f>ROUND(W41/115.2*115.7,0)</f>
        <v>267155</v>
      </c>
      <c r="Z41" s="4">
        <f t="shared" si="49"/>
        <v>3224494</v>
      </c>
      <c r="AA41" s="2">
        <f>ROUND(X41/120.7*122.4,0)</f>
        <v>3277657</v>
      </c>
      <c r="AB41" s="2">
        <f>ROUND(Y41/115.7*116.1,0)</f>
        <v>268079</v>
      </c>
      <c r="AC41" s="2">
        <f t="shared" si="15"/>
        <v>3347280</v>
      </c>
      <c r="AD41" s="2">
        <f t="shared" si="10"/>
        <v>272928</v>
      </c>
      <c r="AE41" s="4">
        <f t="shared" si="11"/>
        <v>3620208</v>
      </c>
      <c r="AF41" s="4">
        <v>3347280</v>
      </c>
      <c r="AG41" s="4">
        <v>500000</v>
      </c>
      <c r="AH41" s="4">
        <f t="shared" si="12"/>
        <v>3847280</v>
      </c>
      <c r="AI41" s="4">
        <v>3347280</v>
      </c>
      <c r="AJ41" s="301">
        <v>125</v>
      </c>
      <c r="AK41" s="4">
        <v>500000</v>
      </c>
      <c r="AL41" s="301">
        <v>119.9</v>
      </c>
      <c r="AM41" s="4">
        <f t="shared" si="13"/>
        <v>3847280</v>
      </c>
      <c r="AN41" s="297" t="s">
        <v>229</v>
      </c>
      <c r="AO41" s="297">
        <v>3347280</v>
      </c>
      <c r="AP41" s="296" t="s">
        <v>239</v>
      </c>
      <c r="AQ41" s="297">
        <v>500000</v>
      </c>
      <c r="AR41" s="297">
        <f t="shared" si="16"/>
        <v>3847280</v>
      </c>
      <c r="AS41" s="30" t="s">
        <v>213</v>
      </c>
      <c r="AX41" s="368">
        <f t="shared" si="44"/>
        <v>3786443.1359999999</v>
      </c>
      <c r="AY41" s="334">
        <f t="shared" si="17"/>
        <v>3975765.2928000004</v>
      </c>
      <c r="AZ41" s="391">
        <f t="shared" si="18"/>
        <v>4089358.5868799998</v>
      </c>
      <c r="BA41" s="309">
        <v>42038</v>
      </c>
      <c r="BB41" s="309">
        <v>44230</v>
      </c>
      <c r="BC41" s="335">
        <v>105</v>
      </c>
      <c r="BD41" s="376">
        <v>141.4</v>
      </c>
      <c r="BE41" s="368">
        <f>BL41/AL41*AK41</f>
        <v>515429.52460383653</v>
      </c>
      <c r="BF41" s="412">
        <v>108</v>
      </c>
      <c r="BG41" s="392">
        <f>BE41/100*101.6</f>
        <v>523676.39699749782</v>
      </c>
      <c r="BH41" s="392">
        <f>BM41/BK41*BG41</f>
        <v>533469.55796497071</v>
      </c>
      <c r="BI41" s="309">
        <v>43425</v>
      </c>
      <c r="BJ41" s="309">
        <v>44521</v>
      </c>
      <c r="BK41" s="382">
        <v>101.6</v>
      </c>
      <c r="BL41" s="376">
        <v>123.6</v>
      </c>
      <c r="BM41" s="375">
        <v>103.5</v>
      </c>
      <c r="BN41" s="349">
        <f>AZ41+BH41</f>
        <v>4622828.1448449707</v>
      </c>
    </row>
    <row r="42" spans="1:66" x14ac:dyDescent="0.2">
      <c r="A42" s="44" t="s">
        <v>78</v>
      </c>
      <c r="B42" s="44"/>
      <c r="C42" s="44"/>
      <c r="D42" s="45" t="s">
        <v>125</v>
      </c>
      <c r="E42" s="5"/>
      <c r="F42" s="5" t="s">
        <v>127</v>
      </c>
      <c r="G42" s="5"/>
      <c r="H42" s="5"/>
      <c r="I42" s="5" t="s">
        <v>35</v>
      </c>
      <c r="J42" s="2">
        <v>146395.06172839506</v>
      </c>
      <c r="K42" s="2">
        <v>146395.06172839506</v>
      </c>
      <c r="L42" s="2">
        <f t="shared" si="46"/>
        <v>146395</v>
      </c>
      <c r="M42" s="2">
        <f t="shared" si="47"/>
        <v>151541</v>
      </c>
      <c r="N42" s="2">
        <v>0</v>
      </c>
      <c r="O42" s="2">
        <v>0</v>
      </c>
      <c r="P42" s="2">
        <v>0</v>
      </c>
      <c r="Q42" s="2">
        <f>ROUND(M42/117.8*118.7,0)</f>
        <v>152699</v>
      </c>
      <c r="R42" s="2">
        <v>82814</v>
      </c>
      <c r="S42" s="2">
        <f t="shared" si="48"/>
        <v>0</v>
      </c>
      <c r="T42" s="2">
        <f t="shared" si="50"/>
        <v>0</v>
      </c>
      <c r="U42" s="3">
        <f t="shared" si="51"/>
        <v>146395.06172839506</v>
      </c>
      <c r="V42" s="3">
        <f t="shared" si="52"/>
        <v>146395.06172839506</v>
      </c>
      <c r="W42" s="2"/>
      <c r="X42" s="2">
        <f>ROUND(R42/120.2*120.7,0)</f>
        <v>83158</v>
      </c>
      <c r="Y42" s="2"/>
      <c r="Z42" s="4">
        <f t="shared" si="49"/>
        <v>146395</v>
      </c>
      <c r="AA42" s="2">
        <f>ROUND(X42/120.7*122.4,0)</f>
        <v>84329</v>
      </c>
      <c r="AB42" s="2">
        <f>ROUND(Y42/115.7*116.1,0)</f>
        <v>0</v>
      </c>
      <c r="AC42" s="121">
        <f t="shared" si="15"/>
        <v>86120</v>
      </c>
      <c r="AD42" s="121">
        <f t="shared" si="10"/>
        <v>0</v>
      </c>
      <c r="AE42" s="120">
        <f t="shared" si="11"/>
        <v>86120</v>
      </c>
      <c r="AF42" s="118">
        <v>85000</v>
      </c>
      <c r="AG42" s="110"/>
      <c r="AH42" s="110">
        <f t="shared" si="12"/>
        <v>85000</v>
      </c>
      <c r="AI42" s="4">
        <v>85000</v>
      </c>
      <c r="AJ42" s="306">
        <v>131.5</v>
      </c>
      <c r="AK42" s="4">
        <v>0</v>
      </c>
      <c r="AL42" s="301"/>
      <c r="AM42" s="4">
        <f t="shared" si="13"/>
        <v>85000</v>
      </c>
      <c r="AN42" s="297" t="s">
        <v>226</v>
      </c>
      <c r="AO42" s="297">
        <v>85000</v>
      </c>
      <c r="AP42" s="297"/>
      <c r="AQ42" s="297"/>
      <c r="AR42" s="297">
        <f t="shared" si="16"/>
        <v>85000</v>
      </c>
      <c r="AS42" s="30"/>
      <c r="AT42" s="54"/>
      <c r="AU42" s="54"/>
      <c r="AV42" s="54"/>
      <c r="AX42" s="368">
        <f>BD42/AJ42*AI42</f>
        <v>91399.239543726246</v>
      </c>
      <c r="AY42" s="336">
        <f t="shared" si="17"/>
        <v>95969.201520912553</v>
      </c>
      <c r="AZ42" s="391">
        <f t="shared" si="18"/>
        <v>98711.178707224331</v>
      </c>
      <c r="BA42" s="309">
        <v>43439</v>
      </c>
      <c r="BB42" s="309">
        <v>45631</v>
      </c>
      <c r="BC42" s="337">
        <v>105</v>
      </c>
      <c r="BD42" s="376">
        <v>141.4</v>
      </c>
      <c r="BE42" s="368">
        <v>0</v>
      </c>
      <c r="BF42" s="412">
        <v>108</v>
      </c>
      <c r="BG42" s="392"/>
      <c r="BH42" s="392"/>
      <c r="BI42" s="308"/>
      <c r="BJ42" s="308"/>
      <c r="BK42" s="382"/>
      <c r="BL42" s="376"/>
      <c r="BM42" s="376"/>
      <c r="BN42" s="349">
        <f t="shared" si="14"/>
        <v>98711.178707224331</v>
      </c>
    </row>
    <row r="43" spans="1:66" ht="24" x14ac:dyDescent="0.2">
      <c r="D43" s="45" t="s">
        <v>119</v>
      </c>
      <c r="E43" s="5">
        <v>20005</v>
      </c>
      <c r="F43" s="5" t="s">
        <v>295</v>
      </c>
      <c r="G43" s="6" t="s">
        <v>47</v>
      </c>
      <c r="H43" s="6" t="s">
        <v>161</v>
      </c>
      <c r="I43" s="6" t="s">
        <v>48</v>
      </c>
      <c r="J43" s="2">
        <v>540901.23456790124</v>
      </c>
      <c r="K43" s="2">
        <v>540901.23456790124</v>
      </c>
      <c r="L43" s="2">
        <f t="shared" si="46"/>
        <v>540901</v>
      </c>
      <c r="M43" s="2">
        <f t="shared" si="47"/>
        <v>559913</v>
      </c>
      <c r="N43" s="2">
        <v>12358.024691358021</v>
      </c>
      <c r="O43" s="2">
        <v>0</v>
      </c>
      <c r="P43" s="2">
        <v>12358.024691358021</v>
      </c>
      <c r="Q43" s="2">
        <f t="shared" ref="Q43" si="53">ROUND(M43/117.8*118.7,0)</f>
        <v>564191</v>
      </c>
      <c r="R43" s="2">
        <v>445000</v>
      </c>
      <c r="S43" s="2">
        <v>446109</v>
      </c>
      <c r="T43" s="2">
        <v>9520</v>
      </c>
      <c r="U43" s="3">
        <f t="shared" si="51"/>
        <v>553259.25925925921</v>
      </c>
      <c r="V43" s="3">
        <f t="shared" si="52"/>
        <v>553259.25925925921</v>
      </c>
      <c r="W43" s="2">
        <f>ROUND(T43/113.8*113.8,0)</f>
        <v>9520</v>
      </c>
      <c r="X43" s="2">
        <f>ROUND(R43/120.4*120.7,0)</f>
        <v>446109</v>
      </c>
      <c r="Y43" s="2">
        <v>9520</v>
      </c>
      <c r="Z43" s="4">
        <f t="shared" si="49"/>
        <v>987010</v>
      </c>
      <c r="AA43" s="11">
        <v>645000</v>
      </c>
      <c r="AB43" s="14">
        <v>0</v>
      </c>
      <c r="AC43" s="121">
        <f t="shared" si="15"/>
        <v>658701</v>
      </c>
      <c r="AD43" s="121">
        <f t="shared" si="10"/>
        <v>0</v>
      </c>
      <c r="AE43" s="120">
        <f t="shared" si="11"/>
        <v>658701</v>
      </c>
      <c r="AF43" s="110">
        <v>658701</v>
      </c>
      <c r="AG43" s="110"/>
      <c r="AH43" s="110">
        <f t="shared" si="12"/>
        <v>658701</v>
      </c>
      <c r="AI43" s="4">
        <v>658701</v>
      </c>
      <c r="AJ43" s="301">
        <v>125</v>
      </c>
      <c r="AK43" s="4">
        <v>0</v>
      </c>
      <c r="AL43" s="301"/>
      <c r="AM43" s="4">
        <f t="shared" si="13"/>
        <v>658701</v>
      </c>
      <c r="AN43" s="47"/>
      <c r="AO43" s="47"/>
      <c r="AP43" s="47"/>
      <c r="AQ43" s="47"/>
      <c r="AR43" s="47"/>
      <c r="AS43" s="48" t="s">
        <v>200</v>
      </c>
      <c r="AT43" s="44" t="s">
        <v>178</v>
      </c>
      <c r="AX43" s="368">
        <f>BD43/AJ43*AI43</f>
        <v>745122.57120000001</v>
      </c>
      <c r="AY43" s="334">
        <f t="shared" si="17"/>
        <v>782378.69975999999</v>
      </c>
      <c r="AZ43" s="391">
        <f t="shared" si="18"/>
        <v>804732.37689599989</v>
      </c>
      <c r="BA43" s="309">
        <v>42849</v>
      </c>
      <c r="BB43" s="309">
        <v>45040</v>
      </c>
      <c r="BC43" s="335">
        <v>105</v>
      </c>
      <c r="BD43" s="376">
        <v>141.4</v>
      </c>
      <c r="BE43" s="368">
        <v>0</v>
      </c>
      <c r="BF43" s="413">
        <v>108</v>
      </c>
      <c r="BG43" s="392"/>
      <c r="BH43" s="392"/>
      <c r="BI43" s="308"/>
      <c r="BJ43" s="308"/>
      <c r="BK43" s="382"/>
      <c r="BL43" s="376"/>
      <c r="BM43" s="375"/>
      <c r="BN43" s="349">
        <f t="shared" si="14"/>
        <v>804732.37689599989</v>
      </c>
    </row>
    <row r="44" spans="1:66" x14ac:dyDescent="0.2">
      <c r="D44" s="45" t="s">
        <v>119</v>
      </c>
      <c r="E44" s="5">
        <v>20005</v>
      </c>
      <c r="F44" s="5" t="s">
        <v>286</v>
      </c>
      <c r="G44" s="6" t="s">
        <v>47</v>
      </c>
      <c r="H44" s="6" t="s">
        <v>161</v>
      </c>
      <c r="I44" s="6" t="s">
        <v>48</v>
      </c>
      <c r="J44" s="2">
        <v>18061.728395061727</v>
      </c>
      <c r="K44" s="2">
        <v>18061.728395061727</v>
      </c>
      <c r="L44" s="2">
        <f>ROUND(J44,0)</f>
        <v>18062</v>
      </c>
      <c r="M44" s="2">
        <f>ROUND(L44/113.8*117.8,0)</f>
        <v>18697</v>
      </c>
      <c r="N44" s="2">
        <v>0</v>
      </c>
      <c r="O44" s="2">
        <v>0</v>
      </c>
      <c r="P44" s="2">
        <v>0</v>
      </c>
      <c r="Q44" s="2">
        <f>ROUND(M44/117.8*118.7,0)</f>
        <v>18840</v>
      </c>
      <c r="R44" s="2">
        <f>ROUND(Q44*11.36%+Q44,0)</f>
        <v>20980</v>
      </c>
      <c r="S44" s="2">
        <f>ROUND(N44,0)</f>
        <v>0</v>
      </c>
      <c r="T44" s="2">
        <f>ROUND(P44/110.8*113.8,0)</f>
        <v>0</v>
      </c>
      <c r="U44" s="3">
        <f>J44+N44</f>
        <v>18061.728395061727</v>
      </c>
      <c r="V44" s="3">
        <f>K44+P44</f>
        <v>18061.728395061727</v>
      </c>
      <c r="W44" s="2"/>
      <c r="X44" s="2">
        <f>ROUND(R44/120.2*120.7,0)</f>
        <v>21067</v>
      </c>
      <c r="Y44" s="2"/>
      <c r="Z44" s="4">
        <f>L44+S44</f>
        <v>18062</v>
      </c>
      <c r="AA44" s="2">
        <f>ROUND(X44/120.7*122.4,0)</f>
        <v>21364</v>
      </c>
      <c r="AB44" s="2">
        <f>ROUND(Y44/115.7*116.1,0)</f>
        <v>0</v>
      </c>
      <c r="AC44" s="121">
        <f t="shared" si="15"/>
        <v>21818</v>
      </c>
      <c r="AD44" s="121">
        <f t="shared" si="10"/>
        <v>0</v>
      </c>
      <c r="AE44" s="120">
        <f t="shared" si="11"/>
        <v>21818</v>
      </c>
      <c r="AF44" s="110">
        <v>21818</v>
      </c>
      <c r="AG44" s="110"/>
      <c r="AH44" s="110">
        <f t="shared" si="12"/>
        <v>21818</v>
      </c>
      <c r="AI44" s="4">
        <v>21818</v>
      </c>
      <c r="AJ44" s="301">
        <v>125</v>
      </c>
      <c r="AK44" s="4">
        <v>0</v>
      </c>
      <c r="AL44" s="301"/>
      <c r="AM44" s="4">
        <f t="shared" si="13"/>
        <v>21818</v>
      </c>
      <c r="AN44" s="47"/>
      <c r="AO44" s="47"/>
      <c r="AP44" s="47"/>
      <c r="AQ44" s="47"/>
      <c r="AR44" s="47"/>
      <c r="AX44" s="368">
        <f>BD44/AJ44*AI44</f>
        <v>24680.5216</v>
      </c>
      <c r="AY44" s="336">
        <f t="shared" si="17"/>
        <v>25914.54768</v>
      </c>
      <c r="AZ44" s="391">
        <f t="shared" si="18"/>
        <v>26654.963327999998</v>
      </c>
      <c r="BA44" s="308"/>
      <c r="BB44" s="308"/>
      <c r="BC44" s="337">
        <v>105</v>
      </c>
      <c r="BD44" s="376">
        <v>141.4</v>
      </c>
      <c r="BE44" s="368">
        <v>0</v>
      </c>
      <c r="BF44" s="412">
        <v>108</v>
      </c>
      <c r="BG44" s="392"/>
      <c r="BH44" s="392"/>
      <c r="BI44" s="308"/>
      <c r="BJ44" s="308"/>
      <c r="BK44" s="382"/>
      <c r="BL44" s="376"/>
      <c r="BM44" s="376"/>
      <c r="BN44" s="349">
        <f t="shared" si="14"/>
        <v>26654.963327999998</v>
      </c>
    </row>
    <row r="45" spans="1:66" s="54" customFormat="1" x14ac:dyDescent="0.2">
      <c r="A45" s="44" t="s">
        <v>79</v>
      </c>
      <c r="B45" s="44"/>
      <c r="C45" s="44"/>
      <c r="D45" s="45" t="s">
        <v>125</v>
      </c>
      <c r="E45" s="5"/>
      <c r="F45" s="5" t="s">
        <v>80</v>
      </c>
      <c r="G45" s="5"/>
      <c r="H45" s="5"/>
      <c r="I45" s="5"/>
      <c r="J45" s="2">
        <v>591283.95061728405</v>
      </c>
      <c r="K45" s="2">
        <v>591283.95061728405</v>
      </c>
      <c r="L45" s="2">
        <v>701704</v>
      </c>
      <c r="M45" s="2">
        <f>ROUND(L45/113.8*117.8,0)</f>
        <v>726368</v>
      </c>
      <c r="N45" s="2">
        <v>0</v>
      </c>
      <c r="O45" s="2">
        <v>0</v>
      </c>
      <c r="P45" s="2">
        <v>0</v>
      </c>
      <c r="Q45" s="2">
        <f>ROUND(M45/117.8*118.7,0)</f>
        <v>731918</v>
      </c>
      <c r="R45" s="2">
        <f>ROUND(Q45*11.36%+Q45,0)</f>
        <v>815064</v>
      </c>
      <c r="S45" s="2">
        <f>ROUND(N45,0)</f>
        <v>0</v>
      </c>
      <c r="T45" s="2">
        <f>ROUND(P45/110.8*113.8,0)</f>
        <v>0</v>
      </c>
      <c r="U45" s="3">
        <f>J45+N45</f>
        <v>591283.95061728405</v>
      </c>
      <c r="V45" s="3">
        <f>K45+P45</f>
        <v>591283.95061728405</v>
      </c>
      <c r="W45" s="2"/>
      <c r="X45" s="2">
        <f>ROUND(R45/120.2*120.7,0)</f>
        <v>818454</v>
      </c>
      <c r="Y45" s="2"/>
      <c r="Z45" s="4">
        <f>L45+S45</f>
        <v>701704</v>
      </c>
      <c r="AA45" s="2">
        <f>ROUND(X45/120.7*122.4,0)</f>
        <v>829982</v>
      </c>
      <c r="AB45" s="2">
        <f>ROUND(Y45/115.7*116.1,0)</f>
        <v>0</v>
      </c>
      <c r="AC45" s="121">
        <f t="shared" si="15"/>
        <v>847612</v>
      </c>
      <c r="AD45" s="121">
        <f t="shared" si="10"/>
        <v>0</v>
      </c>
      <c r="AE45" s="120">
        <f t="shared" si="11"/>
        <v>847612</v>
      </c>
      <c r="AF45" s="118">
        <v>837250</v>
      </c>
      <c r="AG45" s="110"/>
      <c r="AH45" s="110">
        <f t="shared" si="12"/>
        <v>837250</v>
      </c>
      <c r="AI45" s="4">
        <v>837250</v>
      </c>
      <c r="AJ45" s="306">
        <v>131.5</v>
      </c>
      <c r="AK45" s="4">
        <v>0</v>
      </c>
      <c r="AL45" s="301"/>
      <c r="AM45" s="4">
        <f t="shared" si="13"/>
        <v>837250</v>
      </c>
      <c r="AN45" s="46" t="s">
        <v>226</v>
      </c>
      <c r="AO45" s="46">
        <v>837250</v>
      </c>
      <c r="AP45" s="47"/>
      <c r="AQ45" s="47"/>
      <c r="AR45" s="46">
        <f t="shared" si="16"/>
        <v>837250</v>
      </c>
      <c r="AS45" s="48"/>
      <c r="AT45" s="44"/>
      <c r="AX45" s="368">
        <f>BD45/AJ45*AI45</f>
        <v>900282.50950570346</v>
      </c>
      <c r="AY45" s="336">
        <f t="shared" si="17"/>
        <v>945296.63498098857</v>
      </c>
      <c r="AZ45" s="391">
        <f t="shared" si="18"/>
        <v>972305.11026615952</v>
      </c>
      <c r="BA45" s="309">
        <v>43439</v>
      </c>
      <c r="BB45" s="309">
        <v>45631</v>
      </c>
      <c r="BC45" s="337">
        <v>105</v>
      </c>
      <c r="BD45" s="376">
        <v>141.4</v>
      </c>
      <c r="BE45" s="368">
        <v>0</v>
      </c>
      <c r="BF45" s="412">
        <v>108</v>
      </c>
      <c r="BG45" s="392"/>
      <c r="BH45" s="392"/>
      <c r="BI45" s="308"/>
      <c r="BJ45" s="308"/>
      <c r="BK45" s="382"/>
      <c r="BL45" s="376"/>
      <c r="BM45" s="375"/>
      <c r="BN45" s="349">
        <f t="shared" si="14"/>
        <v>972305.11026615952</v>
      </c>
    </row>
    <row r="46" spans="1:66" x14ac:dyDescent="0.2">
      <c r="D46" s="29"/>
      <c r="E46" s="30"/>
      <c r="F46" s="30"/>
      <c r="G46" s="30"/>
      <c r="H46" s="30"/>
      <c r="I46" s="30"/>
      <c r="J46" s="15">
        <f t="shared" ref="J46:AI46" si="54">SUM(J7:J45)</f>
        <v>28127814.814814817</v>
      </c>
      <c r="K46" s="15">
        <f t="shared" si="54"/>
        <v>28127814.814814817</v>
      </c>
      <c r="L46" s="15">
        <f t="shared" si="54"/>
        <v>28238235</v>
      </c>
      <c r="M46" s="16">
        <f t="shared" si="54"/>
        <v>29230793</v>
      </c>
      <c r="N46" s="15">
        <f t="shared" si="54"/>
        <v>4843395.0617283955</v>
      </c>
      <c r="O46" s="15">
        <f t="shared" si="54"/>
        <v>0</v>
      </c>
      <c r="P46" s="16">
        <f t="shared" si="54"/>
        <v>4843395.0617283955</v>
      </c>
      <c r="Q46" s="16">
        <f t="shared" si="54"/>
        <v>32166957</v>
      </c>
      <c r="R46" s="16">
        <f t="shared" si="54"/>
        <v>32910248</v>
      </c>
      <c r="S46" s="16">
        <f t="shared" si="54"/>
        <v>5277147</v>
      </c>
      <c r="T46" s="16">
        <f t="shared" si="54"/>
        <v>4852246</v>
      </c>
      <c r="U46" s="16">
        <f t="shared" si="54"/>
        <v>31750617.283950616</v>
      </c>
      <c r="V46" s="16">
        <f t="shared" si="54"/>
        <v>31750617.283950616</v>
      </c>
      <c r="W46" s="16">
        <f t="shared" si="54"/>
        <v>2631233</v>
      </c>
      <c r="X46" s="16">
        <f t="shared" si="54"/>
        <v>33177895</v>
      </c>
      <c r="Y46" s="16">
        <f t="shared" si="54"/>
        <v>2608096</v>
      </c>
      <c r="Z46" s="17">
        <f t="shared" si="54"/>
        <v>33515382</v>
      </c>
      <c r="AA46" s="16">
        <f t="shared" si="54"/>
        <v>35199945</v>
      </c>
      <c r="AB46" s="16">
        <f t="shared" si="54"/>
        <v>2598006</v>
      </c>
      <c r="AC46" s="16">
        <f t="shared" si="54"/>
        <v>36501923</v>
      </c>
      <c r="AD46" s="16">
        <f t="shared" si="54"/>
        <v>2644998</v>
      </c>
      <c r="AE46" s="16">
        <f t="shared" si="54"/>
        <v>39146921</v>
      </c>
      <c r="AF46" s="111">
        <f t="shared" si="54"/>
        <v>36575108</v>
      </c>
      <c r="AG46" s="111">
        <f t="shared" si="54"/>
        <v>3088793</v>
      </c>
      <c r="AH46" s="111">
        <f t="shared" si="54"/>
        <v>39663901</v>
      </c>
      <c r="AI46" s="16">
        <f t="shared" si="54"/>
        <v>36575108</v>
      </c>
      <c r="AJ46" s="302"/>
      <c r="AK46" s="16">
        <f>SUM(AK7:AK45)</f>
        <v>3088793</v>
      </c>
      <c r="AL46" s="302"/>
      <c r="AM46" s="16">
        <f>SUM(AM7:AM45)</f>
        <v>39663901</v>
      </c>
      <c r="AN46" s="61"/>
      <c r="AO46" s="61">
        <f>SUM(AO7:AO45)</f>
        <v>24800677</v>
      </c>
      <c r="AP46" s="61"/>
      <c r="AQ46" s="61">
        <f>SUM(AQ7:AQ45)</f>
        <v>3008000</v>
      </c>
      <c r="AR46" s="61">
        <f>SUM(AR7:AR45)</f>
        <v>27808677</v>
      </c>
      <c r="AX46" s="338">
        <f>SUM(AX7:AX45)</f>
        <v>42653922.710565783</v>
      </c>
      <c r="AY46" s="340">
        <f>SUM(AY7:AY45)</f>
        <v>44807618.846494064</v>
      </c>
      <c r="AZ46" s="17">
        <f>SUM(AZ7:AZ45)</f>
        <v>46646603.008735001</v>
      </c>
      <c r="BA46" s="310"/>
      <c r="BB46" s="310"/>
      <c r="BC46" s="409"/>
      <c r="BD46" s="339"/>
      <c r="BE46" s="338">
        <f>SUM(BE7:BE45)</f>
        <v>3521684.1107781017</v>
      </c>
      <c r="BF46" s="408"/>
      <c r="BG46" s="16">
        <f>SUM(BG7:BG45)</f>
        <v>3578031.0565505507</v>
      </c>
      <c r="BH46" s="16">
        <f>SUM(BH7:BH45)</f>
        <v>4826795.2685654713</v>
      </c>
      <c r="BI46" s="16"/>
      <c r="BJ46" s="16"/>
      <c r="BK46" s="383"/>
      <c r="BL46" s="339"/>
      <c r="BM46" s="339"/>
      <c r="BN46" s="351">
        <f>SUM(BN7:BN45)</f>
        <v>51473398.27730047</v>
      </c>
    </row>
    <row r="47" spans="1:66" x14ac:dyDescent="0.2">
      <c r="D47" s="29"/>
      <c r="E47" s="30"/>
      <c r="F47" s="30"/>
      <c r="G47" s="30"/>
      <c r="H47" s="30"/>
      <c r="I47" s="30"/>
      <c r="J47" s="15"/>
      <c r="K47" s="15"/>
      <c r="L47" s="15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/>
      <c r="AA47" s="16"/>
      <c r="AB47" s="16"/>
      <c r="AC47" s="16"/>
      <c r="AD47" s="16"/>
      <c r="AE47" s="17"/>
      <c r="AF47" s="112"/>
      <c r="AG47" s="112"/>
      <c r="AH47" s="110">
        <f t="shared" si="12"/>
        <v>0</v>
      </c>
      <c r="AI47" s="17"/>
      <c r="AJ47" s="303"/>
      <c r="AK47" s="17"/>
      <c r="AL47" s="303"/>
      <c r="AM47" s="17"/>
      <c r="AN47" s="23"/>
      <c r="AO47" s="23"/>
      <c r="AP47" s="23"/>
      <c r="AQ47" s="23"/>
      <c r="AR47" s="23"/>
      <c r="AX47" s="340"/>
      <c r="AY47" s="389"/>
      <c r="AZ47" s="297"/>
      <c r="BA47" s="311"/>
      <c r="BB47" s="311"/>
      <c r="BC47" s="410"/>
      <c r="BD47" s="341"/>
      <c r="BE47" s="340"/>
      <c r="BF47" s="407"/>
      <c r="BG47" s="17"/>
      <c r="BH47" s="17"/>
      <c r="BI47" s="17"/>
      <c r="BJ47" s="17"/>
      <c r="BK47" s="384"/>
      <c r="BL47" s="341"/>
      <c r="BM47" s="341"/>
      <c r="BN47" s="352"/>
    </row>
    <row r="48" spans="1:66" s="43" customFormat="1" x14ac:dyDescent="0.2">
      <c r="A48" s="39"/>
      <c r="B48" s="39"/>
      <c r="C48" s="428"/>
      <c r="D48" s="18"/>
      <c r="E48" s="18"/>
      <c r="F48" s="91" t="s">
        <v>83</v>
      </c>
      <c r="G48" s="92"/>
      <c r="H48" s="92"/>
      <c r="I48" s="92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4"/>
      <c r="V48" s="94"/>
      <c r="W48" s="94"/>
      <c r="X48" s="93"/>
      <c r="Y48" s="94"/>
      <c r="Z48" s="95"/>
      <c r="AA48" s="94"/>
      <c r="AB48" s="94"/>
      <c r="AC48" s="94"/>
      <c r="AD48" s="94"/>
      <c r="AE48" s="95"/>
      <c r="AF48" s="113"/>
      <c r="AG48" s="113"/>
      <c r="AH48" s="110">
        <f t="shared" si="12"/>
        <v>0</v>
      </c>
      <c r="AI48" s="95"/>
      <c r="AJ48" s="304"/>
      <c r="AK48" s="95"/>
      <c r="AL48" s="304"/>
      <c r="AM48" s="96"/>
      <c r="AN48" s="22"/>
      <c r="AO48" s="22"/>
      <c r="AP48" s="22"/>
      <c r="AQ48" s="22"/>
      <c r="AR48" s="22"/>
      <c r="AS48" s="38"/>
      <c r="AX48" s="342"/>
      <c r="AY48" s="368"/>
      <c r="AZ48" s="393"/>
      <c r="BA48" s="388"/>
      <c r="BB48" s="388"/>
      <c r="BC48" s="376"/>
      <c r="BD48" s="343"/>
      <c r="BE48" s="342"/>
      <c r="BF48" s="401"/>
      <c r="BG48" s="342"/>
      <c r="BH48" s="95"/>
      <c r="BI48" s="95"/>
      <c r="BJ48" s="95"/>
      <c r="BK48" s="385"/>
      <c r="BL48" s="343"/>
      <c r="BM48" s="343"/>
      <c r="BN48" s="353"/>
    </row>
    <row r="49" spans="1:66" ht="12.75" customHeight="1" x14ac:dyDescent="0.2">
      <c r="B49" s="62" t="s">
        <v>171</v>
      </c>
      <c r="C49" s="430" t="s">
        <v>301</v>
      </c>
      <c r="D49" s="45" t="s">
        <v>129</v>
      </c>
      <c r="E49" s="31">
        <v>71403</v>
      </c>
      <c r="F49" s="5" t="s">
        <v>84</v>
      </c>
      <c r="G49" s="6" t="s">
        <v>163</v>
      </c>
      <c r="H49" s="6" t="s">
        <v>155</v>
      </c>
      <c r="I49" s="6" t="s">
        <v>39</v>
      </c>
      <c r="J49" s="2">
        <v>4401358.0246913582</v>
      </c>
      <c r="K49" s="2">
        <v>4401358.0246913582</v>
      </c>
      <c r="L49" s="2">
        <f t="shared" ref="L49:L53" si="55">ROUND(J49,0)</f>
        <v>4401358</v>
      </c>
      <c r="M49" s="2">
        <f t="shared" ref="M49:M57" si="56">ROUND(L49/113.8*117.8,0)</f>
        <v>4556063</v>
      </c>
      <c r="N49" s="2">
        <v>526641.97530864202</v>
      </c>
      <c r="O49" s="2">
        <v>0</v>
      </c>
      <c r="P49" s="2">
        <v>526641.97530864202</v>
      </c>
      <c r="Q49" s="2">
        <f t="shared" ref="Q49:Q57" si="57">ROUND(M49/117.8*118.7,0)</f>
        <v>4590872</v>
      </c>
      <c r="R49" s="2">
        <f t="shared" ref="R49:R57" si="58">ROUND(Q49*11.36%+Q49,0)</f>
        <v>5112395</v>
      </c>
      <c r="S49" s="2">
        <f t="shared" ref="S49:S53" si="59">ROUND(N49,0)</f>
        <v>526642</v>
      </c>
      <c r="T49" s="2">
        <f t="shared" ref="T49:T57" si="60">ROUND(P49/110.8*113.8,0)</f>
        <v>540901</v>
      </c>
      <c r="U49" s="3">
        <f>J49+N49</f>
        <v>4928000</v>
      </c>
      <c r="V49" s="3">
        <f t="shared" ref="V49:V57" si="61">K49+P49</f>
        <v>4928000</v>
      </c>
      <c r="W49" s="2">
        <f t="shared" ref="W49:W57" si="62">ROUND(T49/113.8*113.8,0)</f>
        <v>540901</v>
      </c>
      <c r="X49" s="2">
        <v>4065000</v>
      </c>
      <c r="Y49" s="2">
        <f t="shared" ref="Y49:Y57" si="63">ROUND(W49-W49*25%,0)</f>
        <v>405676</v>
      </c>
      <c r="Z49" s="4">
        <f t="shared" ref="Z49:Z57" si="64">L49+S49</f>
        <v>4928000</v>
      </c>
      <c r="AA49" s="2">
        <f t="shared" ref="AA49:AA57" si="65">ROUND(X49/120.7*122.4,0)</f>
        <v>4122254</v>
      </c>
      <c r="AB49" s="2">
        <f t="shared" ref="AB49:AB57" si="66">ROUND(Y49/115.7*116.1,0)</f>
        <v>407079</v>
      </c>
      <c r="AC49" s="121">
        <f t="shared" ref="AC49:AC57" si="67">ROUND(AA49/122.4*125,0)</f>
        <v>4209818</v>
      </c>
      <c r="AD49" s="121">
        <f t="shared" ref="AD49:AD57" si="68">ROUND(AB49/116.1*118.2,0)</f>
        <v>414442</v>
      </c>
      <c r="AE49" s="120">
        <f t="shared" ref="AE49:AE57" si="69">AC49+AD49</f>
        <v>4624260</v>
      </c>
      <c r="AF49" s="110">
        <v>4209818</v>
      </c>
      <c r="AG49" s="110">
        <v>414442</v>
      </c>
      <c r="AH49" s="110">
        <f t="shared" si="12"/>
        <v>4624260</v>
      </c>
      <c r="AI49" s="4">
        <v>4209818</v>
      </c>
      <c r="AJ49" s="301">
        <v>125</v>
      </c>
      <c r="AK49" s="4">
        <v>414442</v>
      </c>
      <c r="AL49" s="301">
        <v>118.2</v>
      </c>
      <c r="AM49" s="4">
        <f>AI49+AK49</f>
        <v>4624260</v>
      </c>
      <c r="AN49" s="47"/>
      <c r="AO49" s="47"/>
      <c r="AP49" s="47"/>
      <c r="AQ49" s="47"/>
      <c r="AR49" s="47"/>
      <c r="AS49" s="30" t="s">
        <v>166</v>
      </c>
      <c r="AT49" s="57" t="s">
        <v>176</v>
      </c>
      <c r="AX49" s="368">
        <f>BD49/AJ49*AI49</f>
        <v>4762146.1216000002</v>
      </c>
      <c r="AY49" s="334">
        <f t="shared" si="17"/>
        <v>5000253.4276800007</v>
      </c>
      <c r="AZ49" s="391">
        <f t="shared" ref="AZ49:AZ57" si="70">BF49/BC49*AY49</f>
        <v>5143117.8113280004</v>
      </c>
      <c r="BA49" s="322">
        <v>42619</v>
      </c>
      <c r="BB49" s="322">
        <v>44810</v>
      </c>
      <c r="BC49" s="335">
        <v>105</v>
      </c>
      <c r="BD49" s="376">
        <v>141.4</v>
      </c>
      <c r="BE49" s="368">
        <f t="shared" ref="BE49:BE57" si="71">BL49/AL49*AK49</f>
        <v>433375.89847715735</v>
      </c>
      <c r="BF49" s="412">
        <v>108</v>
      </c>
      <c r="BG49" s="392">
        <f>BE49/100*101.6</f>
        <v>440309.91285279184</v>
      </c>
      <c r="BH49" s="392">
        <v>1620000</v>
      </c>
      <c r="BI49" s="309">
        <v>44356</v>
      </c>
      <c r="BJ49" s="309">
        <v>45452</v>
      </c>
      <c r="BK49" s="382">
        <v>101.6</v>
      </c>
      <c r="BL49" s="376">
        <v>123.6</v>
      </c>
      <c r="BM49" s="376">
        <v>103.5</v>
      </c>
      <c r="BN49" s="350">
        <f>AZ49+BH49</f>
        <v>6763117.8113280004</v>
      </c>
    </row>
    <row r="50" spans="1:66" x14ac:dyDescent="0.2">
      <c r="B50" s="56"/>
      <c r="C50" s="430" t="s">
        <v>306</v>
      </c>
      <c r="D50" s="45" t="s">
        <v>129</v>
      </c>
      <c r="E50" s="13">
        <v>74001</v>
      </c>
      <c r="F50" s="13" t="s">
        <v>279</v>
      </c>
      <c r="G50" s="21" t="s">
        <v>283</v>
      </c>
      <c r="H50" s="21" t="s">
        <v>160</v>
      </c>
      <c r="I50" s="21" t="s">
        <v>35</v>
      </c>
      <c r="J50" s="2">
        <v>1505777.7777777778</v>
      </c>
      <c r="K50" s="2">
        <v>1505777.7777777778</v>
      </c>
      <c r="L50" s="2">
        <f t="shared" si="55"/>
        <v>1505778</v>
      </c>
      <c r="M50" s="2">
        <f t="shared" si="56"/>
        <v>1558705</v>
      </c>
      <c r="N50" s="2">
        <v>173012.34567901236</v>
      </c>
      <c r="O50" s="2">
        <v>0</v>
      </c>
      <c r="P50" s="2">
        <v>173012.34567901236</v>
      </c>
      <c r="Q50" s="2">
        <f t="shared" si="57"/>
        <v>1570614</v>
      </c>
      <c r="R50" s="2">
        <f t="shared" si="58"/>
        <v>1749036</v>
      </c>
      <c r="S50" s="2">
        <f t="shared" si="59"/>
        <v>173012</v>
      </c>
      <c r="T50" s="2">
        <f t="shared" si="60"/>
        <v>177697</v>
      </c>
      <c r="U50" s="3">
        <f t="shared" ref="U50:U57" si="72">J50+N50</f>
        <v>1678790.1234567901</v>
      </c>
      <c r="V50" s="3">
        <f t="shared" si="61"/>
        <v>1678790.1234567901</v>
      </c>
      <c r="W50" s="2">
        <f t="shared" si="62"/>
        <v>177697</v>
      </c>
      <c r="X50" s="2">
        <v>2215000</v>
      </c>
      <c r="Y50" s="2">
        <f t="shared" si="63"/>
        <v>133273</v>
      </c>
      <c r="Z50" s="4">
        <f t="shared" si="64"/>
        <v>1678790</v>
      </c>
      <c r="AA50" s="2">
        <f t="shared" si="65"/>
        <v>2246197</v>
      </c>
      <c r="AB50" s="2">
        <f t="shared" si="66"/>
        <v>133734</v>
      </c>
      <c r="AC50" s="121">
        <f t="shared" si="67"/>
        <v>2293910</v>
      </c>
      <c r="AD50" s="121">
        <f t="shared" si="68"/>
        <v>136153</v>
      </c>
      <c r="AE50" s="120">
        <f t="shared" si="69"/>
        <v>2430063</v>
      </c>
      <c r="AF50" s="110">
        <v>2293910</v>
      </c>
      <c r="AG50" s="110">
        <v>136153</v>
      </c>
      <c r="AH50" s="110">
        <f t="shared" si="12"/>
        <v>2430063</v>
      </c>
      <c r="AI50" s="4">
        <v>2293910</v>
      </c>
      <c r="AJ50" s="301">
        <v>125</v>
      </c>
      <c r="AK50" s="4">
        <v>136153</v>
      </c>
      <c r="AL50" s="301">
        <v>118.2</v>
      </c>
      <c r="AM50" s="4">
        <f t="shared" ref="AM50:AM57" si="73">AI50+AK50</f>
        <v>2430063</v>
      </c>
      <c r="AN50" s="47"/>
      <c r="AO50" s="47"/>
      <c r="AP50" s="47"/>
      <c r="AQ50" s="47"/>
      <c r="AR50" s="47"/>
      <c r="AS50" s="54" t="s">
        <v>167</v>
      </c>
      <c r="AT50" s="57" t="s">
        <v>176</v>
      </c>
      <c r="AX50" s="368">
        <f>BD50/AJ50*AI50</f>
        <v>2594870.9920000001</v>
      </c>
      <c r="AY50" s="336">
        <f t="shared" si="17"/>
        <v>2724614.5416000001</v>
      </c>
      <c r="AZ50" s="391">
        <v>2725000</v>
      </c>
      <c r="BA50" s="309">
        <v>44292</v>
      </c>
      <c r="BB50" s="309">
        <v>46483</v>
      </c>
      <c r="BC50" s="337">
        <v>105</v>
      </c>
      <c r="BD50" s="376">
        <v>141.4</v>
      </c>
      <c r="BE50" s="368">
        <f t="shared" si="71"/>
        <v>142373.18781725888</v>
      </c>
      <c r="BF50" s="412">
        <v>108</v>
      </c>
      <c r="BG50" s="392">
        <f t="shared" ref="BG50:BG57" si="74">BE50/100*101.6</f>
        <v>144651.15882233501</v>
      </c>
      <c r="BH50" s="392">
        <v>912500</v>
      </c>
      <c r="BI50" s="309">
        <v>44356</v>
      </c>
      <c r="BJ50" s="309">
        <v>45452</v>
      </c>
      <c r="BK50" s="382">
        <v>101.6</v>
      </c>
      <c r="BL50" s="376">
        <v>123.6</v>
      </c>
      <c r="BM50" s="376">
        <v>103.5</v>
      </c>
      <c r="BN50" s="350">
        <f t="shared" ref="BN50:BN57" si="75">AZ50+BH50</f>
        <v>3637500</v>
      </c>
    </row>
    <row r="51" spans="1:66" ht="12" customHeight="1" x14ac:dyDescent="0.2">
      <c r="B51" s="62" t="s">
        <v>171</v>
      </c>
      <c r="C51" s="430" t="s">
        <v>300</v>
      </c>
      <c r="D51" s="45" t="s">
        <v>129</v>
      </c>
      <c r="E51" s="31">
        <v>71405</v>
      </c>
      <c r="F51" s="5" t="s">
        <v>87</v>
      </c>
      <c r="G51" s="6" t="s">
        <v>164</v>
      </c>
      <c r="H51" s="6" t="s">
        <v>147</v>
      </c>
      <c r="I51" s="6" t="s">
        <v>43</v>
      </c>
      <c r="J51" s="2">
        <v>2596135.8024691357</v>
      </c>
      <c r="K51" s="2">
        <v>2596135.8024691357</v>
      </c>
      <c r="L51" s="2">
        <f t="shared" si="55"/>
        <v>2596136</v>
      </c>
      <c r="M51" s="2">
        <f t="shared" si="56"/>
        <v>2687389</v>
      </c>
      <c r="N51" s="2">
        <v>192024.69135802469</v>
      </c>
      <c r="O51" s="2">
        <v>0</v>
      </c>
      <c r="P51" s="2">
        <v>192024.69135802469</v>
      </c>
      <c r="Q51" s="2">
        <f t="shared" si="57"/>
        <v>2707921</v>
      </c>
      <c r="R51" s="2">
        <f t="shared" si="58"/>
        <v>3015541</v>
      </c>
      <c r="S51" s="2">
        <f t="shared" si="59"/>
        <v>192025</v>
      </c>
      <c r="T51" s="2">
        <f t="shared" si="60"/>
        <v>197224</v>
      </c>
      <c r="U51" s="3">
        <f t="shared" si="72"/>
        <v>2788160.4938271604</v>
      </c>
      <c r="V51" s="3">
        <f t="shared" si="61"/>
        <v>2788160.4938271604</v>
      </c>
      <c r="W51" s="2">
        <f t="shared" si="62"/>
        <v>197224</v>
      </c>
      <c r="X51" s="2">
        <v>3510000</v>
      </c>
      <c r="Y51" s="2">
        <f t="shared" si="63"/>
        <v>147918</v>
      </c>
      <c r="Z51" s="4">
        <f t="shared" si="64"/>
        <v>2788161</v>
      </c>
      <c r="AA51" s="2">
        <f t="shared" si="65"/>
        <v>3559437</v>
      </c>
      <c r="AB51" s="2">
        <f t="shared" si="66"/>
        <v>148429</v>
      </c>
      <c r="AC51" s="121">
        <f t="shared" si="67"/>
        <v>3635046</v>
      </c>
      <c r="AD51" s="121">
        <f t="shared" si="68"/>
        <v>151114</v>
      </c>
      <c r="AE51" s="120">
        <f t="shared" si="69"/>
        <v>3786160</v>
      </c>
      <c r="AF51" s="110">
        <v>3635046</v>
      </c>
      <c r="AG51" s="110">
        <v>151114</v>
      </c>
      <c r="AH51" s="110">
        <f t="shared" si="12"/>
        <v>3786160</v>
      </c>
      <c r="AI51" s="4">
        <v>3635046</v>
      </c>
      <c r="AJ51" s="301">
        <v>125</v>
      </c>
      <c r="AK51" s="4">
        <v>151114</v>
      </c>
      <c r="AL51" s="301">
        <v>118.2</v>
      </c>
      <c r="AM51" s="4">
        <f t="shared" si="73"/>
        <v>3786160</v>
      </c>
      <c r="AN51" s="47"/>
      <c r="AO51" s="47"/>
      <c r="AP51" s="47"/>
      <c r="AQ51" s="47"/>
      <c r="AR51" s="47"/>
      <c r="AS51" s="30" t="s">
        <v>165</v>
      </c>
      <c r="AT51" s="57" t="s">
        <v>176</v>
      </c>
      <c r="AX51" s="368">
        <f>BD51/AJ51*AI51</f>
        <v>4111964.0351999998</v>
      </c>
      <c r="AY51" s="334">
        <f t="shared" si="17"/>
        <v>4317562.2369599994</v>
      </c>
      <c r="AZ51" s="391">
        <f t="shared" si="70"/>
        <v>4440921.158015999</v>
      </c>
      <c r="BA51" s="309">
        <v>42619</v>
      </c>
      <c r="BB51" s="309">
        <v>44810</v>
      </c>
      <c r="BC51" s="335">
        <v>105</v>
      </c>
      <c r="BD51" s="376">
        <v>141.4</v>
      </c>
      <c r="BE51" s="368">
        <f t="shared" si="71"/>
        <v>158017.68527918783</v>
      </c>
      <c r="BF51" s="412">
        <v>108</v>
      </c>
      <c r="BG51" s="392">
        <f t="shared" si="74"/>
        <v>160545.96824365485</v>
      </c>
      <c r="BH51" s="392">
        <v>712500</v>
      </c>
      <c r="BI51" s="309">
        <v>44356</v>
      </c>
      <c r="BJ51" s="309">
        <v>45452</v>
      </c>
      <c r="BK51" s="382">
        <v>101.6</v>
      </c>
      <c r="BL51" s="376">
        <v>123.6</v>
      </c>
      <c r="BM51" s="376">
        <v>103.5</v>
      </c>
      <c r="BN51" s="350">
        <f t="shared" si="75"/>
        <v>5153421.158015999</v>
      </c>
    </row>
    <row r="52" spans="1:66" x14ac:dyDescent="0.2">
      <c r="C52" s="429"/>
      <c r="D52" s="45" t="s">
        <v>129</v>
      </c>
      <c r="E52" s="5">
        <v>70301</v>
      </c>
      <c r="F52" s="5" t="s">
        <v>88</v>
      </c>
      <c r="G52" s="6" t="s">
        <v>89</v>
      </c>
      <c r="H52" s="6" t="s">
        <v>141</v>
      </c>
      <c r="I52" s="6" t="s">
        <v>24</v>
      </c>
      <c r="J52" s="2">
        <v>1535246.913580247</v>
      </c>
      <c r="K52" s="2">
        <v>1535246.913580247</v>
      </c>
      <c r="L52" s="2">
        <f t="shared" si="55"/>
        <v>1535247</v>
      </c>
      <c r="M52" s="2">
        <f t="shared" si="56"/>
        <v>1589210</v>
      </c>
      <c r="N52" s="2">
        <v>126432.09876543209</v>
      </c>
      <c r="O52" s="2">
        <v>0</v>
      </c>
      <c r="P52" s="2">
        <v>126432.09876543209</v>
      </c>
      <c r="Q52" s="2">
        <f t="shared" si="57"/>
        <v>1601352</v>
      </c>
      <c r="R52" s="2">
        <f t="shared" si="58"/>
        <v>1783266</v>
      </c>
      <c r="S52" s="2">
        <f t="shared" si="59"/>
        <v>126432</v>
      </c>
      <c r="T52" s="2">
        <f t="shared" si="60"/>
        <v>129855</v>
      </c>
      <c r="U52" s="3">
        <f t="shared" si="72"/>
        <v>1661679.0123456791</v>
      </c>
      <c r="V52" s="3">
        <f t="shared" si="61"/>
        <v>1661679.0123456791</v>
      </c>
      <c r="W52" s="2">
        <f t="shared" si="62"/>
        <v>129855</v>
      </c>
      <c r="X52" s="2">
        <f t="shared" ref="X52:X57" si="76">ROUND(R52/120.2*120.7,0)</f>
        <v>1790684</v>
      </c>
      <c r="Y52" s="2">
        <f t="shared" si="63"/>
        <v>97391</v>
      </c>
      <c r="Z52" s="4">
        <f t="shared" si="64"/>
        <v>1661679</v>
      </c>
      <c r="AA52" s="2">
        <f t="shared" si="65"/>
        <v>1815905</v>
      </c>
      <c r="AB52" s="2">
        <f t="shared" si="66"/>
        <v>97728</v>
      </c>
      <c r="AC52" s="121">
        <f t="shared" si="67"/>
        <v>1854478</v>
      </c>
      <c r="AD52" s="121">
        <f t="shared" si="68"/>
        <v>99496</v>
      </c>
      <c r="AE52" s="120">
        <f t="shared" si="69"/>
        <v>1953974</v>
      </c>
      <c r="AF52" s="118">
        <v>1840000</v>
      </c>
      <c r="AG52" s="118">
        <v>333000</v>
      </c>
      <c r="AH52" s="118">
        <f t="shared" si="12"/>
        <v>2173000</v>
      </c>
      <c r="AI52" s="4">
        <v>1840000</v>
      </c>
      <c r="AJ52" s="306">
        <v>131.5</v>
      </c>
      <c r="AK52" s="4">
        <v>333000</v>
      </c>
      <c r="AL52" s="306">
        <v>119.9</v>
      </c>
      <c r="AM52" s="4">
        <f t="shared" si="73"/>
        <v>2173000</v>
      </c>
      <c r="AN52" s="46" t="s">
        <v>226</v>
      </c>
      <c r="AO52" s="46">
        <v>1840000</v>
      </c>
      <c r="AP52" s="46" t="s">
        <v>226</v>
      </c>
      <c r="AQ52" s="46">
        <v>333000</v>
      </c>
      <c r="AR52" s="46">
        <f t="shared" ref="AR52:AR57" si="77">AO52+AQ52</f>
        <v>2173000</v>
      </c>
      <c r="AX52" s="368">
        <f>BD52/AJ52*AI52</f>
        <v>1978524.7148288975</v>
      </c>
      <c r="AY52" s="336">
        <f t="shared" si="17"/>
        <v>2077450.9505703424</v>
      </c>
      <c r="AZ52" s="391">
        <f t="shared" si="70"/>
        <v>2136806.6920152092</v>
      </c>
      <c r="BA52" s="309">
        <v>43425</v>
      </c>
      <c r="BB52" s="309">
        <v>45617</v>
      </c>
      <c r="BC52" s="337">
        <v>105</v>
      </c>
      <c r="BD52" s="376">
        <v>141.4</v>
      </c>
      <c r="BE52" s="368">
        <f t="shared" si="71"/>
        <v>343276.06338615512</v>
      </c>
      <c r="BF52" s="413">
        <v>108</v>
      </c>
      <c r="BG52" s="392">
        <f t="shared" si="74"/>
        <v>348768.48040033359</v>
      </c>
      <c r="BH52" s="392">
        <f t="shared" ref="BH52:BH57" si="78">BM52/BK52*BG52</f>
        <v>355290.72560467053</v>
      </c>
      <c r="BI52" s="309">
        <v>43425</v>
      </c>
      <c r="BJ52" s="309">
        <v>44521</v>
      </c>
      <c r="BK52" s="382">
        <v>101.6</v>
      </c>
      <c r="BL52" s="376">
        <v>123.6</v>
      </c>
      <c r="BM52" s="376">
        <v>103.5</v>
      </c>
      <c r="BN52" s="350">
        <f t="shared" si="75"/>
        <v>2492097.4176198798</v>
      </c>
    </row>
    <row r="53" spans="1:66" ht="18.75" customHeight="1" x14ac:dyDescent="0.2">
      <c r="D53" s="45" t="s">
        <v>129</v>
      </c>
      <c r="E53" s="5">
        <v>70501</v>
      </c>
      <c r="F53" s="5" t="s">
        <v>284</v>
      </c>
      <c r="G53" s="6" t="s">
        <v>91</v>
      </c>
      <c r="H53" s="6" t="s">
        <v>162</v>
      </c>
      <c r="I53" s="6" t="s">
        <v>48</v>
      </c>
      <c r="J53" s="2">
        <v>829888.88888888888</v>
      </c>
      <c r="K53" s="2">
        <v>829888.88888888888</v>
      </c>
      <c r="L53" s="2">
        <f t="shared" si="55"/>
        <v>829889</v>
      </c>
      <c r="M53" s="2">
        <f t="shared" si="56"/>
        <v>859059</v>
      </c>
      <c r="N53" s="2">
        <v>87456.790123456798</v>
      </c>
      <c r="O53" s="2">
        <v>0</v>
      </c>
      <c r="P53" s="2">
        <v>87456.790123456798</v>
      </c>
      <c r="Q53" s="2">
        <f t="shared" si="57"/>
        <v>865622</v>
      </c>
      <c r="R53" s="2">
        <f t="shared" si="58"/>
        <v>963957</v>
      </c>
      <c r="S53" s="2">
        <f t="shared" si="59"/>
        <v>87457</v>
      </c>
      <c r="T53" s="2">
        <f t="shared" si="60"/>
        <v>89825</v>
      </c>
      <c r="U53" s="3">
        <f t="shared" si="72"/>
        <v>917345.67901234562</v>
      </c>
      <c r="V53" s="3">
        <f t="shared" si="61"/>
        <v>917345.67901234562</v>
      </c>
      <c r="W53" s="2">
        <f t="shared" si="62"/>
        <v>89825</v>
      </c>
      <c r="X53" s="2">
        <f t="shared" si="76"/>
        <v>967967</v>
      </c>
      <c r="Y53" s="2">
        <f t="shared" si="63"/>
        <v>67369</v>
      </c>
      <c r="Z53" s="4">
        <f t="shared" si="64"/>
        <v>917346</v>
      </c>
      <c r="AA53" s="2">
        <f t="shared" si="65"/>
        <v>981600</v>
      </c>
      <c r="AB53" s="2">
        <f t="shared" si="66"/>
        <v>67602</v>
      </c>
      <c r="AC53" s="121">
        <f t="shared" si="67"/>
        <v>1002451</v>
      </c>
      <c r="AD53" s="121">
        <f t="shared" si="68"/>
        <v>68825</v>
      </c>
      <c r="AE53" s="120">
        <f t="shared" si="69"/>
        <v>1071276</v>
      </c>
      <c r="AF53" s="118">
        <v>1160000</v>
      </c>
      <c r="AG53" s="118">
        <v>360000</v>
      </c>
      <c r="AH53" s="110">
        <f t="shared" si="12"/>
        <v>1520000</v>
      </c>
      <c r="AI53" s="4">
        <v>1160000</v>
      </c>
      <c r="AJ53" s="306">
        <v>131.5</v>
      </c>
      <c r="AK53" s="4">
        <v>360000</v>
      </c>
      <c r="AL53" s="306">
        <v>119.9</v>
      </c>
      <c r="AM53" s="4">
        <f t="shared" si="73"/>
        <v>1520000</v>
      </c>
      <c r="AN53" s="296" t="s">
        <v>240</v>
      </c>
      <c r="AO53" s="297">
        <v>1160000</v>
      </c>
      <c r="AP53" s="296" t="s">
        <v>240</v>
      </c>
      <c r="AQ53" s="297">
        <v>360000</v>
      </c>
      <c r="AR53" s="297">
        <f t="shared" si="77"/>
        <v>1520000</v>
      </c>
      <c r="AS53" s="30"/>
      <c r="AT53" s="54"/>
      <c r="AU53" s="54"/>
      <c r="AV53" s="54"/>
      <c r="AX53" s="368">
        <f>BD53/AJ53*AI53</f>
        <v>1247330.7984790874</v>
      </c>
      <c r="AY53" s="334">
        <f t="shared" si="17"/>
        <v>1309697.3384030417</v>
      </c>
      <c r="AZ53" s="391">
        <f t="shared" si="70"/>
        <v>1347117.2623574142</v>
      </c>
      <c r="BA53" s="309">
        <v>43425</v>
      </c>
      <c r="BB53" s="309">
        <v>45617</v>
      </c>
      <c r="BC53" s="335">
        <v>105</v>
      </c>
      <c r="BD53" s="376">
        <v>141.4</v>
      </c>
      <c r="BE53" s="368">
        <f t="shared" si="71"/>
        <v>371109.25771476229</v>
      </c>
      <c r="BF53" s="412">
        <v>108</v>
      </c>
      <c r="BG53" s="392">
        <f t="shared" si="74"/>
        <v>377047.00583819847</v>
      </c>
      <c r="BH53" s="392">
        <f t="shared" si="78"/>
        <v>384098.08173477894</v>
      </c>
      <c r="BI53" s="309">
        <v>43425</v>
      </c>
      <c r="BJ53" s="309">
        <v>44521</v>
      </c>
      <c r="BK53" s="382">
        <v>101.6</v>
      </c>
      <c r="BL53" s="376">
        <v>123.6</v>
      </c>
      <c r="BM53" s="376">
        <v>103.5</v>
      </c>
      <c r="BN53" s="350">
        <f t="shared" si="75"/>
        <v>1731215.3440921931</v>
      </c>
    </row>
    <row r="54" spans="1:66" ht="27.2" customHeight="1" x14ac:dyDescent="0.2">
      <c r="A54" s="44"/>
      <c r="B54" s="44"/>
      <c r="C54" s="44" t="s">
        <v>299</v>
      </c>
      <c r="D54" s="29" t="s">
        <v>296</v>
      </c>
      <c r="E54" s="6"/>
      <c r="F54" s="6" t="s">
        <v>216</v>
      </c>
      <c r="G54" s="6" t="s">
        <v>215</v>
      </c>
      <c r="H54" s="6" t="s">
        <v>154</v>
      </c>
      <c r="I54" s="6" t="s">
        <v>39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3"/>
      <c r="V54" s="33"/>
      <c r="W54" s="33"/>
      <c r="X54" s="33"/>
      <c r="Y54" s="33"/>
      <c r="Z54" s="19"/>
      <c r="AA54" s="19"/>
      <c r="AB54" s="19"/>
      <c r="AC54" s="295"/>
      <c r="AD54" s="295">
        <v>200000</v>
      </c>
      <c r="AE54" s="212">
        <v>200000</v>
      </c>
      <c r="AF54" s="114">
        <v>0</v>
      </c>
      <c r="AG54" s="114">
        <v>200000</v>
      </c>
      <c r="AH54" s="110">
        <f t="shared" si="12"/>
        <v>200000</v>
      </c>
      <c r="AI54" s="19">
        <v>0</v>
      </c>
      <c r="AJ54" s="301"/>
      <c r="AK54" s="19">
        <v>200000</v>
      </c>
      <c r="AL54" s="301">
        <v>118.2</v>
      </c>
      <c r="AM54" s="4">
        <f t="shared" si="73"/>
        <v>200000</v>
      </c>
      <c r="AP54" s="59"/>
      <c r="AQ54" s="60"/>
      <c r="AR54" s="46"/>
      <c r="AS54" s="48" t="s">
        <v>217</v>
      </c>
      <c r="AX54" s="368">
        <v>0</v>
      </c>
      <c r="AY54" s="336">
        <f t="shared" si="17"/>
        <v>0</v>
      </c>
      <c r="AZ54" s="391">
        <f t="shared" si="70"/>
        <v>0</v>
      </c>
      <c r="BA54" s="308"/>
      <c r="BB54" s="308"/>
      <c r="BC54" s="337">
        <v>105</v>
      </c>
      <c r="BD54" s="376"/>
      <c r="BE54" s="368">
        <f t="shared" si="71"/>
        <v>209137.05583756344</v>
      </c>
      <c r="BF54" s="412">
        <v>108</v>
      </c>
      <c r="BG54" s="392">
        <f t="shared" si="74"/>
        <v>212483.24873096446</v>
      </c>
      <c r="BH54" s="392">
        <v>290000</v>
      </c>
      <c r="BI54" s="309">
        <v>44356</v>
      </c>
      <c r="BJ54" s="309">
        <v>45452</v>
      </c>
      <c r="BK54" s="382">
        <v>101.6</v>
      </c>
      <c r="BL54" s="376">
        <v>123.6</v>
      </c>
      <c r="BM54" s="376">
        <v>103.5</v>
      </c>
      <c r="BN54" s="350">
        <f t="shared" si="75"/>
        <v>290000</v>
      </c>
    </row>
    <row r="55" spans="1:66" x14ac:dyDescent="0.2">
      <c r="A55" s="44" t="s">
        <v>93</v>
      </c>
      <c r="B55" s="44"/>
      <c r="C55" s="44"/>
      <c r="D55" s="45" t="s">
        <v>130</v>
      </c>
      <c r="E55" s="5"/>
      <c r="F55" s="5" t="s">
        <v>242</v>
      </c>
      <c r="G55" s="6" t="s">
        <v>101</v>
      </c>
      <c r="H55" s="6" t="s">
        <v>154</v>
      </c>
      <c r="I55" s="6" t="s">
        <v>39</v>
      </c>
      <c r="J55" s="2"/>
      <c r="K55" s="2">
        <v>11000000</v>
      </c>
      <c r="L55" s="2">
        <v>11000000</v>
      </c>
      <c r="M55" s="2">
        <f t="shared" si="56"/>
        <v>11386643</v>
      </c>
      <c r="N55" s="2"/>
      <c r="O55" s="2"/>
      <c r="P55" s="2">
        <v>1200000</v>
      </c>
      <c r="Q55" s="2">
        <f t="shared" si="57"/>
        <v>11473638</v>
      </c>
      <c r="R55" s="2">
        <f t="shared" si="58"/>
        <v>12777043</v>
      </c>
      <c r="S55" s="2">
        <v>1200000</v>
      </c>
      <c r="T55" s="2">
        <f t="shared" si="60"/>
        <v>1232491</v>
      </c>
      <c r="U55" s="3">
        <f t="shared" si="72"/>
        <v>0</v>
      </c>
      <c r="V55" s="3">
        <f t="shared" si="61"/>
        <v>12200000</v>
      </c>
      <c r="W55" s="2">
        <f t="shared" si="62"/>
        <v>1232491</v>
      </c>
      <c r="X55" s="2">
        <f t="shared" si="76"/>
        <v>12830192</v>
      </c>
      <c r="Y55" s="2">
        <f t="shared" si="63"/>
        <v>924368</v>
      </c>
      <c r="Z55" s="4">
        <f t="shared" si="64"/>
        <v>12200000</v>
      </c>
      <c r="AA55" s="2">
        <f t="shared" si="65"/>
        <v>13010899</v>
      </c>
      <c r="AB55" s="2">
        <f t="shared" si="66"/>
        <v>927564</v>
      </c>
      <c r="AC55" s="121">
        <f t="shared" si="67"/>
        <v>13287274</v>
      </c>
      <c r="AD55" s="121">
        <f t="shared" si="68"/>
        <v>944342</v>
      </c>
      <c r="AE55" s="120">
        <f t="shared" si="69"/>
        <v>14231616</v>
      </c>
      <c r="AF55" s="118">
        <v>13000000</v>
      </c>
      <c r="AG55" s="118">
        <v>2670000</v>
      </c>
      <c r="AH55" s="118">
        <f t="shared" si="12"/>
        <v>15670000</v>
      </c>
      <c r="AI55" s="4">
        <v>13000000</v>
      </c>
      <c r="AJ55" s="306">
        <v>131.5</v>
      </c>
      <c r="AK55" s="4">
        <v>2670000</v>
      </c>
      <c r="AL55" s="306">
        <v>119.9</v>
      </c>
      <c r="AM55" s="4">
        <f t="shared" si="73"/>
        <v>15670000</v>
      </c>
      <c r="AN55" s="297" t="s">
        <v>238</v>
      </c>
      <c r="AO55" s="297">
        <v>13000000</v>
      </c>
      <c r="AP55" s="297" t="s">
        <v>238</v>
      </c>
      <c r="AQ55" s="297">
        <v>2670000</v>
      </c>
      <c r="AR55" s="297">
        <f t="shared" si="77"/>
        <v>15670000</v>
      </c>
      <c r="AS55" s="30"/>
      <c r="AT55" s="54"/>
      <c r="AU55" s="54"/>
      <c r="AV55" s="54"/>
      <c r="AX55" s="368">
        <f>BD55/AJ55*AI55</f>
        <v>13978707.224334601</v>
      </c>
      <c r="AY55" s="334">
        <f t="shared" si="17"/>
        <v>14677642.585551333</v>
      </c>
      <c r="AZ55" s="391">
        <f t="shared" si="70"/>
        <v>15097003.802281369</v>
      </c>
      <c r="BA55" s="309">
        <v>43440</v>
      </c>
      <c r="BB55" s="309">
        <v>45632</v>
      </c>
      <c r="BC55" s="335">
        <v>105</v>
      </c>
      <c r="BD55" s="376">
        <v>141.4</v>
      </c>
      <c r="BE55" s="368">
        <f t="shared" si="71"/>
        <v>2752393.6613844871</v>
      </c>
      <c r="BF55" s="413">
        <v>108</v>
      </c>
      <c r="BG55" s="392">
        <f>BE55/100*101.6</f>
        <v>2796431.9599666386</v>
      </c>
      <c r="BH55" s="392">
        <f t="shared" si="78"/>
        <v>2848727.4395329435</v>
      </c>
      <c r="BI55" s="309">
        <v>43440</v>
      </c>
      <c r="BJ55" s="309">
        <v>44536</v>
      </c>
      <c r="BK55" s="382">
        <v>101.6</v>
      </c>
      <c r="BL55" s="376">
        <v>123.6</v>
      </c>
      <c r="BM55" s="376">
        <v>103.5</v>
      </c>
      <c r="BN55" s="350">
        <f t="shared" si="75"/>
        <v>17945731.241814312</v>
      </c>
    </row>
    <row r="56" spans="1:66" x14ac:dyDescent="0.2">
      <c r="D56" s="45" t="s">
        <v>131</v>
      </c>
      <c r="E56" s="1">
        <v>70701</v>
      </c>
      <c r="F56" s="5" t="s">
        <v>94</v>
      </c>
      <c r="G56" s="5" t="s">
        <v>95</v>
      </c>
      <c r="H56" s="5" t="s">
        <v>142</v>
      </c>
      <c r="I56" s="5" t="s">
        <v>24</v>
      </c>
      <c r="J56" s="2">
        <v>6487962.9629629636</v>
      </c>
      <c r="K56" s="2">
        <v>6487962.9629629636</v>
      </c>
      <c r="L56" s="2">
        <f>ROUND(J56,0)</f>
        <v>6487963</v>
      </c>
      <c r="M56" s="2">
        <f t="shared" si="56"/>
        <v>6716011</v>
      </c>
      <c r="N56" s="2">
        <v>475308.64197530865</v>
      </c>
      <c r="O56" s="2"/>
      <c r="P56" s="2">
        <v>475308.64197530865</v>
      </c>
      <c r="Q56" s="2">
        <f t="shared" si="57"/>
        <v>6767322</v>
      </c>
      <c r="R56" s="2">
        <f t="shared" si="58"/>
        <v>7536090</v>
      </c>
      <c r="S56" s="2">
        <f>ROUND(N56,0)</f>
        <v>475309</v>
      </c>
      <c r="T56" s="2">
        <f t="shared" si="60"/>
        <v>488178</v>
      </c>
      <c r="U56" s="3">
        <f t="shared" si="72"/>
        <v>6963271.6049382724</v>
      </c>
      <c r="V56" s="3">
        <f t="shared" si="61"/>
        <v>6963271.6049382724</v>
      </c>
      <c r="W56" s="2">
        <f t="shared" si="62"/>
        <v>488178</v>
      </c>
      <c r="X56" s="2">
        <f t="shared" si="76"/>
        <v>7567438</v>
      </c>
      <c r="Y56" s="2">
        <f t="shared" si="63"/>
        <v>366134</v>
      </c>
      <c r="Z56" s="4">
        <f t="shared" si="64"/>
        <v>6963272</v>
      </c>
      <c r="AA56" s="2">
        <f t="shared" si="65"/>
        <v>7674022</v>
      </c>
      <c r="AB56" s="2">
        <f t="shared" si="66"/>
        <v>367400</v>
      </c>
      <c r="AC56" s="121">
        <f t="shared" si="67"/>
        <v>7837032</v>
      </c>
      <c r="AD56" s="121">
        <f t="shared" si="68"/>
        <v>374045</v>
      </c>
      <c r="AE56" s="120">
        <f t="shared" si="69"/>
        <v>8211077</v>
      </c>
      <c r="AF56" s="118">
        <v>5150000</v>
      </c>
      <c r="AG56" s="118">
        <v>1210000</v>
      </c>
      <c r="AH56" s="118">
        <f t="shared" si="12"/>
        <v>6360000</v>
      </c>
      <c r="AI56" s="4">
        <v>5150000</v>
      </c>
      <c r="AJ56" s="306">
        <v>131.5</v>
      </c>
      <c r="AK56" s="4">
        <v>1210000</v>
      </c>
      <c r="AL56" s="306">
        <v>119.9</v>
      </c>
      <c r="AM56" s="4">
        <f t="shared" si="73"/>
        <v>6360000</v>
      </c>
      <c r="AN56" s="297" t="s">
        <v>238</v>
      </c>
      <c r="AO56" s="297">
        <v>5150000</v>
      </c>
      <c r="AP56" s="297" t="s">
        <v>238</v>
      </c>
      <c r="AQ56" s="297">
        <v>1210000</v>
      </c>
      <c r="AR56" s="297">
        <f t="shared" si="77"/>
        <v>6360000</v>
      </c>
      <c r="AS56" s="30"/>
      <c r="AT56" s="54"/>
      <c r="AU56" s="54"/>
      <c r="AV56" s="54"/>
      <c r="AX56" s="368">
        <f>BD56/AJ56*AI56</f>
        <v>5537718.6311787078</v>
      </c>
      <c r="AY56" s="336">
        <f t="shared" si="17"/>
        <v>5814604.5627376437</v>
      </c>
      <c r="AZ56" s="391">
        <f t="shared" si="70"/>
        <v>5980736.1216730047</v>
      </c>
      <c r="BA56" s="309">
        <v>43425</v>
      </c>
      <c r="BB56" s="309">
        <v>45617</v>
      </c>
      <c r="BC56" s="337">
        <v>105</v>
      </c>
      <c r="BD56" s="376">
        <v>141.4</v>
      </c>
      <c r="BE56" s="368">
        <f t="shared" si="71"/>
        <v>1247339.4495412842</v>
      </c>
      <c r="BF56" s="412">
        <v>108</v>
      </c>
      <c r="BG56" s="392">
        <f t="shared" si="74"/>
        <v>1267296.8807339447</v>
      </c>
      <c r="BH56" s="392">
        <f t="shared" si="78"/>
        <v>1290996.3302752292</v>
      </c>
      <c r="BI56" s="309">
        <v>43425</v>
      </c>
      <c r="BJ56" s="309">
        <v>44521</v>
      </c>
      <c r="BK56" s="382">
        <v>101.6</v>
      </c>
      <c r="BL56" s="376">
        <v>123.6</v>
      </c>
      <c r="BM56" s="376">
        <v>103.5</v>
      </c>
      <c r="BN56" s="350">
        <f t="shared" si="75"/>
        <v>7271732.4519482339</v>
      </c>
    </row>
    <row r="57" spans="1:66" ht="12.75" thickBot="1" x14ac:dyDescent="0.25">
      <c r="D57" s="45" t="s">
        <v>132</v>
      </c>
      <c r="E57" s="414">
        <v>20201</v>
      </c>
      <c r="F57" s="415" t="s">
        <v>96</v>
      </c>
      <c r="G57" s="416" t="s">
        <v>97</v>
      </c>
      <c r="H57" s="416" t="s">
        <v>141</v>
      </c>
      <c r="I57" s="416" t="s">
        <v>24</v>
      </c>
      <c r="J57" s="417">
        <v>540901.23456790124</v>
      </c>
      <c r="K57" s="417">
        <v>540901.23456790124</v>
      </c>
      <c r="L57" s="417">
        <f>ROUND(J57,0)</f>
        <v>540901</v>
      </c>
      <c r="M57" s="417">
        <f t="shared" si="56"/>
        <v>559913</v>
      </c>
      <c r="N57" s="417">
        <v>35172.839506172837</v>
      </c>
      <c r="O57" s="417">
        <v>0</v>
      </c>
      <c r="P57" s="417">
        <v>35172.839506172837</v>
      </c>
      <c r="Q57" s="417">
        <f t="shared" si="57"/>
        <v>564191</v>
      </c>
      <c r="R57" s="417">
        <f t="shared" si="58"/>
        <v>628283</v>
      </c>
      <c r="S57" s="417">
        <f>ROUND(N57,0)</f>
        <v>35173</v>
      </c>
      <c r="T57" s="417">
        <f t="shared" si="60"/>
        <v>36125</v>
      </c>
      <c r="U57" s="418">
        <f t="shared" si="72"/>
        <v>576074.07407407404</v>
      </c>
      <c r="V57" s="418">
        <f t="shared" si="61"/>
        <v>576074.07407407404</v>
      </c>
      <c r="W57" s="417">
        <f t="shared" si="62"/>
        <v>36125</v>
      </c>
      <c r="X57" s="417">
        <f t="shared" si="76"/>
        <v>630896</v>
      </c>
      <c r="Y57" s="417">
        <f t="shared" si="63"/>
        <v>27094</v>
      </c>
      <c r="Z57" s="411">
        <f t="shared" si="64"/>
        <v>576074</v>
      </c>
      <c r="AA57" s="417">
        <f t="shared" si="65"/>
        <v>639782</v>
      </c>
      <c r="AB57" s="417">
        <f t="shared" si="66"/>
        <v>27188</v>
      </c>
      <c r="AC57" s="419">
        <f t="shared" si="67"/>
        <v>653372</v>
      </c>
      <c r="AD57" s="419">
        <f t="shared" si="68"/>
        <v>27680</v>
      </c>
      <c r="AE57" s="420">
        <f t="shared" si="69"/>
        <v>681052</v>
      </c>
      <c r="AF57" s="421">
        <v>650000</v>
      </c>
      <c r="AG57" s="421">
        <v>91000</v>
      </c>
      <c r="AH57" s="421">
        <f t="shared" si="12"/>
        <v>741000</v>
      </c>
      <c r="AI57" s="411">
        <v>650000</v>
      </c>
      <c r="AJ57" s="422">
        <v>131.5</v>
      </c>
      <c r="AK57" s="411">
        <v>91000</v>
      </c>
      <c r="AL57" s="422">
        <v>119.9</v>
      </c>
      <c r="AM57" s="411">
        <f t="shared" si="73"/>
        <v>741000</v>
      </c>
      <c r="AN57" s="423" t="s">
        <v>226</v>
      </c>
      <c r="AO57" s="423">
        <v>650000</v>
      </c>
      <c r="AP57" s="423" t="s">
        <v>226</v>
      </c>
      <c r="AQ57" s="423">
        <v>91000</v>
      </c>
      <c r="AR57" s="423">
        <f t="shared" si="77"/>
        <v>741000</v>
      </c>
      <c r="AS57" s="424"/>
      <c r="AT57" s="425"/>
      <c r="AU57" s="425"/>
      <c r="AV57" s="425"/>
      <c r="AW57" s="426"/>
      <c r="AX57" s="369">
        <f>BD57/AJ57*AI57</f>
        <v>698935.36121673009</v>
      </c>
      <c r="AY57" s="370">
        <f t="shared" si="17"/>
        <v>733882.12927756656</v>
      </c>
      <c r="AZ57" s="394">
        <f t="shared" si="70"/>
        <v>754850.19011406845</v>
      </c>
      <c r="BA57" s="344">
        <v>43425</v>
      </c>
      <c r="BB57" s="344">
        <v>45617</v>
      </c>
      <c r="BC57" s="371">
        <v>105</v>
      </c>
      <c r="BD57" s="377">
        <v>141.4</v>
      </c>
      <c r="BE57" s="369">
        <f t="shared" si="71"/>
        <v>93808.17347789825</v>
      </c>
      <c r="BF57" s="427">
        <v>108</v>
      </c>
      <c r="BG57" s="395">
        <f t="shared" si="74"/>
        <v>95309.104253544618</v>
      </c>
      <c r="BH57" s="411">
        <f t="shared" si="78"/>
        <v>97091.459549624677</v>
      </c>
      <c r="BI57" s="344">
        <v>43425</v>
      </c>
      <c r="BJ57" s="344">
        <v>44521</v>
      </c>
      <c r="BK57" s="386">
        <v>101.6</v>
      </c>
      <c r="BL57" s="377">
        <v>123.6</v>
      </c>
      <c r="BM57" s="377">
        <v>103.5</v>
      </c>
      <c r="BN57" s="387">
        <f t="shared" si="75"/>
        <v>851941.64966369316</v>
      </c>
    </row>
    <row r="58" spans="1:66" x14ac:dyDescent="0.2">
      <c r="F58" s="30"/>
      <c r="G58" s="30"/>
      <c r="H58" s="30"/>
      <c r="I58" s="30"/>
      <c r="J58" s="15">
        <f>SUM(J49:J57)</f>
        <v>17897271.604938272</v>
      </c>
      <c r="K58" s="15">
        <f>SUM(K49:K57)</f>
        <v>28897271.604938272</v>
      </c>
      <c r="L58" s="15">
        <f>SUM(L49:L57)</f>
        <v>28897272</v>
      </c>
      <c r="M58" s="65">
        <f>SUM(M49:M57)</f>
        <v>29912993</v>
      </c>
      <c r="N58" s="15">
        <f>SUM(N49:N57)</f>
        <v>1616049.3827160497</v>
      </c>
      <c r="O58" s="15">
        <v>0</v>
      </c>
      <c r="P58" s="65">
        <f t="shared" ref="P58:AI58" si="79">SUM(P49:P57)</f>
        <v>2816049.3827160499</v>
      </c>
      <c r="Q58" s="65">
        <f t="shared" si="79"/>
        <v>30141532</v>
      </c>
      <c r="R58" s="65">
        <f t="shared" si="79"/>
        <v>33565611</v>
      </c>
      <c r="S58" s="65">
        <f t="shared" si="79"/>
        <v>2816050</v>
      </c>
      <c r="T58" s="65">
        <f t="shared" si="79"/>
        <v>2892296</v>
      </c>
      <c r="U58" s="66">
        <f t="shared" si="79"/>
        <v>19513320.987654321</v>
      </c>
      <c r="V58" s="66">
        <f t="shared" si="79"/>
        <v>31713320.987654325</v>
      </c>
      <c r="W58" s="65">
        <f t="shared" si="79"/>
        <v>2892296</v>
      </c>
      <c r="X58" s="65">
        <f t="shared" si="79"/>
        <v>33577177</v>
      </c>
      <c r="Y58" s="65">
        <f t="shared" si="79"/>
        <v>2169223</v>
      </c>
      <c r="Z58" s="67">
        <f t="shared" si="79"/>
        <v>31713322</v>
      </c>
      <c r="AA58" s="65">
        <f t="shared" si="79"/>
        <v>34050096</v>
      </c>
      <c r="AB58" s="65">
        <f t="shared" si="79"/>
        <v>2176724</v>
      </c>
      <c r="AC58" s="65">
        <f t="shared" si="79"/>
        <v>34773381</v>
      </c>
      <c r="AD58" s="65">
        <f t="shared" si="79"/>
        <v>2416097</v>
      </c>
      <c r="AE58" s="65">
        <f t="shared" si="79"/>
        <v>37189478</v>
      </c>
      <c r="AF58" s="115">
        <f t="shared" si="79"/>
        <v>31938774</v>
      </c>
      <c r="AG58" s="115">
        <f t="shared" si="79"/>
        <v>5565709</v>
      </c>
      <c r="AH58" s="115">
        <f t="shared" si="79"/>
        <v>37504483</v>
      </c>
      <c r="AI58" s="65">
        <f t="shared" si="79"/>
        <v>31938774</v>
      </c>
      <c r="AJ58" s="298"/>
      <c r="AK58" s="65">
        <f>SUM(AK49:AK57)</f>
        <v>5565709</v>
      </c>
      <c r="AL58" s="305"/>
      <c r="AM58" s="65">
        <f>SUM(AM49:AM57)</f>
        <v>37504483</v>
      </c>
      <c r="AN58" s="68"/>
      <c r="AO58" s="68">
        <f>SUM(AO49:AO57)</f>
        <v>21800000</v>
      </c>
      <c r="AP58" s="68"/>
      <c r="AQ58" s="68">
        <f>SUM(AQ49:AQ57)</f>
        <v>4664000</v>
      </c>
      <c r="AR58" s="68">
        <f>SUM(AR49:AR57)</f>
        <v>26464000</v>
      </c>
      <c r="AX58" s="65">
        <f>SUM(AX49:AX57)</f>
        <v>34910197.878838025</v>
      </c>
      <c r="AY58" s="356">
        <f>SUM(AY49:AY57)</f>
        <v>36655707.772779927</v>
      </c>
      <c r="AZ58" s="356">
        <f>SUM(AZ49:AZ57)</f>
        <v>37625553.037785061</v>
      </c>
      <c r="BA58" s="65"/>
      <c r="BB58" s="65"/>
      <c r="BC58" s="298"/>
      <c r="BD58" s="298"/>
      <c r="BE58" s="65">
        <f>SUM(BE49:BE57)</f>
        <v>5750830.4329157537</v>
      </c>
      <c r="BF58" s="402"/>
      <c r="BG58" s="65">
        <f>SUM(BG49:BG57)</f>
        <v>5842843.719842406</v>
      </c>
      <c r="BH58" s="65">
        <f>SUM(BH49:BH57)</f>
        <v>8511204.0366972461</v>
      </c>
      <c r="BI58" s="65"/>
      <c r="BJ58" s="65"/>
      <c r="BK58" s="359"/>
      <c r="BL58" s="305"/>
      <c r="BM58" s="305"/>
      <c r="BN58" s="65">
        <f>SUM(BN49:BN57)</f>
        <v>46136757.074482314</v>
      </c>
    </row>
    <row r="59" spans="1:66" x14ac:dyDescent="0.2">
      <c r="F59" s="30"/>
      <c r="G59" s="30"/>
      <c r="H59" s="30"/>
      <c r="I59" s="30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69"/>
      <c r="V59" s="69"/>
      <c r="W59" s="15"/>
      <c r="X59" s="15"/>
      <c r="Y59" s="15"/>
      <c r="Z59" s="34"/>
      <c r="AA59" s="15"/>
      <c r="AB59" s="15"/>
      <c r="AC59" s="15"/>
      <c r="AD59" s="15"/>
      <c r="AE59" s="34"/>
      <c r="AF59" s="116"/>
      <c r="AG59" s="116"/>
      <c r="AH59" s="116"/>
      <c r="AI59" s="34"/>
      <c r="AJ59" s="299"/>
      <c r="AK59" s="34"/>
      <c r="AL59" s="299"/>
      <c r="AM59" s="34"/>
      <c r="AN59" s="24"/>
      <c r="AO59" s="24"/>
      <c r="AP59" s="24"/>
      <c r="AQ59" s="24"/>
      <c r="AR59" s="24"/>
      <c r="AX59" s="34"/>
      <c r="AY59" s="34"/>
      <c r="AZ59" s="34"/>
      <c r="BA59" s="34"/>
      <c r="BB59" s="34"/>
      <c r="BC59" s="299"/>
      <c r="BD59" s="299"/>
      <c r="BE59" s="34"/>
      <c r="BF59" s="403"/>
      <c r="BG59" s="34"/>
      <c r="BH59" s="34"/>
      <c r="BI59" s="34"/>
      <c r="BJ59" s="34"/>
      <c r="BK59" s="360"/>
      <c r="BL59" s="299"/>
      <c r="BM59" s="299"/>
      <c r="BN59" s="34"/>
    </row>
    <row r="60" spans="1:66" s="71" customFormat="1" x14ac:dyDescent="0.2">
      <c r="A60" s="70"/>
      <c r="B60" s="70"/>
      <c r="C60" s="70"/>
      <c r="D60" s="71" t="s">
        <v>98</v>
      </c>
      <c r="F60" s="72"/>
      <c r="G60" s="73"/>
      <c r="H60" s="73"/>
      <c r="I60" s="73"/>
      <c r="J60" s="74">
        <f>SUM(J46+J58)</f>
        <v>46025086.41975309</v>
      </c>
      <c r="K60" s="74">
        <f>SUM(K46+K58)</f>
        <v>57025086.41975309</v>
      </c>
      <c r="L60" s="74">
        <f>SUM(L46+L58)</f>
        <v>57135507</v>
      </c>
      <c r="M60" s="65">
        <f>M46+M58</f>
        <v>59143786</v>
      </c>
      <c r="N60" s="74">
        <f>SUM(N46+N58)</f>
        <v>6459444.444444445</v>
      </c>
      <c r="O60" s="15"/>
      <c r="P60" s="65">
        <f t="shared" ref="P60:AI60" si="80">P46+P58</f>
        <v>7659444.4444444459</v>
      </c>
      <c r="Q60" s="65">
        <f t="shared" si="80"/>
        <v>62308489</v>
      </c>
      <c r="R60" s="65">
        <f t="shared" si="80"/>
        <v>66475859</v>
      </c>
      <c r="S60" s="65">
        <f t="shared" si="80"/>
        <v>8093197</v>
      </c>
      <c r="T60" s="65">
        <f t="shared" si="80"/>
        <v>7744542</v>
      </c>
      <c r="U60" s="75">
        <f t="shared" si="80"/>
        <v>51263938.27160494</v>
      </c>
      <c r="V60" s="75">
        <f t="shared" si="80"/>
        <v>63463938.27160494</v>
      </c>
      <c r="W60" s="65">
        <f t="shared" si="80"/>
        <v>5523529</v>
      </c>
      <c r="X60" s="65">
        <f t="shared" si="80"/>
        <v>66755072</v>
      </c>
      <c r="Y60" s="65">
        <f t="shared" si="80"/>
        <v>4777319</v>
      </c>
      <c r="Z60" s="76">
        <f t="shared" si="80"/>
        <v>65228704</v>
      </c>
      <c r="AA60" s="65">
        <f t="shared" si="80"/>
        <v>69250041</v>
      </c>
      <c r="AB60" s="65">
        <f t="shared" si="80"/>
        <v>4774730</v>
      </c>
      <c r="AC60" s="65">
        <f t="shared" si="80"/>
        <v>71275304</v>
      </c>
      <c r="AD60" s="65">
        <f t="shared" si="80"/>
        <v>5061095</v>
      </c>
      <c r="AE60" s="76">
        <f t="shared" si="80"/>
        <v>76336399</v>
      </c>
      <c r="AF60" s="117">
        <f t="shared" si="80"/>
        <v>68513882</v>
      </c>
      <c r="AG60" s="117">
        <f t="shared" si="80"/>
        <v>8654502</v>
      </c>
      <c r="AH60" s="117">
        <f t="shared" si="80"/>
        <v>77168384</v>
      </c>
      <c r="AI60" s="76">
        <f t="shared" si="80"/>
        <v>68513882</v>
      </c>
      <c r="AJ60" s="300"/>
      <c r="AK60" s="76">
        <f>AK58+AK46</f>
        <v>8654502</v>
      </c>
      <c r="AL60" s="300"/>
      <c r="AM60" s="76">
        <f>AM58+AM46</f>
        <v>77168384</v>
      </c>
      <c r="AN60" s="77"/>
      <c r="AO60" s="77">
        <f>AO46+AO58</f>
        <v>46600677</v>
      </c>
      <c r="AP60" s="77"/>
      <c r="AQ60" s="77">
        <f>AQ46+AQ58</f>
        <v>7672000</v>
      </c>
      <c r="AR60" s="77">
        <f>AR46+AR58</f>
        <v>54272677</v>
      </c>
      <c r="AS60" s="78"/>
      <c r="AX60" s="76">
        <f>AX46+AX58</f>
        <v>77564120.589403808</v>
      </c>
      <c r="AY60" s="65">
        <f>AY46+AY58</f>
        <v>81463326.61927399</v>
      </c>
      <c r="AZ60" s="65">
        <f>AZ46+AZ58</f>
        <v>84272156.046520054</v>
      </c>
      <c r="BA60" s="76"/>
      <c r="BB60" s="76"/>
      <c r="BC60" s="300"/>
      <c r="BD60" s="300"/>
      <c r="BE60" s="76">
        <f>BE58+BE46</f>
        <v>9272514.5436938554</v>
      </c>
      <c r="BF60" s="404"/>
      <c r="BG60" s="76">
        <f>SUM(BG58,BG46)</f>
        <v>9420874.7763929572</v>
      </c>
      <c r="BH60" s="76">
        <f>BH46+BH58</f>
        <v>13337999.305262718</v>
      </c>
      <c r="BI60" s="76"/>
      <c r="BJ60" s="76"/>
      <c r="BK60" s="361"/>
      <c r="BL60" s="300"/>
      <c r="BM60" s="300"/>
      <c r="BN60" s="76">
        <f>BN58+BN46</f>
        <v>97610155.351782784</v>
      </c>
    </row>
    <row r="61" spans="1:66" x14ac:dyDescent="0.2">
      <c r="AX61" s="80"/>
      <c r="AY61" s="80"/>
      <c r="AZ61" s="80"/>
      <c r="BA61" s="80"/>
      <c r="BB61" s="80"/>
      <c r="BC61" s="80"/>
      <c r="BD61" s="80"/>
      <c r="BE61" s="80"/>
      <c r="BF61" s="405"/>
      <c r="BG61" s="80"/>
      <c r="BH61" s="80"/>
      <c r="BI61" s="80"/>
      <c r="BJ61" s="80"/>
      <c r="BK61" s="362"/>
      <c r="BL61" s="80"/>
      <c r="BM61" s="80"/>
      <c r="BN61" s="80"/>
    </row>
    <row r="62" spans="1:66" x14ac:dyDescent="0.2">
      <c r="F62" s="30"/>
      <c r="AX62" s="80"/>
      <c r="AY62" s="80"/>
      <c r="AZ62" s="80"/>
      <c r="BA62" s="80"/>
      <c r="BB62" s="80"/>
      <c r="BC62" s="80"/>
      <c r="BD62" s="80"/>
      <c r="BE62" s="80"/>
      <c r="BF62" s="405"/>
      <c r="BG62" s="80"/>
      <c r="BH62" s="80"/>
      <c r="BI62" s="80"/>
      <c r="BJ62" s="80"/>
      <c r="BK62" s="362"/>
      <c r="BL62" s="80"/>
      <c r="BM62" s="80"/>
      <c r="BN62" s="80"/>
    </row>
    <row r="63" spans="1:66" x14ac:dyDescent="0.2">
      <c r="D63" s="64" t="s">
        <v>23</v>
      </c>
      <c r="F63" s="30" t="s">
        <v>99</v>
      </c>
      <c r="U63" s="79">
        <v>3000000</v>
      </c>
      <c r="V63" s="79">
        <v>3000000</v>
      </c>
      <c r="Z63" s="80">
        <v>3000000</v>
      </c>
      <c r="AM63" s="80">
        <v>3000000</v>
      </c>
      <c r="AR63" s="63">
        <v>3000000</v>
      </c>
      <c r="AS63" s="48" t="s">
        <v>0</v>
      </c>
      <c r="AX63" s="80"/>
      <c r="AY63" s="80"/>
      <c r="AZ63" s="80"/>
      <c r="BA63" s="80"/>
      <c r="BB63" s="80"/>
      <c r="BC63" s="80"/>
      <c r="BD63" s="80"/>
      <c r="BE63" s="80"/>
      <c r="BF63" s="405"/>
      <c r="BG63" s="80"/>
      <c r="BH63" s="80"/>
      <c r="BI63" s="80"/>
      <c r="BJ63" s="80"/>
      <c r="BK63" s="362"/>
      <c r="BL63" s="80"/>
      <c r="BM63" s="80"/>
      <c r="BN63" s="80">
        <v>3000000</v>
      </c>
    </row>
    <row r="64" spans="1:66" x14ac:dyDescent="0.2">
      <c r="U64" s="9" t="e">
        <f>SUM(U60+U63+#REF!)</f>
        <v>#REF!</v>
      </c>
      <c r="V64" s="9">
        <f>SUM(V60+V63)</f>
        <v>66463938.27160494</v>
      </c>
      <c r="W64" s="9"/>
      <c r="X64" s="9"/>
      <c r="Y64" s="9"/>
      <c r="Z64" s="10">
        <f>Z60+Z63</f>
        <v>68228704</v>
      </c>
      <c r="AA64" s="10"/>
      <c r="AB64" s="10"/>
      <c r="AC64" s="10"/>
      <c r="AD64" s="10"/>
      <c r="AI64" s="10"/>
      <c r="AJ64" s="10"/>
      <c r="AK64" s="10"/>
      <c r="AL64" s="10"/>
      <c r="AM64" s="10">
        <f>SUM(AM60+AM63)</f>
        <v>80168384</v>
      </c>
      <c r="AN64" s="25"/>
      <c r="AO64" s="25"/>
      <c r="AP64" s="25"/>
      <c r="AQ64" s="25"/>
      <c r="AR64" s="81">
        <f>AR60+AR63</f>
        <v>57272677</v>
      </c>
      <c r="AS64" s="48" t="s">
        <v>0</v>
      </c>
      <c r="AX64" s="10"/>
      <c r="AY64" s="10"/>
      <c r="AZ64" s="10"/>
      <c r="BA64" s="10"/>
      <c r="BB64" s="10"/>
      <c r="BC64" s="10"/>
      <c r="BD64" s="10"/>
      <c r="BE64" s="10"/>
      <c r="BF64" s="406"/>
      <c r="BG64" s="10"/>
      <c r="BH64" s="10"/>
      <c r="BI64" s="10"/>
      <c r="BJ64" s="10"/>
      <c r="BK64" s="363"/>
      <c r="BL64" s="10"/>
      <c r="BM64" s="10"/>
      <c r="BN64" s="10">
        <f>SUM(BN60+BN63)</f>
        <v>100610155.35178278</v>
      </c>
    </row>
  </sheetData>
  <pageMargins left="0.39370078740157483" right="0.39370078740157483" top="1.5748031496062993" bottom="0.98425196850393704" header="0.51181102362204722" footer="0.70866141732283472"/>
  <pageSetup paperSize="9" scale="65" fitToHeight="3" orientation="landscape" r:id="rId1"/>
  <headerFooter alignWithMargins="0">
    <oddFooter>&amp;L&amp;F &amp;A&amp;C&amp;P&amp;R&amp;D</oddFooter>
  </headerFooter>
  <rowBreaks count="1" manualBreakCount="1">
    <brk id="47" min="3" max="57" man="1"/>
  </rowBreaks>
  <colBreaks count="1" manualBreakCount="1">
    <brk id="39" min="1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AAF0-9DCB-4C4D-8820-69F35674B501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dec.18 aangeleverde specif.</vt:lpstr>
      <vt:lpstr> specificatie Concordia jan.19</vt:lpstr>
      <vt:lpstr>startpunt 31-12-2018 gecorrigee</vt:lpstr>
      <vt:lpstr>Mutaties</vt:lpstr>
      <vt:lpstr>'startpunt 31-12-2018 gecorrigee'!Afdrukbereik</vt:lpstr>
      <vt:lpstr>'startpunt 31-12-2018 gecorrigee'!Afdruktitels</vt:lpstr>
    </vt:vector>
  </TitlesOfParts>
  <Company>GemeenteNet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admivoc</dc:creator>
  <cp:lastModifiedBy>Loenen, Susan van</cp:lastModifiedBy>
  <cp:lastPrinted>2020-05-18T09:56:01Z</cp:lastPrinted>
  <dcterms:created xsi:type="dcterms:W3CDTF">2013-10-29T15:21:39Z</dcterms:created>
  <dcterms:modified xsi:type="dcterms:W3CDTF">2021-08-02T10:20:51Z</dcterms:modified>
</cp:coreProperties>
</file>