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VSPROW55\CFD_UG_HKT\Inkoop-UNIT\83-INKOOPDOSSIER- INKOOP\IUC21\IUC21-608 Binnenlandse koeriers- &amp; transportdiensten\Publicatieversie - word\Bijlage 8 - Prijzenblad\"/>
    </mc:Choice>
  </mc:AlternateContent>
  <bookViews>
    <workbookView xWindow="0" yWindow="0" windowWidth="24750" windowHeight="9495"/>
  </bookViews>
  <sheets>
    <sheet name="Perceel 1 - koeriersdiensten" sheetId="1" r:id="rId1"/>
    <sheet name="Perceel 2 - transportdiensten" sheetId="2" r:id="rId2"/>
    <sheet name="Wens 2b - social return" sheetId="3" r:id="rId3"/>
    <sheet name="Oefenblad Gunnen op Waarde" sheetId="4" r:id="rId4"/>
    <sheet name="Blad2" sheetId="5" state="hidden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1" i="1" l="1"/>
  <c r="L46" i="1"/>
  <c r="L47" i="1"/>
  <c r="L48" i="1"/>
  <c r="J38" i="2" l="1"/>
  <c r="J51" i="2" l="1"/>
  <c r="J44" i="2"/>
  <c r="J50" i="2"/>
  <c r="J52" i="2"/>
  <c r="J49" i="2"/>
  <c r="J48" i="2"/>
  <c r="J47" i="2"/>
  <c r="J46" i="2"/>
  <c r="J45" i="2"/>
  <c r="J43" i="2"/>
  <c r="J42" i="2"/>
  <c r="J41" i="2"/>
  <c r="J39" i="2"/>
  <c r="J40" i="2"/>
  <c r="M38" i="2"/>
  <c r="I51" i="2"/>
  <c r="I50" i="2"/>
  <c r="I49" i="2"/>
  <c r="I48" i="2"/>
  <c r="I47" i="2"/>
  <c r="I46" i="2"/>
  <c r="I45" i="2"/>
  <c r="I43" i="2"/>
  <c r="I44" i="2"/>
  <c r="I42" i="2"/>
  <c r="I41" i="2"/>
  <c r="I40" i="2"/>
  <c r="I39" i="2"/>
  <c r="I38" i="2"/>
  <c r="M33" i="4" l="1"/>
  <c r="M32" i="4"/>
  <c r="M31" i="4"/>
  <c r="M30" i="4"/>
  <c r="M29" i="4"/>
  <c r="M28" i="4"/>
  <c r="H33" i="4"/>
  <c r="H32" i="4"/>
  <c r="H31" i="4"/>
  <c r="H30" i="4"/>
  <c r="H29" i="4"/>
  <c r="H28" i="4"/>
  <c r="C33" i="4"/>
  <c r="C32" i="4"/>
  <c r="C31" i="4"/>
  <c r="C30" i="4"/>
  <c r="C29" i="4"/>
  <c r="C28" i="4"/>
  <c r="Q35" i="5"/>
  <c r="Q34" i="5"/>
  <c r="Q33" i="5"/>
  <c r="Q32" i="5"/>
  <c r="Q31" i="5"/>
  <c r="Q46" i="5"/>
  <c r="Q47" i="5" s="1"/>
  <c r="Q48" i="5" s="1"/>
  <c r="Q49" i="5" s="1"/>
  <c r="Q50" i="5" s="1"/>
  <c r="Q39" i="5"/>
  <c r="Q23" i="5"/>
  <c r="Q16" i="5"/>
  <c r="Q9" i="5"/>
  <c r="Q10" i="5" s="1"/>
  <c r="Q11" i="5" s="1"/>
  <c r="Q12" i="5" s="1"/>
  <c r="Q13" i="5" s="1"/>
  <c r="Q40" i="5"/>
  <c r="Q41" i="5" s="1"/>
  <c r="Q42" i="5" s="1"/>
  <c r="Q43" i="5" s="1"/>
  <c r="Q24" i="5"/>
  <c r="Q25" i="5" s="1"/>
  <c r="Q26" i="5" s="1"/>
  <c r="Q27" i="5" s="1"/>
  <c r="Q17" i="5"/>
  <c r="Q18" i="5" s="1"/>
  <c r="Q19" i="5" s="1"/>
  <c r="Q20" i="5" s="1"/>
  <c r="L4" i="5"/>
  <c r="L5" i="5" s="1"/>
  <c r="L6" i="5" s="1"/>
  <c r="K4" i="5"/>
  <c r="K5" i="5" s="1"/>
  <c r="K6" i="5" s="1"/>
  <c r="P3" i="5"/>
  <c r="P4" i="5" s="1"/>
  <c r="P5" i="5" s="1"/>
  <c r="P6" i="5" s="1"/>
  <c r="O3" i="5"/>
  <c r="O4" i="5" s="1"/>
  <c r="O5" i="5" s="1"/>
  <c r="O6" i="5" s="1"/>
  <c r="N3" i="5"/>
  <c r="N4" i="5" s="1"/>
  <c r="N5" i="5" s="1"/>
  <c r="N6" i="5" s="1"/>
  <c r="M3" i="5"/>
  <c r="M4" i="5" s="1"/>
  <c r="M5" i="5" s="1"/>
  <c r="M6" i="5" s="1"/>
  <c r="L3" i="5"/>
  <c r="K3" i="5"/>
  <c r="B35" i="5"/>
  <c r="B34" i="5"/>
  <c r="B33" i="5"/>
  <c r="B32" i="5"/>
  <c r="B31" i="5"/>
  <c r="M18" i="4"/>
  <c r="H18" i="4"/>
  <c r="C18" i="4"/>
  <c r="M17" i="4"/>
  <c r="H17" i="4"/>
  <c r="C17" i="4"/>
  <c r="M16" i="4"/>
  <c r="H16" i="4"/>
  <c r="C16" i="4"/>
  <c r="M15" i="4"/>
  <c r="H15" i="4"/>
  <c r="C15" i="4"/>
  <c r="M14" i="4"/>
  <c r="H14" i="4"/>
  <c r="C14" i="4"/>
  <c r="M13" i="4"/>
  <c r="N19" i="4" s="1"/>
  <c r="N20" i="4" s="1"/>
  <c r="H13" i="4"/>
  <c r="I19" i="4" s="1"/>
  <c r="I20" i="4" s="1"/>
  <c r="C13" i="4"/>
  <c r="D19" i="4" s="1"/>
  <c r="D20" i="4" s="1"/>
  <c r="B46" i="5"/>
  <c r="B47" i="5" s="1"/>
  <c r="B48" i="5" s="1"/>
  <c r="B49" i="5" s="1"/>
  <c r="B50" i="5" s="1"/>
  <c r="B39" i="5"/>
  <c r="B40" i="5" s="1"/>
  <c r="B41" i="5" s="1"/>
  <c r="B42" i="5" s="1"/>
  <c r="B43" i="5" s="1"/>
  <c r="B16" i="5"/>
  <c r="B17" i="5" s="1"/>
  <c r="B18" i="5" s="1"/>
  <c r="B19" i="5" s="1"/>
  <c r="B20" i="5" s="1"/>
  <c r="B9" i="5"/>
  <c r="B10" i="5" s="1"/>
  <c r="B11" i="5" s="1"/>
  <c r="B12" i="5" s="1"/>
  <c r="B13" i="5" s="1"/>
  <c r="I3" i="5"/>
  <c r="I4" i="5" s="1"/>
  <c r="I5" i="5" s="1"/>
  <c r="I6" i="5" s="1"/>
  <c r="H3" i="5"/>
  <c r="H4" i="5" s="1"/>
  <c r="H5" i="5" s="1"/>
  <c r="H6" i="5" s="1"/>
  <c r="E3" i="5"/>
  <c r="E4" i="5" s="1"/>
  <c r="E5" i="5" s="1"/>
  <c r="E6" i="5" s="1"/>
  <c r="D3" i="5"/>
  <c r="D4" i="5" s="1"/>
  <c r="D5" i="5" s="1"/>
  <c r="D6" i="5" s="1"/>
  <c r="B23" i="5"/>
  <c r="B24" i="5" s="1"/>
  <c r="B25" i="5" s="1"/>
  <c r="B26" i="5" s="1"/>
  <c r="B27" i="5" s="1"/>
  <c r="N34" i="4" l="1"/>
  <c r="N35" i="4" s="1"/>
  <c r="D34" i="4"/>
  <c r="D35" i="4" s="1"/>
  <c r="F3" i="5"/>
  <c r="F4" i="5" s="1"/>
  <c r="F5" i="5" s="1"/>
  <c r="F6" i="5" s="1"/>
  <c r="G3" i="5"/>
  <c r="G4" i="5" s="1"/>
  <c r="G5" i="5" s="1"/>
  <c r="G6" i="5" s="1"/>
  <c r="I34" i="4"/>
  <c r="I35" i="4" s="1"/>
  <c r="D19" i="3" l="1"/>
  <c r="D18" i="3"/>
  <c r="D16" i="3"/>
  <c r="D17" i="3"/>
  <c r="F19" i="3"/>
  <c r="F18" i="3"/>
  <c r="F17" i="3"/>
  <c r="F16" i="3"/>
  <c r="F15" i="3"/>
  <c r="L45" i="1"/>
  <c r="D15" i="3" l="1"/>
  <c r="M77" i="2" l="1"/>
  <c r="M52" i="2" l="1"/>
  <c r="J22" i="1"/>
  <c r="J19" i="1"/>
  <c r="M48" i="2"/>
  <c r="M47" i="2"/>
  <c r="M68" i="2" l="1"/>
  <c r="M69" i="2"/>
  <c r="M70" i="2"/>
  <c r="M71" i="2"/>
  <c r="M74" i="2"/>
  <c r="M75" i="2"/>
  <c r="M76" i="2"/>
  <c r="L42" i="1" l="1"/>
  <c r="M41" i="2" l="1"/>
  <c r="M42" i="2"/>
  <c r="M43" i="2"/>
  <c r="M44" i="2"/>
  <c r="M45" i="2"/>
  <c r="M46" i="2"/>
  <c r="M49" i="2"/>
  <c r="M50" i="2"/>
  <c r="M51" i="2"/>
  <c r="M40" i="2"/>
  <c r="M39" i="2"/>
  <c r="M34" i="2"/>
  <c r="M33" i="2"/>
  <c r="M32" i="2"/>
  <c r="M28" i="2"/>
  <c r="M27" i="2"/>
  <c r="M26" i="2"/>
  <c r="M22" i="2"/>
  <c r="M21" i="2"/>
  <c r="M20" i="2"/>
  <c r="M16" i="2"/>
  <c r="M15" i="2"/>
  <c r="M14" i="2"/>
  <c r="M10" i="2"/>
  <c r="M9" i="2"/>
  <c r="M8" i="2"/>
  <c r="M67" i="2"/>
  <c r="L39" i="1"/>
  <c r="L40" i="1"/>
  <c r="L41" i="1"/>
  <c r="L38" i="1"/>
  <c r="L22" i="1"/>
  <c r="L19" i="1"/>
  <c r="L16" i="1"/>
  <c r="L13" i="1"/>
  <c r="L10" i="1"/>
  <c r="L7" i="1"/>
  <c r="M58" i="2" l="1"/>
  <c r="M61" i="2"/>
  <c r="M60" i="2"/>
  <c r="M59" i="2"/>
  <c r="L30" i="1"/>
  <c r="L32" i="1"/>
  <c r="L31" i="1"/>
  <c r="M54" i="2"/>
  <c r="L29" i="1"/>
  <c r="L24" i="1"/>
  <c r="L55" i="1" l="1"/>
  <c r="M80" i="2"/>
</calcChain>
</file>

<file path=xl/sharedStrings.xml><?xml version="1.0" encoding="utf-8"?>
<sst xmlns="http://schemas.openxmlformats.org/spreadsheetml/2006/main" count="314" uniqueCount="117">
  <si>
    <t>Product 1 - Bezorging volgende dag voor 17:00 uur</t>
  </si>
  <si>
    <t>Product 2 - Bezorging volgende dag voor 12:00 uur</t>
  </si>
  <si>
    <t xml:space="preserve">Product 3 - Bezorging zelfde dag </t>
  </si>
  <si>
    <t>Product 4 - Combinatie ritten</t>
  </si>
  <si>
    <t>Tarief per collo</t>
  </si>
  <si>
    <t>Tarief per kilometer</t>
  </si>
  <si>
    <t>=</t>
  </si>
  <si>
    <t>invulveld (getallen in 2 decimalen nauwkeuring invullen)</t>
  </si>
  <si>
    <r>
      <rPr>
        <b/>
        <sz val="11"/>
        <color theme="1"/>
        <rFont val="Calibri"/>
        <family val="2"/>
        <scheme val="minor"/>
      </rPr>
      <t>Tijdsafhankelijke toeslagen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(percentage op afgegeven tarieven)</t>
    </r>
  </si>
  <si>
    <t>Avond</t>
  </si>
  <si>
    <t>Nacht</t>
  </si>
  <si>
    <t>Zaterdag</t>
  </si>
  <si>
    <r>
      <rPr>
        <b/>
        <sz val="11"/>
        <color theme="1"/>
        <rFont val="Calibri"/>
        <family val="2"/>
        <scheme val="minor"/>
      </rPr>
      <t>Overige toeslagen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(bedrag per zending) </t>
    </r>
  </si>
  <si>
    <t>Vervoer gevaarlijke zending (ADR)</t>
  </si>
  <si>
    <t>Stoptarief / wachttarief (per kwartier)</t>
  </si>
  <si>
    <t>Zon- &amp; Feestdagen</t>
  </si>
  <si>
    <t>Op product</t>
  </si>
  <si>
    <t>Percentage</t>
  </si>
  <si>
    <t>Geconditioneerd vervoer van de zending</t>
  </si>
  <si>
    <t>Extra verzekeren (standaard tot €500)</t>
  </si>
  <si>
    <t>Tarief in €</t>
  </si>
  <si>
    <t>Starttarief</t>
  </si>
  <si>
    <t>Niveau inzet social return</t>
  </si>
  <si>
    <t>Meer dan 35%</t>
  </si>
  <si>
    <t>Inschrijver commiteert zich aan nivea inzet social return van:</t>
  </si>
  <si>
    <t>Alle</t>
  </si>
  <si>
    <t>Vergelijkingswaarde</t>
  </si>
  <si>
    <t>Subtotaal</t>
  </si>
  <si>
    <t>Product 1 - Incidenteel tranposrt</t>
  </si>
  <si>
    <t>Product 4 - Repeterend transport</t>
  </si>
  <si>
    <t>Product 5 - Transport afwijkende maten en gewichten</t>
  </si>
  <si>
    <t>Tarief per</t>
  </si>
  <si>
    <t>Euro pallet</t>
  </si>
  <si>
    <t>Rolcontrainer</t>
  </si>
  <si>
    <t>Losse collo</t>
  </si>
  <si>
    <t xml:space="preserve">Tarief per uur </t>
  </si>
  <si>
    <t>Tussen 25kg en 500kg</t>
  </si>
  <si>
    <t>&gt;500kg en &lt;1000kg</t>
  </si>
  <si>
    <t>Meer dan 1000kg</t>
  </si>
  <si>
    <t>Opslag euro pallet</t>
  </si>
  <si>
    <t>Opslag rolcontainer</t>
  </si>
  <si>
    <t>alle</t>
  </si>
  <si>
    <t>Tot 500kg</t>
  </si>
  <si>
    <t>Trailer</t>
  </si>
  <si>
    <t>Open bak, kort + kraan 27/33</t>
  </si>
  <si>
    <t>Open bak, lang + kraan 27/33</t>
  </si>
  <si>
    <t>Open bak, lang + kraan 58/65</t>
  </si>
  <si>
    <t>Dieplader</t>
  </si>
  <si>
    <t>Dieplader met kraan (27/33tm)</t>
  </si>
  <si>
    <t>Dieplader met kraan (58/65tm)</t>
  </si>
  <si>
    <t>Bijrijder (per uur)</t>
  </si>
  <si>
    <t>Wens 2b - social return</t>
  </si>
  <si>
    <t>Opslag losse collo</t>
  </si>
  <si>
    <t xml:space="preserve">Weging per gerealiseerde eenheid </t>
  </si>
  <si>
    <t>Maximaal</t>
  </si>
  <si>
    <t xml:space="preserve">Kwantitatieve invuling </t>
  </si>
  <si>
    <t xml:space="preserve">Zie ook het Beschrijvend Document voor kaders en richtlijnen betreft social return. </t>
  </si>
  <si>
    <t xml:space="preserve">invulveld (kies getal uit gegeven lijst) </t>
  </si>
  <si>
    <t>(Zee)container 20 ft transport</t>
  </si>
  <si>
    <t>(Zee)container 40 ft transport</t>
  </si>
  <si>
    <t>Product 5a - Tijdsgebonden ritten</t>
  </si>
  <si>
    <t>Product 5b - Spoedritten</t>
  </si>
  <si>
    <t>4, 5a, 5b</t>
  </si>
  <si>
    <t>Product 2a - Incidenteel transport ophalen en bezorgen uitvoering op dezelfde dag</t>
  </si>
  <si>
    <t>Product 2b - Incidenteel transport ophalen en bezorgen op dezelfde dag in specifieke tijdsvensters</t>
  </si>
  <si>
    <t>Prudct 3 - Incidenteel transport spoed (vandaag)</t>
  </si>
  <si>
    <t>Vaartuigen dieplader met kraan (27-33)</t>
  </si>
  <si>
    <t>Vaartuigen dieplader met kraan (58-65)</t>
  </si>
  <si>
    <t>U geeft in dit tabblad aan hoeveel % van het totaal in te zetten uren uw organisatie gaat besteden aan mensen die vallen binnen de doelgroep van social return (2.0) zoals beschreven in het Programma van Eisen</t>
  </si>
  <si>
    <t>Starttarief per rit voor producten 3, 4, 5a, 5b</t>
  </si>
  <si>
    <t>Trailer (met laadklep)</t>
  </si>
  <si>
    <t>Open bakwagen, combi lang</t>
  </si>
  <si>
    <t>Opslag geconditioneerd (㎡)</t>
  </si>
  <si>
    <t>Perceel 1 - Binnenlandse Koeriersdiensten</t>
  </si>
  <si>
    <t>Perceel 2 - Binnenlandse Transportdiensten</t>
  </si>
  <si>
    <t>Bakwagen met zeildoek</t>
  </si>
  <si>
    <t>(Zee)container 45 HC ft transport</t>
  </si>
  <si>
    <t>Tussen 5% en 10%</t>
  </si>
  <si>
    <t>Tussen 10% en 15%</t>
  </si>
  <si>
    <t>Tussen 15% en 20%</t>
  </si>
  <si>
    <t>Tussen 20% en 25%</t>
  </si>
  <si>
    <t>Tussen 30 en 35%</t>
  </si>
  <si>
    <t>Tussen 25% en 30%</t>
  </si>
  <si>
    <t>Opties invulveld: 1, 2, 3, 4, 5,6 of 7</t>
  </si>
  <si>
    <t>Kwaliteitswaarde</t>
  </si>
  <si>
    <t>Koeriersdiensten</t>
  </si>
  <si>
    <t>Transportdiensten</t>
  </si>
  <si>
    <t>U vult enkel cel F22 in voor de beantwoording van wens 2b</t>
  </si>
  <si>
    <t xml:space="preserve">Let op! Het door u ingevulde niveau inzet social return wordt onderdeel van de Raamovereenkomst. Hierop is een boeteregeling van toepassing! </t>
  </si>
  <si>
    <t>Oefenblad Gunnen op Waarde</t>
  </si>
  <si>
    <t xml:space="preserve">Dit tabblad wordt niet bekenen door de Aanbestedende dienst </t>
  </si>
  <si>
    <t>Inschrijver 1</t>
  </si>
  <si>
    <t>Inschrijver 2</t>
  </si>
  <si>
    <t>Inschrijver 3</t>
  </si>
  <si>
    <t>Inschrijfprijs</t>
  </si>
  <si>
    <t>Score</t>
  </si>
  <si>
    <t>Fictieve korting</t>
  </si>
  <si>
    <t>Voldoende</t>
  </si>
  <si>
    <t>Uitstekend</t>
  </si>
  <si>
    <t>Goed</t>
  </si>
  <si>
    <t>Matig</t>
  </si>
  <si>
    <t>Totaal</t>
  </si>
  <si>
    <t>Wens 1a</t>
  </si>
  <si>
    <t>Wens 1b</t>
  </si>
  <si>
    <t>Wens 2a</t>
  </si>
  <si>
    <t>Wens 2b</t>
  </si>
  <si>
    <t>Wens 3a</t>
  </si>
  <si>
    <t>Wens 3b</t>
  </si>
  <si>
    <t>Onvoldoende</t>
  </si>
  <si>
    <t>Niet aan dit blad komen svp</t>
  </si>
  <si>
    <t>Evaluatieprijs</t>
  </si>
  <si>
    <t>Dit tabblad is enkel bedoeld ter verduidelijking van de gunningsmethodiek Gunnen op Waarde</t>
  </si>
  <si>
    <t xml:space="preserve">In dit tabblad kunt u kijken hoe verschillende vergelijkinswaarde en beoordelingen op wensen invloed hebben op de evaluatieprijs </t>
  </si>
  <si>
    <t>Wens 2b*</t>
  </si>
  <si>
    <t>* verkregen fictieve korting geldt enkel wanneer wens 2a met minimaal een voldoende is beoordeeld</t>
  </si>
  <si>
    <t>Controle</t>
  </si>
  <si>
    <r>
      <rPr>
        <b/>
        <sz val="11"/>
        <color theme="1"/>
        <rFont val="Calibri"/>
        <family val="2"/>
        <scheme val="minor"/>
      </rPr>
      <t>Opslag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(bedrag per dag)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</si>
</sst>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.00"/>
    <numFmt numFmtId="165" formatCode="&quot;€&quot;\ 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28"/>
      <color rgb="FF9C0006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8" tint="0.59999389629810485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0" fontId="1" fillId="2" borderId="1" applyNumberFormat="0" applyFont="0" applyAlignment="0" applyProtection="0"/>
    <xf numFmtId="0" fontId="6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0" fillId="0" borderId="0" xfId="0" applyFont="1"/>
    <xf numFmtId="0" fontId="0" fillId="2" borderId="1" xfId="1" applyFont="1" applyAlignment="1">
      <alignment horizontal="right"/>
    </xf>
    <xf numFmtId="0" fontId="0" fillId="0" borderId="2" xfId="0" applyBorder="1"/>
    <xf numFmtId="0" fontId="7" fillId="0" borderId="0" xfId="0" applyFont="1"/>
    <xf numFmtId="0" fontId="5" fillId="0" borderId="0" xfId="0" applyFont="1"/>
    <xf numFmtId="164" fontId="0" fillId="0" borderId="0" xfId="0" applyNumberFormat="1"/>
    <xf numFmtId="3" fontId="0" fillId="0" borderId="0" xfId="0" applyNumberFormat="1"/>
    <xf numFmtId="164" fontId="5" fillId="0" borderId="0" xfId="0" applyNumberFormat="1" applyFont="1"/>
    <xf numFmtId="0" fontId="0" fillId="0" borderId="3" xfId="0" applyBorder="1"/>
    <xf numFmtId="164" fontId="6" fillId="4" borderId="3" xfId="2" applyNumberFormat="1" applyBorder="1"/>
    <xf numFmtId="0" fontId="5" fillId="3" borderId="3" xfId="0" applyFont="1" applyFill="1" applyBorder="1"/>
    <xf numFmtId="164" fontId="5" fillId="3" borderId="3" xfId="0" applyNumberFormat="1" applyFont="1" applyFill="1" applyBorder="1"/>
    <xf numFmtId="0" fontId="0" fillId="0" borderId="11" xfId="0" applyBorder="1"/>
    <xf numFmtId="0" fontId="2" fillId="0" borderId="0" xfId="0" applyFont="1" applyFill="1" applyBorder="1"/>
    <xf numFmtId="0" fontId="2" fillId="0" borderId="13" xfId="0" applyFont="1" applyBorder="1"/>
    <xf numFmtId="0" fontId="0" fillId="0" borderId="11" xfId="0" applyFill="1" applyBorder="1"/>
    <xf numFmtId="0" fontId="0" fillId="3" borderId="3" xfId="0" applyFill="1" applyBorder="1" applyAlignment="1">
      <alignment horizontal="center"/>
    </xf>
    <xf numFmtId="9" fontId="5" fillId="3" borderId="3" xfId="0" applyNumberFormat="1" applyFont="1" applyFill="1" applyBorder="1" applyAlignment="1">
      <alignment horizontal="center"/>
    </xf>
    <xf numFmtId="0" fontId="0" fillId="2" borderId="3" xfId="1" applyFont="1" applyBorder="1" applyAlignment="1">
      <alignment horizontal="right"/>
    </xf>
    <xf numFmtId="0" fontId="0" fillId="3" borderId="3" xfId="0" applyFill="1" applyBorder="1" applyAlignment="1"/>
    <xf numFmtId="0" fontId="0" fillId="3" borderId="13" xfId="0" applyFill="1" applyBorder="1" applyAlignment="1"/>
    <xf numFmtId="0" fontId="0" fillId="0" borderId="0" xfId="0" applyBorder="1" applyAlignment="1"/>
    <xf numFmtId="0" fontId="0" fillId="0" borderId="0" xfId="0" applyBorder="1"/>
    <xf numFmtId="0" fontId="0" fillId="3" borderId="11" xfId="0" applyFill="1" applyBorder="1" applyAlignment="1"/>
    <xf numFmtId="164" fontId="0" fillId="7" borderId="15" xfId="0" applyNumberFormat="1" applyFill="1" applyBorder="1"/>
    <xf numFmtId="0" fontId="6" fillId="4" borderId="0" xfId="2"/>
    <xf numFmtId="0" fontId="0" fillId="0" borderId="16" xfId="0" applyBorder="1"/>
    <xf numFmtId="0" fontId="0" fillId="0" borderId="16" xfId="0" applyBorder="1" applyAlignment="1">
      <alignment horizontal="right"/>
    </xf>
    <xf numFmtId="0" fontId="8" fillId="5" borderId="0" xfId="3"/>
    <xf numFmtId="10" fontId="0" fillId="0" borderId="0" xfId="0" applyNumberFormat="1"/>
    <xf numFmtId="0" fontId="0" fillId="8" borderId="0" xfId="0" applyFill="1"/>
    <xf numFmtId="0" fontId="6" fillId="4" borderId="0" xfId="2" applyAlignment="1">
      <alignment horizontal="center"/>
    </xf>
    <xf numFmtId="164" fontId="6" fillId="4" borderId="0" xfId="2" applyNumberFormat="1"/>
    <xf numFmtId="0" fontId="11" fillId="0" borderId="0" xfId="0" applyFont="1"/>
    <xf numFmtId="0" fontId="0" fillId="0" borderId="3" xfId="0" applyBorder="1" applyAlignment="1">
      <alignment horizontal="center" vertical="center"/>
    </xf>
    <xf numFmtId="165" fontId="0" fillId="3" borderId="3" xfId="0" applyNumberFormat="1" applyFill="1" applyBorder="1" applyAlignment="1">
      <alignment horizontal="center" vertical="center"/>
    </xf>
    <xf numFmtId="165" fontId="12" fillId="3" borderId="3" xfId="0" applyNumberFormat="1" applyFont="1" applyFill="1" applyBorder="1" applyAlignment="1">
      <alignment horizontal="center" vertical="center"/>
    </xf>
    <xf numFmtId="0" fontId="7" fillId="0" borderId="0" xfId="0" applyFont="1" applyProtection="1"/>
    <xf numFmtId="0" fontId="0" fillId="0" borderId="0" xfId="0" applyProtection="1"/>
    <xf numFmtId="0" fontId="0" fillId="0" borderId="0" xfId="0" applyFont="1" applyProtection="1"/>
    <xf numFmtId="0" fontId="0" fillId="2" borderId="3" xfId="1" applyFont="1" applyBorder="1" applyAlignment="1" applyProtection="1">
      <alignment horizontal="right"/>
    </xf>
    <xf numFmtId="0" fontId="0" fillId="0" borderId="2" xfId="0" applyBorder="1" applyProtection="1"/>
    <xf numFmtId="0" fontId="2" fillId="0" borderId="0" xfId="0" applyFont="1" applyProtection="1"/>
    <xf numFmtId="0" fontId="5" fillId="3" borderId="3" xfId="0" applyFont="1" applyFill="1" applyBorder="1" applyProtection="1"/>
    <xf numFmtId="164" fontId="5" fillId="3" borderId="3" xfId="0" applyNumberFormat="1" applyFont="1" applyFill="1" applyBorder="1" applyProtection="1"/>
    <xf numFmtId="164" fontId="0" fillId="0" borderId="0" xfId="0" applyNumberFormat="1" applyProtection="1"/>
    <xf numFmtId="0" fontId="5" fillId="0" borderId="0" xfId="0" applyFont="1" applyProtection="1"/>
    <xf numFmtId="164" fontId="5" fillId="0" borderId="0" xfId="0" applyNumberFormat="1" applyFont="1" applyProtection="1"/>
    <xf numFmtId="3" fontId="0" fillId="0" borderId="0" xfId="0" applyNumberFormat="1" applyProtection="1"/>
    <xf numFmtId="164" fontId="6" fillId="4" borderId="3" xfId="2" applyNumberFormat="1" applyBorder="1" applyProtection="1"/>
    <xf numFmtId="0" fontId="0" fillId="0" borderId="13" xfId="0" applyBorder="1" applyProtection="1"/>
    <xf numFmtId="0" fontId="0" fillId="0" borderId="14" xfId="0" applyBorder="1" applyProtection="1"/>
    <xf numFmtId="0" fontId="0" fillId="0" borderId="11" xfId="0" applyBorder="1" applyProtection="1"/>
    <xf numFmtId="0" fontId="0" fillId="0" borderId="3" xfId="0" applyBorder="1" applyProtection="1"/>
    <xf numFmtId="0" fontId="0" fillId="0" borderId="3" xfId="0" applyFill="1" applyBorder="1" applyProtection="1"/>
    <xf numFmtId="9" fontId="5" fillId="3" borderId="3" xfId="0" applyNumberFormat="1" applyFont="1" applyFill="1" applyBorder="1" applyAlignment="1" applyProtection="1">
      <alignment horizontal="center"/>
    </xf>
    <xf numFmtId="0" fontId="0" fillId="0" borderId="6" xfId="0" applyBorder="1" applyProtection="1"/>
    <xf numFmtId="164" fontId="0" fillId="7" borderId="15" xfId="0" applyNumberFormat="1" applyFill="1" applyBorder="1" applyProtection="1"/>
    <xf numFmtId="164" fontId="0" fillId="2" borderId="3" xfId="1" applyNumberFormat="1" applyFont="1" applyBorder="1" applyProtection="1">
      <protection locked="0"/>
    </xf>
    <xf numFmtId="10" fontId="0" fillId="2" borderId="3" xfId="1" applyNumberFormat="1" applyFont="1" applyBorder="1" applyProtection="1">
      <protection locked="0"/>
    </xf>
    <xf numFmtId="0" fontId="0" fillId="2" borderId="3" xfId="1" applyFont="1" applyBorder="1" applyProtection="1">
      <protection locked="0"/>
    </xf>
    <xf numFmtId="0" fontId="5" fillId="3" borderId="0" xfId="0" applyFont="1" applyFill="1" applyAlignment="1" applyProtection="1"/>
    <xf numFmtId="0" fontId="0" fillId="3" borderId="0" xfId="0" applyFill="1" applyAlignment="1" applyProtection="1"/>
    <xf numFmtId="0" fontId="0" fillId="3" borderId="3" xfId="0" applyFill="1" applyBorder="1" applyAlignment="1" applyProtection="1"/>
    <xf numFmtId="0" fontId="0" fillId="3" borderId="12" xfId="0" applyFill="1" applyBorder="1" applyAlignment="1" applyProtection="1"/>
    <xf numFmtId="0" fontId="0" fillId="3" borderId="13" xfId="0" applyFill="1" applyBorder="1" applyAlignment="1" applyProtection="1"/>
    <xf numFmtId="0" fontId="0" fillId="0" borderId="14" xfId="0" applyBorder="1" applyAlignment="1" applyProtection="1"/>
    <xf numFmtId="0" fontId="0" fillId="0" borderId="11" xfId="0" applyBorder="1" applyAlignment="1" applyProtection="1"/>
    <xf numFmtId="0" fontId="0" fillId="3" borderId="3" xfId="0" applyFill="1" applyBorder="1" applyAlignment="1"/>
    <xf numFmtId="0" fontId="0" fillId="3" borderId="12" xfId="0" applyFont="1" applyFill="1" applyBorder="1" applyAlignment="1"/>
    <xf numFmtId="0" fontId="0" fillId="3" borderId="3" xfId="0" applyFont="1" applyFill="1" applyBorder="1" applyAlignment="1"/>
    <xf numFmtId="0" fontId="5" fillId="3" borderId="3" xfId="0" applyFont="1" applyFill="1" applyBorder="1" applyAlignment="1"/>
    <xf numFmtId="0" fontId="0" fillId="3" borderId="13" xfId="0" applyFill="1" applyBorder="1" applyAlignment="1"/>
    <xf numFmtId="0" fontId="0" fillId="0" borderId="11" xfId="0" applyBorder="1" applyAlignment="1"/>
    <xf numFmtId="0" fontId="0" fillId="0" borderId="14" xfId="0" applyBorder="1" applyAlignment="1"/>
    <xf numFmtId="0" fontId="0" fillId="3" borderId="4" xfId="0" applyFill="1" applyBorder="1" applyAlignment="1"/>
    <xf numFmtId="0" fontId="0" fillId="3" borderId="5" xfId="0" applyFill="1" applyBorder="1" applyAlignment="1"/>
    <xf numFmtId="0" fontId="0" fillId="3" borderId="6" xfId="0" applyFill="1" applyBorder="1" applyAlignment="1"/>
    <xf numFmtId="0" fontId="0" fillId="3" borderId="7" xfId="0" applyFill="1" applyBorder="1" applyAlignment="1"/>
    <xf numFmtId="0" fontId="0" fillId="3" borderId="0" xfId="0" applyFill="1" applyBorder="1" applyAlignment="1"/>
    <xf numFmtId="0" fontId="0" fillId="3" borderId="8" xfId="0" applyFill="1" applyBorder="1" applyAlignment="1"/>
    <xf numFmtId="0" fontId="0" fillId="3" borderId="9" xfId="0" applyFill="1" applyBorder="1" applyAlignment="1"/>
    <xf numFmtId="0" fontId="0" fillId="3" borderId="2" xfId="0" applyFill="1" applyBorder="1" applyAlignment="1"/>
    <xf numFmtId="0" fontId="0" fillId="3" borderId="10" xfId="0" applyFill="1" applyBorder="1" applyAlignment="1"/>
    <xf numFmtId="0" fontId="0" fillId="0" borderId="13" xfId="0" applyBorder="1" applyAlignment="1"/>
    <xf numFmtId="165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17" fontId="0" fillId="0" borderId="3" xfId="0" applyNumberFormat="1" applyBorder="1" applyAlignment="1">
      <alignment horizontal="left"/>
    </xf>
    <xf numFmtId="164" fontId="0" fillId="0" borderId="3" xfId="0" applyNumberFormat="1" applyBorder="1" applyAlignment="1">
      <alignment horizontal="center"/>
    </xf>
    <xf numFmtId="0" fontId="10" fillId="6" borderId="0" xfId="4" applyFont="1" applyAlignment="1">
      <alignment horizontal="center" vertical="center"/>
    </xf>
    <xf numFmtId="0" fontId="9" fillId="6" borderId="0" xfId="4" applyAlignment="1">
      <alignment horizontal="center" vertical="center"/>
    </xf>
  </cellXfs>
  <cellStyles count="5">
    <cellStyle name="Goed" xfId="3" builtinId="26"/>
    <cellStyle name="Neutraal" xfId="2" builtinId="28"/>
    <cellStyle name="Notitie" xfId="1" builtinId="10"/>
    <cellStyle name="Ongeldig" xfId="4" builtinId="27"/>
    <cellStyle name="Standaard" xfId="0" builtinId="0"/>
  </cellStyles>
  <dxfs count="4">
    <dxf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tabSelected="1" workbookViewId="0">
      <selection activeCell="H42" sqref="H42"/>
    </sheetView>
  </sheetViews>
  <sheetFormatPr defaultRowHeight="15" x14ac:dyDescent="0.25"/>
  <cols>
    <col min="1" max="1" width="19" style="40" customWidth="1"/>
    <col min="2" max="4" width="9.140625" style="40"/>
    <col min="5" max="5" width="12.5703125" style="40" customWidth="1"/>
    <col min="6" max="7" width="9.140625" style="40"/>
    <col min="8" max="8" width="11.42578125" style="40" customWidth="1"/>
    <col min="9" max="11" width="9.140625" style="40"/>
    <col min="12" max="12" width="19.28515625" style="40" customWidth="1"/>
    <col min="13" max="14" width="11.5703125" style="40" bestFit="1" customWidth="1"/>
    <col min="15" max="16384" width="9.140625" style="40"/>
  </cols>
  <sheetData>
    <row r="1" spans="1:13" ht="18.75" x14ac:dyDescent="0.3">
      <c r="A1" s="39" t="s">
        <v>73</v>
      </c>
    </row>
    <row r="2" spans="1:13" x14ac:dyDescent="0.25">
      <c r="A2" s="41"/>
    </row>
    <row r="3" spans="1:13" x14ac:dyDescent="0.25">
      <c r="A3" s="41"/>
      <c r="H3" s="42" t="s">
        <v>6</v>
      </c>
      <c r="I3" s="40" t="s">
        <v>7</v>
      </c>
    </row>
    <row r="4" spans="1:13" x14ac:dyDescent="0.25">
      <c r="A4" s="41"/>
    </row>
    <row r="5" spans="1:13" s="43" customFormat="1" x14ac:dyDescent="0.25">
      <c r="J5" s="43" t="s">
        <v>53</v>
      </c>
    </row>
    <row r="6" spans="1:13" x14ac:dyDescent="0.25">
      <c r="A6" s="44" t="s">
        <v>0</v>
      </c>
    </row>
    <row r="7" spans="1:13" x14ac:dyDescent="0.25">
      <c r="A7" s="63" t="s">
        <v>4</v>
      </c>
      <c r="B7" s="63"/>
      <c r="H7" s="60"/>
      <c r="J7" s="45">
        <v>1750</v>
      </c>
      <c r="L7" s="46" t="str">
        <f>IF(H7="","",H7*J7)</f>
        <v/>
      </c>
    </row>
    <row r="8" spans="1:13" x14ac:dyDescent="0.25">
      <c r="H8" s="47"/>
      <c r="J8" s="48"/>
      <c r="L8" s="49"/>
    </row>
    <row r="9" spans="1:13" x14ac:dyDescent="0.25">
      <c r="A9" s="44" t="s">
        <v>1</v>
      </c>
      <c r="H9" s="47"/>
      <c r="J9" s="48"/>
      <c r="L9" s="49"/>
    </row>
    <row r="10" spans="1:13" x14ac:dyDescent="0.25">
      <c r="A10" s="64" t="s">
        <v>4</v>
      </c>
      <c r="B10" s="64"/>
      <c r="H10" s="60"/>
      <c r="J10" s="45">
        <v>1100</v>
      </c>
      <c r="L10" s="46" t="str">
        <f>IF(H10="","",H10*J10)</f>
        <v/>
      </c>
    </row>
    <row r="11" spans="1:13" x14ac:dyDescent="0.25">
      <c r="H11" s="47"/>
      <c r="J11" s="48"/>
      <c r="L11" s="49"/>
    </row>
    <row r="12" spans="1:13" x14ac:dyDescent="0.25">
      <c r="A12" s="44" t="s">
        <v>2</v>
      </c>
      <c r="H12" s="47"/>
      <c r="J12" s="48"/>
      <c r="L12" s="49"/>
    </row>
    <row r="13" spans="1:13" x14ac:dyDescent="0.25">
      <c r="A13" s="64" t="s">
        <v>5</v>
      </c>
      <c r="B13" s="64"/>
      <c r="H13" s="60"/>
      <c r="J13" s="45">
        <v>70000</v>
      </c>
      <c r="L13" s="46" t="str">
        <f>IF(H13="","",H13*J13)</f>
        <v/>
      </c>
    </row>
    <row r="14" spans="1:13" x14ac:dyDescent="0.25">
      <c r="H14" s="47"/>
      <c r="J14" s="48"/>
      <c r="L14" s="49"/>
    </row>
    <row r="15" spans="1:13" x14ac:dyDescent="0.25">
      <c r="A15" s="44" t="s">
        <v>3</v>
      </c>
      <c r="H15" s="47"/>
      <c r="J15" s="48"/>
      <c r="L15" s="49"/>
    </row>
    <row r="16" spans="1:13" x14ac:dyDescent="0.25">
      <c r="A16" s="64" t="s">
        <v>5</v>
      </c>
      <c r="B16" s="64"/>
      <c r="H16" s="60"/>
      <c r="J16" s="45">
        <v>100000</v>
      </c>
      <c r="L16" s="46" t="str">
        <f>IF(H16="","",H16*J16)</f>
        <v/>
      </c>
      <c r="M16" s="50"/>
    </row>
    <row r="17" spans="1:13" x14ac:dyDescent="0.25">
      <c r="H17" s="47"/>
      <c r="J17" s="48"/>
      <c r="L17" s="49"/>
    </row>
    <row r="18" spans="1:13" x14ac:dyDescent="0.25">
      <c r="A18" s="44" t="s">
        <v>60</v>
      </c>
      <c r="H18" s="47"/>
      <c r="J18" s="48"/>
      <c r="L18" s="49"/>
    </row>
    <row r="19" spans="1:13" x14ac:dyDescent="0.25">
      <c r="A19" s="64" t="s">
        <v>5</v>
      </c>
      <c r="B19" s="64"/>
      <c r="H19" s="60"/>
      <c r="J19" s="45">
        <f>260000+50000</f>
        <v>310000</v>
      </c>
      <c r="L19" s="46" t="str">
        <f>IF(H19="","",H19*J19)</f>
        <v/>
      </c>
      <c r="M19" s="50"/>
    </row>
    <row r="20" spans="1:13" x14ac:dyDescent="0.25">
      <c r="H20" s="47"/>
      <c r="J20" s="48"/>
      <c r="L20" s="49"/>
    </row>
    <row r="21" spans="1:13" x14ac:dyDescent="0.25">
      <c r="A21" s="44" t="s">
        <v>61</v>
      </c>
      <c r="H21" s="47"/>
      <c r="J21" s="48"/>
      <c r="L21" s="49"/>
    </row>
    <row r="22" spans="1:13" x14ac:dyDescent="0.25">
      <c r="A22" s="64" t="s">
        <v>5</v>
      </c>
      <c r="B22" s="64"/>
      <c r="H22" s="60"/>
      <c r="J22" s="45">
        <f>160000+50000</f>
        <v>210000</v>
      </c>
      <c r="L22" s="46" t="str">
        <f>IF(H22="","",H22*J22)</f>
        <v/>
      </c>
      <c r="M22" s="50"/>
    </row>
    <row r="24" spans="1:13" x14ac:dyDescent="0.25">
      <c r="J24" s="40" t="s">
        <v>27</v>
      </c>
      <c r="L24" s="51">
        <f>SUM(L7:L22)</f>
        <v>0</v>
      </c>
    </row>
    <row r="27" spans="1:13" x14ac:dyDescent="0.25">
      <c r="A27" s="40" t="s">
        <v>8</v>
      </c>
    </row>
    <row r="28" spans="1:13" x14ac:dyDescent="0.25">
      <c r="A28" s="52"/>
      <c r="B28" s="53"/>
      <c r="C28" s="53"/>
      <c r="D28" s="54"/>
      <c r="E28" s="54" t="s">
        <v>16</v>
      </c>
      <c r="H28" s="55" t="s">
        <v>17</v>
      </c>
      <c r="I28" s="55" t="s">
        <v>54</v>
      </c>
    </row>
    <row r="29" spans="1:13" x14ac:dyDescent="0.25">
      <c r="A29" s="66" t="s">
        <v>9</v>
      </c>
      <c r="B29" s="66"/>
      <c r="C29" s="66"/>
      <c r="D29" s="66"/>
      <c r="E29" s="56" t="s">
        <v>62</v>
      </c>
      <c r="H29" s="61"/>
      <c r="I29" s="57">
        <v>0.25</v>
      </c>
      <c r="L29" s="46" t="str">
        <f>IF(H29="","",((H29*($L$16+$L$19+$L$22)*0.2)))</f>
        <v/>
      </c>
    </row>
    <row r="30" spans="1:13" x14ac:dyDescent="0.25">
      <c r="A30" s="65" t="s">
        <v>10</v>
      </c>
      <c r="B30" s="65"/>
      <c r="C30" s="65"/>
      <c r="D30" s="65"/>
      <c r="E30" s="56" t="s">
        <v>62</v>
      </c>
      <c r="H30" s="61"/>
      <c r="I30" s="57">
        <v>0.25</v>
      </c>
      <c r="L30" s="46" t="str">
        <f>IF(H30="","",((H30*($L$16+$L$19+$L$22)*0.2)))</f>
        <v/>
      </c>
    </row>
    <row r="31" spans="1:13" x14ac:dyDescent="0.25">
      <c r="A31" s="65" t="s">
        <v>11</v>
      </c>
      <c r="B31" s="65"/>
      <c r="C31" s="65"/>
      <c r="D31" s="65"/>
      <c r="E31" s="56" t="s">
        <v>25</v>
      </c>
      <c r="H31" s="61"/>
      <c r="I31" s="57">
        <v>0.25</v>
      </c>
      <c r="L31" s="46" t="str">
        <f>IF(H31="","",((H31*($L$7+$L$10+$L$13+$L$16+$L$19+$L$22)*0.2)))</f>
        <v/>
      </c>
    </row>
    <row r="32" spans="1:13" x14ac:dyDescent="0.25">
      <c r="A32" s="65" t="s">
        <v>15</v>
      </c>
      <c r="B32" s="65"/>
      <c r="C32" s="65"/>
      <c r="D32" s="65"/>
      <c r="E32" s="56" t="s">
        <v>25</v>
      </c>
      <c r="H32" s="61"/>
      <c r="I32" s="57">
        <v>0.25</v>
      </c>
      <c r="L32" s="46" t="str">
        <f>IF(H32="","",((H32*($L$7+$L$10+$L$13+$L$16+$L$19+$L$22)*0.2)))</f>
        <v/>
      </c>
    </row>
    <row r="33" spans="1:12" x14ac:dyDescent="0.25">
      <c r="L33" s="48"/>
    </row>
    <row r="34" spans="1:12" x14ac:dyDescent="0.25">
      <c r="L34" s="48"/>
    </row>
    <row r="35" spans="1:12" x14ac:dyDescent="0.25">
      <c r="L35" s="48"/>
    </row>
    <row r="36" spans="1:12" x14ac:dyDescent="0.25">
      <c r="A36" s="40" t="s">
        <v>12</v>
      </c>
      <c r="L36" s="48"/>
    </row>
    <row r="37" spans="1:12" x14ac:dyDescent="0.25">
      <c r="A37" s="52"/>
      <c r="B37" s="53"/>
      <c r="C37" s="53"/>
      <c r="D37" s="54"/>
      <c r="E37" s="58" t="s">
        <v>16</v>
      </c>
      <c r="H37" s="55" t="s">
        <v>20</v>
      </c>
      <c r="L37" s="48"/>
    </row>
    <row r="38" spans="1:12" x14ac:dyDescent="0.25">
      <c r="A38" s="65" t="s">
        <v>13</v>
      </c>
      <c r="B38" s="65"/>
      <c r="C38" s="65"/>
      <c r="D38" s="65"/>
      <c r="E38" s="54" t="s">
        <v>25</v>
      </c>
      <c r="H38" s="60"/>
      <c r="J38" s="45">
        <v>50</v>
      </c>
      <c r="L38" s="46" t="str">
        <f>IF(H38="","",H38*J38)</f>
        <v/>
      </c>
    </row>
    <row r="39" spans="1:12" x14ac:dyDescent="0.25">
      <c r="A39" s="65" t="s">
        <v>18</v>
      </c>
      <c r="B39" s="65"/>
      <c r="C39" s="65"/>
      <c r="D39" s="65"/>
      <c r="E39" s="54" t="s">
        <v>25</v>
      </c>
      <c r="H39" s="60"/>
      <c r="J39" s="45">
        <v>50</v>
      </c>
      <c r="L39" s="46" t="str">
        <f t="shared" ref="L39:L48" si="0">IF(H39="","",H39*J39)</f>
        <v/>
      </c>
    </row>
    <row r="40" spans="1:12" x14ac:dyDescent="0.25">
      <c r="A40" s="65" t="s">
        <v>14</v>
      </c>
      <c r="B40" s="65"/>
      <c r="C40" s="65"/>
      <c r="D40" s="65"/>
      <c r="E40" s="54" t="s">
        <v>25</v>
      </c>
      <c r="H40" s="60"/>
      <c r="J40" s="45">
        <v>100</v>
      </c>
      <c r="L40" s="46" t="str">
        <f t="shared" si="0"/>
        <v/>
      </c>
    </row>
    <row r="41" spans="1:12" x14ac:dyDescent="0.25">
      <c r="A41" s="65" t="s">
        <v>19</v>
      </c>
      <c r="B41" s="65"/>
      <c r="C41" s="65"/>
      <c r="D41" s="65"/>
      <c r="E41" s="58" t="s">
        <v>25</v>
      </c>
      <c r="H41" s="60"/>
      <c r="J41" s="45">
        <v>50</v>
      </c>
      <c r="L41" s="46" t="str">
        <f t="shared" si="0"/>
        <v/>
      </c>
    </row>
    <row r="42" spans="1:12" x14ac:dyDescent="0.25">
      <c r="A42" s="67" t="s">
        <v>50</v>
      </c>
      <c r="B42" s="68"/>
      <c r="C42" s="68"/>
      <c r="D42" s="69"/>
      <c r="E42" s="56" t="s">
        <v>25</v>
      </c>
      <c r="H42" s="60"/>
      <c r="J42" s="45">
        <v>50</v>
      </c>
      <c r="L42" s="46" t="str">
        <f t="shared" si="0"/>
        <v/>
      </c>
    </row>
    <row r="44" spans="1:12" x14ac:dyDescent="0.25">
      <c r="A44" s="40" t="s">
        <v>116</v>
      </c>
    </row>
    <row r="45" spans="1:12" x14ac:dyDescent="0.25">
      <c r="A45" s="67" t="s">
        <v>39</v>
      </c>
      <c r="B45" s="68"/>
      <c r="C45" s="68"/>
      <c r="D45" s="69"/>
      <c r="E45" s="56" t="s">
        <v>25</v>
      </c>
      <c r="H45" s="60"/>
      <c r="J45" s="45">
        <v>25</v>
      </c>
      <c r="L45" s="46" t="str">
        <f t="shared" si="0"/>
        <v/>
      </c>
    </row>
    <row r="46" spans="1:12" x14ac:dyDescent="0.25">
      <c r="A46" s="67" t="s">
        <v>40</v>
      </c>
      <c r="B46" s="68"/>
      <c r="C46" s="68"/>
      <c r="D46" s="69"/>
      <c r="E46" s="56" t="s">
        <v>25</v>
      </c>
      <c r="H46" s="60"/>
      <c r="J46" s="45">
        <v>25</v>
      </c>
      <c r="L46" s="46" t="str">
        <f t="shared" si="0"/>
        <v/>
      </c>
    </row>
    <row r="47" spans="1:12" x14ac:dyDescent="0.25">
      <c r="A47" s="67" t="s">
        <v>52</v>
      </c>
      <c r="B47" s="68"/>
      <c r="C47" s="68"/>
      <c r="D47" s="69"/>
      <c r="E47" s="56" t="s">
        <v>25</v>
      </c>
      <c r="H47" s="60"/>
      <c r="J47" s="45">
        <v>25</v>
      </c>
      <c r="L47" s="46" t="str">
        <f t="shared" si="0"/>
        <v/>
      </c>
    </row>
    <row r="48" spans="1:12" x14ac:dyDescent="0.25">
      <c r="A48" s="67" t="s">
        <v>72</v>
      </c>
      <c r="B48" s="68"/>
      <c r="C48" s="68"/>
      <c r="D48" s="69"/>
      <c r="E48" s="56" t="s">
        <v>25</v>
      </c>
      <c r="H48" s="60"/>
      <c r="J48" s="45">
        <v>50</v>
      </c>
      <c r="L48" s="46" t="str">
        <f t="shared" si="0"/>
        <v/>
      </c>
    </row>
    <row r="49" spans="1:14" x14ac:dyDescent="0.25">
      <c r="H49" s="47"/>
    </row>
    <row r="50" spans="1:14" x14ac:dyDescent="0.25">
      <c r="A50" s="40" t="s">
        <v>69</v>
      </c>
    </row>
    <row r="51" spans="1:14" x14ac:dyDescent="0.25">
      <c r="A51" s="65" t="s">
        <v>21</v>
      </c>
      <c r="B51" s="65"/>
      <c r="C51" s="65"/>
      <c r="D51" s="65"/>
      <c r="H51" s="46">
        <v>11</v>
      </c>
      <c r="J51" s="45">
        <v>1</v>
      </c>
      <c r="L51" s="46">
        <f>H51*J51</f>
        <v>11</v>
      </c>
    </row>
    <row r="54" spans="1:14" ht="15.75" thickBot="1" x14ac:dyDescent="0.3"/>
    <row r="55" spans="1:14" ht="15.75" thickBot="1" x14ac:dyDescent="0.3">
      <c r="I55" s="40" t="s">
        <v>26</v>
      </c>
      <c r="L55" s="59">
        <f>SUM(L24:L51)</f>
        <v>11</v>
      </c>
      <c r="M55" s="47"/>
      <c r="N55" s="47"/>
    </row>
  </sheetData>
  <sheetProtection algorithmName="SHA-512" hashValue="Njov40wJAngk1j1eNrMPbMTnmiGyt3vs/xkNFUt3Sr8QnXahnkBRjQFotrY44GXSlwDq8kUPtr6REfav6eMt9w==" saltValue="VJTT/DVKavtYfRgQFSCjhQ==" spinCount="100000" sheet="1" objects="1" scenarios="1" selectLockedCells="1"/>
  <mergeCells count="20">
    <mergeCell ref="A39:D39"/>
    <mergeCell ref="A40:D40"/>
    <mergeCell ref="A41:D41"/>
    <mergeCell ref="A51:D51"/>
    <mergeCell ref="A22:B22"/>
    <mergeCell ref="A29:D29"/>
    <mergeCell ref="A30:D30"/>
    <mergeCell ref="A31:D31"/>
    <mergeCell ref="A32:D32"/>
    <mergeCell ref="A38:D38"/>
    <mergeCell ref="A42:D42"/>
    <mergeCell ref="A45:D45"/>
    <mergeCell ref="A48:D48"/>
    <mergeCell ref="A46:D46"/>
    <mergeCell ref="A47:D47"/>
    <mergeCell ref="A7:B7"/>
    <mergeCell ref="A10:B10"/>
    <mergeCell ref="A13:B13"/>
    <mergeCell ref="A16:B16"/>
    <mergeCell ref="A19:B19"/>
  </mergeCells>
  <conditionalFormatting sqref="H29">
    <cfRule type="cellIs" dxfId="3" priority="2" operator="greaterThan">
      <formula>25%</formula>
    </cfRule>
  </conditionalFormatting>
  <conditionalFormatting sqref="H29:H32">
    <cfRule type="cellIs" dxfId="2" priority="1" operator="greaterThan">
      <formula>0.25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showGridLines="0" topLeftCell="A49" workbookViewId="0">
      <selection activeCell="H69" sqref="H69"/>
    </sheetView>
  </sheetViews>
  <sheetFormatPr defaultRowHeight="15" x14ac:dyDescent="0.25"/>
  <cols>
    <col min="1" max="1" width="30" customWidth="1"/>
    <col min="2" max="2" width="10.5703125" customWidth="1"/>
    <col min="5" max="5" width="12.5703125" customWidth="1"/>
    <col min="8" max="8" width="11.42578125" customWidth="1"/>
    <col min="9" max="9" width="9.5703125" bestFit="1" customWidth="1"/>
    <col min="10" max="10" width="9.5703125" customWidth="1"/>
    <col min="13" max="13" width="19.28515625" customWidth="1"/>
  </cols>
  <sheetData>
    <row r="1" spans="1:13" ht="18.75" x14ac:dyDescent="0.3">
      <c r="A1" s="5" t="s">
        <v>74</v>
      </c>
    </row>
    <row r="2" spans="1:13" x14ac:dyDescent="0.25">
      <c r="A2" s="2"/>
    </row>
    <row r="3" spans="1:13" x14ac:dyDescent="0.25">
      <c r="A3" s="2"/>
      <c r="H3" s="20" t="s">
        <v>6</v>
      </c>
      <c r="I3" t="s">
        <v>7</v>
      </c>
    </row>
    <row r="4" spans="1:13" x14ac:dyDescent="0.25">
      <c r="A4" s="2"/>
    </row>
    <row r="5" spans="1:13" s="4" customFormat="1" x14ac:dyDescent="0.25">
      <c r="K5" s="4" t="s">
        <v>53</v>
      </c>
    </row>
    <row r="6" spans="1:13" x14ac:dyDescent="0.25">
      <c r="A6" s="1" t="s">
        <v>28</v>
      </c>
    </row>
    <row r="7" spans="1:13" x14ac:dyDescent="0.25">
      <c r="A7" s="16" t="s">
        <v>31</v>
      </c>
      <c r="B7" s="14"/>
    </row>
    <row r="8" spans="1:13" x14ac:dyDescent="0.25">
      <c r="A8" s="71" t="s">
        <v>32</v>
      </c>
      <c r="B8" s="71"/>
      <c r="H8" s="60"/>
      <c r="K8" s="12">
        <v>320</v>
      </c>
      <c r="M8" s="13" t="str">
        <f>IF(H8="","",H8*K8)</f>
        <v/>
      </c>
    </row>
    <row r="9" spans="1:13" x14ac:dyDescent="0.25">
      <c r="A9" s="73" t="s">
        <v>33</v>
      </c>
      <c r="B9" s="73"/>
      <c r="H9" s="60"/>
      <c r="K9" s="12">
        <v>1450</v>
      </c>
      <c r="M9" s="13" t="str">
        <f>IF(H9="","",H9*K9)</f>
        <v/>
      </c>
    </row>
    <row r="10" spans="1:13" x14ac:dyDescent="0.25">
      <c r="A10" s="72" t="s">
        <v>34</v>
      </c>
      <c r="B10" s="72"/>
      <c r="H10" s="60"/>
      <c r="K10" s="12">
        <v>150</v>
      </c>
      <c r="M10" s="13" t="str">
        <f>IF(H10="","",H10*K10)</f>
        <v/>
      </c>
    </row>
    <row r="11" spans="1:13" x14ac:dyDescent="0.25">
      <c r="A11" s="15"/>
      <c r="H11" s="7"/>
      <c r="K11" s="6"/>
      <c r="M11" s="9"/>
    </row>
    <row r="12" spans="1:13" x14ac:dyDescent="0.25">
      <c r="A12" s="1" t="s">
        <v>63</v>
      </c>
      <c r="H12" s="7"/>
      <c r="K12" s="6"/>
      <c r="M12" s="9"/>
    </row>
    <row r="13" spans="1:13" x14ac:dyDescent="0.25">
      <c r="A13" s="16" t="s">
        <v>35</v>
      </c>
      <c r="B13" s="14"/>
      <c r="H13" s="7"/>
      <c r="K13" s="6"/>
      <c r="M13" s="9"/>
    </row>
    <row r="14" spans="1:13" x14ac:dyDescent="0.25">
      <c r="A14" s="72" t="s">
        <v>36</v>
      </c>
      <c r="B14" s="72"/>
      <c r="H14" s="60"/>
      <c r="K14" s="12">
        <v>100</v>
      </c>
      <c r="M14" s="13" t="str">
        <f>IF(H14="","",H14*K14)</f>
        <v/>
      </c>
    </row>
    <row r="15" spans="1:13" x14ac:dyDescent="0.25">
      <c r="A15" s="72" t="s">
        <v>37</v>
      </c>
      <c r="B15" s="72"/>
      <c r="H15" s="60"/>
      <c r="K15" s="12">
        <v>400</v>
      </c>
      <c r="M15" s="13" t="str">
        <f>IF(H15="","",H15*K15)</f>
        <v/>
      </c>
    </row>
    <row r="16" spans="1:13" x14ac:dyDescent="0.25">
      <c r="A16" s="72" t="s">
        <v>38</v>
      </c>
      <c r="B16" s="72"/>
      <c r="H16" s="60"/>
      <c r="K16" s="12">
        <v>650</v>
      </c>
      <c r="M16" s="13" t="str">
        <f>IF(H16="","",H16*K16)</f>
        <v/>
      </c>
    </row>
    <row r="17" spans="1:14" x14ac:dyDescent="0.25">
      <c r="A17" s="15"/>
      <c r="H17" s="7"/>
      <c r="K17" s="6"/>
      <c r="M17" s="9"/>
    </row>
    <row r="18" spans="1:14" x14ac:dyDescent="0.25">
      <c r="A18" s="1" t="s">
        <v>64</v>
      </c>
      <c r="H18" s="7"/>
      <c r="K18" s="6"/>
      <c r="M18" s="9"/>
    </row>
    <row r="19" spans="1:14" x14ac:dyDescent="0.25">
      <c r="A19" s="16" t="s">
        <v>35</v>
      </c>
      <c r="B19" s="14"/>
      <c r="H19" s="7"/>
      <c r="K19" s="6"/>
      <c r="M19" s="9"/>
    </row>
    <row r="20" spans="1:14" x14ac:dyDescent="0.25">
      <c r="A20" s="72" t="s">
        <v>36</v>
      </c>
      <c r="B20" s="72"/>
      <c r="H20" s="60"/>
      <c r="K20" s="12">
        <v>20</v>
      </c>
      <c r="M20" s="13" t="str">
        <f>IF(H20="","",H20*K20)</f>
        <v/>
      </c>
    </row>
    <row r="21" spans="1:14" x14ac:dyDescent="0.25">
      <c r="A21" s="72" t="s">
        <v>37</v>
      </c>
      <c r="B21" s="72"/>
      <c r="H21" s="60"/>
      <c r="K21" s="12">
        <v>30</v>
      </c>
      <c r="M21" s="13" t="str">
        <f>IF(H21="","",H21*K21)</f>
        <v/>
      </c>
    </row>
    <row r="22" spans="1:14" x14ac:dyDescent="0.25">
      <c r="A22" s="72" t="s">
        <v>38</v>
      </c>
      <c r="B22" s="72"/>
      <c r="H22" s="60"/>
      <c r="K22" s="12">
        <v>10</v>
      </c>
      <c r="M22" s="13" t="str">
        <f>IF(H22="","",H22*K22)</f>
        <v/>
      </c>
    </row>
    <row r="23" spans="1:14" x14ac:dyDescent="0.25">
      <c r="H23" s="7"/>
      <c r="K23" s="6"/>
      <c r="M23" s="9"/>
    </row>
    <row r="24" spans="1:14" x14ac:dyDescent="0.25">
      <c r="A24" s="1" t="s">
        <v>65</v>
      </c>
      <c r="H24" s="7"/>
      <c r="K24" s="6"/>
      <c r="M24" s="9"/>
    </row>
    <row r="25" spans="1:14" x14ac:dyDescent="0.25">
      <c r="A25" s="16" t="s">
        <v>35</v>
      </c>
      <c r="B25" s="14"/>
      <c r="H25" s="7"/>
      <c r="K25" s="6"/>
      <c r="M25" s="9"/>
    </row>
    <row r="26" spans="1:14" x14ac:dyDescent="0.25">
      <c r="A26" s="72" t="s">
        <v>36</v>
      </c>
      <c r="B26" s="72"/>
      <c r="H26" s="60"/>
      <c r="K26" s="12">
        <v>160</v>
      </c>
      <c r="M26" s="13" t="str">
        <f>IF(H26="","",H26*K26)</f>
        <v/>
      </c>
    </row>
    <row r="27" spans="1:14" x14ac:dyDescent="0.25">
      <c r="A27" s="72" t="s">
        <v>37</v>
      </c>
      <c r="B27" s="72"/>
      <c r="H27" s="60"/>
      <c r="K27" s="12">
        <v>110</v>
      </c>
      <c r="M27" s="13" t="str">
        <f>IF(H27="","",H27*K27)</f>
        <v/>
      </c>
    </row>
    <row r="28" spans="1:14" x14ac:dyDescent="0.25">
      <c r="A28" s="72" t="s">
        <v>38</v>
      </c>
      <c r="B28" s="72"/>
      <c r="H28" s="60"/>
      <c r="K28" s="12">
        <v>10</v>
      </c>
      <c r="M28" s="13" t="str">
        <f>IF(H28="","",H28*K28)</f>
        <v/>
      </c>
      <c r="N28" s="8"/>
    </row>
    <row r="29" spans="1:14" x14ac:dyDescent="0.25">
      <c r="H29" s="7"/>
      <c r="K29" s="6"/>
      <c r="M29" s="9"/>
    </row>
    <row r="30" spans="1:14" x14ac:dyDescent="0.25">
      <c r="A30" s="1" t="s">
        <v>29</v>
      </c>
      <c r="H30" s="7"/>
      <c r="K30" s="6"/>
      <c r="M30" s="9"/>
    </row>
    <row r="31" spans="1:14" x14ac:dyDescent="0.25">
      <c r="A31" s="16" t="s">
        <v>35</v>
      </c>
      <c r="B31" s="14"/>
      <c r="H31" s="7"/>
      <c r="K31" s="6"/>
      <c r="M31" s="9"/>
    </row>
    <row r="32" spans="1:14" x14ac:dyDescent="0.25">
      <c r="A32" s="72" t="s">
        <v>42</v>
      </c>
      <c r="B32" s="72"/>
      <c r="H32" s="60"/>
      <c r="K32" s="12">
        <v>25000</v>
      </c>
      <c r="M32" s="13" t="str">
        <f>IF(H32="","",H32*K32)</f>
        <v/>
      </c>
    </row>
    <row r="33" spans="1:14" x14ac:dyDescent="0.25">
      <c r="A33" s="72" t="s">
        <v>37</v>
      </c>
      <c r="B33" s="72"/>
      <c r="H33" s="60"/>
      <c r="K33" s="12">
        <v>2600</v>
      </c>
      <c r="M33" s="13" t="str">
        <f>IF(H33="","",H33*K33)</f>
        <v/>
      </c>
    </row>
    <row r="34" spans="1:14" x14ac:dyDescent="0.25">
      <c r="A34" s="72" t="s">
        <v>38</v>
      </c>
      <c r="B34" s="72"/>
      <c r="H34" s="60"/>
      <c r="K34" s="12">
        <v>3000</v>
      </c>
      <c r="M34" s="13" t="str">
        <f>IF(H34="","",H34*K34)</f>
        <v/>
      </c>
      <c r="N34" s="8"/>
    </row>
    <row r="35" spans="1:14" x14ac:dyDescent="0.25">
      <c r="H35" s="7"/>
      <c r="K35" s="6"/>
      <c r="M35" s="9"/>
    </row>
    <row r="36" spans="1:14" x14ac:dyDescent="0.25">
      <c r="A36" s="1" t="s">
        <v>30</v>
      </c>
      <c r="H36" s="7"/>
      <c r="K36" s="6"/>
      <c r="M36" s="9"/>
    </row>
    <row r="37" spans="1:14" x14ac:dyDescent="0.25">
      <c r="A37" s="16" t="s">
        <v>35</v>
      </c>
      <c r="B37" s="14"/>
      <c r="H37" s="7"/>
      <c r="I37" s="36" t="s">
        <v>54</v>
      </c>
      <c r="J37" s="36" t="s">
        <v>115</v>
      </c>
      <c r="K37" s="6"/>
      <c r="M37" s="9"/>
    </row>
    <row r="38" spans="1:14" x14ac:dyDescent="0.25">
      <c r="A38" s="72" t="s">
        <v>43</v>
      </c>
      <c r="B38" s="72"/>
      <c r="H38" s="60"/>
      <c r="I38" s="37">
        <f>75*1.1</f>
        <v>82.5</v>
      </c>
      <c r="J38" s="38">
        <f>GESTEP(H38,84)</f>
        <v>0</v>
      </c>
      <c r="K38" s="12">
        <v>100</v>
      </c>
      <c r="M38" s="13" t="str">
        <f t="shared" ref="M38:M52" si="0">IF(H38="","",H38*K38)</f>
        <v/>
      </c>
    </row>
    <row r="39" spans="1:14" x14ac:dyDescent="0.25">
      <c r="A39" s="72" t="s">
        <v>70</v>
      </c>
      <c r="B39" s="72"/>
      <c r="H39" s="60"/>
      <c r="I39" s="37">
        <f>75*1.1</f>
        <v>82.5</v>
      </c>
      <c r="J39" s="38">
        <f>GESTEP(H39,84)</f>
        <v>0</v>
      </c>
      <c r="K39" s="12">
        <v>120</v>
      </c>
      <c r="M39" s="13" t="str">
        <f t="shared" si="0"/>
        <v/>
      </c>
    </row>
    <row r="40" spans="1:14" x14ac:dyDescent="0.25">
      <c r="A40" s="72" t="s">
        <v>75</v>
      </c>
      <c r="B40" s="72"/>
      <c r="H40" s="60"/>
      <c r="I40" s="37">
        <f>75*1.1</f>
        <v>82.5</v>
      </c>
      <c r="J40" s="38">
        <f t="shared" ref="J40" si="1">GESTEP(H40,84)</f>
        <v>0</v>
      </c>
      <c r="K40" s="12">
        <v>10</v>
      </c>
      <c r="M40" s="13" t="str">
        <f t="shared" si="0"/>
        <v/>
      </c>
      <c r="N40" s="8"/>
    </row>
    <row r="41" spans="1:14" x14ac:dyDescent="0.25">
      <c r="A41" s="21" t="s">
        <v>71</v>
      </c>
      <c r="B41" s="21"/>
      <c r="H41" s="60"/>
      <c r="I41" s="37">
        <f>150*1.1</f>
        <v>165</v>
      </c>
      <c r="J41" s="38">
        <f>GESTEP(H41,166)</f>
        <v>0</v>
      </c>
      <c r="K41" s="12">
        <v>5</v>
      </c>
      <c r="M41" s="13" t="str">
        <f t="shared" si="0"/>
        <v/>
      </c>
      <c r="N41" s="8"/>
    </row>
    <row r="42" spans="1:14" x14ac:dyDescent="0.25">
      <c r="A42" s="74" t="s">
        <v>58</v>
      </c>
      <c r="B42" s="75"/>
      <c r="H42" s="60"/>
      <c r="I42" s="37">
        <f>70*1.1</f>
        <v>77</v>
      </c>
      <c r="J42" s="38">
        <f>GESTEP(H42,78)</f>
        <v>0</v>
      </c>
      <c r="K42" s="12">
        <v>5</v>
      </c>
      <c r="M42" s="13" t="str">
        <f t="shared" si="0"/>
        <v/>
      </c>
      <c r="N42" s="8"/>
    </row>
    <row r="43" spans="1:14" x14ac:dyDescent="0.25">
      <c r="A43" s="74" t="s">
        <v>59</v>
      </c>
      <c r="B43" s="75"/>
      <c r="H43" s="60"/>
      <c r="I43" s="37">
        <f>83*1.1</f>
        <v>91.300000000000011</v>
      </c>
      <c r="J43" s="38">
        <f>GESTEP(H43,92)</f>
        <v>0</v>
      </c>
      <c r="K43" s="12">
        <v>5</v>
      </c>
      <c r="M43" s="13" t="str">
        <f t="shared" si="0"/>
        <v/>
      </c>
    </row>
    <row r="44" spans="1:14" x14ac:dyDescent="0.25">
      <c r="A44" s="74" t="s">
        <v>76</v>
      </c>
      <c r="B44" s="75"/>
      <c r="H44" s="60"/>
      <c r="I44" s="37">
        <f>88*1.1</f>
        <v>96.800000000000011</v>
      </c>
      <c r="J44" s="38">
        <f>GESTEP(H44,98)</f>
        <v>0</v>
      </c>
      <c r="K44" s="12">
        <v>5</v>
      </c>
      <c r="M44" s="13" t="str">
        <f t="shared" si="0"/>
        <v/>
      </c>
    </row>
    <row r="45" spans="1:14" x14ac:dyDescent="0.25">
      <c r="A45" s="74" t="s">
        <v>44</v>
      </c>
      <c r="B45" s="75"/>
      <c r="H45" s="60"/>
      <c r="I45" s="37">
        <f>164.25*1.1</f>
        <v>180.67500000000001</v>
      </c>
      <c r="J45" s="38">
        <f>GESTEP(H45,182)</f>
        <v>0</v>
      </c>
      <c r="K45" s="12">
        <v>230</v>
      </c>
      <c r="M45" s="13" t="str">
        <f t="shared" si="0"/>
        <v/>
      </c>
    </row>
    <row r="46" spans="1:14" x14ac:dyDescent="0.25">
      <c r="A46" s="74" t="s">
        <v>45</v>
      </c>
      <c r="B46" s="75"/>
      <c r="H46" s="60"/>
      <c r="I46" s="37">
        <f>164.25*1.1</f>
        <v>180.67500000000001</v>
      </c>
      <c r="J46" s="38">
        <f>GESTEP(H46,182)</f>
        <v>0</v>
      </c>
      <c r="K46" s="12">
        <v>5</v>
      </c>
      <c r="M46" s="13" t="str">
        <f t="shared" si="0"/>
        <v/>
      </c>
    </row>
    <row r="47" spans="1:14" x14ac:dyDescent="0.25">
      <c r="A47" s="74" t="s">
        <v>46</v>
      </c>
      <c r="B47" s="75"/>
      <c r="H47" s="60"/>
      <c r="I47" s="37">
        <f>178.25*1.1</f>
        <v>196.07500000000002</v>
      </c>
      <c r="J47" s="38">
        <f>GESTEP(H47,197)</f>
        <v>0</v>
      </c>
      <c r="K47" s="12">
        <v>220</v>
      </c>
      <c r="M47" s="13" t="str">
        <f t="shared" si="0"/>
        <v/>
      </c>
    </row>
    <row r="48" spans="1:14" x14ac:dyDescent="0.25">
      <c r="A48" s="74" t="s">
        <v>47</v>
      </c>
      <c r="B48" s="75"/>
      <c r="H48" s="60"/>
      <c r="I48" s="37">
        <f>154.71*1.1</f>
        <v>170.18100000000001</v>
      </c>
      <c r="J48" s="38">
        <f>GESTEP(H48,171)</f>
        <v>0</v>
      </c>
      <c r="K48" s="12">
        <v>15</v>
      </c>
      <c r="M48" s="13" t="str">
        <f t="shared" si="0"/>
        <v/>
      </c>
    </row>
    <row r="49" spans="1:13" x14ac:dyDescent="0.25">
      <c r="A49" s="74" t="s">
        <v>48</v>
      </c>
      <c r="B49" s="75"/>
      <c r="H49" s="60"/>
      <c r="I49" s="37">
        <f>179.37*1.1</f>
        <v>197.30700000000002</v>
      </c>
      <c r="J49" s="38">
        <f>GESTEP(H49,198)</f>
        <v>0</v>
      </c>
      <c r="K49" s="12">
        <v>5</v>
      </c>
      <c r="M49" s="13" t="str">
        <f t="shared" si="0"/>
        <v/>
      </c>
    </row>
    <row r="50" spans="1:13" x14ac:dyDescent="0.25">
      <c r="A50" s="22" t="s">
        <v>49</v>
      </c>
      <c r="B50" s="25"/>
      <c r="H50" s="60"/>
      <c r="I50" s="37">
        <f>199.51*1.1</f>
        <v>219.46100000000001</v>
      </c>
      <c r="J50" s="38">
        <f>GESTEP(H50,220)</f>
        <v>0</v>
      </c>
      <c r="K50" s="12">
        <v>15</v>
      </c>
      <c r="M50" s="13" t="str">
        <f t="shared" si="0"/>
        <v/>
      </c>
    </row>
    <row r="51" spans="1:13" x14ac:dyDescent="0.25">
      <c r="A51" s="22" t="s">
        <v>66</v>
      </c>
      <c r="B51" s="25"/>
      <c r="H51" s="60"/>
      <c r="I51" s="37">
        <f>250*1.1</f>
        <v>275</v>
      </c>
      <c r="J51" s="38">
        <f>GESTEP(H51,276)</f>
        <v>0</v>
      </c>
      <c r="K51" s="12">
        <v>50</v>
      </c>
      <c r="M51" s="13" t="str">
        <f t="shared" si="0"/>
        <v/>
      </c>
    </row>
    <row r="52" spans="1:13" x14ac:dyDescent="0.25">
      <c r="A52" s="22" t="s">
        <v>67</v>
      </c>
      <c r="B52" s="25"/>
      <c r="H52" s="60"/>
      <c r="I52" s="37">
        <v>286</v>
      </c>
      <c r="J52" s="38">
        <f>GESTEP(H52,287)</f>
        <v>0</v>
      </c>
      <c r="K52" s="12">
        <v>25</v>
      </c>
      <c r="M52" s="13" t="str">
        <f t="shared" si="0"/>
        <v/>
      </c>
    </row>
    <row r="53" spans="1:13" x14ac:dyDescent="0.25">
      <c r="M53" s="7"/>
    </row>
    <row r="54" spans="1:13" x14ac:dyDescent="0.25">
      <c r="K54" t="s">
        <v>27</v>
      </c>
      <c r="M54" s="11">
        <f>SUM(M8:M52)</f>
        <v>0</v>
      </c>
    </row>
    <row r="56" spans="1:13" x14ac:dyDescent="0.25">
      <c r="A56" t="s">
        <v>8</v>
      </c>
    </row>
    <row r="57" spans="1:13" x14ac:dyDescent="0.25">
      <c r="A57" s="86"/>
      <c r="B57" s="76"/>
      <c r="C57" s="76"/>
      <c r="D57" s="75"/>
      <c r="E57" s="14" t="s">
        <v>16</v>
      </c>
      <c r="H57" s="10" t="s">
        <v>17</v>
      </c>
      <c r="I57" s="10" t="s">
        <v>54</v>
      </c>
      <c r="J57" s="24"/>
    </row>
    <row r="58" spans="1:13" x14ac:dyDescent="0.25">
      <c r="A58" s="77" t="s">
        <v>9</v>
      </c>
      <c r="B58" s="78"/>
      <c r="C58" s="78"/>
      <c r="D58" s="79"/>
      <c r="E58" s="17" t="s">
        <v>41</v>
      </c>
      <c r="H58" s="61"/>
      <c r="I58" s="19">
        <v>0.25</v>
      </c>
      <c r="M58" s="13" t="str">
        <f>IF(H58="","",((H58*(SUM($M$8:$M$52)*0.2))))</f>
        <v/>
      </c>
    </row>
    <row r="59" spans="1:13" x14ac:dyDescent="0.25">
      <c r="A59" s="80" t="s">
        <v>10</v>
      </c>
      <c r="B59" s="81"/>
      <c r="C59" s="81"/>
      <c r="D59" s="82"/>
      <c r="E59" s="17" t="s">
        <v>41</v>
      </c>
      <c r="H59" s="61"/>
      <c r="I59" s="19">
        <v>0.25</v>
      </c>
      <c r="M59" s="13" t="str">
        <f>IF(H59="","",((H59*(SUM($M$8:$M$52)*0.2))))</f>
        <v/>
      </c>
    </row>
    <row r="60" spans="1:13" x14ac:dyDescent="0.25">
      <c r="A60" s="80" t="s">
        <v>11</v>
      </c>
      <c r="B60" s="81"/>
      <c r="C60" s="81"/>
      <c r="D60" s="82"/>
      <c r="E60" s="17" t="s">
        <v>41</v>
      </c>
      <c r="H60" s="61"/>
      <c r="I60" s="19">
        <v>0.25</v>
      </c>
      <c r="M60" s="13" t="str">
        <f>IF(H60="","",((H60*(SUM($M$8:$M$52)*0.2))))</f>
        <v/>
      </c>
    </row>
    <row r="61" spans="1:13" x14ac:dyDescent="0.25">
      <c r="A61" s="83" t="s">
        <v>15</v>
      </c>
      <c r="B61" s="84"/>
      <c r="C61" s="84"/>
      <c r="D61" s="85"/>
      <c r="E61" s="17" t="s">
        <v>41</v>
      </c>
      <c r="H61" s="61"/>
      <c r="I61" s="19">
        <v>0.25</v>
      </c>
      <c r="M61" s="13" t="str">
        <f>IF(H61="","",((H61*(SUM($M$8:$M$52)*0.2))))</f>
        <v/>
      </c>
    </row>
    <row r="65" spans="1:13" x14ac:dyDescent="0.25">
      <c r="A65" t="s">
        <v>12</v>
      </c>
    </row>
    <row r="66" spans="1:13" x14ac:dyDescent="0.25">
      <c r="A66" s="86"/>
      <c r="B66" s="76"/>
      <c r="C66" s="76"/>
      <c r="D66" s="75"/>
      <c r="E66" s="14" t="s">
        <v>16</v>
      </c>
      <c r="H66" s="10" t="s">
        <v>20</v>
      </c>
    </row>
    <row r="67" spans="1:13" x14ac:dyDescent="0.25">
      <c r="A67" s="70" t="s">
        <v>13</v>
      </c>
      <c r="B67" s="70"/>
      <c r="C67" s="70"/>
      <c r="D67" s="70"/>
      <c r="E67" s="10" t="s">
        <v>41</v>
      </c>
      <c r="H67" s="60"/>
      <c r="K67" s="12">
        <v>200</v>
      </c>
      <c r="M67" s="13" t="str">
        <f t="shared" ref="M67:M77" si="2">IF(H67="","",H67*K67)</f>
        <v/>
      </c>
    </row>
    <row r="68" spans="1:13" x14ac:dyDescent="0.25">
      <c r="A68" s="70" t="s">
        <v>18</v>
      </c>
      <c r="B68" s="70"/>
      <c r="C68" s="70"/>
      <c r="D68" s="70"/>
      <c r="E68" s="10" t="s">
        <v>41</v>
      </c>
      <c r="H68" s="60"/>
      <c r="K68" s="12">
        <v>12000</v>
      </c>
      <c r="M68" s="13" t="str">
        <f t="shared" si="2"/>
        <v/>
      </c>
    </row>
    <row r="69" spans="1:13" x14ac:dyDescent="0.25">
      <c r="A69" s="70" t="s">
        <v>14</v>
      </c>
      <c r="B69" s="70"/>
      <c r="C69" s="70"/>
      <c r="D69" s="70"/>
      <c r="E69" s="10" t="s">
        <v>41</v>
      </c>
      <c r="H69" s="60"/>
      <c r="K69" s="12">
        <v>400</v>
      </c>
      <c r="M69" s="13" t="str">
        <f t="shared" si="2"/>
        <v/>
      </c>
    </row>
    <row r="70" spans="1:13" x14ac:dyDescent="0.25">
      <c r="A70" s="74" t="s">
        <v>50</v>
      </c>
      <c r="B70" s="76"/>
      <c r="C70" s="76"/>
      <c r="D70" s="75"/>
      <c r="E70" s="10" t="s">
        <v>41</v>
      </c>
      <c r="H70" s="60"/>
      <c r="K70" s="12">
        <v>200</v>
      </c>
      <c r="M70" s="13" t="str">
        <f t="shared" si="2"/>
        <v/>
      </c>
    </row>
    <row r="71" spans="1:13" x14ac:dyDescent="0.25">
      <c r="A71" s="70" t="s">
        <v>19</v>
      </c>
      <c r="B71" s="70"/>
      <c r="C71" s="70"/>
      <c r="D71" s="70"/>
      <c r="E71" s="10" t="s">
        <v>41</v>
      </c>
      <c r="H71" s="60"/>
      <c r="K71" s="12">
        <v>200</v>
      </c>
      <c r="M71" s="13" t="str">
        <f t="shared" si="2"/>
        <v/>
      </c>
    </row>
    <row r="73" spans="1:13" x14ac:dyDescent="0.25">
      <c r="A73" s="40" t="s">
        <v>116</v>
      </c>
    </row>
    <row r="74" spans="1:13" x14ac:dyDescent="0.25">
      <c r="A74" s="74" t="s">
        <v>39</v>
      </c>
      <c r="B74" s="76"/>
      <c r="C74" s="76"/>
      <c r="D74" s="75"/>
      <c r="E74" s="10" t="s">
        <v>41</v>
      </c>
      <c r="H74" s="60"/>
      <c r="K74" s="12">
        <v>100</v>
      </c>
      <c r="M74" s="13" t="str">
        <f t="shared" si="2"/>
        <v/>
      </c>
    </row>
    <row r="75" spans="1:13" x14ac:dyDescent="0.25">
      <c r="A75" s="74" t="s">
        <v>40</v>
      </c>
      <c r="B75" s="76"/>
      <c r="C75" s="76"/>
      <c r="D75" s="75"/>
      <c r="E75" s="10" t="s">
        <v>41</v>
      </c>
      <c r="H75" s="60"/>
      <c r="K75" s="12">
        <v>100</v>
      </c>
      <c r="M75" s="13" t="str">
        <f t="shared" si="2"/>
        <v/>
      </c>
    </row>
    <row r="76" spans="1:13" x14ac:dyDescent="0.25">
      <c r="A76" s="74" t="s">
        <v>52</v>
      </c>
      <c r="B76" s="76"/>
      <c r="C76" s="76"/>
      <c r="D76" s="75"/>
      <c r="E76" s="10" t="s">
        <v>41</v>
      </c>
      <c r="H76" s="60"/>
      <c r="K76" s="12">
        <v>100</v>
      </c>
      <c r="M76" s="13" t="str">
        <f t="shared" si="2"/>
        <v/>
      </c>
    </row>
    <row r="77" spans="1:13" x14ac:dyDescent="0.25">
      <c r="A77" s="74" t="s">
        <v>72</v>
      </c>
      <c r="B77" s="76"/>
      <c r="C77" s="76"/>
      <c r="D77" s="75"/>
      <c r="E77" s="10" t="s">
        <v>41</v>
      </c>
      <c r="H77" s="60"/>
      <c r="K77" s="12">
        <v>50</v>
      </c>
      <c r="M77" s="13" t="str">
        <f t="shared" si="2"/>
        <v/>
      </c>
    </row>
    <row r="78" spans="1:13" x14ac:dyDescent="0.25">
      <c r="B78" s="23"/>
      <c r="C78" s="23"/>
      <c r="D78" s="23"/>
      <c r="E78" s="24"/>
      <c r="H78" s="7"/>
    </row>
    <row r="79" spans="1:13" ht="15.75" thickBot="1" x14ac:dyDescent="0.3"/>
    <row r="80" spans="1:13" ht="15.75" thickBot="1" x14ac:dyDescent="0.3">
      <c r="I80" t="s">
        <v>26</v>
      </c>
      <c r="M80" s="26">
        <f>SUM(M54:M77)</f>
        <v>0</v>
      </c>
    </row>
  </sheetData>
  <sheetProtection algorithmName="SHA-512" hashValue="/bMJQ6FDyIX4MgwAOvyhRuZMFdLKX1ETtSypaSi/g89Yeo0FYiWvpVz8d5zGpRgwbQRm35qAJAIqTxG6io70QA==" saltValue="eV9K1P5zh3cfKj5VLXGZJA==" spinCount="100000" sheet="1" objects="1" scenarios="1" selectLockedCells="1"/>
  <mergeCells count="41">
    <mergeCell ref="A77:D77"/>
    <mergeCell ref="A47:B47"/>
    <mergeCell ref="A46:B46"/>
    <mergeCell ref="A45:B45"/>
    <mergeCell ref="A74:D74"/>
    <mergeCell ref="A75:D75"/>
    <mergeCell ref="A76:D76"/>
    <mergeCell ref="A69:D69"/>
    <mergeCell ref="A71:D71"/>
    <mergeCell ref="A58:D58"/>
    <mergeCell ref="A59:D59"/>
    <mergeCell ref="A60:D60"/>
    <mergeCell ref="A61:D61"/>
    <mergeCell ref="A70:D70"/>
    <mergeCell ref="A57:D57"/>
    <mergeCell ref="A66:D66"/>
    <mergeCell ref="A26:B26"/>
    <mergeCell ref="A27:B27"/>
    <mergeCell ref="A32:B32"/>
    <mergeCell ref="A40:B40"/>
    <mergeCell ref="A38:B38"/>
    <mergeCell ref="A39:B39"/>
    <mergeCell ref="A33:B33"/>
    <mergeCell ref="A28:B28"/>
    <mergeCell ref="A34:B34"/>
    <mergeCell ref="A68:D68"/>
    <mergeCell ref="A67:D67"/>
    <mergeCell ref="A8:B8"/>
    <mergeCell ref="A10:B10"/>
    <mergeCell ref="A14:B14"/>
    <mergeCell ref="A16:B16"/>
    <mergeCell ref="A21:B21"/>
    <mergeCell ref="A9:B9"/>
    <mergeCell ref="A15:B15"/>
    <mergeCell ref="A20:B20"/>
    <mergeCell ref="A42:B42"/>
    <mergeCell ref="A43:B43"/>
    <mergeCell ref="A44:B44"/>
    <mergeCell ref="A48:B48"/>
    <mergeCell ref="A49:B49"/>
    <mergeCell ref="A22:B22"/>
  </mergeCells>
  <conditionalFormatting sqref="H58:H61">
    <cfRule type="cellIs" dxfId="1" priority="2" operator="greaterThan">
      <formula>0.25</formula>
    </cfRule>
  </conditionalFormatting>
  <conditionalFormatting sqref="J38:J52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  <ignoredErrors>
    <ignoredError sqref="I4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workbookViewId="0">
      <selection activeCell="I18" sqref="I18"/>
    </sheetView>
  </sheetViews>
  <sheetFormatPr defaultRowHeight="15" x14ac:dyDescent="0.25"/>
  <cols>
    <col min="1" max="1" width="21.5703125" customWidth="1"/>
  </cols>
  <sheetData>
    <row r="1" spans="1:9" ht="18.75" x14ac:dyDescent="0.3">
      <c r="A1" s="5" t="s">
        <v>51</v>
      </c>
    </row>
    <row r="2" spans="1:9" x14ac:dyDescent="0.25">
      <c r="A2" s="2" t="s">
        <v>55</v>
      </c>
    </row>
    <row r="3" spans="1:9" x14ac:dyDescent="0.25">
      <c r="A3" s="2"/>
      <c r="H3" s="3" t="s">
        <v>6</v>
      </c>
      <c r="I3" t="s">
        <v>57</v>
      </c>
    </row>
    <row r="4" spans="1:9" x14ac:dyDescent="0.25">
      <c r="A4" s="2"/>
      <c r="I4" t="s">
        <v>83</v>
      </c>
    </row>
    <row r="5" spans="1:9" s="4" customFormat="1" x14ac:dyDescent="0.25"/>
    <row r="7" spans="1:9" x14ac:dyDescent="0.25">
      <c r="A7" t="s">
        <v>68</v>
      </c>
    </row>
    <row r="8" spans="1:9" x14ac:dyDescent="0.25">
      <c r="A8" t="s">
        <v>56</v>
      </c>
    </row>
    <row r="10" spans="1:9" x14ac:dyDescent="0.25">
      <c r="A10" t="s">
        <v>87</v>
      </c>
    </row>
    <row r="12" spans="1:9" x14ac:dyDescent="0.25">
      <c r="D12" s="89" t="s">
        <v>84</v>
      </c>
      <c r="E12" s="89"/>
      <c r="F12" s="89"/>
      <c r="G12" s="89"/>
    </row>
    <row r="13" spans="1:9" x14ac:dyDescent="0.25">
      <c r="A13" s="89" t="s">
        <v>22</v>
      </c>
      <c r="B13" s="89"/>
      <c r="C13" s="89"/>
      <c r="D13" s="89" t="s">
        <v>85</v>
      </c>
      <c r="E13" s="89"/>
      <c r="F13" s="89" t="s">
        <v>86</v>
      </c>
      <c r="G13" s="89"/>
    </row>
    <row r="14" spans="1:9" x14ac:dyDescent="0.25">
      <c r="A14" s="18">
        <v>1</v>
      </c>
      <c r="B14" s="88" t="s">
        <v>77</v>
      </c>
      <c r="C14" s="88"/>
      <c r="D14" s="91">
        <v>0</v>
      </c>
      <c r="E14" s="91"/>
      <c r="F14" s="91">
        <v>0</v>
      </c>
      <c r="G14" s="91"/>
    </row>
    <row r="15" spans="1:9" x14ac:dyDescent="0.25">
      <c r="A15" s="18">
        <v>2</v>
      </c>
      <c r="B15" s="90" t="s">
        <v>78</v>
      </c>
      <c r="C15" s="88"/>
      <c r="D15" s="87">
        <f>D20/6</f>
        <v>5000</v>
      </c>
      <c r="E15" s="87"/>
      <c r="F15" s="87">
        <f>F20/6</f>
        <v>21666.666666666668</v>
      </c>
      <c r="G15" s="87"/>
    </row>
    <row r="16" spans="1:9" x14ac:dyDescent="0.25">
      <c r="A16" s="18">
        <v>3</v>
      </c>
      <c r="B16" s="88" t="s">
        <v>79</v>
      </c>
      <c r="C16" s="88"/>
      <c r="D16" s="87">
        <f>D20/6*2</f>
        <v>10000</v>
      </c>
      <c r="E16" s="87"/>
      <c r="F16" s="87">
        <f>F20/6*2</f>
        <v>43333.333333333336</v>
      </c>
      <c r="G16" s="87"/>
    </row>
    <row r="17" spans="1:7" x14ac:dyDescent="0.25">
      <c r="A17" s="18">
        <v>4</v>
      </c>
      <c r="B17" s="88" t="s">
        <v>80</v>
      </c>
      <c r="C17" s="88"/>
      <c r="D17" s="87">
        <f>D20/6*3</f>
        <v>15000</v>
      </c>
      <c r="E17" s="87"/>
      <c r="F17" s="87">
        <f>F20/6*3</f>
        <v>65000</v>
      </c>
      <c r="G17" s="87"/>
    </row>
    <row r="18" spans="1:7" x14ac:dyDescent="0.25">
      <c r="A18" s="18">
        <v>5</v>
      </c>
      <c r="B18" s="88" t="s">
        <v>82</v>
      </c>
      <c r="C18" s="88"/>
      <c r="D18" s="87">
        <f>D20/6*4</f>
        <v>20000</v>
      </c>
      <c r="E18" s="87"/>
      <c r="F18" s="87">
        <f>F20/6*4</f>
        <v>86666.666666666672</v>
      </c>
      <c r="G18" s="87"/>
    </row>
    <row r="19" spans="1:7" x14ac:dyDescent="0.25">
      <c r="A19" s="18">
        <v>6</v>
      </c>
      <c r="B19" s="88" t="s">
        <v>81</v>
      </c>
      <c r="C19" s="88"/>
      <c r="D19" s="87">
        <f>D20/6*5</f>
        <v>25000</v>
      </c>
      <c r="E19" s="87"/>
      <c r="F19" s="87">
        <f>F20/6*5</f>
        <v>108333.33333333334</v>
      </c>
      <c r="G19" s="87"/>
    </row>
    <row r="20" spans="1:7" x14ac:dyDescent="0.25">
      <c r="A20" s="18">
        <v>7</v>
      </c>
      <c r="B20" s="88" t="s">
        <v>23</v>
      </c>
      <c r="C20" s="88"/>
      <c r="D20" s="87">
        <v>30000</v>
      </c>
      <c r="E20" s="87"/>
      <c r="F20" s="87">
        <v>130000</v>
      </c>
      <c r="G20" s="87"/>
    </row>
    <row r="22" spans="1:7" x14ac:dyDescent="0.25">
      <c r="A22" t="s">
        <v>24</v>
      </c>
      <c r="F22" s="62"/>
    </row>
    <row r="24" spans="1:7" x14ac:dyDescent="0.25">
      <c r="A24" s="1" t="s">
        <v>88</v>
      </c>
    </row>
  </sheetData>
  <sheetProtection algorithmName="SHA-512" hashValue="6A9uJD0cHd6Pwdre87kaExI01Z+WggXF6J1oI1e75/v8fMNY2AzRq+9WiKLxCMaKXqN16/B4++T5MdkUKkLe/A==" saltValue="Dy1Ps1dF9Ezr/TL0/3TGGA==" spinCount="100000" sheet="1" objects="1" scenarios="1"/>
  <mergeCells count="25">
    <mergeCell ref="F19:G19"/>
    <mergeCell ref="F20:G20"/>
    <mergeCell ref="D12:G12"/>
    <mergeCell ref="B19:C19"/>
    <mergeCell ref="B20:C20"/>
    <mergeCell ref="D13:E13"/>
    <mergeCell ref="F13:G13"/>
    <mergeCell ref="D14:E14"/>
    <mergeCell ref="D15:E15"/>
    <mergeCell ref="D16:E16"/>
    <mergeCell ref="D17:E17"/>
    <mergeCell ref="D18:E18"/>
    <mergeCell ref="D19:E19"/>
    <mergeCell ref="D20:E20"/>
    <mergeCell ref="F14:G14"/>
    <mergeCell ref="F15:G15"/>
    <mergeCell ref="F16:G16"/>
    <mergeCell ref="F17:G17"/>
    <mergeCell ref="B18:C18"/>
    <mergeCell ref="A13:C13"/>
    <mergeCell ref="B14:C14"/>
    <mergeCell ref="B15:C15"/>
    <mergeCell ref="B16:C16"/>
    <mergeCell ref="B17:C17"/>
    <mergeCell ref="F18:G18"/>
  </mergeCells>
  <dataValidations count="1">
    <dataValidation type="list" allowBlank="1" showInputMessage="1" showErrorMessage="1" sqref="F22">
      <formula1>$A$14:$A$20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selection activeCell="L38" sqref="L38"/>
    </sheetView>
  </sheetViews>
  <sheetFormatPr defaultRowHeight="15" x14ac:dyDescent="0.25"/>
  <cols>
    <col min="12" max="12" width="11.5703125" bestFit="1" customWidth="1"/>
  </cols>
  <sheetData>
    <row r="1" spans="1:13" ht="18.75" x14ac:dyDescent="0.3">
      <c r="A1" s="5" t="s">
        <v>89</v>
      </c>
    </row>
    <row r="2" spans="1:13" x14ac:dyDescent="0.25">
      <c r="A2" s="2"/>
    </row>
    <row r="3" spans="1:13" x14ac:dyDescent="0.25">
      <c r="A3" s="2" t="s">
        <v>111</v>
      </c>
    </row>
    <row r="4" spans="1:13" x14ac:dyDescent="0.25">
      <c r="A4" s="2" t="s">
        <v>112</v>
      </c>
    </row>
    <row r="5" spans="1:13" s="4" customFormat="1" x14ac:dyDescent="0.25">
      <c r="A5" s="4" t="s">
        <v>90</v>
      </c>
    </row>
    <row r="8" spans="1:13" x14ac:dyDescent="0.25">
      <c r="A8" s="35" t="s">
        <v>86</v>
      </c>
    </row>
    <row r="10" spans="1:13" x14ac:dyDescent="0.25">
      <c r="A10" t="s">
        <v>91</v>
      </c>
      <c r="F10" t="s">
        <v>92</v>
      </c>
      <c r="K10" t="s">
        <v>93</v>
      </c>
    </row>
    <row r="11" spans="1:13" x14ac:dyDescent="0.25">
      <c r="A11" t="s">
        <v>94</v>
      </c>
      <c r="B11" s="34"/>
      <c r="F11" t="s">
        <v>94</v>
      </c>
      <c r="G11" s="34"/>
      <c r="K11" t="s">
        <v>94</v>
      </c>
      <c r="L11" s="34"/>
    </row>
    <row r="12" spans="1:13" x14ac:dyDescent="0.25">
      <c r="B12" t="s">
        <v>95</v>
      </c>
      <c r="C12" t="s">
        <v>96</v>
      </c>
      <c r="G12" t="s">
        <v>95</v>
      </c>
      <c r="H12" t="s">
        <v>96</v>
      </c>
      <c r="L12" t="s">
        <v>95</v>
      </c>
      <c r="M12" t="s">
        <v>96</v>
      </c>
    </row>
    <row r="13" spans="1:13" x14ac:dyDescent="0.25">
      <c r="A13" t="s">
        <v>102</v>
      </c>
      <c r="B13" s="27"/>
      <c r="C13" t="e">
        <f>VLOOKUP(B13,Blad2!$A$9:$B$13,2,FALSE)</f>
        <v>#N/A</v>
      </c>
      <c r="F13" t="s">
        <v>102</v>
      </c>
      <c r="G13" s="27"/>
      <c r="H13" t="e">
        <f>VLOOKUP(G13,Blad2!$A$9:$B$13,2,FALSE)</f>
        <v>#N/A</v>
      </c>
      <c r="K13" t="s">
        <v>102</v>
      </c>
      <c r="L13" s="27"/>
      <c r="M13" t="e">
        <f>VLOOKUP(L13,Blad2!$A$9:$B$13,2,FALSE)</f>
        <v>#N/A</v>
      </c>
    </row>
    <row r="14" spans="1:13" x14ac:dyDescent="0.25">
      <c r="A14" t="s">
        <v>103</v>
      </c>
      <c r="B14" s="27"/>
      <c r="C14" t="e">
        <f>VLOOKUP(B14,Blad2!$A$16:$B$20,2,FALSE)</f>
        <v>#N/A</v>
      </c>
      <c r="F14" t="s">
        <v>103</v>
      </c>
      <c r="G14" s="27"/>
      <c r="H14" t="e">
        <f>VLOOKUP(G14,Blad2!$A$16:$B$20,2,FALSE)</f>
        <v>#N/A</v>
      </c>
      <c r="K14" t="s">
        <v>103</v>
      </c>
      <c r="L14" s="27"/>
      <c r="M14" t="e">
        <f>VLOOKUP(L14,Blad2!$A$16:$B$20,2,FALSE)</f>
        <v>#N/A</v>
      </c>
    </row>
    <row r="15" spans="1:13" x14ac:dyDescent="0.25">
      <c r="A15" t="s">
        <v>104</v>
      </c>
      <c r="B15" s="27"/>
      <c r="C15" t="e">
        <f>VLOOKUP(B15,Blad2!$A$23:$B$27,2,FALSE)</f>
        <v>#N/A</v>
      </c>
      <c r="F15" t="s">
        <v>104</v>
      </c>
      <c r="G15" s="27"/>
      <c r="H15" t="e">
        <f>VLOOKUP(G15,Blad2!$A$23:$B$27,2,FALSE)</f>
        <v>#N/A</v>
      </c>
      <c r="K15" t="s">
        <v>104</v>
      </c>
      <c r="L15" s="27"/>
      <c r="M15" t="e">
        <f>VLOOKUP(L15,Blad2!$A$23:$B$27,2,FALSE)</f>
        <v>#N/A</v>
      </c>
    </row>
    <row r="16" spans="1:13" x14ac:dyDescent="0.25">
      <c r="A16" t="s">
        <v>113</v>
      </c>
      <c r="B16" s="33"/>
      <c r="C16" t="e">
        <f>VLOOKUP(B16,Blad2!$A$30:$C$36,2,FALSE)</f>
        <v>#N/A</v>
      </c>
      <c r="F16" t="s">
        <v>113</v>
      </c>
      <c r="G16" s="33"/>
      <c r="H16" t="e">
        <f>VLOOKUP(G16,Blad2!$A$30:$C$36,2,FALSE)</f>
        <v>#N/A</v>
      </c>
      <c r="K16" t="s">
        <v>113</v>
      </c>
      <c r="L16" s="33"/>
      <c r="M16" t="e">
        <f>VLOOKUP(L16,Blad2!$A$30:$C$36,2,FALSE)</f>
        <v>#N/A</v>
      </c>
    </row>
    <row r="17" spans="1:14" x14ac:dyDescent="0.25">
      <c r="A17" t="s">
        <v>106</v>
      </c>
      <c r="B17" s="27"/>
      <c r="C17" t="e">
        <f>VLOOKUP(B17,Blad2!$A$39:$B$43,2,FALSE)</f>
        <v>#N/A</v>
      </c>
      <c r="F17" t="s">
        <v>106</v>
      </c>
      <c r="G17" s="27"/>
      <c r="H17" t="e">
        <f>VLOOKUP(G17,Blad2!$A$39:$B$43,2,FALSE)</f>
        <v>#N/A</v>
      </c>
      <c r="K17" t="s">
        <v>106</v>
      </c>
      <c r="L17" s="27"/>
      <c r="M17" t="e">
        <f>VLOOKUP(L17,Blad2!$A$39:$B$43,2,FALSE)</f>
        <v>#N/A</v>
      </c>
    </row>
    <row r="18" spans="1:14" ht="15.75" thickBot="1" x14ac:dyDescent="0.3">
      <c r="A18" t="s">
        <v>107</v>
      </c>
      <c r="B18" s="27"/>
      <c r="C18" s="28" t="e">
        <f>VLOOKUP(B18,Blad2!$A$46:$B$50,2,FALSE)</f>
        <v>#N/A</v>
      </c>
      <c r="D18" s="29"/>
      <c r="F18" t="s">
        <v>107</v>
      </c>
      <c r="G18" s="27"/>
      <c r="H18" s="28" t="e">
        <f>VLOOKUP(G18,Blad2!$A$46:$B$50,2,FALSE)</f>
        <v>#N/A</v>
      </c>
      <c r="I18" s="29"/>
      <c r="K18" t="s">
        <v>107</v>
      </c>
      <c r="L18" s="27"/>
      <c r="M18" s="28" t="e">
        <f>VLOOKUP(L18,Blad2!$A$46:$B$50,2,FALSE)</f>
        <v>#N/A</v>
      </c>
      <c r="N18" s="29"/>
    </row>
    <row r="19" spans="1:14" ht="15.75" thickTop="1" x14ac:dyDescent="0.25">
      <c r="A19" t="s">
        <v>101</v>
      </c>
      <c r="D19" t="e">
        <f>SUM(C13:C18)</f>
        <v>#N/A</v>
      </c>
      <c r="I19" t="e">
        <f>SUM(H13:H18)</f>
        <v>#N/A</v>
      </c>
      <c r="N19" t="e">
        <f>SUM(M13:M18)</f>
        <v>#N/A</v>
      </c>
    </row>
    <row r="20" spans="1:14" x14ac:dyDescent="0.25">
      <c r="A20" t="s">
        <v>110</v>
      </c>
      <c r="D20" s="30" t="e">
        <f>B11-D19</f>
        <v>#N/A</v>
      </c>
      <c r="F20" t="s">
        <v>110</v>
      </c>
      <c r="I20" s="30" t="e">
        <f>G11-I19</f>
        <v>#N/A</v>
      </c>
      <c r="K20" t="s">
        <v>110</v>
      </c>
      <c r="N20" s="30" t="e">
        <f>L11-N19</f>
        <v>#N/A</v>
      </c>
    </row>
    <row r="23" spans="1:14" x14ac:dyDescent="0.25">
      <c r="A23" s="35" t="s">
        <v>85</v>
      </c>
    </row>
    <row r="25" spans="1:14" x14ac:dyDescent="0.25">
      <c r="A25" t="s">
        <v>91</v>
      </c>
      <c r="F25" t="s">
        <v>92</v>
      </c>
      <c r="K25" t="s">
        <v>93</v>
      </c>
    </row>
    <row r="26" spans="1:14" x14ac:dyDescent="0.25">
      <c r="A26" t="s">
        <v>94</v>
      </c>
      <c r="B26" s="34"/>
      <c r="F26" t="s">
        <v>94</v>
      </c>
      <c r="G26" s="34"/>
      <c r="K26" t="s">
        <v>94</v>
      </c>
      <c r="L26" s="34">
        <v>100000</v>
      </c>
    </row>
    <row r="27" spans="1:14" x14ac:dyDescent="0.25">
      <c r="B27" t="s">
        <v>95</v>
      </c>
      <c r="C27" t="s">
        <v>96</v>
      </c>
      <c r="G27" t="s">
        <v>95</v>
      </c>
      <c r="H27" t="s">
        <v>96</v>
      </c>
      <c r="L27" t="s">
        <v>95</v>
      </c>
      <c r="M27" t="s">
        <v>96</v>
      </c>
    </row>
    <row r="28" spans="1:14" x14ac:dyDescent="0.25">
      <c r="A28" t="s">
        <v>102</v>
      </c>
      <c r="B28" s="27"/>
      <c r="C28" t="e">
        <f>VLOOKUP(B28,Blad2!$P$9:$Q$13,2,FALSE)</f>
        <v>#N/A</v>
      </c>
      <c r="F28" t="s">
        <v>102</v>
      </c>
      <c r="G28" s="27"/>
      <c r="H28" t="e">
        <f>VLOOKUP(G28,Blad2!$P$9:$Q$13,2,FALSE)</f>
        <v>#N/A</v>
      </c>
      <c r="K28" t="s">
        <v>102</v>
      </c>
      <c r="L28" s="27"/>
      <c r="M28" t="e">
        <f>VLOOKUP(L28,Blad2!$P$9:$Q$13,2,FALSE)</f>
        <v>#N/A</v>
      </c>
    </row>
    <row r="29" spans="1:14" x14ac:dyDescent="0.25">
      <c r="A29" t="s">
        <v>103</v>
      </c>
      <c r="B29" s="27"/>
      <c r="C29" t="e">
        <f>VLOOKUP(B29,Blad2!$P$16:$Q$20,2,FALSE)</f>
        <v>#N/A</v>
      </c>
      <c r="F29" t="s">
        <v>103</v>
      </c>
      <c r="G29" s="27"/>
      <c r="H29" t="e">
        <f>VLOOKUP(G29,Blad2!$P$16:$Q$20,2,FALSE)</f>
        <v>#N/A</v>
      </c>
      <c r="K29" t="s">
        <v>103</v>
      </c>
      <c r="L29" s="27"/>
      <c r="M29" t="e">
        <f>VLOOKUP(L29,Blad2!$P$16:$Q$20,2,FALSE)</f>
        <v>#N/A</v>
      </c>
    </row>
    <row r="30" spans="1:14" x14ac:dyDescent="0.25">
      <c r="A30" t="s">
        <v>104</v>
      </c>
      <c r="B30" s="27"/>
      <c r="C30" t="e">
        <f>VLOOKUP(B30,Blad2!$P$23:$Q$27,2,FALSE)</f>
        <v>#N/A</v>
      </c>
      <c r="F30" t="s">
        <v>104</v>
      </c>
      <c r="G30" s="27"/>
      <c r="H30" t="e">
        <f>VLOOKUP(G30,Blad2!$P$23:$Q$27,2,FALSE)</f>
        <v>#N/A</v>
      </c>
      <c r="K30" t="s">
        <v>104</v>
      </c>
      <c r="L30" s="27"/>
      <c r="M30" t="e">
        <f>VLOOKUP(L30,Blad2!$P$23:$Q$27,2,FALSE)</f>
        <v>#N/A</v>
      </c>
    </row>
    <row r="31" spans="1:14" x14ac:dyDescent="0.25">
      <c r="A31" t="s">
        <v>113</v>
      </c>
      <c r="B31" s="33"/>
      <c r="C31" t="e">
        <f>VLOOKUP(B31,Blad2!$P$30:$R$36,2,FALSE)</f>
        <v>#N/A</v>
      </c>
      <c r="F31" t="s">
        <v>113</v>
      </c>
      <c r="G31" s="33"/>
      <c r="H31" t="e">
        <f>VLOOKUP(G31,Blad2!$P$30:$R$36,2,FALSE)</f>
        <v>#N/A</v>
      </c>
      <c r="K31" t="s">
        <v>113</v>
      </c>
      <c r="L31" s="33"/>
      <c r="M31" t="e">
        <f>VLOOKUP(L31,Blad2!$P$30:$R$36,2,FALSE)</f>
        <v>#N/A</v>
      </c>
    </row>
    <row r="32" spans="1:14" x14ac:dyDescent="0.25">
      <c r="A32" t="s">
        <v>106</v>
      </c>
      <c r="B32" s="27"/>
      <c r="C32" t="e">
        <f>VLOOKUP(B32,Blad2!$P$39:$Q$43,2,FALSE)</f>
        <v>#N/A</v>
      </c>
      <c r="F32" t="s">
        <v>106</v>
      </c>
      <c r="G32" s="27"/>
      <c r="H32" t="e">
        <f>VLOOKUP(G32,Blad2!$P$39:$Q$43,2,FALSE)</f>
        <v>#N/A</v>
      </c>
      <c r="K32" t="s">
        <v>106</v>
      </c>
      <c r="L32" s="27"/>
      <c r="M32" t="e">
        <f>VLOOKUP(L32,Blad2!$P$39:$Q$43,2,FALSE)</f>
        <v>#N/A</v>
      </c>
    </row>
    <row r="33" spans="1:14" ht="15.75" thickBot="1" x14ac:dyDescent="0.3">
      <c r="A33" t="s">
        <v>107</v>
      </c>
      <c r="B33" s="27"/>
      <c r="C33" s="28" t="e">
        <f>VLOOKUP(B33,Blad2!$P$46:$Q$50,2,FALSE)</f>
        <v>#N/A</v>
      </c>
      <c r="D33" s="29"/>
      <c r="F33" t="s">
        <v>107</v>
      </c>
      <c r="G33" s="27"/>
      <c r="H33" s="28" t="e">
        <f>VLOOKUP(G33,Blad2!$P$46:$Q$50,2,FALSE)</f>
        <v>#N/A</v>
      </c>
      <c r="I33" s="29"/>
      <c r="K33" t="s">
        <v>107</v>
      </c>
      <c r="L33" s="27"/>
      <c r="M33" s="28" t="e">
        <f>VLOOKUP(L33,Blad2!$P$46:$Q$50,2,FALSE)</f>
        <v>#N/A</v>
      </c>
      <c r="N33" s="29"/>
    </row>
    <row r="34" spans="1:14" ht="15.75" thickTop="1" x14ac:dyDescent="0.25">
      <c r="A34" t="s">
        <v>101</v>
      </c>
      <c r="D34" t="e">
        <f>SUM(C28:C33)</f>
        <v>#N/A</v>
      </c>
      <c r="I34" t="e">
        <f>SUM(H28:H33)</f>
        <v>#N/A</v>
      </c>
      <c r="N34" t="e">
        <f>SUM(M28:M33)</f>
        <v>#N/A</v>
      </c>
    </row>
    <row r="35" spans="1:14" x14ac:dyDescent="0.25">
      <c r="A35" t="s">
        <v>110</v>
      </c>
      <c r="D35" s="30" t="e">
        <f>B26-D34</f>
        <v>#N/A</v>
      </c>
      <c r="F35" t="s">
        <v>110</v>
      </c>
      <c r="I35" s="30" t="e">
        <f>G26-I34</f>
        <v>#N/A</v>
      </c>
      <c r="K35" t="s">
        <v>110</v>
      </c>
      <c r="N35" s="30" t="e">
        <f>L26-N34</f>
        <v>#N/A</v>
      </c>
    </row>
    <row r="38" spans="1:14" x14ac:dyDescent="0.25">
      <c r="A38" t="s">
        <v>114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Blad2!$A$2:$A$6</xm:f>
          </x14:formula1>
          <xm:sqref>B28:B30 B32:B33 G28:G30 G32:G33 L28:L30 L32:L33 B13:B15 B17:B18 G13:G15 G17:G18 L13:L15 L17:L18</xm:sqref>
        </x14:dataValidation>
        <x14:dataValidation type="list" allowBlank="1" showInputMessage="1" showErrorMessage="1">
          <x14:formula1>
            <xm:f>'Wens 2b - social return'!$A$14:$A$20</xm:f>
          </x14:formula1>
          <xm:sqref>B31 G31 L31 B16 G16 L16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"/>
  <sheetViews>
    <sheetView workbookViewId="0">
      <selection activeCell="R23" sqref="R23"/>
    </sheetView>
  </sheetViews>
  <sheetFormatPr defaultRowHeight="15" x14ac:dyDescent="0.25"/>
  <cols>
    <col min="1" max="1" width="14.140625" customWidth="1"/>
    <col min="2" max="2" width="10.140625" bestFit="1" customWidth="1"/>
  </cols>
  <sheetData>
    <row r="1" spans="1:17" x14ac:dyDescent="0.25">
      <c r="D1" t="s">
        <v>102</v>
      </c>
      <c r="E1" t="s">
        <v>103</v>
      </c>
      <c r="F1" t="s">
        <v>104</v>
      </c>
      <c r="G1" t="s">
        <v>105</v>
      </c>
      <c r="H1" t="s">
        <v>106</v>
      </c>
      <c r="I1" t="s">
        <v>107</v>
      </c>
      <c r="K1" t="s">
        <v>102</v>
      </c>
      <c r="L1" t="s">
        <v>103</v>
      </c>
      <c r="M1" t="s">
        <v>104</v>
      </c>
      <c r="N1" t="s">
        <v>105</v>
      </c>
      <c r="O1" t="s">
        <v>106</v>
      </c>
      <c r="P1" t="s">
        <v>107</v>
      </c>
    </row>
    <row r="2" spans="1:17" x14ac:dyDescent="0.25">
      <c r="A2" t="s">
        <v>98</v>
      </c>
      <c r="B2" s="31">
        <v>1</v>
      </c>
      <c r="D2" s="32">
        <v>340000</v>
      </c>
      <c r="E2" s="32">
        <v>80000</v>
      </c>
      <c r="F2" s="32">
        <v>180000</v>
      </c>
      <c r="G2" s="32">
        <v>120000</v>
      </c>
      <c r="H2" s="32">
        <v>340000</v>
      </c>
      <c r="I2" s="32">
        <v>140000</v>
      </c>
      <c r="K2" s="32">
        <v>85000</v>
      </c>
      <c r="L2" s="32">
        <v>20000</v>
      </c>
      <c r="M2" s="32">
        <v>45000</v>
      </c>
      <c r="N2" s="32">
        <v>30000</v>
      </c>
      <c r="O2" s="32">
        <v>85000</v>
      </c>
      <c r="P2" s="32">
        <v>35000</v>
      </c>
    </row>
    <row r="3" spans="1:17" x14ac:dyDescent="0.25">
      <c r="A3" t="s">
        <v>99</v>
      </c>
      <c r="B3" s="31">
        <v>0.8</v>
      </c>
      <c r="D3">
        <f>D2*$B$3</f>
        <v>272000</v>
      </c>
      <c r="E3">
        <f t="shared" ref="E3:I3" si="0">E2*$B$3</f>
        <v>64000</v>
      </c>
      <c r="F3">
        <f t="shared" si="0"/>
        <v>144000</v>
      </c>
      <c r="G3">
        <f t="shared" si="0"/>
        <v>96000</v>
      </c>
      <c r="H3">
        <f t="shared" si="0"/>
        <v>272000</v>
      </c>
      <c r="I3">
        <f t="shared" si="0"/>
        <v>112000</v>
      </c>
      <c r="K3">
        <f>K2*$B$3</f>
        <v>68000</v>
      </c>
      <c r="L3">
        <f t="shared" ref="L3:P3" si="1">L2*$B$3</f>
        <v>16000</v>
      </c>
      <c r="M3">
        <f t="shared" si="1"/>
        <v>36000</v>
      </c>
      <c r="N3">
        <f t="shared" si="1"/>
        <v>24000</v>
      </c>
      <c r="O3">
        <f t="shared" si="1"/>
        <v>68000</v>
      </c>
      <c r="P3">
        <f t="shared" si="1"/>
        <v>28000</v>
      </c>
    </row>
    <row r="4" spans="1:17" x14ac:dyDescent="0.25">
      <c r="A4" t="s">
        <v>97</v>
      </c>
      <c r="B4" s="31">
        <v>0.5</v>
      </c>
      <c r="D4">
        <f>D3*$B$4</f>
        <v>136000</v>
      </c>
      <c r="E4">
        <f t="shared" ref="E4:I4" si="2">E3*$B$4</f>
        <v>32000</v>
      </c>
      <c r="F4">
        <f t="shared" si="2"/>
        <v>72000</v>
      </c>
      <c r="G4">
        <f t="shared" si="2"/>
        <v>48000</v>
      </c>
      <c r="H4">
        <f t="shared" si="2"/>
        <v>136000</v>
      </c>
      <c r="I4">
        <f t="shared" si="2"/>
        <v>56000</v>
      </c>
      <c r="K4">
        <f>K3*$B$4</f>
        <v>34000</v>
      </c>
      <c r="L4">
        <f t="shared" ref="L4:P4" si="3">L3*$B$4</f>
        <v>8000</v>
      </c>
      <c r="M4">
        <f t="shared" si="3"/>
        <v>18000</v>
      </c>
      <c r="N4">
        <f t="shared" si="3"/>
        <v>12000</v>
      </c>
      <c r="O4">
        <f t="shared" si="3"/>
        <v>34000</v>
      </c>
      <c r="P4">
        <f t="shared" si="3"/>
        <v>14000</v>
      </c>
    </row>
    <row r="5" spans="1:17" x14ac:dyDescent="0.25">
      <c r="A5" t="s">
        <v>100</v>
      </c>
      <c r="B5" s="31">
        <v>0.2</v>
      </c>
      <c r="D5">
        <f>D4*$B$5</f>
        <v>27200</v>
      </c>
      <c r="E5">
        <f t="shared" ref="E5:I5" si="4">E4*$B$5</f>
        <v>6400</v>
      </c>
      <c r="F5">
        <f t="shared" si="4"/>
        <v>14400</v>
      </c>
      <c r="G5">
        <f t="shared" si="4"/>
        <v>9600</v>
      </c>
      <c r="H5">
        <f t="shared" si="4"/>
        <v>27200</v>
      </c>
      <c r="I5">
        <f t="shared" si="4"/>
        <v>11200</v>
      </c>
      <c r="K5">
        <f>K4*$B$5</f>
        <v>6800</v>
      </c>
      <c r="L5">
        <f t="shared" ref="L5:P5" si="5">L4*$B$5</f>
        <v>1600</v>
      </c>
      <c r="M5">
        <f t="shared" si="5"/>
        <v>3600</v>
      </c>
      <c r="N5">
        <f t="shared" si="5"/>
        <v>2400</v>
      </c>
      <c r="O5">
        <f t="shared" si="5"/>
        <v>6800</v>
      </c>
      <c r="P5">
        <f t="shared" si="5"/>
        <v>2800</v>
      </c>
    </row>
    <row r="6" spans="1:17" x14ac:dyDescent="0.25">
      <c r="A6" t="s">
        <v>108</v>
      </c>
      <c r="B6" s="31">
        <v>0</v>
      </c>
      <c r="D6">
        <f>D5*$B$6</f>
        <v>0</v>
      </c>
      <c r="E6">
        <f t="shared" ref="E6:I6" si="6">E5*$B$6</f>
        <v>0</v>
      </c>
      <c r="F6">
        <f t="shared" si="6"/>
        <v>0</v>
      </c>
      <c r="G6">
        <f t="shared" si="6"/>
        <v>0</v>
      </c>
      <c r="H6">
        <f t="shared" si="6"/>
        <v>0</v>
      </c>
      <c r="I6">
        <f t="shared" si="6"/>
        <v>0</v>
      </c>
      <c r="K6">
        <f>K5*$B$6</f>
        <v>0</v>
      </c>
      <c r="L6">
        <f t="shared" ref="L6:P6" si="7">L5*$B$6</f>
        <v>0</v>
      </c>
      <c r="M6">
        <f t="shared" si="7"/>
        <v>0</v>
      </c>
      <c r="N6">
        <f t="shared" si="7"/>
        <v>0</v>
      </c>
      <c r="O6">
        <f t="shared" si="7"/>
        <v>0</v>
      </c>
      <c r="P6">
        <f t="shared" si="7"/>
        <v>0</v>
      </c>
    </row>
    <row r="7" spans="1:17" x14ac:dyDescent="0.25">
      <c r="B7" s="31"/>
    </row>
    <row r="8" spans="1:17" x14ac:dyDescent="0.25">
      <c r="A8" t="s">
        <v>102</v>
      </c>
      <c r="P8" t="s">
        <v>102</v>
      </c>
    </row>
    <row r="9" spans="1:17" x14ac:dyDescent="0.25">
      <c r="A9" t="s">
        <v>98</v>
      </c>
      <c r="B9">
        <f>D2</f>
        <v>340000</v>
      </c>
      <c r="P9" t="s">
        <v>98</v>
      </c>
      <c r="Q9">
        <f>K2</f>
        <v>85000</v>
      </c>
    </row>
    <row r="10" spans="1:17" x14ac:dyDescent="0.25">
      <c r="A10" t="s">
        <v>99</v>
      </c>
      <c r="B10">
        <f>B9*$B$3</f>
        <v>272000</v>
      </c>
      <c r="P10" t="s">
        <v>99</v>
      </c>
      <c r="Q10">
        <f>Q9*$B$3</f>
        <v>68000</v>
      </c>
    </row>
    <row r="11" spans="1:17" x14ac:dyDescent="0.25">
      <c r="A11" t="s">
        <v>97</v>
      </c>
      <c r="B11">
        <f>B10*$B$4</f>
        <v>136000</v>
      </c>
      <c r="F11" s="92" t="s">
        <v>109</v>
      </c>
      <c r="G11" s="93"/>
      <c r="H11" s="93"/>
      <c r="I11" s="93"/>
      <c r="J11" s="93"/>
      <c r="K11" s="93"/>
      <c r="L11" s="93"/>
      <c r="M11" s="93"/>
      <c r="P11" t="s">
        <v>97</v>
      </c>
      <c r="Q11">
        <f>Q10*$B$4</f>
        <v>34000</v>
      </c>
    </row>
    <row r="12" spans="1:17" x14ac:dyDescent="0.25">
      <c r="A12" t="s">
        <v>100</v>
      </c>
      <c r="B12">
        <f>B11*$B$5</f>
        <v>27200</v>
      </c>
      <c r="F12" s="93"/>
      <c r="G12" s="93"/>
      <c r="H12" s="93"/>
      <c r="I12" s="93"/>
      <c r="J12" s="93"/>
      <c r="K12" s="93"/>
      <c r="L12" s="93"/>
      <c r="M12" s="93"/>
      <c r="P12" t="s">
        <v>100</v>
      </c>
      <c r="Q12">
        <f>Q11*$B$5</f>
        <v>6800</v>
      </c>
    </row>
    <row r="13" spans="1:17" x14ac:dyDescent="0.25">
      <c r="A13" t="s">
        <v>108</v>
      </c>
      <c r="B13">
        <f>B12*$B$6</f>
        <v>0</v>
      </c>
      <c r="F13" s="93"/>
      <c r="G13" s="93"/>
      <c r="H13" s="93"/>
      <c r="I13" s="93"/>
      <c r="J13" s="93"/>
      <c r="K13" s="93"/>
      <c r="L13" s="93"/>
      <c r="M13" s="93"/>
      <c r="P13" t="s">
        <v>108</v>
      </c>
      <c r="Q13">
        <f>Q12*$B$6</f>
        <v>0</v>
      </c>
    </row>
    <row r="14" spans="1:17" x14ac:dyDescent="0.25">
      <c r="F14" s="93"/>
      <c r="G14" s="93"/>
      <c r="H14" s="93"/>
      <c r="I14" s="93"/>
      <c r="J14" s="93"/>
      <c r="K14" s="93"/>
      <c r="L14" s="93"/>
      <c r="M14" s="93"/>
    </row>
    <row r="15" spans="1:17" x14ac:dyDescent="0.25">
      <c r="A15" t="s">
        <v>103</v>
      </c>
      <c r="F15" s="93"/>
      <c r="G15" s="93"/>
      <c r="H15" s="93"/>
      <c r="I15" s="93"/>
      <c r="J15" s="93"/>
      <c r="K15" s="93"/>
      <c r="L15" s="93"/>
      <c r="M15" s="93"/>
      <c r="P15" t="s">
        <v>103</v>
      </c>
    </row>
    <row r="16" spans="1:17" x14ac:dyDescent="0.25">
      <c r="A16" t="s">
        <v>98</v>
      </c>
      <c r="B16">
        <f>E2</f>
        <v>80000</v>
      </c>
      <c r="F16" s="93"/>
      <c r="G16" s="93"/>
      <c r="H16" s="93"/>
      <c r="I16" s="93"/>
      <c r="J16" s="93"/>
      <c r="K16" s="93"/>
      <c r="L16" s="93"/>
      <c r="M16" s="93"/>
      <c r="P16" t="s">
        <v>98</v>
      </c>
      <c r="Q16">
        <f>L2</f>
        <v>20000</v>
      </c>
    </row>
    <row r="17" spans="1:18" x14ac:dyDescent="0.25">
      <c r="A17" t="s">
        <v>99</v>
      </c>
      <c r="B17">
        <f t="shared" ref="B17" si="8">B16*$B$3</f>
        <v>64000</v>
      </c>
      <c r="F17" s="93"/>
      <c r="G17" s="93"/>
      <c r="H17" s="93"/>
      <c r="I17" s="93"/>
      <c r="J17" s="93"/>
      <c r="K17" s="93"/>
      <c r="L17" s="93"/>
      <c r="M17" s="93"/>
      <c r="P17" t="s">
        <v>99</v>
      </c>
      <c r="Q17">
        <f t="shared" ref="Q17" si="9">Q16*$B$3</f>
        <v>16000</v>
      </c>
    </row>
    <row r="18" spans="1:18" x14ac:dyDescent="0.25">
      <c r="A18" t="s">
        <v>97</v>
      </c>
      <c r="B18">
        <f t="shared" ref="B18" si="10">B17*$B$4</f>
        <v>32000</v>
      </c>
      <c r="F18" s="93"/>
      <c r="G18" s="93"/>
      <c r="H18" s="93"/>
      <c r="I18" s="93"/>
      <c r="J18" s="93"/>
      <c r="K18" s="93"/>
      <c r="L18" s="93"/>
      <c r="M18" s="93"/>
      <c r="P18" t="s">
        <v>97</v>
      </c>
      <c r="Q18">
        <f t="shared" ref="Q18" si="11">Q17*$B$4</f>
        <v>8000</v>
      </c>
    </row>
    <row r="19" spans="1:18" x14ac:dyDescent="0.25">
      <c r="A19" t="s">
        <v>100</v>
      </c>
      <c r="B19">
        <f t="shared" ref="B19" si="12">B18*$B$5</f>
        <v>6400</v>
      </c>
      <c r="F19" s="93"/>
      <c r="G19" s="93"/>
      <c r="H19" s="93"/>
      <c r="I19" s="93"/>
      <c r="J19" s="93"/>
      <c r="K19" s="93"/>
      <c r="L19" s="93"/>
      <c r="M19" s="93"/>
      <c r="P19" t="s">
        <v>100</v>
      </c>
      <c r="Q19">
        <f t="shared" ref="Q19" si="13">Q18*$B$5</f>
        <v>1600</v>
      </c>
    </row>
    <row r="20" spans="1:18" x14ac:dyDescent="0.25">
      <c r="A20" t="s">
        <v>108</v>
      </c>
      <c r="B20">
        <f t="shared" ref="B20" si="14">B19*$B$6</f>
        <v>0</v>
      </c>
      <c r="P20" t="s">
        <v>108</v>
      </c>
      <c r="Q20">
        <f t="shared" ref="Q20" si="15">Q19*$B$6</f>
        <v>0</v>
      </c>
    </row>
    <row r="22" spans="1:18" x14ac:dyDescent="0.25">
      <c r="A22" t="s">
        <v>104</v>
      </c>
      <c r="P22" t="s">
        <v>104</v>
      </c>
    </row>
    <row r="23" spans="1:18" x14ac:dyDescent="0.25">
      <c r="A23" t="s">
        <v>98</v>
      </c>
      <c r="B23">
        <f>F2</f>
        <v>180000</v>
      </c>
      <c r="P23" t="s">
        <v>98</v>
      </c>
      <c r="Q23">
        <f>M2</f>
        <v>45000</v>
      </c>
    </row>
    <row r="24" spans="1:18" x14ac:dyDescent="0.25">
      <c r="A24" t="s">
        <v>99</v>
      </c>
      <c r="B24">
        <f t="shared" ref="B24" si="16">B23*$B$3</f>
        <v>144000</v>
      </c>
      <c r="P24" t="s">
        <v>99</v>
      </c>
      <c r="Q24">
        <f t="shared" ref="Q24" si="17">Q23*$B$3</f>
        <v>36000</v>
      </c>
    </row>
    <row r="25" spans="1:18" x14ac:dyDescent="0.25">
      <c r="A25" t="s">
        <v>97</v>
      </c>
      <c r="B25">
        <f t="shared" ref="B25" si="18">B24*$B$4</f>
        <v>72000</v>
      </c>
      <c r="P25" t="s">
        <v>97</v>
      </c>
      <c r="Q25">
        <f t="shared" ref="Q25" si="19">Q24*$B$4</f>
        <v>18000</v>
      </c>
    </row>
    <row r="26" spans="1:18" x14ac:dyDescent="0.25">
      <c r="A26" t="s">
        <v>100</v>
      </c>
      <c r="B26">
        <f t="shared" ref="B26" si="20">B25*$B$5</f>
        <v>14400</v>
      </c>
      <c r="P26" t="s">
        <v>100</v>
      </c>
      <c r="Q26">
        <f t="shared" ref="Q26" si="21">Q25*$B$5</f>
        <v>3600</v>
      </c>
    </row>
    <row r="27" spans="1:18" x14ac:dyDescent="0.25">
      <c r="A27" t="s">
        <v>108</v>
      </c>
      <c r="B27">
        <f t="shared" ref="B27" si="22">B26*$B$6</f>
        <v>0</v>
      </c>
      <c r="P27" t="s">
        <v>108</v>
      </c>
      <c r="Q27">
        <f t="shared" ref="Q27" si="23">Q26*$B$6</f>
        <v>0</v>
      </c>
    </row>
    <row r="29" spans="1:18" x14ac:dyDescent="0.25">
      <c r="A29" t="s">
        <v>105</v>
      </c>
      <c r="P29" t="s">
        <v>105</v>
      </c>
    </row>
    <row r="30" spans="1:18" x14ac:dyDescent="0.25">
      <c r="A30" s="18">
        <v>1</v>
      </c>
      <c r="B30" s="91">
        <v>0</v>
      </c>
      <c r="C30" s="91"/>
      <c r="P30" s="18">
        <v>1</v>
      </c>
      <c r="Q30" s="91">
        <v>0</v>
      </c>
      <c r="R30" s="91"/>
    </row>
    <row r="31" spans="1:18" x14ac:dyDescent="0.25">
      <c r="A31" s="18">
        <v>2</v>
      </c>
      <c r="B31" s="87">
        <f>B36/6</f>
        <v>21666.666666666668</v>
      </c>
      <c r="C31" s="87"/>
      <c r="P31" s="18">
        <v>2</v>
      </c>
      <c r="Q31" s="87">
        <f>Q36/6</f>
        <v>5000</v>
      </c>
      <c r="R31" s="87"/>
    </row>
    <row r="32" spans="1:18" x14ac:dyDescent="0.25">
      <c r="A32" s="18">
        <v>3</v>
      </c>
      <c r="B32" s="87">
        <f>B36/6*2</f>
        <v>43333.333333333336</v>
      </c>
      <c r="C32" s="87"/>
      <c r="P32" s="18">
        <v>3</v>
      </c>
      <c r="Q32" s="87">
        <f>Q36/6*2</f>
        <v>10000</v>
      </c>
      <c r="R32" s="87"/>
    </row>
    <row r="33" spans="1:18" x14ac:dyDescent="0.25">
      <c r="A33" s="18">
        <v>4</v>
      </c>
      <c r="B33" s="87">
        <f>B36/6*3</f>
        <v>65000</v>
      </c>
      <c r="C33" s="87"/>
      <c r="P33" s="18">
        <v>4</v>
      </c>
      <c r="Q33" s="87">
        <f>Q36/6*3</f>
        <v>15000</v>
      </c>
      <c r="R33" s="87"/>
    </row>
    <row r="34" spans="1:18" x14ac:dyDescent="0.25">
      <c r="A34" s="18">
        <v>5</v>
      </c>
      <c r="B34" s="87">
        <f>B36/6*4</f>
        <v>86666.666666666672</v>
      </c>
      <c r="C34" s="87"/>
      <c r="P34" s="18">
        <v>5</v>
      </c>
      <c r="Q34" s="87">
        <f>Q36/6*4</f>
        <v>20000</v>
      </c>
      <c r="R34" s="87"/>
    </row>
    <row r="35" spans="1:18" x14ac:dyDescent="0.25">
      <c r="A35" s="18">
        <v>6</v>
      </c>
      <c r="B35" s="87">
        <f>B36/6*5</f>
        <v>108333.33333333334</v>
      </c>
      <c r="C35" s="87"/>
      <c r="P35" s="18">
        <v>6</v>
      </c>
      <c r="Q35" s="87">
        <f>Q36/6*5</f>
        <v>25000</v>
      </c>
      <c r="R35" s="87"/>
    </row>
    <row r="36" spans="1:18" x14ac:dyDescent="0.25">
      <c r="A36" s="18">
        <v>7</v>
      </c>
      <c r="B36" s="87">
        <v>130000</v>
      </c>
      <c r="C36" s="87"/>
      <c r="P36" s="18">
        <v>7</v>
      </c>
      <c r="Q36" s="87">
        <v>30000</v>
      </c>
      <c r="R36" s="87"/>
    </row>
    <row r="38" spans="1:18" x14ac:dyDescent="0.25">
      <c r="A38" t="s">
        <v>106</v>
      </c>
      <c r="P38" t="s">
        <v>106</v>
      </c>
    </row>
    <row r="39" spans="1:18" x14ac:dyDescent="0.25">
      <c r="A39" t="s">
        <v>98</v>
      </c>
      <c r="B39">
        <f>H2</f>
        <v>340000</v>
      </c>
      <c r="P39" t="s">
        <v>98</v>
      </c>
      <c r="Q39">
        <f>O2</f>
        <v>85000</v>
      </c>
    </row>
    <row r="40" spans="1:18" x14ac:dyDescent="0.25">
      <c r="A40" t="s">
        <v>99</v>
      </c>
      <c r="B40">
        <f t="shared" ref="B40" si="24">B39*$B$3</f>
        <v>272000</v>
      </c>
      <c r="P40" t="s">
        <v>99</v>
      </c>
      <c r="Q40">
        <f t="shared" ref="Q40" si="25">Q39*$B$3</f>
        <v>68000</v>
      </c>
    </row>
    <row r="41" spans="1:18" x14ac:dyDescent="0.25">
      <c r="A41" t="s">
        <v>97</v>
      </c>
      <c r="B41">
        <f t="shared" ref="B41" si="26">B40*$B$4</f>
        <v>136000</v>
      </c>
      <c r="P41" t="s">
        <v>97</v>
      </c>
      <c r="Q41">
        <f t="shared" ref="Q41" si="27">Q40*$B$4</f>
        <v>34000</v>
      </c>
    </row>
    <row r="42" spans="1:18" x14ac:dyDescent="0.25">
      <c r="A42" t="s">
        <v>100</v>
      </c>
      <c r="B42">
        <f t="shared" ref="B42" si="28">B41*$B$5</f>
        <v>27200</v>
      </c>
      <c r="P42" t="s">
        <v>100</v>
      </c>
      <c r="Q42">
        <f t="shared" ref="Q42" si="29">Q41*$B$5</f>
        <v>6800</v>
      </c>
    </row>
    <row r="43" spans="1:18" x14ac:dyDescent="0.25">
      <c r="A43" t="s">
        <v>108</v>
      </c>
      <c r="B43">
        <f t="shared" ref="B43" si="30">B42*$B$6</f>
        <v>0</v>
      </c>
      <c r="P43" t="s">
        <v>108</v>
      </c>
      <c r="Q43">
        <f t="shared" ref="Q43" si="31">Q42*$B$6</f>
        <v>0</v>
      </c>
    </row>
    <row r="45" spans="1:18" x14ac:dyDescent="0.25">
      <c r="A45" t="s">
        <v>107</v>
      </c>
      <c r="P45" t="s">
        <v>107</v>
      </c>
    </row>
    <row r="46" spans="1:18" x14ac:dyDescent="0.25">
      <c r="A46" t="s">
        <v>98</v>
      </c>
      <c r="B46">
        <f>I2</f>
        <v>140000</v>
      </c>
      <c r="P46" t="s">
        <v>98</v>
      </c>
      <c r="Q46">
        <f>P2</f>
        <v>35000</v>
      </c>
    </row>
    <row r="47" spans="1:18" x14ac:dyDescent="0.25">
      <c r="A47" t="s">
        <v>99</v>
      </c>
      <c r="B47">
        <f t="shared" ref="B47" si="32">B46*$B$3</f>
        <v>112000</v>
      </c>
      <c r="P47" t="s">
        <v>99</v>
      </c>
      <c r="Q47">
        <f t="shared" ref="Q47" si="33">Q46*$B$3</f>
        <v>28000</v>
      </c>
    </row>
    <row r="48" spans="1:18" x14ac:dyDescent="0.25">
      <c r="A48" t="s">
        <v>97</v>
      </c>
      <c r="B48">
        <f t="shared" ref="B48" si="34">B47*$B$4</f>
        <v>56000</v>
      </c>
      <c r="P48" t="s">
        <v>97</v>
      </c>
      <c r="Q48">
        <f t="shared" ref="Q48" si="35">Q47*$B$4</f>
        <v>14000</v>
      </c>
    </row>
    <row r="49" spans="1:17" x14ac:dyDescent="0.25">
      <c r="A49" t="s">
        <v>100</v>
      </c>
      <c r="B49">
        <f t="shared" ref="B49" si="36">B48*$B$5</f>
        <v>11200</v>
      </c>
      <c r="P49" t="s">
        <v>100</v>
      </c>
      <c r="Q49">
        <f t="shared" ref="Q49" si="37">Q48*$B$5</f>
        <v>2800</v>
      </c>
    </row>
    <row r="50" spans="1:17" x14ac:dyDescent="0.25">
      <c r="A50" t="s">
        <v>108</v>
      </c>
      <c r="B50">
        <f t="shared" ref="B50" si="38">B49*$B$6</f>
        <v>0</v>
      </c>
      <c r="P50" t="s">
        <v>108</v>
      </c>
      <c r="Q50">
        <f t="shared" ref="Q50" si="39">Q49*$B$6</f>
        <v>0</v>
      </c>
    </row>
  </sheetData>
  <mergeCells count="15">
    <mergeCell ref="F11:M19"/>
    <mergeCell ref="B35:C35"/>
    <mergeCell ref="B36:C36"/>
    <mergeCell ref="Q30:R30"/>
    <mergeCell ref="Q31:R31"/>
    <mergeCell ref="Q32:R32"/>
    <mergeCell ref="Q33:R33"/>
    <mergeCell ref="Q34:R34"/>
    <mergeCell ref="Q35:R35"/>
    <mergeCell ref="Q36:R36"/>
    <mergeCell ref="B30:C30"/>
    <mergeCell ref="B31:C31"/>
    <mergeCell ref="B32:C32"/>
    <mergeCell ref="B33:C33"/>
    <mergeCell ref="B34:C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Perceel 1 - koeriersdiensten</vt:lpstr>
      <vt:lpstr>Perceel 2 - transportdiensten</vt:lpstr>
      <vt:lpstr>Wens 2b - social return</vt:lpstr>
      <vt:lpstr>Oefenblad Gunnen op Waarde</vt:lpstr>
      <vt:lpstr>Blad2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Teun</dc:creator>
  <cp:lastModifiedBy>Teun T. Piëst</cp:lastModifiedBy>
  <dcterms:created xsi:type="dcterms:W3CDTF">2021-01-27T19:09:36Z</dcterms:created>
  <dcterms:modified xsi:type="dcterms:W3CDTF">2021-05-12T16:09:33Z</dcterms:modified>
</cp:coreProperties>
</file>