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ttendiz/Schoonmaak 2021/NvI/1e NvI/"/>
    </mc:Choice>
  </mc:AlternateContent>
  <xr:revisionPtr revIDLastSave="129" documentId="14_{5966BEC2-1B09-4314-8A23-4234BA41AA35}" xr6:coauthVersionLast="47" xr6:coauthVersionMax="47" xr10:uidLastSave="{C567B2BD-E428-4715-ACED-47707D0C600C}"/>
  <bookViews>
    <workbookView xWindow="-98" yWindow="-98" windowWidth="22695" windowHeight="14595" tabRatio="750" firstSheet="4" activeTab="12" xr2:uid="{00000000-000D-0000-FFFF-FFFF00000000}"/>
  </bookViews>
  <sheets>
    <sheet name="Opleverstaat dagelijks" sheetId="29" r:id="rId1"/>
    <sheet name="Werkprogramma periodiek" sheetId="30" r:id="rId2"/>
    <sheet name="Werkprogramma diepreinigen" sheetId="21" r:id="rId3"/>
    <sheet name="Tariefsopbouw" sheetId="31" r:id="rId4"/>
    <sheet name="Overnamegegevens" sheetId="28" r:id="rId5"/>
    <sheet name="Prestatiefactoren" sheetId="11" r:id="rId6"/>
    <sheet name="Ruimtestaat" sheetId="13" r:id="rId7"/>
    <sheet name="Glasbewassing" sheetId="22" r:id="rId8"/>
    <sheet name="Vloeronderhoud" sheetId="25" r:id="rId9"/>
    <sheet name="Extra werkzaamheden" sheetId="32" r:id="rId10"/>
    <sheet name="MJOP" sheetId="33" r:id="rId11"/>
    <sheet name="Regie en afroep" sheetId="24" r:id="rId12"/>
    <sheet name="Totalisatie" sheetId="19" r:id="rId13"/>
  </sheets>
  <externalReferences>
    <externalReference r:id="rId14"/>
    <externalReference r:id="rId15"/>
    <externalReference r:id="rId16"/>
  </externalReferences>
  <definedNames>
    <definedName name="_1F" localSheetId="0" hidden="1">[1]Psychiatrie!#REF!</definedName>
    <definedName name="_1F" localSheetId="3" hidden="1">[1]Psychiatrie!#REF!</definedName>
    <definedName name="_1F" localSheetId="8" hidden="1">[1]Psychiatrie!#REF!</definedName>
    <definedName name="_1F" localSheetId="1" hidden="1">[1]Psychiatrie!#REF!</definedName>
    <definedName name="_1F" hidden="1">[1]Psychiatrie!#REF!</definedName>
    <definedName name="_2_0_F" localSheetId="0" hidden="1">[1]Psychiatrie!#REF!</definedName>
    <definedName name="_2_0_F" localSheetId="8" hidden="1">[1]Psychiatrie!#REF!</definedName>
    <definedName name="_2_0_F" localSheetId="1" hidden="1">[1]Psychiatrie!#REF!</definedName>
    <definedName name="_2_0_F" hidden="1">[1]Psychiatrie!#REF!</definedName>
    <definedName name="_Dist_Bin" localSheetId="0" hidden="1">#REF!</definedName>
    <definedName name="_Dist_Bin" localSheetId="3" hidden="1">#REF!</definedName>
    <definedName name="_Dist_Bin" localSheetId="8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hidden="1">#REF!</definedName>
    <definedName name="_Fill" localSheetId="8" hidden="1">'[2]#REF'!#REF!</definedName>
    <definedName name="_Fill" hidden="1">'[2]#REF'!#REF!</definedName>
    <definedName name="_xlnm._FilterDatabase" localSheetId="10" hidden="1">MJOP!$A$46:$I$373</definedName>
    <definedName name="_xlnm._FilterDatabase" localSheetId="4" hidden="1">Overnamegegevens!$A$1:$N$1</definedName>
    <definedName name="_xlnm._FilterDatabase" localSheetId="12" hidden="1">Totalisatie!#REF!</definedName>
    <definedName name="_Key1" localSheetId="0" hidden="1">'[2]#REF'!#REF!</definedName>
    <definedName name="_Key1" localSheetId="8" hidden="1">'[2]#REF'!#REF!</definedName>
    <definedName name="_Key1" localSheetId="1" hidden="1">'[2]#REF'!#REF!</definedName>
    <definedName name="_Key1" hidden="1">'[2]#REF'!#REF!</definedName>
    <definedName name="_Order1" hidden="1">255</definedName>
    <definedName name="_Sort" localSheetId="0" hidden="1">#REF!</definedName>
    <definedName name="_Sort" localSheetId="3" hidden="1">#REF!</definedName>
    <definedName name="_Sort" localSheetId="8" hidden="1">#REF!</definedName>
    <definedName name="_Sort" localSheetId="1" hidden="1">#REF!</definedName>
    <definedName name="_Sort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AccessDatabase" hidden="1">"C:\data\excel\BASISWP.mdb"</definedName>
    <definedName name="_xlnm.Print_Area" localSheetId="7">Glasbewassing!$A$1:$I$105</definedName>
    <definedName name="_xlnm.Print_Area" localSheetId="5">Prestatiefactoren!$A$1:$F$68</definedName>
    <definedName name="_xlnm.Print_Area" localSheetId="11">'Regie en afroep'!$A$1:$I$37</definedName>
    <definedName name="_xlnm.Print_Area" localSheetId="6">'Ruimtestaat'!$A$1:$AH$1261</definedName>
    <definedName name="_xlnm.Print_Area" localSheetId="3">Tariefsopbouw!$A$1:$Q$41</definedName>
    <definedName name="_xlnm.Print_Area" localSheetId="12">Totalisatie!$A$1:$H$55</definedName>
    <definedName name="_xlnm.Print_Area" localSheetId="8">Vloeronderhoud!$A$1:$I$138</definedName>
    <definedName name="_xlnm.Print_Area" localSheetId="2">'Werkprogramma diepreinigen'!$A$1:$A$16</definedName>
    <definedName name="_xlnm.Print_Titles" localSheetId="6">'Ruimtestaat'!$2:$4</definedName>
    <definedName name="Glas" hidden="1">[3]Psychiatrie!#REF!</definedName>
    <definedName name="Invulglas1">Glasbewassing!$A$9:$I$20</definedName>
    <definedName name="Invulvloer1">Vloeronderhoud!$A$9:$I$16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2" l="1"/>
  <c r="G20" i="22" s="1"/>
  <c r="E20" i="22"/>
  <c r="E19" i="22"/>
  <c r="F19" i="22" s="1"/>
  <c r="G19" i="22" s="1"/>
  <c r="H20" i="22" s="1"/>
  <c r="I20" i="22" s="1"/>
  <c r="E18" i="22"/>
  <c r="F18" i="22" s="1"/>
  <c r="G18" i="22" s="1"/>
  <c r="H19" i="22" s="1"/>
  <c r="I19" i="22" s="1"/>
  <c r="E17" i="22"/>
  <c r="F17" i="22" s="1"/>
  <c r="G17" i="22" s="1"/>
  <c r="H18" i="22" s="1"/>
  <c r="I18" i="22" s="1"/>
  <c r="E16" i="22"/>
  <c r="F16" i="22" s="1"/>
  <c r="G16" i="22" s="1"/>
  <c r="H17" i="22" s="1"/>
  <c r="I17" i="22" s="1"/>
  <c r="E15" i="22"/>
  <c r="F15" i="22" s="1"/>
  <c r="G15" i="22" s="1"/>
  <c r="H16" i="22" s="1"/>
  <c r="I16" i="22" s="1"/>
  <c r="F14" i="22"/>
  <c r="G14" i="22" s="1"/>
  <c r="H15" i="22" s="1"/>
  <c r="I15" i="22" s="1"/>
  <c r="E14" i="22"/>
  <c r="E13" i="22"/>
  <c r="F13" i="22" s="1"/>
  <c r="G13" i="22" s="1"/>
  <c r="H14" i="22" s="1"/>
  <c r="I14" i="22" s="1"/>
  <c r="E12" i="22"/>
  <c r="F12" i="22" s="1"/>
  <c r="G12" i="22" s="1"/>
  <c r="H13" i="22" s="1"/>
  <c r="I13" i="22" s="1"/>
  <c r="E11" i="22"/>
  <c r="F11" i="22" s="1"/>
  <c r="G11" i="22" s="1"/>
  <c r="H12" i="22" s="1"/>
  <c r="I12" i="22" s="1"/>
  <c r="H10" i="22"/>
  <c r="I10" i="22" s="1"/>
  <c r="E10" i="22"/>
  <c r="F10" i="22" s="1"/>
  <c r="G10" i="22" s="1"/>
  <c r="H11" i="22" s="1"/>
  <c r="I11" i="22" s="1"/>
  <c r="I9" i="22"/>
  <c r="H9" i="22"/>
  <c r="G9" i="22"/>
  <c r="F9" i="22"/>
  <c r="E9" i="22"/>
  <c r="B370" i="33" l="1"/>
  <c r="K370" i="33"/>
  <c r="B366" i="33"/>
  <c r="K366" i="33"/>
  <c r="B359" i="33"/>
  <c r="K359" i="33"/>
  <c r="B352" i="33"/>
  <c r="K352" i="33"/>
  <c r="B346" i="33"/>
  <c r="K346" i="33"/>
  <c r="B339" i="33"/>
  <c r="K339" i="33"/>
  <c r="B325" i="33"/>
  <c r="K325" i="33"/>
  <c r="B317" i="33"/>
  <c r="K317" i="33"/>
  <c r="B313" i="33"/>
  <c r="K313" i="33"/>
  <c r="B301" i="33"/>
  <c r="K301" i="33"/>
  <c r="B294" i="33"/>
  <c r="K294" i="33"/>
  <c r="B291" i="33"/>
  <c r="K291" i="33"/>
  <c r="B276" i="33"/>
  <c r="K276" i="33"/>
  <c r="B273" i="33"/>
  <c r="K273" i="33"/>
  <c r="B271" i="33"/>
  <c r="K271" i="33"/>
  <c r="B254" i="33"/>
  <c r="K254" i="33"/>
  <c r="B242" i="33"/>
  <c r="K242" i="33"/>
  <c r="B229" i="33"/>
  <c r="K229" i="33"/>
  <c r="B230" i="33"/>
  <c r="K230" i="33"/>
  <c r="B221" i="33"/>
  <c r="K221" i="33"/>
  <c r="B219" i="33"/>
  <c r="K219" i="33"/>
  <c r="B207" i="33"/>
  <c r="K207" i="33"/>
  <c r="B208" i="33"/>
  <c r="K208" i="33"/>
  <c r="B190" i="33"/>
  <c r="K190" i="33"/>
  <c r="B185" i="33"/>
  <c r="K185" i="33"/>
  <c r="B180" i="33"/>
  <c r="K180" i="33"/>
  <c r="B178" i="33"/>
  <c r="K178" i="33"/>
  <c r="B174" i="33"/>
  <c r="K174" i="33"/>
  <c r="B171" i="33"/>
  <c r="K171" i="33"/>
  <c r="B165" i="33"/>
  <c r="K165" i="33"/>
  <c r="B162" i="33"/>
  <c r="K162" i="33"/>
  <c r="B163" i="33"/>
  <c r="K163" i="33"/>
  <c r="B153" i="33"/>
  <c r="K153" i="33"/>
  <c r="B154" i="33"/>
  <c r="K154" i="33"/>
  <c r="B145" i="33"/>
  <c r="K145" i="33"/>
  <c r="B143" i="33"/>
  <c r="K143" i="33"/>
  <c r="B141" i="33"/>
  <c r="K141" i="33"/>
  <c r="B139" i="33"/>
  <c r="K139" i="33"/>
  <c r="B137" i="33"/>
  <c r="K137" i="33"/>
  <c r="B135" i="33"/>
  <c r="K135" i="33"/>
  <c r="B131" i="33"/>
  <c r="K131" i="33"/>
  <c r="B128" i="33"/>
  <c r="K128" i="33"/>
  <c r="B129" i="33"/>
  <c r="K129" i="33"/>
  <c r="B125" i="33"/>
  <c r="K125" i="33"/>
  <c r="B121" i="33"/>
  <c r="K121" i="33"/>
  <c r="B119" i="33"/>
  <c r="K119" i="33"/>
  <c r="B113" i="33"/>
  <c r="K113" i="33"/>
  <c r="B111" i="33"/>
  <c r="K111" i="33"/>
  <c r="B109" i="33"/>
  <c r="K109" i="33"/>
  <c r="B107" i="33"/>
  <c r="K107" i="33"/>
  <c r="B105" i="33"/>
  <c r="K105" i="33"/>
  <c r="B102" i="33"/>
  <c r="K102" i="33"/>
  <c r="B103" i="33"/>
  <c r="K103" i="33"/>
  <c r="B94" i="33"/>
  <c r="K94" i="33"/>
  <c r="B92" i="33"/>
  <c r="K92" i="33"/>
  <c r="B90" i="33"/>
  <c r="K90" i="33"/>
  <c r="B87" i="33"/>
  <c r="K87" i="33"/>
  <c r="B85" i="33"/>
  <c r="K85" i="33"/>
  <c r="B80" i="33"/>
  <c r="K80" i="33"/>
  <c r="B58" i="33"/>
  <c r="K58" i="33"/>
  <c r="B59" i="33"/>
  <c r="K59" i="33"/>
  <c r="G64" i="32"/>
  <c r="D64" i="32"/>
  <c r="B64" i="32"/>
  <c r="G63" i="32"/>
  <c r="D63" i="32"/>
  <c r="B63" i="32"/>
  <c r="G62" i="32"/>
  <c r="D62" i="32"/>
  <c r="B62" i="32"/>
  <c r="G61" i="32"/>
  <c r="D61" i="32"/>
  <c r="B61" i="32"/>
  <c r="G60" i="32"/>
  <c r="D60" i="32"/>
  <c r="B60" i="32"/>
  <c r="G59" i="32"/>
  <c r="D59" i="32"/>
  <c r="B59" i="32"/>
  <c r="G58" i="32"/>
  <c r="D58" i="32"/>
  <c r="B58" i="32"/>
  <c r="G57" i="32"/>
  <c r="D57" i="32"/>
  <c r="B57" i="32"/>
  <c r="G56" i="32"/>
  <c r="D56" i="32"/>
  <c r="B56" i="32"/>
  <c r="G55" i="32"/>
  <c r="D55" i="32"/>
  <c r="B55" i="32"/>
  <c r="G54" i="32"/>
  <c r="D54" i="32"/>
  <c r="B54" i="32"/>
  <c r="G53" i="32"/>
  <c r="D53" i="32"/>
  <c r="B53" i="32"/>
  <c r="G52" i="32"/>
  <c r="D52" i="32"/>
  <c r="B52" i="32"/>
  <c r="G51" i="32"/>
  <c r="D51" i="32"/>
  <c r="B51" i="32"/>
  <c r="G50" i="32"/>
  <c r="D50" i="32"/>
  <c r="B50" i="32"/>
  <c r="G49" i="32"/>
  <c r="D49" i="32"/>
  <c r="B49" i="32"/>
  <c r="G48" i="32"/>
  <c r="D48" i="32"/>
  <c r="B48" i="32"/>
  <c r="G47" i="32"/>
  <c r="D47" i="32"/>
  <c r="B47" i="32"/>
  <c r="G46" i="32"/>
  <c r="D46" i="32"/>
  <c r="B46" i="32"/>
  <c r="G45" i="32"/>
  <c r="D45" i="32"/>
  <c r="B45" i="32"/>
  <c r="G44" i="32"/>
  <c r="D44" i="32"/>
  <c r="B44" i="32"/>
  <c r="G43" i="32"/>
  <c r="D43" i="32"/>
  <c r="B43" i="32"/>
  <c r="G42" i="32"/>
  <c r="D42" i="32"/>
  <c r="B42" i="32"/>
  <c r="G41" i="32"/>
  <c r="D41" i="32"/>
  <c r="B41" i="32"/>
  <c r="G40" i="32"/>
  <c r="D40" i="32"/>
  <c r="B40" i="32"/>
  <c r="G39" i="32"/>
  <c r="D39" i="32"/>
  <c r="B39" i="32"/>
  <c r="G38" i="32"/>
  <c r="D38" i="32"/>
  <c r="B38" i="32"/>
  <c r="G37" i="32"/>
  <c r="D37" i="32"/>
  <c r="B37" i="32"/>
  <c r="G36" i="32"/>
  <c r="D36" i="32"/>
  <c r="B36" i="32"/>
  <c r="G35" i="32"/>
  <c r="D35" i="32"/>
  <c r="B35" i="32"/>
  <c r="G34" i="32"/>
  <c r="D34" i="32"/>
  <c r="B34" i="32"/>
  <c r="G33" i="32"/>
  <c r="D33" i="32"/>
  <c r="B33" i="32"/>
  <c r="G32" i="32"/>
  <c r="D32" i="32"/>
  <c r="B32" i="32"/>
  <c r="G31" i="32"/>
  <c r="D31" i="32"/>
  <c r="B31" i="32"/>
  <c r="G30" i="32"/>
  <c r="D30" i="32"/>
  <c r="B30" i="32"/>
  <c r="G29" i="32"/>
  <c r="D29" i="32"/>
  <c r="B29" i="32"/>
  <c r="G28" i="32"/>
  <c r="D28" i="32"/>
  <c r="B28" i="32"/>
  <c r="G27" i="32"/>
  <c r="D27" i="32"/>
  <c r="B27" i="32"/>
  <c r="G26" i="32"/>
  <c r="D26" i="32"/>
  <c r="B26" i="32"/>
  <c r="G25" i="32"/>
  <c r="D25" i="32"/>
  <c r="B25" i="32"/>
  <c r="G24" i="32"/>
  <c r="D24" i="32"/>
  <c r="B24" i="32"/>
  <c r="G23" i="32"/>
  <c r="D23" i="32"/>
  <c r="B23" i="32"/>
  <c r="G22" i="32"/>
  <c r="D22" i="32"/>
  <c r="B22" i="32"/>
  <c r="G21" i="32"/>
  <c r="D21" i="32"/>
  <c r="B21" i="32"/>
  <c r="G20" i="32"/>
  <c r="D20" i="32"/>
  <c r="B20" i="32"/>
  <c r="G19" i="32"/>
  <c r="D19" i="32"/>
  <c r="B19" i="32"/>
  <c r="G18" i="32"/>
  <c r="D18" i="32"/>
  <c r="B18" i="32"/>
  <c r="G17" i="32"/>
  <c r="D17" i="32"/>
  <c r="B17" i="32"/>
  <c r="E45" i="19"/>
  <c r="D45" i="19"/>
  <c r="C45" i="19"/>
  <c r="B45" i="19"/>
  <c r="F133" i="25"/>
  <c r="H133" i="25" s="1"/>
  <c r="D133" i="25"/>
  <c r="B133" i="25"/>
  <c r="F126" i="25"/>
  <c r="H126" i="25" s="1"/>
  <c r="D126" i="25"/>
  <c r="B126" i="25"/>
  <c r="F119" i="25"/>
  <c r="H119" i="25" s="1"/>
  <c r="D119" i="25"/>
  <c r="B119" i="25"/>
  <c r="F112" i="25"/>
  <c r="H112" i="25" s="1"/>
  <c r="D112" i="25"/>
  <c r="B112" i="25"/>
  <c r="F105" i="25"/>
  <c r="H105" i="25" s="1"/>
  <c r="D105" i="25"/>
  <c r="B105" i="25"/>
  <c r="F98" i="25"/>
  <c r="H98" i="25" s="1"/>
  <c r="D98" i="25"/>
  <c r="B98" i="25"/>
  <c r="F91" i="25"/>
  <c r="H91" i="25" s="1"/>
  <c r="D91" i="25"/>
  <c r="B91" i="25"/>
  <c r="F84" i="25"/>
  <c r="H84" i="25" s="1"/>
  <c r="D84" i="25"/>
  <c r="B84" i="25"/>
  <c r="F77" i="25"/>
  <c r="H77" i="25" s="1"/>
  <c r="D77" i="25"/>
  <c r="B77" i="25"/>
  <c r="F70" i="25"/>
  <c r="H70" i="25" s="1"/>
  <c r="D70" i="25"/>
  <c r="B70" i="25"/>
  <c r="F63" i="25"/>
  <c r="H63" i="25" s="1"/>
  <c r="D63" i="25"/>
  <c r="B63" i="25"/>
  <c r="F56" i="25"/>
  <c r="H56" i="25" s="1"/>
  <c r="D56" i="25"/>
  <c r="B56" i="25"/>
  <c r="F49" i="25"/>
  <c r="H49" i="25" s="1"/>
  <c r="D49" i="25"/>
  <c r="B49" i="25"/>
  <c r="F42" i="25"/>
  <c r="H42" i="25" s="1"/>
  <c r="D42" i="25"/>
  <c r="B42" i="25"/>
  <c r="F35" i="25"/>
  <c r="H35" i="25" s="1"/>
  <c r="D35" i="25"/>
  <c r="B35" i="25"/>
  <c r="F28" i="25"/>
  <c r="H28" i="25" s="1"/>
  <c r="D28" i="25"/>
  <c r="B28" i="25"/>
  <c r="B29" i="25"/>
  <c r="D29" i="25"/>
  <c r="F29" i="25"/>
  <c r="H29" i="25" s="1"/>
  <c r="F21" i="25"/>
  <c r="H21" i="25" s="1"/>
  <c r="D21" i="25"/>
  <c r="B21" i="25"/>
  <c r="K47" i="33"/>
  <c r="K48" i="33"/>
  <c r="K49" i="33"/>
  <c r="K50" i="33"/>
  <c r="K51" i="33"/>
  <c r="K52" i="33"/>
  <c r="K53" i="33"/>
  <c r="K54" i="33"/>
  <c r="K55" i="33"/>
  <c r="K56" i="33"/>
  <c r="K57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1" i="33"/>
  <c r="K82" i="33"/>
  <c r="K83" i="33"/>
  <c r="K84" i="33"/>
  <c r="K86" i="33"/>
  <c r="K88" i="33"/>
  <c r="K89" i="33"/>
  <c r="K91" i="33"/>
  <c r="K93" i="33"/>
  <c r="K95" i="33"/>
  <c r="K96" i="33"/>
  <c r="K97" i="33"/>
  <c r="K98" i="33"/>
  <c r="K99" i="33"/>
  <c r="K100" i="33"/>
  <c r="K101" i="33"/>
  <c r="K104" i="33"/>
  <c r="K106" i="33"/>
  <c r="K108" i="33"/>
  <c r="K110" i="33"/>
  <c r="K112" i="33"/>
  <c r="K114" i="33"/>
  <c r="K115" i="33"/>
  <c r="K116" i="33"/>
  <c r="K117" i="33"/>
  <c r="K118" i="33"/>
  <c r="K120" i="33"/>
  <c r="K122" i="33"/>
  <c r="K123" i="33"/>
  <c r="K124" i="33"/>
  <c r="K126" i="33"/>
  <c r="K127" i="33"/>
  <c r="K130" i="33"/>
  <c r="K132" i="33"/>
  <c r="K133" i="33"/>
  <c r="K134" i="33"/>
  <c r="K136" i="33"/>
  <c r="K138" i="33"/>
  <c r="K140" i="33"/>
  <c r="K142" i="33"/>
  <c r="K144" i="33"/>
  <c r="K146" i="33"/>
  <c r="K147" i="33"/>
  <c r="K148" i="33"/>
  <c r="K149" i="33"/>
  <c r="K150" i="33"/>
  <c r="K151" i="33"/>
  <c r="K152" i="33"/>
  <c r="K155" i="33"/>
  <c r="K156" i="33"/>
  <c r="K157" i="33"/>
  <c r="K158" i="33"/>
  <c r="K159" i="33"/>
  <c r="K160" i="33"/>
  <c r="K161" i="33"/>
  <c r="K164" i="33"/>
  <c r="K166" i="33"/>
  <c r="K167" i="33"/>
  <c r="K168" i="33"/>
  <c r="K169" i="33"/>
  <c r="K170" i="33"/>
  <c r="K172" i="33"/>
  <c r="K173" i="33"/>
  <c r="K175" i="33"/>
  <c r="K176" i="33"/>
  <c r="K177" i="33"/>
  <c r="K179" i="33"/>
  <c r="K181" i="33"/>
  <c r="K182" i="33"/>
  <c r="K183" i="33"/>
  <c r="K184" i="33"/>
  <c r="K186" i="33"/>
  <c r="K187" i="33"/>
  <c r="K188" i="33"/>
  <c r="K189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9" i="33"/>
  <c r="K210" i="33"/>
  <c r="K211" i="33"/>
  <c r="K212" i="33"/>
  <c r="K213" i="33"/>
  <c r="K214" i="33"/>
  <c r="K215" i="33"/>
  <c r="K216" i="33"/>
  <c r="K217" i="33"/>
  <c r="K218" i="33"/>
  <c r="K220" i="33"/>
  <c r="K222" i="33"/>
  <c r="K223" i="33"/>
  <c r="K224" i="33"/>
  <c r="K225" i="33"/>
  <c r="K226" i="33"/>
  <c r="K227" i="33"/>
  <c r="K228" i="33"/>
  <c r="K231" i="33"/>
  <c r="K232" i="33"/>
  <c r="K233" i="33"/>
  <c r="K234" i="33"/>
  <c r="K235" i="33"/>
  <c r="K236" i="33"/>
  <c r="K237" i="33"/>
  <c r="K238" i="33"/>
  <c r="K239" i="33"/>
  <c r="K240" i="33"/>
  <c r="K241" i="33"/>
  <c r="K243" i="33"/>
  <c r="K244" i="33"/>
  <c r="K245" i="33"/>
  <c r="K246" i="33"/>
  <c r="K247" i="33"/>
  <c r="K248" i="33"/>
  <c r="K249" i="33"/>
  <c r="K250" i="33"/>
  <c r="K251" i="33"/>
  <c r="K252" i="33"/>
  <c r="K253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2" i="33"/>
  <c r="K274" i="33"/>
  <c r="K275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2" i="33"/>
  <c r="K293" i="33"/>
  <c r="K295" i="33"/>
  <c r="K296" i="33"/>
  <c r="K297" i="33"/>
  <c r="K298" i="33"/>
  <c r="K299" i="33"/>
  <c r="K300" i="33"/>
  <c r="K302" i="33"/>
  <c r="K303" i="33"/>
  <c r="K304" i="33"/>
  <c r="K305" i="33"/>
  <c r="K306" i="33"/>
  <c r="K307" i="33"/>
  <c r="K308" i="33"/>
  <c r="K309" i="33"/>
  <c r="K310" i="33"/>
  <c r="K311" i="33"/>
  <c r="K312" i="33"/>
  <c r="K314" i="33"/>
  <c r="K315" i="33"/>
  <c r="K316" i="33"/>
  <c r="K318" i="33"/>
  <c r="K319" i="33"/>
  <c r="K320" i="33"/>
  <c r="K321" i="33"/>
  <c r="K322" i="33"/>
  <c r="K323" i="33"/>
  <c r="K324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40" i="33"/>
  <c r="K341" i="33"/>
  <c r="K342" i="33"/>
  <c r="K343" i="33"/>
  <c r="K344" i="33"/>
  <c r="K345" i="33"/>
  <c r="K347" i="33"/>
  <c r="K348" i="33"/>
  <c r="K349" i="33"/>
  <c r="K350" i="33"/>
  <c r="K351" i="33"/>
  <c r="K353" i="33"/>
  <c r="K354" i="33"/>
  <c r="K355" i="33"/>
  <c r="K356" i="33"/>
  <c r="K357" i="33"/>
  <c r="K358" i="33"/>
  <c r="K360" i="33"/>
  <c r="K361" i="33"/>
  <c r="K362" i="33"/>
  <c r="K363" i="33"/>
  <c r="K364" i="33"/>
  <c r="K365" i="33"/>
  <c r="K367" i="33"/>
  <c r="K368" i="33"/>
  <c r="K369" i="33"/>
  <c r="K371" i="33"/>
  <c r="K372" i="33"/>
  <c r="K373" i="33"/>
  <c r="B373" i="33"/>
  <c r="B372" i="33"/>
  <c r="B371" i="33"/>
  <c r="B369" i="33"/>
  <c r="B368" i="33"/>
  <c r="B367" i="33"/>
  <c r="B365" i="33"/>
  <c r="B364" i="33"/>
  <c r="B363" i="33"/>
  <c r="B362" i="33"/>
  <c r="B361" i="33"/>
  <c r="B360" i="33"/>
  <c r="B358" i="33"/>
  <c r="B357" i="33"/>
  <c r="B356" i="33"/>
  <c r="B355" i="33"/>
  <c r="B354" i="33"/>
  <c r="B353" i="33"/>
  <c r="B351" i="33"/>
  <c r="B350" i="33"/>
  <c r="B349" i="33"/>
  <c r="B348" i="33"/>
  <c r="B347" i="33"/>
  <c r="B345" i="33"/>
  <c r="B344" i="33"/>
  <c r="B343" i="33"/>
  <c r="B342" i="33"/>
  <c r="B341" i="33"/>
  <c r="B340" i="33"/>
  <c r="B338" i="33"/>
  <c r="B337" i="33"/>
  <c r="B336" i="33"/>
  <c r="B335" i="33"/>
  <c r="B334" i="33"/>
  <c r="B333" i="33"/>
  <c r="B332" i="33"/>
  <c r="B331" i="33"/>
  <c r="B330" i="33"/>
  <c r="B329" i="33"/>
  <c r="B328" i="33"/>
  <c r="B327" i="33"/>
  <c r="B326" i="33"/>
  <c r="B324" i="33"/>
  <c r="B323" i="33"/>
  <c r="B322" i="33"/>
  <c r="B321" i="33"/>
  <c r="B320" i="33"/>
  <c r="B319" i="33"/>
  <c r="B318" i="33"/>
  <c r="B316" i="33"/>
  <c r="B315" i="33"/>
  <c r="B314" i="33"/>
  <c r="B312" i="33"/>
  <c r="B311" i="33"/>
  <c r="B310" i="33"/>
  <c r="B309" i="33"/>
  <c r="B308" i="33"/>
  <c r="B307" i="33"/>
  <c r="B306" i="33"/>
  <c r="B305" i="33"/>
  <c r="B304" i="33"/>
  <c r="B303" i="33"/>
  <c r="B302" i="33"/>
  <c r="B300" i="33"/>
  <c r="B299" i="33"/>
  <c r="B298" i="33"/>
  <c r="B297" i="33"/>
  <c r="B296" i="33"/>
  <c r="B295" i="33"/>
  <c r="B293" i="33"/>
  <c r="B292" i="33"/>
  <c r="B290" i="33"/>
  <c r="B289" i="33"/>
  <c r="B288" i="33"/>
  <c r="B287" i="33"/>
  <c r="B286" i="33"/>
  <c r="B285" i="33"/>
  <c r="B284" i="33"/>
  <c r="B283" i="33"/>
  <c r="B282" i="33"/>
  <c r="B281" i="33"/>
  <c r="B280" i="33"/>
  <c r="B279" i="33"/>
  <c r="B278" i="33"/>
  <c r="B277" i="33"/>
  <c r="B275" i="33"/>
  <c r="B274" i="33"/>
  <c r="B272" i="33"/>
  <c r="B270" i="33"/>
  <c r="B269" i="33"/>
  <c r="B268" i="33"/>
  <c r="B267" i="33"/>
  <c r="B266" i="33"/>
  <c r="B265" i="33"/>
  <c r="B264" i="33"/>
  <c r="B263" i="33"/>
  <c r="B262" i="33"/>
  <c r="B261" i="33"/>
  <c r="B260" i="33"/>
  <c r="B259" i="33"/>
  <c r="B258" i="33"/>
  <c r="B257" i="33"/>
  <c r="B256" i="33"/>
  <c r="B255" i="33"/>
  <c r="B253" i="33"/>
  <c r="B252" i="33"/>
  <c r="B251" i="33"/>
  <c r="B250" i="33"/>
  <c r="B249" i="33"/>
  <c r="B248" i="33"/>
  <c r="B247" i="33"/>
  <c r="B246" i="33"/>
  <c r="B245" i="33"/>
  <c r="B244" i="33"/>
  <c r="B243" i="33"/>
  <c r="B241" i="33"/>
  <c r="B240" i="33"/>
  <c r="B239" i="33"/>
  <c r="B238" i="33"/>
  <c r="B237" i="33"/>
  <c r="B236" i="33"/>
  <c r="B235" i="33"/>
  <c r="B234" i="33"/>
  <c r="B233" i="33"/>
  <c r="B232" i="33"/>
  <c r="B231" i="33"/>
  <c r="B228" i="33"/>
  <c r="B227" i="33"/>
  <c r="B226" i="33"/>
  <c r="B225" i="33"/>
  <c r="B224" i="33"/>
  <c r="B223" i="33"/>
  <c r="B222" i="33"/>
  <c r="B220" i="33"/>
  <c r="B218" i="33"/>
  <c r="B217" i="33"/>
  <c r="B216" i="33"/>
  <c r="B215" i="33"/>
  <c r="B214" i="33"/>
  <c r="B213" i="33"/>
  <c r="B212" i="33"/>
  <c r="B211" i="33"/>
  <c r="B210" i="33"/>
  <c r="B209" i="33"/>
  <c r="B206" i="33"/>
  <c r="B205" i="33"/>
  <c r="B204" i="33"/>
  <c r="B203" i="33"/>
  <c r="B202" i="33"/>
  <c r="B201" i="33"/>
  <c r="B200" i="33"/>
  <c r="B199" i="33"/>
  <c r="B198" i="33"/>
  <c r="B197" i="33"/>
  <c r="B196" i="33"/>
  <c r="B195" i="33"/>
  <c r="B194" i="33"/>
  <c r="B193" i="33"/>
  <c r="B192" i="33"/>
  <c r="B191" i="33"/>
  <c r="B189" i="33"/>
  <c r="B188" i="33"/>
  <c r="B187" i="33"/>
  <c r="B186" i="33"/>
  <c r="B184" i="33"/>
  <c r="B183" i="33"/>
  <c r="B182" i="33"/>
  <c r="B181" i="33"/>
  <c r="B179" i="33"/>
  <c r="B177" i="33"/>
  <c r="B176" i="33"/>
  <c r="B175" i="33"/>
  <c r="B173" i="33"/>
  <c r="B172" i="33"/>
  <c r="B170" i="33"/>
  <c r="B169" i="33"/>
  <c r="B168" i="33"/>
  <c r="B167" i="33"/>
  <c r="B166" i="33"/>
  <c r="B164" i="33"/>
  <c r="B161" i="33"/>
  <c r="B160" i="33"/>
  <c r="B159" i="33"/>
  <c r="B158" i="33"/>
  <c r="B157" i="33"/>
  <c r="B156" i="33"/>
  <c r="B155" i="33"/>
  <c r="B152" i="33"/>
  <c r="B151" i="33"/>
  <c r="B150" i="33"/>
  <c r="B149" i="33"/>
  <c r="B148" i="33"/>
  <c r="B147" i="33"/>
  <c r="B146" i="33"/>
  <c r="B144" i="33"/>
  <c r="B142" i="33"/>
  <c r="B140" i="33"/>
  <c r="B138" i="33"/>
  <c r="B136" i="33"/>
  <c r="B134" i="33"/>
  <c r="B133" i="33"/>
  <c r="B132" i="33"/>
  <c r="B130" i="33"/>
  <c r="B127" i="33"/>
  <c r="B126" i="33"/>
  <c r="B124" i="33"/>
  <c r="B123" i="33"/>
  <c r="B122" i="33"/>
  <c r="B120" i="33"/>
  <c r="B118" i="33"/>
  <c r="B117" i="33"/>
  <c r="B116" i="33"/>
  <c r="B115" i="33"/>
  <c r="B114" i="33"/>
  <c r="B112" i="33"/>
  <c r="B110" i="33"/>
  <c r="B108" i="33"/>
  <c r="B106" i="33"/>
  <c r="B104" i="33"/>
  <c r="B101" i="33"/>
  <c r="B100" i="33"/>
  <c r="B99" i="33"/>
  <c r="B98" i="33"/>
  <c r="B97" i="33"/>
  <c r="B96" i="33"/>
  <c r="B95" i="33"/>
  <c r="B93" i="33"/>
  <c r="B91" i="33"/>
  <c r="B89" i="33"/>
  <c r="B88" i="33"/>
  <c r="B86" i="33"/>
  <c r="B84" i="33"/>
  <c r="B83" i="33"/>
  <c r="B82" i="33"/>
  <c r="B81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7" i="33"/>
  <c r="B56" i="33"/>
  <c r="B55" i="33"/>
  <c r="B54" i="33"/>
  <c r="B53" i="33"/>
  <c r="B52" i="33"/>
  <c r="B51" i="33"/>
  <c r="B50" i="33"/>
  <c r="B49" i="33"/>
  <c r="B48" i="33"/>
  <c r="B47" i="33"/>
  <c r="E43" i="33"/>
  <c r="F43" i="33" s="1"/>
  <c r="G43" i="33" s="1"/>
  <c r="H43" i="33" s="1"/>
  <c r="I43" i="33" s="1"/>
  <c r="E42" i="33"/>
  <c r="F42" i="33" s="1"/>
  <c r="G42" i="33" s="1"/>
  <c r="H42" i="33" s="1"/>
  <c r="I42" i="33" s="1"/>
  <c r="E41" i="33"/>
  <c r="F41" i="33" s="1"/>
  <c r="G41" i="33" s="1"/>
  <c r="H41" i="33" s="1"/>
  <c r="I41" i="33" s="1"/>
  <c r="E40" i="33"/>
  <c r="F40" i="33" s="1"/>
  <c r="G40" i="33" s="1"/>
  <c r="H40" i="33" s="1"/>
  <c r="I40" i="33" s="1"/>
  <c r="E39" i="33"/>
  <c r="F39" i="33" s="1"/>
  <c r="G39" i="33" s="1"/>
  <c r="H39" i="33" s="1"/>
  <c r="I39" i="33" s="1"/>
  <c r="E38" i="33"/>
  <c r="F38" i="33" s="1"/>
  <c r="G38" i="33" s="1"/>
  <c r="H38" i="33" s="1"/>
  <c r="I38" i="33" s="1"/>
  <c r="E37" i="33"/>
  <c r="F37" i="33" s="1"/>
  <c r="G37" i="33" s="1"/>
  <c r="H37" i="33" s="1"/>
  <c r="I37" i="33" s="1"/>
  <c r="E36" i="33"/>
  <c r="F36" i="33" s="1"/>
  <c r="G36" i="33" s="1"/>
  <c r="H36" i="33" s="1"/>
  <c r="I36" i="33" s="1"/>
  <c r="E35" i="33"/>
  <c r="F35" i="33" s="1"/>
  <c r="G35" i="33" s="1"/>
  <c r="H35" i="33" s="1"/>
  <c r="I35" i="33" s="1"/>
  <c r="E34" i="33"/>
  <c r="F34" i="33" s="1"/>
  <c r="G34" i="33" s="1"/>
  <c r="H34" i="33" s="1"/>
  <c r="I34" i="33" s="1"/>
  <c r="E33" i="33"/>
  <c r="F33" i="33" s="1"/>
  <c r="G33" i="33" s="1"/>
  <c r="H33" i="33" s="1"/>
  <c r="I33" i="33" s="1"/>
  <c r="E32" i="33"/>
  <c r="F32" i="33" s="1"/>
  <c r="G32" i="33" s="1"/>
  <c r="H32" i="33" s="1"/>
  <c r="I32" i="33" s="1"/>
  <c r="E31" i="33"/>
  <c r="F31" i="33" s="1"/>
  <c r="G31" i="33" s="1"/>
  <c r="H31" i="33" s="1"/>
  <c r="I31" i="33" s="1"/>
  <c r="E30" i="33"/>
  <c r="F30" i="33" s="1"/>
  <c r="G30" i="33" s="1"/>
  <c r="H30" i="33" s="1"/>
  <c r="I30" i="33" s="1"/>
  <c r="E29" i="33"/>
  <c r="F29" i="33" s="1"/>
  <c r="G29" i="33" s="1"/>
  <c r="H29" i="33" s="1"/>
  <c r="I29" i="33" s="1"/>
  <c r="E28" i="33"/>
  <c r="F28" i="33" s="1"/>
  <c r="G28" i="33" s="1"/>
  <c r="H28" i="33" s="1"/>
  <c r="I28" i="33" s="1"/>
  <c r="E27" i="33"/>
  <c r="F27" i="33" s="1"/>
  <c r="G27" i="33" s="1"/>
  <c r="H27" i="33" s="1"/>
  <c r="I27" i="33" s="1"/>
  <c r="E26" i="33"/>
  <c r="F26" i="33" s="1"/>
  <c r="G26" i="33" s="1"/>
  <c r="H26" i="33" s="1"/>
  <c r="I26" i="33" s="1"/>
  <c r="E25" i="33"/>
  <c r="F25" i="33" s="1"/>
  <c r="G25" i="33" s="1"/>
  <c r="H25" i="33" s="1"/>
  <c r="I25" i="33" s="1"/>
  <c r="E24" i="33"/>
  <c r="F24" i="33" s="1"/>
  <c r="G24" i="33" s="1"/>
  <c r="H24" i="33" s="1"/>
  <c r="I24" i="33" s="1"/>
  <c r="E22" i="33"/>
  <c r="F22" i="33" s="1"/>
  <c r="G22" i="33" s="1"/>
  <c r="H22" i="33" s="1"/>
  <c r="I22" i="33" s="1"/>
  <c r="E21" i="33"/>
  <c r="F21" i="33" s="1"/>
  <c r="G21" i="33" s="1"/>
  <c r="H21" i="33" s="1"/>
  <c r="I21" i="33" s="1"/>
  <c r="E20" i="33"/>
  <c r="F20" i="33" s="1"/>
  <c r="G20" i="33" s="1"/>
  <c r="H20" i="33" s="1"/>
  <c r="I20" i="33" s="1"/>
  <c r="E19" i="33"/>
  <c r="F19" i="33" s="1"/>
  <c r="G19" i="33" s="1"/>
  <c r="H19" i="33" s="1"/>
  <c r="I19" i="33" s="1"/>
  <c r="E18" i="33"/>
  <c r="F18" i="33" s="1"/>
  <c r="G18" i="33" s="1"/>
  <c r="H18" i="33" s="1"/>
  <c r="I18" i="33" s="1"/>
  <c r="E17" i="33"/>
  <c r="F17" i="33" s="1"/>
  <c r="G17" i="33" s="1"/>
  <c r="H17" i="33" s="1"/>
  <c r="I17" i="33" s="1"/>
  <c r="E16" i="33"/>
  <c r="F16" i="33" s="1"/>
  <c r="G16" i="33" s="1"/>
  <c r="H16" i="33" s="1"/>
  <c r="I16" i="33" s="1"/>
  <c r="E15" i="33"/>
  <c r="F15" i="33" s="1"/>
  <c r="G15" i="33" s="1"/>
  <c r="H15" i="33" s="1"/>
  <c r="I15" i="33" s="1"/>
  <c r="E14" i="33"/>
  <c r="F14" i="33" s="1"/>
  <c r="G14" i="33" s="1"/>
  <c r="H14" i="33" s="1"/>
  <c r="I14" i="33" s="1"/>
  <c r="E13" i="33"/>
  <c r="F13" i="33" s="1"/>
  <c r="G13" i="33" s="1"/>
  <c r="H13" i="33" s="1"/>
  <c r="I13" i="33" s="1"/>
  <c r="E12" i="33"/>
  <c r="F12" i="33" s="1"/>
  <c r="G12" i="33" s="1"/>
  <c r="H12" i="33" s="1"/>
  <c r="I12" i="33" s="1"/>
  <c r="E11" i="33"/>
  <c r="F11" i="33" s="1"/>
  <c r="G11" i="33" s="1"/>
  <c r="H11" i="33" s="1"/>
  <c r="I11" i="33" s="1"/>
  <c r="E10" i="33"/>
  <c r="F10" i="33" s="1"/>
  <c r="G10" i="33" s="1"/>
  <c r="H10" i="33" s="1"/>
  <c r="I10" i="33" s="1"/>
  <c r="E9" i="33"/>
  <c r="F9" i="33" s="1"/>
  <c r="G9" i="33" s="1"/>
  <c r="H9" i="33" s="1"/>
  <c r="I9" i="33" s="1"/>
  <c r="K374" i="33" l="1"/>
  <c r="AE1261" i="13" l="1"/>
  <c r="AA1261" i="13"/>
  <c r="AB1261" i="13" s="1"/>
  <c r="U1261" i="13"/>
  <c r="W1261" i="13" s="1"/>
  <c r="AF1261" i="13" s="1"/>
  <c r="AE1260" i="13"/>
  <c r="AA1260" i="13"/>
  <c r="AB1260" i="13" s="1"/>
  <c r="U1260" i="13"/>
  <c r="V1260" i="13" s="1"/>
  <c r="X1260" i="13" s="1"/>
  <c r="Y1260" i="13" s="1"/>
  <c r="AE1259" i="13"/>
  <c r="AA1259" i="13"/>
  <c r="AB1259" i="13" s="1"/>
  <c r="U1259" i="13"/>
  <c r="AE1258" i="13"/>
  <c r="AA1258" i="13"/>
  <c r="AB1258" i="13" s="1"/>
  <c r="U1258" i="13"/>
  <c r="W1258" i="13" s="1"/>
  <c r="AF1258" i="13" s="1"/>
  <c r="AE1257" i="13"/>
  <c r="AA1257" i="13"/>
  <c r="AB1257" i="13" s="1"/>
  <c r="U1257" i="13"/>
  <c r="W1257" i="13" s="1"/>
  <c r="AF1257" i="13" s="1"/>
  <c r="AE1256" i="13"/>
  <c r="AA1256" i="13"/>
  <c r="AB1256" i="13" s="1"/>
  <c r="U1256" i="13"/>
  <c r="V1256" i="13" s="1"/>
  <c r="X1256" i="13" s="1"/>
  <c r="AG1256" i="13" s="1"/>
  <c r="AE1255" i="13"/>
  <c r="AA1255" i="13"/>
  <c r="AB1255" i="13" s="1"/>
  <c r="U1255" i="13"/>
  <c r="W1255" i="13" s="1"/>
  <c r="AF1255" i="13" s="1"/>
  <c r="AE1254" i="13"/>
  <c r="AA1254" i="13"/>
  <c r="AB1254" i="13" s="1"/>
  <c r="U1254" i="13"/>
  <c r="AE1253" i="13"/>
  <c r="AA1253" i="13"/>
  <c r="AB1253" i="13" s="1"/>
  <c r="U1253" i="13"/>
  <c r="V1253" i="13" s="1"/>
  <c r="X1253" i="13" s="1"/>
  <c r="AG1253" i="13" s="1"/>
  <c r="AE1252" i="13"/>
  <c r="AA1252" i="13"/>
  <c r="AB1252" i="13" s="1"/>
  <c r="U1252" i="13"/>
  <c r="W1252" i="13" s="1"/>
  <c r="AF1252" i="13" s="1"/>
  <c r="AE1251" i="13"/>
  <c r="AA1251" i="13"/>
  <c r="AB1251" i="13" s="1"/>
  <c r="U1251" i="13"/>
  <c r="AE1250" i="13"/>
  <c r="AA1250" i="13"/>
  <c r="AB1250" i="13" s="1"/>
  <c r="U1250" i="13"/>
  <c r="W1250" i="13" s="1"/>
  <c r="AF1250" i="13" s="1"/>
  <c r="AE1249" i="13"/>
  <c r="AA1249" i="13"/>
  <c r="AB1249" i="13" s="1"/>
  <c r="U1249" i="13"/>
  <c r="AE1248" i="13"/>
  <c r="AA1248" i="13"/>
  <c r="AB1248" i="13" s="1"/>
  <c r="U1248" i="13"/>
  <c r="V1248" i="13" s="1"/>
  <c r="X1248" i="13" s="1"/>
  <c r="AE1247" i="13"/>
  <c r="AA1247" i="13"/>
  <c r="AB1247" i="13" s="1"/>
  <c r="U1247" i="13"/>
  <c r="W1247" i="13" s="1"/>
  <c r="AF1247" i="13" s="1"/>
  <c r="AE1246" i="13"/>
  <c r="AA1246" i="13"/>
  <c r="AB1246" i="13" s="1"/>
  <c r="U1246" i="13"/>
  <c r="W1246" i="13" s="1"/>
  <c r="AF1246" i="13" s="1"/>
  <c r="AE1245" i="13"/>
  <c r="AA1245" i="13"/>
  <c r="AB1245" i="13" s="1"/>
  <c r="U1245" i="13"/>
  <c r="AE1244" i="13"/>
  <c r="AA1244" i="13"/>
  <c r="AB1244" i="13" s="1"/>
  <c r="U1244" i="13"/>
  <c r="W1244" i="13" s="1"/>
  <c r="AF1244" i="13" s="1"/>
  <c r="AE1243" i="13"/>
  <c r="AA1243" i="13"/>
  <c r="AB1243" i="13" s="1"/>
  <c r="U1243" i="13"/>
  <c r="W1243" i="13" s="1"/>
  <c r="AF1243" i="13" s="1"/>
  <c r="AE1242" i="13"/>
  <c r="AA1242" i="13"/>
  <c r="AB1242" i="13" s="1"/>
  <c r="U1242" i="13"/>
  <c r="V1242" i="13" s="1"/>
  <c r="X1242" i="13" s="1"/>
  <c r="AE1241" i="13"/>
  <c r="AA1241" i="13"/>
  <c r="AB1241" i="13" s="1"/>
  <c r="U1241" i="13"/>
  <c r="V1241" i="13" s="1"/>
  <c r="X1241" i="13" s="1"/>
  <c r="AE1240" i="13"/>
  <c r="AA1240" i="13"/>
  <c r="AB1240" i="13" s="1"/>
  <c r="U1240" i="13"/>
  <c r="V1240" i="13" s="1"/>
  <c r="X1240" i="13" s="1"/>
  <c r="AE1239" i="13"/>
  <c r="AA1239" i="13"/>
  <c r="AB1239" i="13" s="1"/>
  <c r="U1239" i="13"/>
  <c r="AE1238" i="13"/>
  <c r="AA1238" i="13"/>
  <c r="AB1238" i="13" s="1"/>
  <c r="U1238" i="13"/>
  <c r="AE1237" i="13"/>
  <c r="AA1237" i="13"/>
  <c r="AB1237" i="13" s="1"/>
  <c r="U1237" i="13"/>
  <c r="AE1236" i="13"/>
  <c r="AA1236" i="13"/>
  <c r="AB1236" i="13" s="1"/>
  <c r="U1236" i="13"/>
  <c r="AE1235" i="13"/>
  <c r="AA1235" i="13"/>
  <c r="AB1235" i="13" s="1"/>
  <c r="U1235" i="13"/>
  <c r="V1235" i="13" s="1"/>
  <c r="X1235" i="13" s="1"/>
  <c r="Y1235" i="13" s="1"/>
  <c r="AE1234" i="13"/>
  <c r="AA1234" i="13"/>
  <c r="AB1234" i="13" s="1"/>
  <c r="U1234" i="13"/>
  <c r="W1234" i="13" s="1"/>
  <c r="AF1234" i="13" s="1"/>
  <c r="AE1233" i="13"/>
  <c r="AA1233" i="13"/>
  <c r="AB1233" i="13" s="1"/>
  <c r="U1233" i="13"/>
  <c r="W1233" i="13" s="1"/>
  <c r="AF1233" i="13" s="1"/>
  <c r="AE1232" i="13"/>
  <c r="AA1232" i="13"/>
  <c r="AB1232" i="13" s="1"/>
  <c r="U1232" i="13"/>
  <c r="AE1231" i="13"/>
  <c r="AA1231" i="13"/>
  <c r="AB1231" i="13" s="1"/>
  <c r="U1231" i="13"/>
  <c r="AE1230" i="13"/>
  <c r="AA1230" i="13"/>
  <c r="AB1230" i="13" s="1"/>
  <c r="U1230" i="13"/>
  <c r="AE1229" i="13"/>
  <c r="AA1229" i="13"/>
  <c r="AB1229" i="13" s="1"/>
  <c r="U1229" i="13"/>
  <c r="V1229" i="13" s="1"/>
  <c r="X1229" i="13" s="1"/>
  <c r="AE1228" i="13"/>
  <c r="AA1228" i="13"/>
  <c r="AB1228" i="13" s="1"/>
  <c r="U1228" i="13"/>
  <c r="AE1227" i="13"/>
  <c r="AA1227" i="13"/>
  <c r="AB1227" i="13" s="1"/>
  <c r="U1227" i="13"/>
  <c r="W1227" i="13" s="1"/>
  <c r="AF1227" i="13" s="1"/>
  <c r="AE1226" i="13"/>
  <c r="AA1226" i="13"/>
  <c r="AB1226" i="13" s="1"/>
  <c r="U1226" i="13"/>
  <c r="AE1225" i="13"/>
  <c r="AA1225" i="13"/>
  <c r="AB1225" i="13" s="1"/>
  <c r="U1225" i="13"/>
  <c r="AE1224" i="13"/>
  <c r="AA1224" i="13"/>
  <c r="AB1224" i="13" s="1"/>
  <c r="U1224" i="13"/>
  <c r="AE1223" i="13"/>
  <c r="AA1223" i="13"/>
  <c r="AB1223" i="13" s="1"/>
  <c r="U1223" i="13"/>
  <c r="AE1222" i="13"/>
  <c r="AA1222" i="13"/>
  <c r="AB1222" i="13" s="1"/>
  <c r="U1222" i="13"/>
  <c r="AE1221" i="13"/>
  <c r="AA1221" i="13"/>
  <c r="AB1221" i="13" s="1"/>
  <c r="U1221" i="13"/>
  <c r="AE1220" i="13"/>
  <c r="AA1220" i="13"/>
  <c r="AB1220" i="13" s="1"/>
  <c r="U1220" i="13"/>
  <c r="AE1219" i="13"/>
  <c r="AA1219" i="13"/>
  <c r="AB1219" i="13" s="1"/>
  <c r="U1219" i="13"/>
  <c r="AE1218" i="13"/>
  <c r="AA1218" i="13"/>
  <c r="AB1218" i="13" s="1"/>
  <c r="U1218" i="13"/>
  <c r="W1218" i="13" s="1"/>
  <c r="AF1218" i="13" s="1"/>
  <c r="AE1217" i="13"/>
  <c r="AA1217" i="13"/>
  <c r="AB1217" i="13" s="1"/>
  <c r="U1217" i="13"/>
  <c r="V1217" i="13" s="1"/>
  <c r="X1217" i="13" s="1"/>
  <c r="AE1216" i="13"/>
  <c r="AA1216" i="13"/>
  <c r="AB1216" i="13" s="1"/>
  <c r="U1216" i="13"/>
  <c r="W1216" i="13" s="1"/>
  <c r="AF1216" i="13" s="1"/>
  <c r="AE1215" i="13"/>
  <c r="AA1215" i="13"/>
  <c r="AB1215" i="13" s="1"/>
  <c r="U1215" i="13"/>
  <c r="AE1214" i="13"/>
  <c r="AA1214" i="13"/>
  <c r="AB1214" i="13" s="1"/>
  <c r="U1214" i="13"/>
  <c r="V1214" i="13" s="1"/>
  <c r="X1214" i="13" s="1"/>
  <c r="AE1213" i="13"/>
  <c r="AA1213" i="13"/>
  <c r="AB1213" i="13" s="1"/>
  <c r="U1213" i="13"/>
  <c r="W1213" i="13" s="1"/>
  <c r="AF1213" i="13" s="1"/>
  <c r="AE1212" i="13"/>
  <c r="AA1212" i="13"/>
  <c r="AB1212" i="13" s="1"/>
  <c r="U1212" i="13"/>
  <c r="W1212" i="13" s="1"/>
  <c r="AF1212" i="13" s="1"/>
  <c r="AE1211" i="13"/>
  <c r="AA1211" i="13"/>
  <c r="AB1211" i="13" s="1"/>
  <c r="U1211" i="13"/>
  <c r="V1211" i="13" s="1"/>
  <c r="X1211" i="13" s="1"/>
  <c r="AE1210" i="13"/>
  <c r="AA1210" i="13"/>
  <c r="AB1210" i="13" s="1"/>
  <c r="U1210" i="13"/>
  <c r="W1210" i="13" s="1"/>
  <c r="AF1210" i="13" s="1"/>
  <c r="AE1209" i="13"/>
  <c r="AA1209" i="13"/>
  <c r="AB1209" i="13" s="1"/>
  <c r="U1209" i="13"/>
  <c r="W1209" i="13" s="1"/>
  <c r="AF1209" i="13" s="1"/>
  <c r="AE1208" i="13"/>
  <c r="AA1208" i="13"/>
  <c r="AB1208" i="13" s="1"/>
  <c r="U1208" i="13"/>
  <c r="V1208" i="13" s="1"/>
  <c r="X1208" i="13" s="1"/>
  <c r="AE1207" i="13"/>
  <c r="AA1207" i="13"/>
  <c r="AB1207" i="13" s="1"/>
  <c r="U1207" i="13"/>
  <c r="W1207" i="13" s="1"/>
  <c r="AF1207" i="13" s="1"/>
  <c r="AE1206" i="13"/>
  <c r="AA1206" i="13"/>
  <c r="AB1206" i="13" s="1"/>
  <c r="U1206" i="13"/>
  <c r="W1206" i="13" s="1"/>
  <c r="AF1206" i="13" s="1"/>
  <c r="AE1205" i="13"/>
  <c r="AA1205" i="13"/>
  <c r="AB1205" i="13" s="1"/>
  <c r="U1205" i="13"/>
  <c r="V1205" i="13" s="1"/>
  <c r="X1205" i="13" s="1"/>
  <c r="Y1205" i="13" s="1"/>
  <c r="AE1204" i="13"/>
  <c r="AA1204" i="13"/>
  <c r="AB1204" i="13" s="1"/>
  <c r="U1204" i="13"/>
  <c r="V1204" i="13" s="1"/>
  <c r="X1204" i="13" s="1"/>
  <c r="AE1203" i="13"/>
  <c r="AA1203" i="13"/>
  <c r="AB1203" i="13" s="1"/>
  <c r="U1203" i="13"/>
  <c r="W1203" i="13" s="1"/>
  <c r="AF1203" i="13" s="1"/>
  <c r="AE1202" i="13"/>
  <c r="AA1202" i="13"/>
  <c r="AB1202" i="13" s="1"/>
  <c r="U1202" i="13"/>
  <c r="AE1201" i="13"/>
  <c r="AA1201" i="13"/>
  <c r="AB1201" i="13" s="1"/>
  <c r="U1201" i="13"/>
  <c r="V1201" i="13" s="1"/>
  <c r="X1201" i="13" s="1"/>
  <c r="AG1201" i="13" s="1"/>
  <c r="AE1200" i="13"/>
  <c r="AA1200" i="13"/>
  <c r="AB1200" i="13" s="1"/>
  <c r="U1200" i="13"/>
  <c r="W1200" i="13" s="1"/>
  <c r="AF1200" i="13" s="1"/>
  <c r="AE1199" i="13"/>
  <c r="AA1199" i="13"/>
  <c r="AB1199" i="13" s="1"/>
  <c r="U1199" i="13"/>
  <c r="AE1198" i="13"/>
  <c r="AA1198" i="13"/>
  <c r="AB1198" i="13" s="1"/>
  <c r="U1198" i="13"/>
  <c r="W1198" i="13" s="1"/>
  <c r="AF1198" i="13" s="1"/>
  <c r="AE1197" i="13"/>
  <c r="AA1197" i="13"/>
  <c r="AB1197" i="13" s="1"/>
  <c r="U1197" i="13"/>
  <c r="AE1196" i="13"/>
  <c r="AA1196" i="13"/>
  <c r="AB1196" i="13" s="1"/>
  <c r="U1196" i="13"/>
  <c r="V1196" i="13" s="1"/>
  <c r="X1196" i="13" s="1"/>
  <c r="AE1195" i="13"/>
  <c r="AA1195" i="13"/>
  <c r="AB1195" i="13" s="1"/>
  <c r="U1195" i="13"/>
  <c r="W1195" i="13" s="1"/>
  <c r="AF1195" i="13" s="1"/>
  <c r="AE1194" i="13"/>
  <c r="AA1194" i="13"/>
  <c r="AB1194" i="13" s="1"/>
  <c r="U1194" i="13"/>
  <c r="W1194" i="13" s="1"/>
  <c r="AF1194" i="13" s="1"/>
  <c r="AE1193" i="13"/>
  <c r="AA1193" i="13"/>
  <c r="AB1193" i="13" s="1"/>
  <c r="U1193" i="13"/>
  <c r="V1193" i="13" s="1"/>
  <c r="X1193" i="13" s="1"/>
  <c r="AE1192" i="13"/>
  <c r="AA1192" i="13"/>
  <c r="AB1192" i="13" s="1"/>
  <c r="U1192" i="13"/>
  <c r="W1192" i="13" s="1"/>
  <c r="AF1192" i="13" s="1"/>
  <c r="AE1191" i="13"/>
  <c r="AA1191" i="13"/>
  <c r="AB1191" i="13" s="1"/>
  <c r="U1191" i="13"/>
  <c r="W1191" i="13" s="1"/>
  <c r="AF1191" i="13" s="1"/>
  <c r="AE1190" i="13"/>
  <c r="AA1190" i="13"/>
  <c r="AB1190" i="13" s="1"/>
  <c r="U1190" i="13"/>
  <c r="AE1189" i="13"/>
  <c r="AA1189" i="13"/>
  <c r="AB1189" i="13" s="1"/>
  <c r="U1189" i="13"/>
  <c r="W1189" i="13" s="1"/>
  <c r="AF1189" i="13" s="1"/>
  <c r="AE1188" i="13"/>
  <c r="AA1188" i="13"/>
  <c r="AB1188" i="13" s="1"/>
  <c r="U1188" i="13"/>
  <c r="W1188" i="13" s="1"/>
  <c r="AF1188" i="13" s="1"/>
  <c r="AE1187" i="13"/>
  <c r="AA1187" i="13"/>
  <c r="AB1187" i="13" s="1"/>
  <c r="U1187" i="13"/>
  <c r="V1187" i="13" s="1"/>
  <c r="X1187" i="13" s="1"/>
  <c r="Y1187" i="13" s="1"/>
  <c r="AE1186" i="13"/>
  <c r="AA1186" i="13"/>
  <c r="AB1186" i="13" s="1"/>
  <c r="U1186" i="13"/>
  <c r="AE1185" i="13"/>
  <c r="AA1185" i="13"/>
  <c r="AB1185" i="13" s="1"/>
  <c r="U1185" i="13"/>
  <c r="W1185" i="13" s="1"/>
  <c r="AF1185" i="13" s="1"/>
  <c r="AE1184" i="13"/>
  <c r="AA1184" i="13"/>
  <c r="AB1184" i="13" s="1"/>
  <c r="U1184" i="13"/>
  <c r="AE1183" i="13"/>
  <c r="AA1183" i="13"/>
  <c r="AB1183" i="13" s="1"/>
  <c r="U1183" i="13"/>
  <c r="AE1182" i="13"/>
  <c r="AA1182" i="13"/>
  <c r="AB1182" i="13" s="1"/>
  <c r="U1182" i="13"/>
  <c r="W1182" i="13" s="1"/>
  <c r="AF1182" i="13" s="1"/>
  <c r="AE1181" i="13"/>
  <c r="AA1181" i="13"/>
  <c r="AB1181" i="13" s="1"/>
  <c r="U1181" i="13"/>
  <c r="V1181" i="13" s="1"/>
  <c r="X1181" i="13" s="1"/>
  <c r="Y1181" i="13" s="1"/>
  <c r="AE1180" i="13"/>
  <c r="AA1180" i="13"/>
  <c r="AB1180" i="13" s="1"/>
  <c r="U1180" i="13"/>
  <c r="AE1179" i="13"/>
  <c r="AA1179" i="13"/>
  <c r="AB1179" i="13" s="1"/>
  <c r="U1179" i="13"/>
  <c r="AE1178" i="13"/>
  <c r="AA1178" i="13"/>
  <c r="AB1178" i="13" s="1"/>
  <c r="U1178" i="13"/>
  <c r="V1178" i="13" s="1"/>
  <c r="X1178" i="13" s="1"/>
  <c r="AE1177" i="13"/>
  <c r="AA1177" i="13"/>
  <c r="AB1177" i="13" s="1"/>
  <c r="U1177" i="13"/>
  <c r="W1177" i="13" s="1"/>
  <c r="AF1177" i="13" s="1"/>
  <c r="AE1176" i="13"/>
  <c r="AA1176" i="13"/>
  <c r="AB1176" i="13" s="1"/>
  <c r="U1176" i="13"/>
  <c r="W1176" i="13" s="1"/>
  <c r="AF1176" i="13" s="1"/>
  <c r="AE1175" i="13"/>
  <c r="AA1175" i="13"/>
  <c r="AB1175" i="13" s="1"/>
  <c r="U1175" i="13"/>
  <c r="V1175" i="13" s="1"/>
  <c r="X1175" i="13" s="1"/>
  <c r="AE1174" i="13"/>
  <c r="AA1174" i="13"/>
  <c r="AB1174" i="13" s="1"/>
  <c r="U1174" i="13"/>
  <c r="W1174" i="13" s="1"/>
  <c r="AF1174" i="13" s="1"/>
  <c r="AE1173" i="13"/>
  <c r="AA1173" i="13"/>
  <c r="AB1173" i="13" s="1"/>
  <c r="U1173" i="13"/>
  <c r="AE1172" i="13"/>
  <c r="AA1172" i="13"/>
  <c r="AB1172" i="13" s="1"/>
  <c r="U1172" i="13"/>
  <c r="AE1171" i="13"/>
  <c r="AA1171" i="13"/>
  <c r="AB1171" i="13" s="1"/>
  <c r="U1171" i="13"/>
  <c r="W1171" i="13" s="1"/>
  <c r="AF1171" i="13" s="1"/>
  <c r="AE1170" i="13"/>
  <c r="AA1170" i="13"/>
  <c r="AB1170" i="13" s="1"/>
  <c r="U1170" i="13"/>
  <c r="AE1169" i="13"/>
  <c r="AA1169" i="13"/>
  <c r="AB1169" i="13" s="1"/>
  <c r="U1169" i="13"/>
  <c r="V1169" i="13" s="1"/>
  <c r="X1169" i="13" s="1"/>
  <c r="AE1168" i="13"/>
  <c r="AA1168" i="13"/>
  <c r="AB1168" i="13" s="1"/>
  <c r="U1168" i="13"/>
  <c r="AE1167" i="13"/>
  <c r="AA1167" i="13"/>
  <c r="AB1167" i="13" s="1"/>
  <c r="U1167" i="13"/>
  <c r="W1167" i="13" s="1"/>
  <c r="AF1167" i="13" s="1"/>
  <c r="AE1166" i="13"/>
  <c r="AA1166" i="13"/>
  <c r="AB1166" i="13" s="1"/>
  <c r="U1166" i="13"/>
  <c r="AE1165" i="13"/>
  <c r="AA1165" i="13"/>
  <c r="AB1165" i="13" s="1"/>
  <c r="U1165" i="13"/>
  <c r="AE1164" i="13"/>
  <c r="AA1164" i="13"/>
  <c r="AB1164" i="13" s="1"/>
  <c r="U1164" i="13"/>
  <c r="V1164" i="13" s="1"/>
  <c r="X1164" i="13" s="1"/>
  <c r="AE1163" i="13"/>
  <c r="AA1163" i="13"/>
  <c r="AB1163" i="13" s="1"/>
  <c r="U1163" i="13"/>
  <c r="V1163" i="13" s="1"/>
  <c r="X1163" i="13" s="1"/>
  <c r="AE1162" i="13"/>
  <c r="AA1162" i="13"/>
  <c r="AB1162" i="13" s="1"/>
  <c r="U1162" i="13"/>
  <c r="AE1161" i="13"/>
  <c r="AA1161" i="13"/>
  <c r="AB1161" i="13" s="1"/>
  <c r="U1161" i="13"/>
  <c r="W1161" i="13" s="1"/>
  <c r="AF1161" i="13" s="1"/>
  <c r="AE1160" i="13"/>
  <c r="AA1160" i="13"/>
  <c r="AB1160" i="13" s="1"/>
  <c r="U1160" i="13"/>
  <c r="V1160" i="13" s="1"/>
  <c r="X1160" i="13" s="1"/>
  <c r="AG1160" i="13" s="1"/>
  <c r="AE1159" i="13"/>
  <c r="AA1159" i="13"/>
  <c r="AB1159" i="13" s="1"/>
  <c r="U1159" i="13"/>
  <c r="W1159" i="13" s="1"/>
  <c r="AF1159" i="13" s="1"/>
  <c r="AE1158" i="13"/>
  <c r="AA1158" i="13"/>
  <c r="AB1158" i="13" s="1"/>
  <c r="U1158" i="13"/>
  <c r="V1158" i="13" s="1"/>
  <c r="X1158" i="13" s="1"/>
  <c r="AG1158" i="13" s="1"/>
  <c r="AE1157" i="13"/>
  <c r="AA1157" i="13"/>
  <c r="AB1157" i="13" s="1"/>
  <c r="U1157" i="13"/>
  <c r="AE1156" i="13"/>
  <c r="AA1156" i="13"/>
  <c r="AB1156" i="13" s="1"/>
  <c r="U1156" i="13"/>
  <c r="AE1155" i="13"/>
  <c r="AA1155" i="13"/>
  <c r="AB1155" i="13" s="1"/>
  <c r="U1155" i="13"/>
  <c r="W1155" i="13" s="1"/>
  <c r="AF1155" i="13" s="1"/>
  <c r="AE1154" i="13"/>
  <c r="AA1154" i="13"/>
  <c r="AB1154" i="13" s="1"/>
  <c r="U1154" i="13"/>
  <c r="V1154" i="13" s="1"/>
  <c r="X1154" i="13" s="1"/>
  <c r="AG1154" i="13" s="1"/>
  <c r="AE1153" i="13"/>
  <c r="AA1153" i="13"/>
  <c r="AB1153" i="13" s="1"/>
  <c r="U1153" i="13"/>
  <c r="W1153" i="13" s="1"/>
  <c r="AF1153" i="13" s="1"/>
  <c r="AE1152" i="13"/>
  <c r="AA1152" i="13"/>
  <c r="AB1152" i="13" s="1"/>
  <c r="U1152" i="13"/>
  <c r="V1152" i="13" s="1"/>
  <c r="X1152" i="13" s="1"/>
  <c r="Y1152" i="13" s="1"/>
  <c r="AE1151" i="13"/>
  <c r="AA1151" i="13"/>
  <c r="AB1151" i="13" s="1"/>
  <c r="U1151" i="13"/>
  <c r="W1151" i="13" s="1"/>
  <c r="AF1151" i="13" s="1"/>
  <c r="AE1150" i="13"/>
  <c r="AA1150" i="13"/>
  <c r="AB1150" i="13" s="1"/>
  <c r="U1150" i="13"/>
  <c r="AE1149" i="13"/>
  <c r="AA1149" i="13"/>
  <c r="AB1149" i="13" s="1"/>
  <c r="U1149" i="13"/>
  <c r="AE1148" i="13"/>
  <c r="AA1148" i="13"/>
  <c r="AB1148" i="13" s="1"/>
  <c r="U1148" i="13"/>
  <c r="V1148" i="13" s="1"/>
  <c r="X1148" i="13" s="1"/>
  <c r="AG1148" i="13" s="1"/>
  <c r="AE1147" i="13"/>
  <c r="AA1147" i="13"/>
  <c r="AB1147" i="13" s="1"/>
  <c r="U1147" i="13"/>
  <c r="AE1146" i="13"/>
  <c r="AA1146" i="13"/>
  <c r="AB1146" i="13" s="1"/>
  <c r="U1146" i="13"/>
  <c r="AE1145" i="13"/>
  <c r="AA1145" i="13"/>
  <c r="AB1145" i="13" s="1"/>
  <c r="U1145" i="13"/>
  <c r="W1145" i="13" s="1"/>
  <c r="AF1145" i="13" s="1"/>
  <c r="AE1144" i="13"/>
  <c r="AA1144" i="13"/>
  <c r="AB1144" i="13" s="1"/>
  <c r="U1144" i="13"/>
  <c r="AE1143" i="13"/>
  <c r="AA1143" i="13"/>
  <c r="AB1143" i="13" s="1"/>
  <c r="U1143" i="13"/>
  <c r="W1143" i="13" s="1"/>
  <c r="AF1143" i="13" s="1"/>
  <c r="AE1142" i="13"/>
  <c r="AA1142" i="13"/>
  <c r="AB1142" i="13" s="1"/>
  <c r="U1142" i="13"/>
  <c r="V1142" i="13" s="1"/>
  <c r="X1142" i="13" s="1"/>
  <c r="AG1142" i="13" s="1"/>
  <c r="AE1141" i="13"/>
  <c r="AA1141" i="13"/>
  <c r="AB1141" i="13" s="1"/>
  <c r="U1141" i="13"/>
  <c r="AE1140" i="13"/>
  <c r="AA1140" i="13"/>
  <c r="AB1140" i="13" s="1"/>
  <c r="U1140" i="13"/>
  <c r="V1140" i="13" s="1"/>
  <c r="X1140" i="13" s="1"/>
  <c r="AE1139" i="13"/>
  <c r="AA1139" i="13"/>
  <c r="AB1139" i="13" s="1"/>
  <c r="U1139" i="13"/>
  <c r="V1139" i="13" s="1"/>
  <c r="X1139" i="13" s="1"/>
  <c r="AE1138" i="13"/>
  <c r="AA1138" i="13"/>
  <c r="AB1138" i="13" s="1"/>
  <c r="U1138" i="13"/>
  <c r="AE1137" i="13"/>
  <c r="AA1137" i="13"/>
  <c r="AB1137" i="13" s="1"/>
  <c r="U1137" i="13"/>
  <c r="W1137" i="13" s="1"/>
  <c r="AF1137" i="13" s="1"/>
  <c r="AE1136" i="13"/>
  <c r="AA1136" i="13"/>
  <c r="AB1136" i="13" s="1"/>
  <c r="U1136" i="13"/>
  <c r="AE1135" i="13"/>
  <c r="AA1135" i="13"/>
  <c r="AB1135" i="13" s="1"/>
  <c r="U1135" i="13"/>
  <c r="W1135" i="13" s="1"/>
  <c r="AF1135" i="13" s="1"/>
  <c r="AE1134" i="13"/>
  <c r="AA1134" i="13"/>
  <c r="AB1134" i="13" s="1"/>
  <c r="U1134" i="13"/>
  <c r="V1134" i="13" s="1"/>
  <c r="X1134" i="13" s="1"/>
  <c r="Y1134" i="13" s="1"/>
  <c r="AE1133" i="13"/>
  <c r="AA1133" i="13"/>
  <c r="AB1133" i="13" s="1"/>
  <c r="U1133" i="13"/>
  <c r="AE1132" i="13"/>
  <c r="AA1132" i="13"/>
  <c r="AB1132" i="13" s="1"/>
  <c r="U1132" i="13"/>
  <c r="AE1131" i="13"/>
  <c r="AA1131" i="13"/>
  <c r="AB1131" i="13" s="1"/>
  <c r="U1131" i="13"/>
  <c r="AE1130" i="13"/>
  <c r="AA1130" i="13"/>
  <c r="AB1130" i="13" s="1"/>
  <c r="U1130" i="13"/>
  <c r="AE1129" i="13"/>
  <c r="AA1129" i="13"/>
  <c r="AB1129" i="13" s="1"/>
  <c r="U1129" i="13"/>
  <c r="AE1128" i="13"/>
  <c r="AA1128" i="13"/>
  <c r="AB1128" i="13" s="1"/>
  <c r="U1128" i="13"/>
  <c r="V1128" i="13" s="1"/>
  <c r="X1128" i="13" s="1"/>
  <c r="AG1128" i="13" s="1"/>
  <c r="AE1127" i="13"/>
  <c r="AA1127" i="13"/>
  <c r="AB1127" i="13" s="1"/>
  <c r="U1127" i="13"/>
  <c r="W1127" i="13" s="1"/>
  <c r="AF1127" i="13" s="1"/>
  <c r="AE1126" i="13"/>
  <c r="AA1126" i="13"/>
  <c r="AB1126" i="13" s="1"/>
  <c r="U1126" i="13"/>
  <c r="AE1125" i="13"/>
  <c r="AA1125" i="13"/>
  <c r="AB1125" i="13" s="1"/>
  <c r="U1125" i="13"/>
  <c r="W1125" i="13" s="1"/>
  <c r="AF1125" i="13" s="1"/>
  <c r="AE1124" i="13"/>
  <c r="AA1124" i="13"/>
  <c r="AB1124" i="13" s="1"/>
  <c r="U1124" i="13"/>
  <c r="AE1123" i="13"/>
  <c r="AA1123" i="13"/>
  <c r="AB1123" i="13" s="1"/>
  <c r="U1123" i="13"/>
  <c r="W1123" i="13" s="1"/>
  <c r="AF1123" i="13" s="1"/>
  <c r="AE1122" i="13"/>
  <c r="AA1122" i="13"/>
  <c r="AB1122" i="13" s="1"/>
  <c r="U1122" i="13"/>
  <c r="V1122" i="13" s="1"/>
  <c r="X1122" i="13" s="1"/>
  <c r="AE1121" i="13"/>
  <c r="AA1121" i="13"/>
  <c r="AB1121" i="13" s="1"/>
  <c r="U1121" i="13"/>
  <c r="AE1120" i="13"/>
  <c r="AA1120" i="13"/>
  <c r="AB1120" i="13" s="1"/>
  <c r="U1120" i="13"/>
  <c r="W1120" i="13" s="1"/>
  <c r="AF1120" i="13" s="1"/>
  <c r="AE1119" i="13"/>
  <c r="AA1119" i="13"/>
  <c r="AB1119" i="13" s="1"/>
  <c r="U1119" i="13"/>
  <c r="AE1118" i="13"/>
  <c r="AA1118" i="13"/>
  <c r="AB1118" i="13" s="1"/>
  <c r="U1118" i="13"/>
  <c r="W1118" i="13" s="1"/>
  <c r="AF1118" i="13" s="1"/>
  <c r="AE1117" i="13"/>
  <c r="AA1117" i="13"/>
  <c r="AB1117" i="13" s="1"/>
  <c r="U1117" i="13"/>
  <c r="W1117" i="13" s="1"/>
  <c r="AF1117" i="13" s="1"/>
  <c r="AE1116" i="13"/>
  <c r="AA1116" i="13"/>
  <c r="AB1116" i="13" s="1"/>
  <c r="U1116" i="13"/>
  <c r="V1116" i="13" s="1"/>
  <c r="X1116" i="13" s="1"/>
  <c r="Y1116" i="13" s="1"/>
  <c r="AE1115" i="13"/>
  <c r="AA1115" i="13"/>
  <c r="AB1115" i="13" s="1"/>
  <c r="U1115" i="13"/>
  <c r="AE1114" i="13"/>
  <c r="AA1114" i="13"/>
  <c r="AB1114" i="13" s="1"/>
  <c r="U1114" i="13"/>
  <c r="AE1113" i="13"/>
  <c r="AA1113" i="13"/>
  <c r="AB1113" i="13" s="1"/>
  <c r="U1113" i="13"/>
  <c r="W1113" i="13" s="1"/>
  <c r="AF1113" i="13" s="1"/>
  <c r="AE1112" i="13"/>
  <c r="AA1112" i="13"/>
  <c r="AB1112" i="13" s="1"/>
  <c r="U1112" i="13"/>
  <c r="V1112" i="13" s="1"/>
  <c r="X1112" i="13" s="1"/>
  <c r="AG1112" i="13" s="1"/>
  <c r="AE1111" i="13"/>
  <c r="AA1111" i="13"/>
  <c r="AB1111" i="13" s="1"/>
  <c r="U1111" i="13"/>
  <c r="W1111" i="13" s="1"/>
  <c r="AF1111" i="13" s="1"/>
  <c r="AE1110" i="13"/>
  <c r="AA1110" i="13"/>
  <c r="AB1110" i="13" s="1"/>
  <c r="U1110" i="13"/>
  <c r="AE1109" i="13"/>
  <c r="AA1109" i="13"/>
  <c r="AB1109" i="13" s="1"/>
  <c r="U1109" i="13"/>
  <c r="W1109" i="13" s="1"/>
  <c r="AF1109" i="13" s="1"/>
  <c r="AE1108" i="13"/>
  <c r="AA1108" i="13"/>
  <c r="AB1108" i="13" s="1"/>
  <c r="U1108" i="13"/>
  <c r="AE1107" i="13"/>
  <c r="AA1107" i="13"/>
  <c r="AB1107" i="13" s="1"/>
  <c r="U1107" i="13"/>
  <c r="AE1106" i="13"/>
  <c r="AA1106" i="13"/>
  <c r="AB1106" i="13" s="1"/>
  <c r="U1106" i="13"/>
  <c r="AE1105" i="13"/>
  <c r="AA1105" i="13"/>
  <c r="AB1105" i="13" s="1"/>
  <c r="U1105" i="13"/>
  <c r="AE1104" i="13"/>
  <c r="AA1104" i="13"/>
  <c r="AB1104" i="13" s="1"/>
  <c r="U1104" i="13"/>
  <c r="V1104" i="13" s="1"/>
  <c r="X1104" i="13" s="1"/>
  <c r="AE1103" i="13"/>
  <c r="AA1103" i="13"/>
  <c r="AB1103" i="13" s="1"/>
  <c r="U1103" i="13"/>
  <c r="AE1102" i="13"/>
  <c r="AA1102" i="13"/>
  <c r="AB1102" i="13" s="1"/>
  <c r="U1102" i="13"/>
  <c r="W1102" i="13" s="1"/>
  <c r="AF1102" i="13" s="1"/>
  <c r="AE1101" i="13"/>
  <c r="AA1101" i="13"/>
  <c r="AB1101" i="13" s="1"/>
  <c r="U1101" i="13"/>
  <c r="W1101" i="13" s="1"/>
  <c r="AF1101" i="13" s="1"/>
  <c r="AE1100" i="13"/>
  <c r="AA1100" i="13"/>
  <c r="AB1100" i="13" s="1"/>
  <c r="U1100" i="13"/>
  <c r="AE1099" i="13"/>
  <c r="AA1099" i="13"/>
  <c r="AB1099" i="13" s="1"/>
  <c r="U1099" i="13"/>
  <c r="W1099" i="13" s="1"/>
  <c r="AF1099" i="13" s="1"/>
  <c r="AE1098" i="13"/>
  <c r="AA1098" i="13"/>
  <c r="AB1098" i="13" s="1"/>
  <c r="U1098" i="13"/>
  <c r="V1098" i="13" s="1"/>
  <c r="X1098" i="13" s="1"/>
  <c r="AE1097" i="13"/>
  <c r="AA1097" i="13"/>
  <c r="AB1097" i="13" s="1"/>
  <c r="U1097" i="13"/>
  <c r="W1097" i="13" s="1"/>
  <c r="AF1097" i="13" s="1"/>
  <c r="AE1096" i="13"/>
  <c r="AA1096" i="13"/>
  <c r="AB1096" i="13" s="1"/>
  <c r="U1096" i="13"/>
  <c r="AE1095" i="13"/>
  <c r="AA1095" i="13"/>
  <c r="AB1095" i="13" s="1"/>
  <c r="U1095" i="13"/>
  <c r="AE1094" i="13"/>
  <c r="AA1094" i="13"/>
  <c r="AB1094" i="13" s="1"/>
  <c r="U1094" i="13"/>
  <c r="W1094" i="13" s="1"/>
  <c r="AF1094" i="13" s="1"/>
  <c r="AE1093" i="13"/>
  <c r="AA1093" i="13"/>
  <c r="AB1093" i="13" s="1"/>
  <c r="U1093" i="13"/>
  <c r="W1093" i="13" s="1"/>
  <c r="AF1093" i="13" s="1"/>
  <c r="AE1092" i="13"/>
  <c r="AA1092" i="13"/>
  <c r="AB1092" i="13" s="1"/>
  <c r="U1092" i="13"/>
  <c r="AE1091" i="13"/>
  <c r="AA1091" i="13"/>
  <c r="AB1091" i="13" s="1"/>
  <c r="U1091" i="13"/>
  <c r="AE1090" i="13"/>
  <c r="AA1090" i="13"/>
  <c r="AB1090" i="13" s="1"/>
  <c r="U1090" i="13"/>
  <c r="V1090" i="13" s="1"/>
  <c r="X1090" i="13" s="1"/>
  <c r="AE1089" i="13"/>
  <c r="AA1089" i="13"/>
  <c r="AB1089" i="13" s="1"/>
  <c r="U1089" i="13"/>
  <c r="AE1088" i="13"/>
  <c r="AA1088" i="13"/>
  <c r="AB1088" i="13" s="1"/>
  <c r="U1088" i="13"/>
  <c r="V1088" i="13" s="1"/>
  <c r="X1088" i="13" s="1"/>
  <c r="AG1088" i="13" s="1"/>
  <c r="AE1087" i="13"/>
  <c r="AA1087" i="13"/>
  <c r="AB1087" i="13" s="1"/>
  <c r="U1087" i="13"/>
  <c r="AE1086" i="13"/>
  <c r="AA1086" i="13"/>
  <c r="AB1086" i="13" s="1"/>
  <c r="U1086" i="13"/>
  <c r="V1086" i="13" s="1"/>
  <c r="X1086" i="13" s="1"/>
  <c r="AG1086" i="13" s="1"/>
  <c r="AE1085" i="13"/>
  <c r="AA1085" i="13"/>
  <c r="AB1085" i="13" s="1"/>
  <c r="U1085" i="13"/>
  <c r="W1085" i="13" s="1"/>
  <c r="AF1085" i="13" s="1"/>
  <c r="AE1084" i="13"/>
  <c r="AA1084" i="13"/>
  <c r="AB1084" i="13" s="1"/>
  <c r="U1084" i="13"/>
  <c r="W1084" i="13" s="1"/>
  <c r="AF1084" i="13" s="1"/>
  <c r="AE1083" i="13"/>
  <c r="AA1083" i="13"/>
  <c r="AB1083" i="13" s="1"/>
  <c r="U1083" i="13"/>
  <c r="W1083" i="13" s="1"/>
  <c r="AF1083" i="13" s="1"/>
  <c r="AE1082" i="13"/>
  <c r="AA1082" i="13"/>
  <c r="AB1082" i="13" s="1"/>
  <c r="U1082" i="13"/>
  <c r="W1082" i="13" s="1"/>
  <c r="AF1082" i="13" s="1"/>
  <c r="AE1081" i="13"/>
  <c r="AA1081" i="13"/>
  <c r="AB1081" i="13" s="1"/>
  <c r="U1081" i="13"/>
  <c r="W1081" i="13" s="1"/>
  <c r="AF1081" i="13" s="1"/>
  <c r="AE1080" i="13"/>
  <c r="AA1080" i="13"/>
  <c r="AB1080" i="13" s="1"/>
  <c r="U1080" i="13"/>
  <c r="V1080" i="13" s="1"/>
  <c r="X1080" i="13" s="1"/>
  <c r="AE1079" i="13"/>
  <c r="AA1079" i="13"/>
  <c r="AB1079" i="13" s="1"/>
  <c r="U1079" i="13"/>
  <c r="W1079" i="13" s="1"/>
  <c r="AF1079" i="13" s="1"/>
  <c r="AE1078" i="13"/>
  <c r="AA1078" i="13"/>
  <c r="AB1078" i="13" s="1"/>
  <c r="U1078" i="13"/>
  <c r="W1078" i="13" s="1"/>
  <c r="AF1078" i="13" s="1"/>
  <c r="AE1077" i="13"/>
  <c r="AA1077" i="13"/>
  <c r="AB1077" i="13" s="1"/>
  <c r="U1077" i="13"/>
  <c r="W1077" i="13" s="1"/>
  <c r="AF1077" i="13" s="1"/>
  <c r="AE1076" i="13"/>
  <c r="AA1076" i="13"/>
  <c r="AB1076" i="13" s="1"/>
  <c r="U1076" i="13"/>
  <c r="W1076" i="13" s="1"/>
  <c r="AF1076" i="13" s="1"/>
  <c r="AE1075" i="13"/>
  <c r="AA1075" i="13"/>
  <c r="AB1075" i="13" s="1"/>
  <c r="U1075" i="13"/>
  <c r="W1075" i="13" s="1"/>
  <c r="AF1075" i="13" s="1"/>
  <c r="AE1074" i="13"/>
  <c r="AA1074" i="13"/>
  <c r="AB1074" i="13" s="1"/>
  <c r="U1074" i="13"/>
  <c r="AE1073" i="13"/>
  <c r="AA1073" i="13"/>
  <c r="AB1073" i="13" s="1"/>
  <c r="U1073" i="13"/>
  <c r="AE1072" i="13"/>
  <c r="AA1072" i="13"/>
  <c r="AB1072" i="13" s="1"/>
  <c r="U1072" i="13"/>
  <c r="V1072" i="13" s="1"/>
  <c r="X1072" i="13" s="1"/>
  <c r="AE1071" i="13"/>
  <c r="AA1071" i="13"/>
  <c r="AB1071" i="13" s="1"/>
  <c r="U1071" i="13"/>
  <c r="W1071" i="13" s="1"/>
  <c r="AF1071" i="13" s="1"/>
  <c r="AE1070" i="13"/>
  <c r="AA1070" i="13"/>
  <c r="AB1070" i="13" s="1"/>
  <c r="U1070" i="13"/>
  <c r="W1070" i="13" s="1"/>
  <c r="AF1070" i="13" s="1"/>
  <c r="AE1069" i="13"/>
  <c r="AA1069" i="13"/>
  <c r="AB1069" i="13" s="1"/>
  <c r="U1069" i="13"/>
  <c r="AE1068" i="13"/>
  <c r="AA1068" i="13"/>
  <c r="AB1068" i="13" s="1"/>
  <c r="U1068" i="13"/>
  <c r="W1068" i="13" s="1"/>
  <c r="AF1068" i="13" s="1"/>
  <c r="AE1067" i="13"/>
  <c r="AA1067" i="13"/>
  <c r="AB1067" i="13" s="1"/>
  <c r="U1067" i="13"/>
  <c r="W1067" i="13" s="1"/>
  <c r="AF1067" i="13" s="1"/>
  <c r="AE1066" i="13"/>
  <c r="AA1066" i="13"/>
  <c r="AB1066" i="13" s="1"/>
  <c r="U1066" i="13"/>
  <c r="V1066" i="13" s="1"/>
  <c r="X1066" i="13" s="1"/>
  <c r="Y1066" i="13" s="1"/>
  <c r="AE1065" i="13"/>
  <c r="AA1065" i="13"/>
  <c r="AB1065" i="13" s="1"/>
  <c r="U1065" i="13"/>
  <c r="W1065" i="13" s="1"/>
  <c r="AF1065" i="13" s="1"/>
  <c r="AE1064" i="13"/>
  <c r="AA1064" i="13"/>
  <c r="AB1064" i="13" s="1"/>
  <c r="U1064" i="13"/>
  <c r="AE1063" i="13"/>
  <c r="AA1063" i="13"/>
  <c r="AB1063" i="13" s="1"/>
  <c r="U1063" i="13"/>
  <c r="AE1062" i="13"/>
  <c r="AA1062" i="13"/>
  <c r="AB1062" i="13" s="1"/>
  <c r="U1062" i="13"/>
  <c r="W1062" i="13" s="1"/>
  <c r="AF1062" i="13" s="1"/>
  <c r="AE1061" i="13"/>
  <c r="AA1061" i="13"/>
  <c r="AB1061" i="13" s="1"/>
  <c r="U1061" i="13"/>
  <c r="W1061" i="13" s="1"/>
  <c r="AF1061" i="13" s="1"/>
  <c r="AE1060" i="13"/>
  <c r="AA1060" i="13"/>
  <c r="AB1060" i="13" s="1"/>
  <c r="U1060" i="13"/>
  <c r="V1060" i="13" s="1"/>
  <c r="X1060" i="13" s="1"/>
  <c r="AE1059" i="13"/>
  <c r="AA1059" i="13"/>
  <c r="AB1059" i="13" s="1"/>
  <c r="U1059" i="13"/>
  <c r="V1059" i="13" s="1"/>
  <c r="X1059" i="13" s="1"/>
  <c r="AG1059" i="13" s="1"/>
  <c r="AE1058" i="13"/>
  <c r="AA1058" i="13"/>
  <c r="AB1058" i="13" s="1"/>
  <c r="U1058" i="13"/>
  <c r="W1058" i="13" s="1"/>
  <c r="AF1058" i="13" s="1"/>
  <c r="AE1057" i="13"/>
  <c r="AA1057" i="13"/>
  <c r="AB1057" i="13" s="1"/>
  <c r="U1057" i="13"/>
  <c r="V1057" i="13" s="1"/>
  <c r="X1057" i="13" s="1"/>
  <c r="AE1056" i="13"/>
  <c r="AA1056" i="13"/>
  <c r="AB1056" i="13" s="1"/>
  <c r="U1056" i="13"/>
  <c r="AE1055" i="13"/>
  <c r="AA1055" i="13"/>
  <c r="AB1055" i="13" s="1"/>
  <c r="U1055" i="13"/>
  <c r="W1055" i="13" s="1"/>
  <c r="AF1055" i="13" s="1"/>
  <c r="AE1054" i="13"/>
  <c r="AA1054" i="13"/>
  <c r="AB1054" i="13" s="1"/>
  <c r="U1054" i="13"/>
  <c r="V1054" i="13" s="1"/>
  <c r="X1054" i="13" s="1"/>
  <c r="Y1054" i="13" s="1"/>
  <c r="AE1053" i="13"/>
  <c r="AA1053" i="13"/>
  <c r="AB1053" i="13" s="1"/>
  <c r="U1053" i="13"/>
  <c r="AE1052" i="13"/>
  <c r="AA1052" i="13"/>
  <c r="AB1052" i="13" s="1"/>
  <c r="U1052" i="13"/>
  <c r="W1052" i="13" s="1"/>
  <c r="AF1052" i="13" s="1"/>
  <c r="AE1051" i="13"/>
  <c r="AA1051" i="13"/>
  <c r="AB1051" i="13" s="1"/>
  <c r="U1051" i="13"/>
  <c r="AE1050" i="13"/>
  <c r="AA1050" i="13"/>
  <c r="AB1050" i="13" s="1"/>
  <c r="U1050" i="13"/>
  <c r="W1050" i="13" s="1"/>
  <c r="AF1050" i="13" s="1"/>
  <c r="AE1049" i="13"/>
  <c r="AA1049" i="13"/>
  <c r="AB1049" i="13" s="1"/>
  <c r="U1049" i="13"/>
  <c r="AE1048" i="13"/>
  <c r="AA1048" i="13"/>
  <c r="AB1048" i="13" s="1"/>
  <c r="U1048" i="13"/>
  <c r="V1048" i="13" s="1"/>
  <c r="X1048" i="13" s="1"/>
  <c r="Y1048" i="13" s="1"/>
  <c r="AE1047" i="13"/>
  <c r="AA1047" i="13"/>
  <c r="AB1047" i="13" s="1"/>
  <c r="U1047" i="13"/>
  <c r="W1047" i="13" s="1"/>
  <c r="AF1047" i="13" s="1"/>
  <c r="AE1046" i="13"/>
  <c r="AA1046" i="13"/>
  <c r="AB1046" i="13" s="1"/>
  <c r="U1046" i="13"/>
  <c r="AE1045" i="13"/>
  <c r="AA1045" i="13"/>
  <c r="AB1045" i="13" s="1"/>
  <c r="U1045" i="13"/>
  <c r="V1045" i="13" s="1"/>
  <c r="X1045" i="13" s="1"/>
  <c r="AE1044" i="13"/>
  <c r="AA1044" i="13"/>
  <c r="AB1044" i="13" s="1"/>
  <c r="U1044" i="13"/>
  <c r="V1044" i="13" s="1"/>
  <c r="X1044" i="13" s="1"/>
  <c r="AG1044" i="13" s="1"/>
  <c r="AE1043" i="13"/>
  <c r="AA1043" i="13"/>
  <c r="AB1043" i="13" s="1"/>
  <c r="U1043" i="13"/>
  <c r="AE1042" i="13"/>
  <c r="AA1042" i="13"/>
  <c r="AB1042" i="13" s="1"/>
  <c r="U1042" i="13"/>
  <c r="W1042" i="13" s="1"/>
  <c r="AF1042" i="13" s="1"/>
  <c r="AE1041" i="13"/>
  <c r="AA1041" i="13"/>
  <c r="AB1041" i="13" s="1"/>
  <c r="U1041" i="13"/>
  <c r="W1041" i="13" s="1"/>
  <c r="AF1041" i="13" s="1"/>
  <c r="AE1040" i="13"/>
  <c r="AA1040" i="13"/>
  <c r="AB1040" i="13" s="1"/>
  <c r="U1040" i="13"/>
  <c r="W1040" i="13" s="1"/>
  <c r="AF1040" i="13" s="1"/>
  <c r="AE1039" i="13"/>
  <c r="AA1039" i="13"/>
  <c r="AB1039" i="13" s="1"/>
  <c r="U1039" i="13"/>
  <c r="V1039" i="13" s="1"/>
  <c r="X1039" i="13" s="1"/>
  <c r="Y1039" i="13" s="1"/>
  <c r="AE1038" i="13"/>
  <c r="AA1038" i="13"/>
  <c r="AB1038" i="13" s="1"/>
  <c r="U1038" i="13"/>
  <c r="AE1037" i="13"/>
  <c r="AA1037" i="13"/>
  <c r="AB1037" i="13" s="1"/>
  <c r="U1037" i="13"/>
  <c r="AE1036" i="13"/>
  <c r="AA1036" i="13"/>
  <c r="AB1036" i="13" s="1"/>
  <c r="U1036" i="13"/>
  <c r="W1036" i="13" s="1"/>
  <c r="AF1036" i="13" s="1"/>
  <c r="AE1035" i="13"/>
  <c r="AA1035" i="13"/>
  <c r="AB1035" i="13" s="1"/>
  <c r="U1035" i="13"/>
  <c r="AE1034" i="13"/>
  <c r="AA1034" i="13"/>
  <c r="AB1034" i="13" s="1"/>
  <c r="U1034" i="13"/>
  <c r="W1034" i="13" s="1"/>
  <c r="AF1034" i="13" s="1"/>
  <c r="AE1033" i="13"/>
  <c r="AA1033" i="13"/>
  <c r="AB1033" i="13" s="1"/>
  <c r="U1033" i="13"/>
  <c r="AE1032" i="13"/>
  <c r="AA1032" i="13"/>
  <c r="AB1032" i="13" s="1"/>
  <c r="U1032" i="13"/>
  <c r="V1032" i="13" s="1"/>
  <c r="X1032" i="13" s="1"/>
  <c r="AE1031" i="13"/>
  <c r="AA1031" i="13"/>
  <c r="AB1031" i="13" s="1"/>
  <c r="U1031" i="13"/>
  <c r="W1031" i="13" s="1"/>
  <c r="AF1031" i="13" s="1"/>
  <c r="AE1030" i="13"/>
  <c r="AA1030" i="13"/>
  <c r="AB1030" i="13" s="1"/>
  <c r="U1030" i="13"/>
  <c r="AE1029" i="13"/>
  <c r="AA1029" i="13"/>
  <c r="AB1029" i="13" s="1"/>
  <c r="U1029" i="13"/>
  <c r="W1029" i="13" s="1"/>
  <c r="AF1029" i="13" s="1"/>
  <c r="AE1028" i="13"/>
  <c r="AA1028" i="13"/>
  <c r="AB1028" i="13" s="1"/>
  <c r="U1028" i="13"/>
  <c r="AE1027" i="13"/>
  <c r="AA1027" i="13"/>
  <c r="AB1027" i="13" s="1"/>
  <c r="U1027" i="13"/>
  <c r="V1027" i="13" s="1"/>
  <c r="X1027" i="13" s="1"/>
  <c r="AE1026" i="13"/>
  <c r="AA1026" i="13"/>
  <c r="AB1026" i="13" s="1"/>
  <c r="U1026" i="13"/>
  <c r="W1026" i="13" s="1"/>
  <c r="AF1026" i="13" s="1"/>
  <c r="AE1025" i="13"/>
  <c r="AA1025" i="13"/>
  <c r="AB1025" i="13" s="1"/>
  <c r="U1025" i="13"/>
  <c r="W1025" i="13" s="1"/>
  <c r="AF1025" i="13" s="1"/>
  <c r="AE1024" i="13"/>
  <c r="AA1024" i="13"/>
  <c r="AB1024" i="13" s="1"/>
  <c r="U1024" i="13"/>
  <c r="W1024" i="13" s="1"/>
  <c r="AF1024" i="13" s="1"/>
  <c r="AE1023" i="13"/>
  <c r="AA1023" i="13"/>
  <c r="AB1023" i="13" s="1"/>
  <c r="U1023" i="13"/>
  <c r="W1023" i="13" s="1"/>
  <c r="AF1023" i="13" s="1"/>
  <c r="AE1022" i="13"/>
  <c r="AA1022" i="13"/>
  <c r="AB1022" i="13" s="1"/>
  <c r="U1022" i="13"/>
  <c r="W1022" i="13" s="1"/>
  <c r="AF1022" i="13" s="1"/>
  <c r="AE1021" i="13"/>
  <c r="AA1021" i="13"/>
  <c r="AB1021" i="13" s="1"/>
  <c r="U1021" i="13"/>
  <c r="V1021" i="13" s="1"/>
  <c r="X1021" i="13" s="1"/>
  <c r="AE1020" i="13"/>
  <c r="AA1020" i="13"/>
  <c r="AB1020" i="13" s="1"/>
  <c r="U1020" i="13"/>
  <c r="W1020" i="13" s="1"/>
  <c r="AF1020" i="13" s="1"/>
  <c r="AE1019" i="13"/>
  <c r="AA1019" i="13"/>
  <c r="AB1019" i="13" s="1"/>
  <c r="U1019" i="13"/>
  <c r="W1019" i="13" s="1"/>
  <c r="AF1019" i="13" s="1"/>
  <c r="AE1018" i="13"/>
  <c r="AA1018" i="13"/>
  <c r="AB1018" i="13" s="1"/>
  <c r="U1018" i="13"/>
  <c r="AE1017" i="13"/>
  <c r="AA1017" i="13"/>
  <c r="AB1017" i="13" s="1"/>
  <c r="U1017" i="13"/>
  <c r="V1017" i="13" s="1"/>
  <c r="X1017" i="13" s="1"/>
  <c r="AE1016" i="13"/>
  <c r="AA1016" i="13"/>
  <c r="AB1016" i="13" s="1"/>
  <c r="U1016" i="13"/>
  <c r="W1016" i="13" s="1"/>
  <c r="AF1016" i="13" s="1"/>
  <c r="AE1015" i="13"/>
  <c r="AA1015" i="13"/>
  <c r="AB1015" i="13" s="1"/>
  <c r="U1015" i="13"/>
  <c r="AE1014" i="13"/>
  <c r="AA1014" i="13"/>
  <c r="AB1014" i="13" s="1"/>
  <c r="U1014" i="13"/>
  <c r="AE1013" i="13"/>
  <c r="AA1013" i="13"/>
  <c r="AB1013" i="13" s="1"/>
  <c r="U1013" i="13"/>
  <c r="W1013" i="13" s="1"/>
  <c r="AF1013" i="13" s="1"/>
  <c r="AE1012" i="13"/>
  <c r="AA1012" i="13"/>
  <c r="AB1012" i="13" s="1"/>
  <c r="U1012" i="13"/>
  <c r="AE1011" i="13"/>
  <c r="AA1011" i="13"/>
  <c r="AB1011" i="13" s="1"/>
  <c r="U1011" i="13"/>
  <c r="W1011" i="13" s="1"/>
  <c r="AF1011" i="13" s="1"/>
  <c r="AE1010" i="13"/>
  <c r="AA1010" i="13"/>
  <c r="AB1010" i="13" s="1"/>
  <c r="U1010" i="13"/>
  <c r="AE1009" i="13"/>
  <c r="AA1009" i="13"/>
  <c r="AB1009" i="13" s="1"/>
  <c r="U1009" i="13"/>
  <c r="AE1008" i="13"/>
  <c r="AA1008" i="13"/>
  <c r="AB1008" i="13" s="1"/>
  <c r="U1008" i="13"/>
  <c r="W1008" i="13" s="1"/>
  <c r="AF1008" i="13" s="1"/>
  <c r="AE1007" i="13"/>
  <c r="AA1007" i="13"/>
  <c r="AB1007" i="13" s="1"/>
  <c r="U1007" i="13"/>
  <c r="W1007" i="13" s="1"/>
  <c r="AF1007" i="13" s="1"/>
  <c r="AE1006" i="13"/>
  <c r="AA1006" i="13"/>
  <c r="AB1006" i="13" s="1"/>
  <c r="U1006" i="13"/>
  <c r="V1006" i="13" s="1"/>
  <c r="X1006" i="13" s="1"/>
  <c r="AE1005" i="13"/>
  <c r="AA1005" i="13"/>
  <c r="AB1005" i="13" s="1"/>
  <c r="U1005" i="13"/>
  <c r="W1005" i="13" s="1"/>
  <c r="AF1005" i="13" s="1"/>
  <c r="AE1004" i="13"/>
  <c r="AA1004" i="13"/>
  <c r="AB1004" i="13" s="1"/>
  <c r="U1004" i="13"/>
  <c r="AE1003" i="13"/>
  <c r="AA1003" i="13"/>
  <c r="AB1003" i="13" s="1"/>
  <c r="U1003" i="13"/>
  <c r="W1003" i="13" s="1"/>
  <c r="AF1003" i="13" s="1"/>
  <c r="AE1002" i="13"/>
  <c r="AA1002" i="13"/>
  <c r="AB1002" i="13" s="1"/>
  <c r="U1002" i="13"/>
  <c r="W1002" i="13" s="1"/>
  <c r="AF1002" i="13" s="1"/>
  <c r="AE1001" i="13"/>
  <c r="AA1001" i="13"/>
  <c r="AB1001" i="13" s="1"/>
  <c r="U1001" i="13"/>
  <c r="W1001" i="13" s="1"/>
  <c r="AF1001" i="13" s="1"/>
  <c r="AE1000" i="13"/>
  <c r="AA1000" i="13"/>
  <c r="AB1000" i="13" s="1"/>
  <c r="U1000" i="13"/>
  <c r="V1000" i="13" s="1"/>
  <c r="X1000" i="13" s="1"/>
  <c r="Y1000" i="13" s="1"/>
  <c r="AE999" i="13"/>
  <c r="AA999" i="13"/>
  <c r="AB999" i="13" s="1"/>
  <c r="U999" i="13"/>
  <c r="W999" i="13" s="1"/>
  <c r="AF999" i="13" s="1"/>
  <c r="AE998" i="13"/>
  <c r="AA998" i="13"/>
  <c r="AB998" i="13" s="1"/>
  <c r="U998" i="13"/>
  <c r="W998" i="13" s="1"/>
  <c r="AF998" i="13" s="1"/>
  <c r="AE997" i="13"/>
  <c r="AA997" i="13"/>
  <c r="AB997" i="13" s="1"/>
  <c r="U997" i="13"/>
  <c r="AE996" i="13"/>
  <c r="AA996" i="13"/>
  <c r="AB996" i="13" s="1"/>
  <c r="U996" i="13"/>
  <c r="V996" i="13" s="1"/>
  <c r="X996" i="13" s="1"/>
  <c r="AG996" i="13" s="1"/>
  <c r="AE995" i="13"/>
  <c r="AA995" i="13"/>
  <c r="AB995" i="13" s="1"/>
  <c r="U995" i="13"/>
  <c r="W995" i="13" s="1"/>
  <c r="AF995" i="13" s="1"/>
  <c r="AE994" i="13"/>
  <c r="AA994" i="13"/>
  <c r="AB994" i="13" s="1"/>
  <c r="U994" i="13"/>
  <c r="AE993" i="13"/>
  <c r="AA993" i="13"/>
  <c r="AB993" i="13" s="1"/>
  <c r="U993" i="13"/>
  <c r="AE992" i="13"/>
  <c r="AA992" i="13"/>
  <c r="AB992" i="13" s="1"/>
  <c r="U992" i="13"/>
  <c r="AE991" i="13"/>
  <c r="AA991" i="13"/>
  <c r="AB991" i="13" s="1"/>
  <c r="U991" i="13"/>
  <c r="AE990" i="13"/>
  <c r="AA990" i="13"/>
  <c r="AB990" i="13" s="1"/>
  <c r="U990" i="13"/>
  <c r="W990" i="13" s="1"/>
  <c r="AF990" i="13" s="1"/>
  <c r="AE989" i="13"/>
  <c r="AA989" i="13"/>
  <c r="AB989" i="13" s="1"/>
  <c r="U989" i="13"/>
  <c r="W989" i="13" s="1"/>
  <c r="AF989" i="13" s="1"/>
  <c r="AE988" i="13"/>
  <c r="AA988" i="13"/>
  <c r="AB988" i="13" s="1"/>
  <c r="U988" i="13"/>
  <c r="V988" i="13" s="1"/>
  <c r="X988" i="13" s="1"/>
  <c r="Y988" i="13" s="1"/>
  <c r="AE987" i="13"/>
  <c r="AA987" i="13"/>
  <c r="AB987" i="13" s="1"/>
  <c r="U987" i="13"/>
  <c r="W987" i="13" s="1"/>
  <c r="AF987" i="13" s="1"/>
  <c r="AE986" i="13"/>
  <c r="AA986" i="13"/>
  <c r="AB986" i="13" s="1"/>
  <c r="U986" i="13"/>
  <c r="W986" i="13" s="1"/>
  <c r="AF986" i="13" s="1"/>
  <c r="AE985" i="13"/>
  <c r="AA985" i="13"/>
  <c r="AB985" i="13" s="1"/>
  <c r="U985" i="13"/>
  <c r="AE984" i="13"/>
  <c r="AA984" i="13"/>
  <c r="AB984" i="13" s="1"/>
  <c r="U984" i="13"/>
  <c r="W984" i="13" s="1"/>
  <c r="AF984" i="13" s="1"/>
  <c r="AE983" i="13"/>
  <c r="AA983" i="13"/>
  <c r="AB983" i="13" s="1"/>
  <c r="U983" i="13"/>
  <c r="W983" i="13" s="1"/>
  <c r="AF983" i="13" s="1"/>
  <c r="AE982" i="13"/>
  <c r="AA982" i="13"/>
  <c r="AB982" i="13" s="1"/>
  <c r="U982" i="13"/>
  <c r="V982" i="13" s="1"/>
  <c r="X982" i="13" s="1"/>
  <c r="Y982" i="13" s="1"/>
  <c r="AE981" i="13"/>
  <c r="AA981" i="13"/>
  <c r="AB981" i="13" s="1"/>
  <c r="U981" i="13"/>
  <c r="W981" i="13" s="1"/>
  <c r="AF981" i="13" s="1"/>
  <c r="AE980" i="13"/>
  <c r="AA980" i="13"/>
  <c r="AB980" i="13" s="1"/>
  <c r="U980" i="13"/>
  <c r="AE979" i="13"/>
  <c r="AA979" i="13"/>
  <c r="AB979" i="13" s="1"/>
  <c r="U979" i="13"/>
  <c r="V979" i="13" s="1"/>
  <c r="X979" i="13" s="1"/>
  <c r="AE978" i="13"/>
  <c r="AA978" i="13"/>
  <c r="AB978" i="13" s="1"/>
  <c r="U978" i="13"/>
  <c r="W978" i="13" s="1"/>
  <c r="AF978" i="13" s="1"/>
  <c r="AE977" i="13"/>
  <c r="AA977" i="13"/>
  <c r="AB977" i="13" s="1"/>
  <c r="U977" i="13"/>
  <c r="W977" i="13" s="1"/>
  <c r="AF977" i="13" s="1"/>
  <c r="AE976" i="13"/>
  <c r="AA976" i="13"/>
  <c r="AB976" i="13" s="1"/>
  <c r="U976" i="13"/>
  <c r="V976" i="13" s="1"/>
  <c r="X976" i="13" s="1"/>
  <c r="AE975" i="13"/>
  <c r="AA975" i="13"/>
  <c r="AB975" i="13" s="1"/>
  <c r="U975" i="13"/>
  <c r="W975" i="13" s="1"/>
  <c r="AF975" i="13" s="1"/>
  <c r="AE974" i="13"/>
  <c r="AA974" i="13"/>
  <c r="AB974" i="13" s="1"/>
  <c r="U974" i="13"/>
  <c r="W974" i="13" s="1"/>
  <c r="AF974" i="13" s="1"/>
  <c r="AE973" i="13"/>
  <c r="AA973" i="13"/>
  <c r="AB973" i="13" s="1"/>
  <c r="U973" i="13"/>
  <c r="V973" i="13" s="1"/>
  <c r="X973" i="13" s="1"/>
  <c r="Y973" i="13" s="1"/>
  <c r="AE972" i="13"/>
  <c r="AA972" i="13"/>
  <c r="AB972" i="13" s="1"/>
  <c r="U972" i="13"/>
  <c r="AE971" i="13"/>
  <c r="AA971" i="13"/>
  <c r="AB971" i="13" s="1"/>
  <c r="U971" i="13"/>
  <c r="AE970" i="13"/>
  <c r="AA970" i="13"/>
  <c r="AB970" i="13" s="1"/>
  <c r="U970" i="13"/>
  <c r="AE969" i="13"/>
  <c r="AA969" i="13"/>
  <c r="AB969" i="13" s="1"/>
  <c r="U969" i="13"/>
  <c r="AE968" i="13"/>
  <c r="AA968" i="13"/>
  <c r="AB968" i="13" s="1"/>
  <c r="U968" i="13"/>
  <c r="W968" i="13" s="1"/>
  <c r="AF968" i="13" s="1"/>
  <c r="AE967" i="13"/>
  <c r="AA967" i="13"/>
  <c r="AB967" i="13" s="1"/>
  <c r="U967" i="13"/>
  <c r="AE966" i="13"/>
  <c r="AA966" i="13"/>
  <c r="AB966" i="13" s="1"/>
  <c r="U966" i="13"/>
  <c r="W966" i="13" s="1"/>
  <c r="AF966" i="13" s="1"/>
  <c r="AE965" i="13"/>
  <c r="AA965" i="13"/>
  <c r="AB965" i="13" s="1"/>
  <c r="U965" i="13"/>
  <c r="AE964" i="13"/>
  <c r="AA964" i="13"/>
  <c r="AB964" i="13" s="1"/>
  <c r="U964" i="13"/>
  <c r="V964" i="13" s="1"/>
  <c r="X964" i="13" s="1"/>
  <c r="Y964" i="13" s="1"/>
  <c r="AE963" i="13"/>
  <c r="AA963" i="13"/>
  <c r="AB963" i="13" s="1"/>
  <c r="U963" i="13"/>
  <c r="W963" i="13" s="1"/>
  <c r="AF963" i="13" s="1"/>
  <c r="AE962" i="13"/>
  <c r="AA962" i="13"/>
  <c r="AB962" i="13" s="1"/>
  <c r="U962" i="13"/>
  <c r="AE961" i="13"/>
  <c r="AA961" i="13"/>
  <c r="AB961" i="13" s="1"/>
  <c r="U961" i="13"/>
  <c r="V961" i="13" s="1"/>
  <c r="X961" i="13" s="1"/>
  <c r="AE960" i="13"/>
  <c r="AA960" i="13"/>
  <c r="AB960" i="13" s="1"/>
  <c r="U960" i="13"/>
  <c r="W960" i="13" s="1"/>
  <c r="AF960" i="13" s="1"/>
  <c r="AE959" i="13"/>
  <c r="AA959" i="13"/>
  <c r="AB959" i="13" s="1"/>
  <c r="U959" i="13"/>
  <c r="AE958" i="13"/>
  <c r="AA958" i="13"/>
  <c r="AB958" i="13" s="1"/>
  <c r="U958" i="13"/>
  <c r="V958" i="13" s="1"/>
  <c r="X958" i="13" s="1"/>
  <c r="AE957" i="13"/>
  <c r="AA957" i="13"/>
  <c r="AB957" i="13" s="1"/>
  <c r="U957" i="13"/>
  <c r="W957" i="13" s="1"/>
  <c r="AF957" i="13" s="1"/>
  <c r="AE956" i="13"/>
  <c r="AA956" i="13"/>
  <c r="AB956" i="13" s="1"/>
  <c r="U956" i="13"/>
  <c r="W956" i="13" s="1"/>
  <c r="AF956" i="13" s="1"/>
  <c r="AE955" i="13"/>
  <c r="AA955" i="13"/>
  <c r="AB955" i="13" s="1"/>
  <c r="U955" i="13"/>
  <c r="V955" i="13" s="1"/>
  <c r="X955" i="13" s="1"/>
  <c r="Y955" i="13" s="1"/>
  <c r="AE954" i="13"/>
  <c r="AA954" i="13"/>
  <c r="AB954" i="13" s="1"/>
  <c r="U954" i="13"/>
  <c r="V954" i="13" s="1"/>
  <c r="X954" i="13" s="1"/>
  <c r="AE953" i="13"/>
  <c r="AA953" i="13"/>
  <c r="AB953" i="13" s="1"/>
  <c r="U953" i="13"/>
  <c r="W953" i="13" s="1"/>
  <c r="AF953" i="13" s="1"/>
  <c r="AE952" i="13"/>
  <c r="AA952" i="13"/>
  <c r="AB952" i="13" s="1"/>
  <c r="U952" i="13"/>
  <c r="V952" i="13" s="1"/>
  <c r="X952" i="13" s="1"/>
  <c r="AE951" i="13"/>
  <c r="AA951" i="13"/>
  <c r="AB951" i="13" s="1"/>
  <c r="U951" i="13"/>
  <c r="V951" i="13" s="1"/>
  <c r="X951" i="13" s="1"/>
  <c r="AE950" i="13"/>
  <c r="AA950" i="13"/>
  <c r="AB950" i="13" s="1"/>
  <c r="U950" i="13"/>
  <c r="W950" i="13" s="1"/>
  <c r="AF950" i="13" s="1"/>
  <c r="AE949" i="13"/>
  <c r="AA949" i="13"/>
  <c r="AB949" i="13" s="1"/>
  <c r="U949" i="13"/>
  <c r="AE948" i="13"/>
  <c r="AA948" i="13"/>
  <c r="AB948" i="13" s="1"/>
  <c r="U948" i="13"/>
  <c r="W948" i="13" s="1"/>
  <c r="AF948" i="13" s="1"/>
  <c r="AE947" i="13"/>
  <c r="AA947" i="13"/>
  <c r="AB947" i="13" s="1"/>
  <c r="U947" i="13"/>
  <c r="W947" i="13" s="1"/>
  <c r="AF947" i="13" s="1"/>
  <c r="AE946" i="13"/>
  <c r="AA946" i="13"/>
  <c r="AB946" i="13" s="1"/>
  <c r="U946" i="13"/>
  <c r="V946" i="13" s="1"/>
  <c r="X946" i="13" s="1"/>
  <c r="Y946" i="13" s="1"/>
  <c r="AE945" i="13"/>
  <c r="AA945" i="13"/>
  <c r="AB945" i="13" s="1"/>
  <c r="U945" i="13"/>
  <c r="W945" i="13" s="1"/>
  <c r="AF945" i="13" s="1"/>
  <c r="AE944" i="13"/>
  <c r="AA944" i="13"/>
  <c r="AB944" i="13" s="1"/>
  <c r="U944" i="13"/>
  <c r="AE943" i="13"/>
  <c r="AA943" i="13"/>
  <c r="AB943" i="13" s="1"/>
  <c r="U943" i="13"/>
  <c r="V943" i="13" s="1"/>
  <c r="X943" i="13" s="1"/>
  <c r="AE942" i="13"/>
  <c r="AA942" i="13"/>
  <c r="AB942" i="13" s="1"/>
  <c r="U942" i="13"/>
  <c r="W942" i="13" s="1"/>
  <c r="AF942" i="13" s="1"/>
  <c r="AE941" i="13"/>
  <c r="AA941" i="13"/>
  <c r="AB941" i="13" s="1"/>
  <c r="U941" i="13"/>
  <c r="W941" i="13" s="1"/>
  <c r="AF941" i="13" s="1"/>
  <c r="AE940" i="13"/>
  <c r="AA940" i="13"/>
  <c r="AB940" i="13" s="1"/>
  <c r="U940" i="13"/>
  <c r="V940" i="13" s="1"/>
  <c r="X940" i="13" s="1"/>
  <c r="AE939" i="13"/>
  <c r="AA939" i="13"/>
  <c r="AB939" i="13" s="1"/>
  <c r="U939" i="13"/>
  <c r="V939" i="13" s="1"/>
  <c r="X939" i="13" s="1"/>
  <c r="AE938" i="13"/>
  <c r="AA938" i="13"/>
  <c r="AB938" i="13" s="1"/>
  <c r="U938" i="13"/>
  <c r="W938" i="13" s="1"/>
  <c r="AF938" i="13" s="1"/>
  <c r="AE937" i="13"/>
  <c r="AA937" i="13"/>
  <c r="AB937" i="13" s="1"/>
  <c r="U937" i="13"/>
  <c r="AE936" i="13"/>
  <c r="AA936" i="13"/>
  <c r="AB936" i="13" s="1"/>
  <c r="U936" i="13"/>
  <c r="W936" i="13" s="1"/>
  <c r="AF936" i="13" s="1"/>
  <c r="AE935" i="13"/>
  <c r="AA935" i="13"/>
  <c r="AB935" i="13" s="1"/>
  <c r="U935" i="13"/>
  <c r="W935" i="13" s="1"/>
  <c r="AF935" i="13" s="1"/>
  <c r="AE934" i="13"/>
  <c r="AA934" i="13"/>
  <c r="AB934" i="13" s="1"/>
  <c r="U934" i="13"/>
  <c r="AE933" i="13"/>
  <c r="AA933" i="13"/>
  <c r="AB933" i="13" s="1"/>
  <c r="U933" i="13"/>
  <c r="AE932" i="13"/>
  <c r="AA932" i="13"/>
  <c r="AB932" i="13" s="1"/>
  <c r="U932" i="13"/>
  <c r="AE931" i="13"/>
  <c r="AA931" i="13"/>
  <c r="AB931" i="13" s="1"/>
  <c r="U931" i="13"/>
  <c r="V931" i="13" s="1"/>
  <c r="X931" i="13" s="1"/>
  <c r="Y931" i="13" s="1"/>
  <c r="AE930" i="13"/>
  <c r="AA930" i="13"/>
  <c r="AB930" i="13" s="1"/>
  <c r="U930" i="13"/>
  <c r="W930" i="13" s="1"/>
  <c r="AF930" i="13" s="1"/>
  <c r="AE929" i="13"/>
  <c r="AA929" i="13"/>
  <c r="AB929" i="13" s="1"/>
  <c r="U929" i="13"/>
  <c r="W929" i="13" s="1"/>
  <c r="AF929" i="13" s="1"/>
  <c r="AE928" i="13"/>
  <c r="AA928" i="13"/>
  <c r="AB928" i="13" s="1"/>
  <c r="U928" i="13"/>
  <c r="AE927" i="13"/>
  <c r="AA927" i="13"/>
  <c r="AB927" i="13" s="1"/>
  <c r="U927" i="13"/>
  <c r="W927" i="13" s="1"/>
  <c r="AF927" i="13" s="1"/>
  <c r="AE926" i="13"/>
  <c r="AA926" i="13"/>
  <c r="AB926" i="13" s="1"/>
  <c r="U926" i="13"/>
  <c r="V926" i="13" s="1"/>
  <c r="X926" i="13" s="1"/>
  <c r="AG926" i="13" s="1"/>
  <c r="AE925" i="13"/>
  <c r="AA925" i="13"/>
  <c r="AB925" i="13" s="1"/>
  <c r="U925" i="13"/>
  <c r="W925" i="13" s="1"/>
  <c r="AF925" i="13" s="1"/>
  <c r="AE924" i="13"/>
  <c r="AA924" i="13"/>
  <c r="AB924" i="13" s="1"/>
  <c r="U924" i="13"/>
  <c r="V924" i="13" s="1"/>
  <c r="X924" i="13" s="1"/>
  <c r="AE923" i="13"/>
  <c r="AA923" i="13"/>
  <c r="AB923" i="13" s="1"/>
  <c r="U923" i="13"/>
  <c r="AE922" i="13"/>
  <c r="AA922" i="13"/>
  <c r="AB922" i="13" s="1"/>
  <c r="U922" i="13"/>
  <c r="AE921" i="13"/>
  <c r="AA921" i="13"/>
  <c r="AB921" i="13" s="1"/>
  <c r="U921" i="13"/>
  <c r="W921" i="13" s="1"/>
  <c r="AF921" i="13" s="1"/>
  <c r="AE920" i="13"/>
  <c r="AA920" i="13"/>
  <c r="AB920" i="13" s="1"/>
  <c r="U920" i="13"/>
  <c r="V920" i="13" s="1"/>
  <c r="X920" i="13" s="1"/>
  <c r="AG920" i="13" s="1"/>
  <c r="AE919" i="13"/>
  <c r="AA919" i="13"/>
  <c r="AB919" i="13" s="1"/>
  <c r="U919" i="13"/>
  <c r="W919" i="13" s="1"/>
  <c r="AF919" i="13" s="1"/>
  <c r="AE918" i="13"/>
  <c r="AA918" i="13"/>
  <c r="AB918" i="13" s="1"/>
  <c r="U918" i="13"/>
  <c r="V918" i="13" s="1"/>
  <c r="X918" i="13" s="1"/>
  <c r="AE917" i="13"/>
  <c r="AA917" i="13"/>
  <c r="AB917" i="13" s="1"/>
  <c r="U917" i="13"/>
  <c r="AE916" i="13"/>
  <c r="AA916" i="13"/>
  <c r="AB916" i="13" s="1"/>
  <c r="U916" i="13"/>
  <c r="AE915" i="13"/>
  <c r="AA915" i="13"/>
  <c r="AB915" i="13" s="1"/>
  <c r="U915" i="13"/>
  <c r="W915" i="13" s="1"/>
  <c r="AF915" i="13" s="1"/>
  <c r="AE914" i="13"/>
  <c r="AA914" i="13"/>
  <c r="AB914" i="13" s="1"/>
  <c r="U914" i="13"/>
  <c r="V914" i="13" s="1"/>
  <c r="X914" i="13" s="1"/>
  <c r="AG914" i="13" s="1"/>
  <c r="AE913" i="13"/>
  <c r="AA913" i="13"/>
  <c r="AB913" i="13" s="1"/>
  <c r="U913" i="13"/>
  <c r="W913" i="13" s="1"/>
  <c r="AF913" i="13" s="1"/>
  <c r="AE912" i="13"/>
  <c r="AA912" i="13"/>
  <c r="AB912" i="13" s="1"/>
  <c r="U912" i="13"/>
  <c r="V912" i="13" s="1"/>
  <c r="X912" i="13" s="1"/>
  <c r="AE911" i="13"/>
  <c r="AA911" i="13"/>
  <c r="AB911" i="13" s="1"/>
  <c r="U911" i="13"/>
  <c r="W911" i="13" s="1"/>
  <c r="AF911" i="13" s="1"/>
  <c r="AE910" i="13"/>
  <c r="AA910" i="13"/>
  <c r="AB910" i="13" s="1"/>
  <c r="U910" i="13"/>
  <c r="AE909" i="13"/>
  <c r="AA909" i="13"/>
  <c r="AB909" i="13" s="1"/>
  <c r="U909" i="13"/>
  <c r="W909" i="13" s="1"/>
  <c r="AF909" i="13" s="1"/>
  <c r="AE908" i="13"/>
  <c r="AA908" i="13"/>
  <c r="AB908" i="13" s="1"/>
  <c r="U908" i="13"/>
  <c r="V908" i="13" s="1"/>
  <c r="X908" i="13" s="1"/>
  <c r="AG908" i="13" s="1"/>
  <c r="AE907" i="13"/>
  <c r="AA907" i="13"/>
  <c r="AB907" i="13" s="1"/>
  <c r="U907" i="13"/>
  <c r="W907" i="13" s="1"/>
  <c r="AF907" i="13" s="1"/>
  <c r="AE906" i="13"/>
  <c r="AA906" i="13"/>
  <c r="AB906" i="13" s="1"/>
  <c r="U906" i="13"/>
  <c r="V906" i="13" s="1"/>
  <c r="X906" i="13" s="1"/>
  <c r="AE905" i="13"/>
  <c r="AA905" i="13"/>
  <c r="AB905" i="13" s="1"/>
  <c r="U905" i="13"/>
  <c r="W905" i="13" s="1"/>
  <c r="AF905" i="13" s="1"/>
  <c r="AE904" i="13"/>
  <c r="AA904" i="13"/>
  <c r="AB904" i="13" s="1"/>
  <c r="U904" i="13"/>
  <c r="AE903" i="13"/>
  <c r="AA903" i="13"/>
  <c r="AB903" i="13" s="1"/>
  <c r="U903" i="13"/>
  <c r="W903" i="13" s="1"/>
  <c r="AF903" i="13" s="1"/>
  <c r="AE902" i="13"/>
  <c r="AA902" i="13"/>
  <c r="AB902" i="13" s="1"/>
  <c r="U902" i="13"/>
  <c r="V902" i="13" s="1"/>
  <c r="X902" i="13" s="1"/>
  <c r="AG902" i="13" s="1"/>
  <c r="AE901" i="13"/>
  <c r="AA901" i="13"/>
  <c r="AB901" i="13" s="1"/>
  <c r="U901" i="13"/>
  <c r="W901" i="13" s="1"/>
  <c r="AF901" i="13" s="1"/>
  <c r="AE900" i="13"/>
  <c r="AA900" i="13"/>
  <c r="AB900" i="13" s="1"/>
  <c r="U900" i="13"/>
  <c r="AE899" i="13"/>
  <c r="AA899" i="13"/>
  <c r="AB899" i="13" s="1"/>
  <c r="U899" i="13"/>
  <c r="W899" i="13" s="1"/>
  <c r="AF899" i="13" s="1"/>
  <c r="AE898" i="13"/>
  <c r="AA898" i="13"/>
  <c r="AB898" i="13" s="1"/>
  <c r="U898" i="13"/>
  <c r="AE897" i="13"/>
  <c r="AA897" i="13"/>
  <c r="AB897" i="13" s="1"/>
  <c r="U897" i="13"/>
  <c r="AE896" i="13"/>
  <c r="AA896" i="13"/>
  <c r="AB896" i="13" s="1"/>
  <c r="U896" i="13"/>
  <c r="AE895" i="13"/>
  <c r="AA895" i="13"/>
  <c r="AB895" i="13" s="1"/>
  <c r="U895" i="13"/>
  <c r="W895" i="13" s="1"/>
  <c r="AF895" i="13" s="1"/>
  <c r="AE894" i="13"/>
  <c r="AA894" i="13"/>
  <c r="AB894" i="13" s="1"/>
  <c r="U894" i="13"/>
  <c r="V894" i="13" s="1"/>
  <c r="X894" i="13" s="1"/>
  <c r="AE893" i="13"/>
  <c r="AA893" i="13"/>
  <c r="AB893" i="13" s="1"/>
  <c r="U893" i="13"/>
  <c r="W893" i="13" s="1"/>
  <c r="AF893" i="13" s="1"/>
  <c r="AE892" i="13"/>
  <c r="AA892" i="13"/>
  <c r="AB892" i="13" s="1"/>
  <c r="U892" i="13"/>
  <c r="AE891" i="13"/>
  <c r="AA891" i="13"/>
  <c r="AB891" i="13" s="1"/>
  <c r="U891" i="13"/>
  <c r="AE890" i="13"/>
  <c r="AA890" i="13"/>
  <c r="AB890" i="13" s="1"/>
  <c r="U890" i="13"/>
  <c r="V890" i="13" s="1"/>
  <c r="X890" i="13" s="1"/>
  <c r="AG890" i="13" s="1"/>
  <c r="AE889" i="13"/>
  <c r="AA889" i="13"/>
  <c r="AB889" i="13" s="1"/>
  <c r="U889" i="13"/>
  <c r="W889" i="13" s="1"/>
  <c r="AF889" i="13" s="1"/>
  <c r="AE888" i="13"/>
  <c r="AA888" i="13"/>
  <c r="AB888" i="13" s="1"/>
  <c r="U888" i="13"/>
  <c r="V888" i="13" s="1"/>
  <c r="X888" i="13" s="1"/>
  <c r="AE887" i="13"/>
  <c r="AA887" i="13"/>
  <c r="AB887" i="13" s="1"/>
  <c r="U887" i="13"/>
  <c r="W887" i="13" s="1"/>
  <c r="AF887" i="13" s="1"/>
  <c r="AE886" i="13"/>
  <c r="AA886" i="13"/>
  <c r="AB886" i="13" s="1"/>
  <c r="U886" i="13"/>
  <c r="AE885" i="13"/>
  <c r="AA885" i="13"/>
  <c r="AB885" i="13" s="1"/>
  <c r="U885" i="13"/>
  <c r="AE884" i="13"/>
  <c r="AA884" i="13"/>
  <c r="AB884" i="13" s="1"/>
  <c r="U884" i="13"/>
  <c r="AE883" i="13"/>
  <c r="AA883" i="13"/>
  <c r="AB883" i="13" s="1"/>
  <c r="U883" i="13"/>
  <c r="AE882" i="13"/>
  <c r="AA882" i="13"/>
  <c r="AB882" i="13" s="1"/>
  <c r="U882" i="13"/>
  <c r="V882" i="13" s="1"/>
  <c r="X882" i="13" s="1"/>
  <c r="AE881" i="13"/>
  <c r="AA881" i="13"/>
  <c r="AB881" i="13" s="1"/>
  <c r="U881" i="13"/>
  <c r="W881" i="13" s="1"/>
  <c r="AF881" i="13" s="1"/>
  <c r="AE880" i="13"/>
  <c r="AA880" i="13"/>
  <c r="AB880" i="13" s="1"/>
  <c r="U880" i="13"/>
  <c r="AE879" i="13"/>
  <c r="AA879" i="13"/>
  <c r="AB879" i="13" s="1"/>
  <c r="U879" i="13"/>
  <c r="W879" i="13" s="1"/>
  <c r="AF879" i="13" s="1"/>
  <c r="AE878" i="13"/>
  <c r="AA878" i="13"/>
  <c r="AB878" i="13" s="1"/>
  <c r="U878" i="13"/>
  <c r="AE877" i="13"/>
  <c r="AA877" i="13"/>
  <c r="AB877" i="13" s="1"/>
  <c r="U877" i="13"/>
  <c r="AE876" i="13"/>
  <c r="AA876" i="13"/>
  <c r="AB876" i="13" s="1"/>
  <c r="U876" i="13"/>
  <c r="AE875" i="13"/>
  <c r="AA875" i="13"/>
  <c r="AB875" i="13" s="1"/>
  <c r="U875" i="13"/>
  <c r="W875" i="13" s="1"/>
  <c r="AF875" i="13" s="1"/>
  <c r="AE874" i="13"/>
  <c r="AA874" i="13"/>
  <c r="AB874" i="13" s="1"/>
  <c r="U874" i="13"/>
  <c r="AE873" i="13"/>
  <c r="AA873" i="13"/>
  <c r="AB873" i="13" s="1"/>
  <c r="U873" i="13"/>
  <c r="V873" i="13" s="1"/>
  <c r="X873" i="13" s="1"/>
  <c r="Y873" i="13" s="1"/>
  <c r="AE872" i="13"/>
  <c r="AA872" i="13"/>
  <c r="AB872" i="13" s="1"/>
  <c r="U872" i="13"/>
  <c r="V872" i="13" s="1"/>
  <c r="X872" i="13" s="1"/>
  <c r="AG872" i="13" s="1"/>
  <c r="AE871" i="13"/>
  <c r="AA871" i="13"/>
  <c r="AB871" i="13" s="1"/>
  <c r="U871" i="13"/>
  <c r="W871" i="13" s="1"/>
  <c r="AF871" i="13" s="1"/>
  <c r="AE870" i="13"/>
  <c r="AA870" i="13"/>
  <c r="AB870" i="13" s="1"/>
  <c r="U870" i="13"/>
  <c r="V870" i="13" s="1"/>
  <c r="X870" i="13" s="1"/>
  <c r="AE869" i="13"/>
  <c r="AA869" i="13"/>
  <c r="AB869" i="13" s="1"/>
  <c r="U869" i="13"/>
  <c r="W869" i="13" s="1"/>
  <c r="AF869" i="13" s="1"/>
  <c r="AE868" i="13"/>
  <c r="AA868" i="13"/>
  <c r="AB868" i="13" s="1"/>
  <c r="U868" i="13"/>
  <c r="AE867" i="13"/>
  <c r="AA867" i="13"/>
  <c r="AB867" i="13" s="1"/>
  <c r="U867" i="13"/>
  <c r="W867" i="13" s="1"/>
  <c r="AF867" i="13" s="1"/>
  <c r="AE866" i="13"/>
  <c r="AA866" i="13"/>
  <c r="AB866" i="13" s="1"/>
  <c r="U866" i="13"/>
  <c r="V866" i="13" s="1"/>
  <c r="X866" i="13" s="1"/>
  <c r="AG866" i="13" s="1"/>
  <c r="AE865" i="13"/>
  <c r="AA865" i="13"/>
  <c r="AB865" i="13" s="1"/>
  <c r="U865" i="13"/>
  <c r="AE864" i="13"/>
  <c r="AA864" i="13"/>
  <c r="AB864" i="13" s="1"/>
  <c r="U864" i="13"/>
  <c r="V864" i="13" s="1"/>
  <c r="X864" i="13" s="1"/>
  <c r="AG864" i="13" s="1"/>
  <c r="AE863" i="13"/>
  <c r="AA863" i="13"/>
  <c r="AB863" i="13" s="1"/>
  <c r="U863" i="13"/>
  <c r="W863" i="13" s="1"/>
  <c r="AF863" i="13" s="1"/>
  <c r="AE862" i="13"/>
  <c r="AA862" i="13"/>
  <c r="AB862" i="13" s="1"/>
  <c r="U862" i="13"/>
  <c r="V862" i="13" s="1"/>
  <c r="X862" i="13" s="1"/>
  <c r="AG862" i="13" s="1"/>
  <c r="AE861" i="13"/>
  <c r="AA861" i="13"/>
  <c r="AB861" i="13" s="1"/>
  <c r="U861" i="13"/>
  <c r="W861" i="13" s="1"/>
  <c r="AF861" i="13" s="1"/>
  <c r="AE860" i="13"/>
  <c r="AA860" i="13"/>
  <c r="AB860" i="13" s="1"/>
  <c r="U860" i="13"/>
  <c r="V860" i="13" s="1"/>
  <c r="X860" i="13" s="1"/>
  <c r="AG860" i="13" s="1"/>
  <c r="AE859" i="13"/>
  <c r="AA859" i="13"/>
  <c r="AB859" i="13" s="1"/>
  <c r="U859" i="13"/>
  <c r="AE858" i="13"/>
  <c r="AA858" i="13"/>
  <c r="AB858" i="13" s="1"/>
  <c r="U858" i="13"/>
  <c r="AE857" i="13"/>
  <c r="AA857" i="13"/>
  <c r="AB857" i="13" s="1"/>
  <c r="U857" i="13"/>
  <c r="AE856" i="13"/>
  <c r="AA856" i="13"/>
  <c r="AB856" i="13" s="1"/>
  <c r="U856" i="13"/>
  <c r="V856" i="13" s="1"/>
  <c r="X856" i="13" s="1"/>
  <c r="AG856" i="13" s="1"/>
  <c r="AE855" i="13"/>
  <c r="AA855" i="13"/>
  <c r="AB855" i="13" s="1"/>
  <c r="U855" i="13"/>
  <c r="W855" i="13" s="1"/>
  <c r="AF855" i="13" s="1"/>
  <c r="AE854" i="13"/>
  <c r="AA854" i="13"/>
  <c r="AB854" i="13" s="1"/>
  <c r="U854" i="13"/>
  <c r="V854" i="13" s="1"/>
  <c r="X854" i="13" s="1"/>
  <c r="AG854" i="13" s="1"/>
  <c r="AE853" i="13"/>
  <c r="AA853" i="13"/>
  <c r="AB853" i="13" s="1"/>
  <c r="U853" i="13"/>
  <c r="W853" i="13" s="1"/>
  <c r="AF853" i="13" s="1"/>
  <c r="AE852" i="13"/>
  <c r="AA852" i="13"/>
  <c r="AB852" i="13" s="1"/>
  <c r="U852" i="13"/>
  <c r="V852" i="13" s="1"/>
  <c r="X852" i="13" s="1"/>
  <c r="AG852" i="13" s="1"/>
  <c r="AE851" i="13"/>
  <c r="AA851" i="13"/>
  <c r="AB851" i="13" s="1"/>
  <c r="U851" i="13"/>
  <c r="AE850" i="13"/>
  <c r="AA850" i="13"/>
  <c r="AB850" i="13" s="1"/>
  <c r="U850" i="13"/>
  <c r="AE849" i="13"/>
  <c r="AA849" i="13"/>
  <c r="AB849" i="13" s="1"/>
  <c r="U849" i="13"/>
  <c r="W849" i="13" s="1"/>
  <c r="AF849" i="13" s="1"/>
  <c r="AE848" i="13"/>
  <c r="AA848" i="13"/>
  <c r="AB848" i="13" s="1"/>
  <c r="U848" i="13"/>
  <c r="V848" i="13" s="1"/>
  <c r="X848" i="13" s="1"/>
  <c r="AG848" i="13" s="1"/>
  <c r="AE847" i="13"/>
  <c r="AA847" i="13"/>
  <c r="AB847" i="13" s="1"/>
  <c r="U847" i="13"/>
  <c r="AE846" i="13"/>
  <c r="AA846" i="13"/>
  <c r="AB846" i="13" s="1"/>
  <c r="U846" i="13"/>
  <c r="V846" i="13" s="1"/>
  <c r="X846" i="13" s="1"/>
  <c r="AG846" i="13" s="1"/>
  <c r="AE845" i="13"/>
  <c r="AA845" i="13"/>
  <c r="AB845" i="13" s="1"/>
  <c r="U845" i="13"/>
  <c r="W845" i="13" s="1"/>
  <c r="AF845" i="13" s="1"/>
  <c r="AE844" i="13"/>
  <c r="AA844" i="13"/>
  <c r="AB844" i="13" s="1"/>
  <c r="U844" i="13"/>
  <c r="V844" i="13" s="1"/>
  <c r="X844" i="13" s="1"/>
  <c r="AG844" i="13" s="1"/>
  <c r="AE843" i="13"/>
  <c r="AA843" i="13"/>
  <c r="AB843" i="13" s="1"/>
  <c r="U843" i="13"/>
  <c r="W843" i="13" s="1"/>
  <c r="AF843" i="13" s="1"/>
  <c r="AE842" i="13"/>
  <c r="AA842" i="13"/>
  <c r="AB842" i="13" s="1"/>
  <c r="U842" i="13"/>
  <c r="V842" i="13" s="1"/>
  <c r="X842" i="13" s="1"/>
  <c r="AG842" i="13" s="1"/>
  <c r="AE841" i="13"/>
  <c r="AA841" i="13"/>
  <c r="AB841" i="13" s="1"/>
  <c r="U841" i="13"/>
  <c r="W841" i="13" s="1"/>
  <c r="AF841" i="13" s="1"/>
  <c r="AE840" i="13"/>
  <c r="AA840" i="13"/>
  <c r="AB840" i="13" s="1"/>
  <c r="U840" i="13"/>
  <c r="V840" i="13" s="1"/>
  <c r="X840" i="13" s="1"/>
  <c r="AG840" i="13" s="1"/>
  <c r="AE839" i="13"/>
  <c r="AA839" i="13"/>
  <c r="AB839" i="13" s="1"/>
  <c r="U839" i="13"/>
  <c r="AE838" i="13"/>
  <c r="AA838" i="13"/>
  <c r="AB838" i="13" s="1"/>
  <c r="U838" i="13"/>
  <c r="AE837" i="13"/>
  <c r="AA837" i="13"/>
  <c r="AB837" i="13" s="1"/>
  <c r="U837" i="13"/>
  <c r="AE836" i="13"/>
  <c r="AA836" i="13"/>
  <c r="AB836" i="13" s="1"/>
  <c r="U836" i="13"/>
  <c r="V836" i="13" s="1"/>
  <c r="X836" i="13" s="1"/>
  <c r="AG836" i="13" s="1"/>
  <c r="AE835" i="13"/>
  <c r="AA835" i="13"/>
  <c r="AB835" i="13" s="1"/>
  <c r="U835" i="13"/>
  <c r="W835" i="13" s="1"/>
  <c r="AF835" i="13" s="1"/>
  <c r="AE834" i="13"/>
  <c r="AA834" i="13"/>
  <c r="AB834" i="13" s="1"/>
  <c r="U834" i="13"/>
  <c r="V834" i="13" s="1"/>
  <c r="X834" i="13" s="1"/>
  <c r="AG834" i="13" s="1"/>
  <c r="AE833" i="13"/>
  <c r="AA833" i="13"/>
  <c r="AB833" i="13" s="1"/>
  <c r="U833" i="13"/>
  <c r="W833" i="13" s="1"/>
  <c r="AF833" i="13" s="1"/>
  <c r="AE832" i="13"/>
  <c r="AA832" i="13"/>
  <c r="AB832" i="13" s="1"/>
  <c r="U832" i="13"/>
  <c r="V832" i="13" s="1"/>
  <c r="X832" i="13" s="1"/>
  <c r="AE831" i="13"/>
  <c r="AA831" i="13"/>
  <c r="AB831" i="13" s="1"/>
  <c r="U831" i="13"/>
  <c r="W831" i="13" s="1"/>
  <c r="AF831" i="13" s="1"/>
  <c r="AE830" i="13"/>
  <c r="AA830" i="13"/>
  <c r="AB830" i="13" s="1"/>
  <c r="U830" i="13"/>
  <c r="W830" i="13" s="1"/>
  <c r="AF830" i="13" s="1"/>
  <c r="AE829" i="13"/>
  <c r="AA829" i="13"/>
  <c r="AB829" i="13" s="1"/>
  <c r="U829" i="13"/>
  <c r="W829" i="13" s="1"/>
  <c r="AF829" i="13" s="1"/>
  <c r="AE828" i="13"/>
  <c r="AA828" i="13"/>
  <c r="AB828" i="13" s="1"/>
  <c r="U828" i="13"/>
  <c r="V828" i="13" s="1"/>
  <c r="X828" i="13" s="1"/>
  <c r="AG828" i="13" s="1"/>
  <c r="AE827" i="13"/>
  <c r="AA827" i="13"/>
  <c r="AB827" i="13" s="1"/>
  <c r="U827" i="13"/>
  <c r="W827" i="13" s="1"/>
  <c r="AF827" i="13" s="1"/>
  <c r="AE826" i="13"/>
  <c r="AA826" i="13"/>
  <c r="AB826" i="13" s="1"/>
  <c r="U826" i="13"/>
  <c r="V826" i="13" s="1"/>
  <c r="X826" i="13" s="1"/>
  <c r="AE825" i="13"/>
  <c r="AA825" i="13"/>
  <c r="AB825" i="13" s="1"/>
  <c r="U825" i="13"/>
  <c r="W825" i="13" s="1"/>
  <c r="AF825" i="13" s="1"/>
  <c r="AE824" i="13"/>
  <c r="AA824" i="13"/>
  <c r="AB824" i="13" s="1"/>
  <c r="U824" i="13"/>
  <c r="W824" i="13" s="1"/>
  <c r="AF824" i="13" s="1"/>
  <c r="AE823" i="13"/>
  <c r="AA823" i="13"/>
  <c r="AB823" i="13" s="1"/>
  <c r="U823" i="13"/>
  <c r="W823" i="13" s="1"/>
  <c r="AF823" i="13" s="1"/>
  <c r="AE822" i="13"/>
  <c r="AA822" i="13"/>
  <c r="AB822" i="13" s="1"/>
  <c r="U822" i="13"/>
  <c r="V822" i="13" s="1"/>
  <c r="X822" i="13" s="1"/>
  <c r="AG822" i="13" s="1"/>
  <c r="AE821" i="13"/>
  <c r="AA821" i="13"/>
  <c r="AB821" i="13" s="1"/>
  <c r="U821" i="13"/>
  <c r="W821" i="13" s="1"/>
  <c r="AF821" i="13" s="1"/>
  <c r="AE820" i="13"/>
  <c r="AA820" i="13"/>
  <c r="AB820" i="13" s="1"/>
  <c r="U820" i="13"/>
  <c r="V820" i="13" s="1"/>
  <c r="X820" i="13" s="1"/>
  <c r="AE819" i="13"/>
  <c r="AA819" i="13"/>
  <c r="AB819" i="13" s="1"/>
  <c r="U819" i="13"/>
  <c r="V819" i="13" s="1"/>
  <c r="X819" i="13" s="1"/>
  <c r="AE818" i="13"/>
  <c r="AA818" i="13"/>
  <c r="AB818" i="13" s="1"/>
  <c r="U818" i="13"/>
  <c r="W818" i="13" s="1"/>
  <c r="AF818" i="13" s="1"/>
  <c r="AE817" i="13"/>
  <c r="AA817" i="13"/>
  <c r="AB817" i="13" s="1"/>
  <c r="U817" i="13"/>
  <c r="W817" i="13" s="1"/>
  <c r="AF817" i="13" s="1"/>
  <c r="AE816" i="13"/>
  <c r="AA816" i="13"/>
  <c r="AB816" i="13" s="1"/>
  <c r="U816" i="13"/>
  <c r="V816" i="13" s="1"/>
  <c r="X816" i="13" s="1"/>
  <c r="AG816" i="13" s="1"/>
  <c r="AE815" i="13"/>
  <c r="AA815" i="13"/>
  <c r="AB815" i="13" s="1"/>
  <c r="U815" i="13"/>
  <c r="W815" i="13" s="1"/>
  <c r="AF815" i="13" s="1"/>
  <c r="AE814" i="13"/>
  <c r="AA814" i="13"/>
  <c r="AB814" i="13" s="1"/>
  <c r="U814" i="13"/>
  <c r="V814" i="13" s="1"/>
  <c r="X814" i="13" s="1"/>
  <c r="AE813" i="13"/>
  <c r="AA813" i="13"/>
  <c r="AB813" i="13" s="1"/>
  <c r="U813" i="13"/>
  <c r="V813" i="13" s="1"/>
  <c r="X813" i="13" s="1"/>
  <c r="Y813" i="13" s="1"/>
  <c r="AE812" i="13"/>
  <c r="AA812" i="13"/>
  <c r="AB812" i="13" s="1"/>
  <c r="U812" i="13"/>
  <c r="W812" i="13" s="1"/>
  <c r="AF812" i="13" s="1"/>
  <c r="AE811" i="13"/>
  <c r="AA811" i="13"/>
  <c r="AB811" i="13" s="1"/>
  <c r="U811" i="13"/>
  <c r="W811" i="13" s="1"/>
  <c r="AF811" i="13" s="1"/>
  <c r="AE810" i="13"/>
  <c r="AA810" i="13"/>
  <c r="AB810" i="13" s="1"/>
  <c r="U810" i="13"/>
  <c r="V810" i="13" s="1"/>
  <c r="X810" i="13" s="1"/>
  <c r="AG810" i="13" s="1"/>
  <c r="AE809" i="13"/>
  <c r="AA809" i="13"/>
  <c r="AB809" i="13" s="1"/>
  <c r="U809" i="13"/>
  <c r="W809" i="13" s="1"/>
  <c r="AF809" i="13" s="1"/>
  <c r="AE808" i="13"/>
  <c r="AA808" i="13"/>
  <c r="AB808" i="13" s="1"/>
  <c r="U808" i="13"/>
  <c r="V808" i="13" s="1"/>
  <c r="X808" i="13" s="1"/>
  <c r="AE807" i="13"/>
  <c r="AA807" i="13"/>
  <c r="AB807" i="13" s="1"/>
  <c r="U807" i="13"/>
  <c r="W807" i="13" s="1"/>
  <c r="AF807" i="13" s="1"/>
  <c r="AE806" i="13"/>
  <c r="AA806" i="13"/>
  <c r="AB806" i="13" s="1"/>
  <c r="U806" i="13"/>
  <c r="W806" i="13" s="1"/>
  <c r="AF806" i="13" s="1"/>
  <c r="AE805" i="13"/>
  <c r="AA805" i="13"/>
  <c r="AB805" i="13" s="1"/>
  <c r="U805" i="13"/>
  <c r="W805" i="13" s="1"/>
  <c r="AF805" i="13" s="1"/>
  <c r="AE804" i="13"/>
  <c r="AA804" i="13"/>
  <c r="AB804" i="13" s="1"/>
  <c r="U804" i="13"/>
  <c r="V804" i="13" s="1"/>
  <c r="X804" i="13" s="1"/>
  <c r="AG804" i="13" s="1"/>
  <c r="AE803" i="13"/>
  <c r="AA803" i="13"/>
  <c r="AB803" i="13" s="1"/>
  <c r="U803" i="13"/>
  <c r="W803" i="13" s="1"/>
  <c r="AF803" i="13" s="1"/>
  <c r="AE802" i="13"/>
  <c r="AA802" i="13"/>
  <c r="AB802" i="13" s="1"/>
  <c r="U802" i="13"/>
  <c r="V802" i="13" s="1"/>
  <c r="X802" i="13" s="1"/>
  <c r="AG802" i="13" s="1"/>
  <c r="AE801" i="13"/>
  <c r="AA801" i="13"/>
  <c r="AB801" i="13" s="1"/>
  <c r="U801" i="13"/>
  <c r="W801" i="13" s="1"/>
  <c r="AF801" i="13" s="1"/>
  <c r="AE800" i="13"/>
  <c r="AA800" i="13"/>
  <c r="AB800" i="13" s="1"/>
  <c r="U800" i="13"/>
  <c r="W800" i="13" s="1"/>
  <c r="AF800" i="13" s="1"/>
  <c r="AE799" i="13"/>
  <c r="AA799" i="13"/>
  <c r="AB799" i="13" s="1"/>
  <c r="U799" i="13"/>
  <c r="W799" i="13" s="1"/>
  <c r="AF799" i="13" s="1"/>
  <c r="AE798" i="13"/>
  <c r="AA798" i="13"/>
  <c r="AB798" i="13" s="1"/>
  <c r="U798" i="13"/>
  <c r="V798" i="13" s="1"/>
  <c r="X798" i="13" s="1"/>
  <c r="AG798" i="13" s="1"/>
  <c r="AE797" i="13"/>
  <c r="AA797" i="13"/>
  <c r="AB797" i="13" s="1"/>
  <c r="U797" i="13"/>
  <c r="W797" i="13" s="1"/>
  <c r="AF797" i="13" s="1"/>
  <c r="AE796" i="13"/>
  <c r="AA796" i="13"/>
  <c r="AB796" i="13" s="1"/>
  <c r="U796" i="13"/>
  <c r="V796" i="13" s="1"/>
  <c r="X796" i="13" s="1"/>
  <c r="AE795" i="13"/>
  <c r="AA795" i="13"/>
  <c r="AB795" i="13" s="1"/>
  <c r="U795" i="13"/>
  <c r="V795" i="13" s="1"/>
  <c r="X795" i="13" s="1"/>
  <c r="AE794" i="13"/>
  <c r="AA794" i="13"/>
  <c r="AB794" i="13" s="1"/>
  <c r="U794" i="13"/>
  <c r="AE793" i="13"/>
  <c r="AA793" i="13"/>
  <c r="AB793" i="13" s="1"/>
  <c r="U793" i="13"/>
  <c r="AE792" i="13"/>
  <c r="AA792" i="13"/>
  <c r="AB792" i="13" s="1"/>
  <c r="U792" i="13"/>
  <c r="AE791" i="13"/>
  <c r="AA791" i="13"/>
  <c r="AB791" i="13" s="1"/>
  <c r="U791" i="13"/>
  <c r="AE790" i="13"/>
  <c r="AA790" i="13"/>
  <c r="AB790" i="13" s="1"/>
  <c r="U790" i="13"/>
  <c r="AE789" i="13"/>
  <c r="AA789" i="13"/>
  <c r="AB789" i="13" s="1"/>
  <c r="U789" i="13"/>
  <c r="V789" i="13" s="1"/>
  <c r="X789" i="13" s="1"/>
  <c r="AG789" i="13" s="1"/>
  <c r="AE788" i="13"/>
  <c r="AA788" i="13"/>
  <c r="AB788" i="13" s="1"/>
  <c r="U788" i="13"/>
  <c r="W788" i="13" s="1"/>
  <c r="AF788" i="13" s="1"/>
  <c r="AE787" i="13"/>
  <c r="AA787" i="13"/>
  <c r="AB787" i="13" s="1"/>
  <c r="U787" i="13"/>
  <c r="AE786" i="13"/>
  <c r="AA786" i="13"/>
  <c r="AB786" i="13" s="1"/>
  <c r="U786" i="13"/>
  <c r="W786" i="13" s="1"/>
  <c r="AF786" i="13" s="1"/>
  <c r="AE785" i="13"/>
  <c r="AA785" i="13"/>
  <c r="AB785" i="13" s="1"/>
  <c r="U785" i="13"/>
  <c r="AE784" i="13"/>
  <c r="AA784" i="13"/>
  <c r="AB784" i="13" s="1"/>
  <c r="U784" i="13"/>
  <c r="AE783" i="13"/>
  <c r="AA783" i="13"/>
  <c r="AB783" i="13" s="1"/>
  <c r="U783" i="13"/>
  <c r="AE782" i="13"/>
  <c r="AA782" i="13"/>
  <c r="AB782" i="13" s="1"/>
  <c r="U782" i="13"/>
  <c r="W782" i="13" s="1"/>
  <c r="AF782" i="13" s="1"/>
  <c r="AE781" i="13"/>
  <c r="AA781" i="13"/>
  <c r="AB781" i="13" s="1"/>
  <c r="U781" i="13"/>
  <c r="W781" i="13" s="1"/>
  <c r="AF781" i="13" s="1"/>
  <c r="AE780" i="13"/>
  <c r="AA780" i="13"/>
  <c r="AB780" i="13" s="1"/>
  <c r="U780" i="13"/>
  <c r="W780" i="13" s="1"/>
  <c r="AF780" i="13" s="1"/>
  <c r="AE779" i="13"/>
  <c r="AA779" i="13"/>
  <c r="AB779" i="13" s="1"/>
  <c r="U779" i="13"/>
  <c r="W779" i="13" s="1"/>
  <c r="AF779" i="13" s="1"/>
  <c r="AE778" i="13"/>
  <c r="AA778" i="13"/>
  <c r="AB778" i="13" s="1"/>
  <c r="U778" i="13"/>
  <c r="V778" i="13" s="1"/>
  <c r="X778" i="13" s="1"/>
  <c r="Y778" i="13" s="1"/>
  <c r="AE777" i="13"/>
  <c r="AA777" i="13"/>
  <c r="AB777" i="13" s="1"/>
  <c r="U777" i="13"/>
  <c r="W777" i="13" s="1"/>
  <c r="AF777" i="13" s="1"/>
  <c r="AE776" i="13"/>
  <c r="AA776" i="13"/>
  <c r="AB776" i="13" s="1"/>
  <c r="U776" i="13"/>
  <c r="AE775" i="13"/>
  <c r="AA775" i="13"/>
  <c r="AB775" i="13" s="1"/>
  <c r="U775" i="13"/>
  <c r="W775" i="13" s="1"/>
  <c r="AF775" i="13" s="1"/>
  <c r="AE774" i="13"/>
  <c r="AA774" i="13"/>
  <c r="AB774" i="13" s="1"/>
  <c r="U774" i="13"/>
  <c r="W774" i="13" s="1"/>
  <c r="AF774" i="13" s="1"/>
  <c r="AE773" i="13"/>
  <c r="AA773" i="13"/>
  <c r="AB773" i="13" s="1"/>
  <c r="U773" i="13"/>
  <c r="W773" i="13" s="1"/>
  <c r="AF773" i="13" s="1"/>
  <c r="AE772" i="13"/>
  <c r="AA772" i="13"/>
  <c r="AB772" i="13" s="1"/>
  <c r="U772" i="13"/>
  <c r="AE771" i="13"/>
  <c r="AA771" i="13"/>
  <c r="AB771" i="13" s="1"/>
  <c r="U771" i="13"/>
  <c r="V771" i="13" s="1"/>
  <c r="X771" i="13" s="1"/>
  <c r="AE770" i="13"/>
  <c r="AA770" i="13"/>
  <c r="AB770" i="13" s="1"/>
  <c r="U770" i="13"/>
  <c r="V770" i="13" s="1"/>
  <c r="X770" i="13" s="1"/>
  <c r="AE769" i="13"/>
  <c r="AA769" i="13"/>
  <c r="AB769" i="13" s="1"/>
  <c r="U769" i="13"/>
  <c r="AE768" i="13"/>
  <c r="AA768" i="13"/>
  <c r="AB768" i="13" s="1"/>
  <c r="U768" i="13"/>
  <c r="W768" i="13" s="1"/>
  <c r="AF768" i="13" s="1"/>
  <c r="AE767" i="13"/>
  <c r="AA767" i="13"/>
  <c r="AB767" i="13" s="1"/>
  <c r="U767" i="13"/>
  <c r="V767" i="13" s="1"/>
  <c r="X767" i="13" s="1"/>
  <c r="AE766" i="13"/>
  <c r="AA766" i="13"/>
  <c r="AB766" i="13" s="1"/>
  <c r="U766" i="13"/>
  <c r="V766" i="13" s="1"/>
  <c r="X766" i="13" s="1"/>
  <c r="AE765" i="13"/>
  <c r="AA765" i="13"/>
  <c r="AB765" i="13" s="1"/>
  <c r="U765" i="13"/>
  <c r="W765" i="13" s="1"/>
  <c r="AF765" i="13" s="1"/>
  <c r="AE764" i="13"/>
  <c r="AA764" i="13"/>
  <c r="AB764" i="13" s="1"/>
  <c r="U764" i="13"/>
  <c r="AE763" i="13"/>
  <c r="AA763" i="13"/>
  <c r="AB763" i="13" s="1"/>
  <c r="U763" i="13"/>
  <c r="W763" i="13" s="1"/>
  <c r="AF763" i="13" s="1"/>
  <c r="AE762" i="13"/>
  <c r="AA762" i="13"/>
  <c r="AB762" i="13" s="1"/>
  <c r="U762" i="13"/>
  <c r="W762" i="13" s="1"/>
  <c r="AF762" i="13" s="1"/>
  <c r="AE761" i="13"/>
  <c r="AA761" i="13"/>
  <c r="AB761" i="13" s="1"/>
  <c r="U761" i="13"/>
  <c r="V761" i="13" s="1"/>
  <c r="X761" i="13" s="1"/>
  <c r="AE760" i="13"/>
  <c r="AA760" i="13"/>
  <c r="AB760" i="13" s="1"/>
  <c r="U760" i="13"/>
  <c r="W760" i="13" s="1"/>
  <c r="AF760" i="13" s="1"/>
  <c r="AE759" i="13"/>
  <c r="AA759" i="13"/>
  <c r="AB759" i="13" s="1"/>
  <c r="U759" i="13"/>
  <c r="W759" i="13" s="1"/>
  <c r="AF759" i="13" s="1"/>
  <c r="AE758" i="13"/>
  <c r="AA758" i="13"/>
  <c r="AB758" i="13" s="1"/>
  <c r="U758" i="13"/>
  <c r="AE757" i="13"/>
  <c r="AA757" i="13"/>
  <c r="AB757" i="13" s="1"/>
  <c r="U757" i="13"/>
  <c r="W757" i="13" s="1"/>
  <c r="AF757" i="13" s="1"/>
  <c r="AE756" i="13"/>
  <c r="AA756" i="13"/>
  <c r="AB756" i="13" s="1"/>
  <c r="U756" i="13"/>
  <c r="V756" i="13" s="1"/>
  <c r="X756" i="13" s="1"/>
  <c r="Y756" i="13" s="1"/>
  <c r="AE755" i="13"/>
  <c r="AA755" i="13"/>
  <c r="AB755" i="13" s="1"/>
  <c r="U755" i="13"/>
  <c r="V755" i="13" s="1"/>
  <c r="X755" i="13" s="1"/>
  <c r="Y755" i="13" s="1"/>
  <c r="AE754" i="13"/>
  <c r="AA754" i="13"/>
  <c r="AB754" i="13" s="1"/>
  <c r="U754" i="13"/>
  <c r="W754" i="13" s="1"/>
  <c r="AF754" i="13" s="1"/>
  <c r="AE753" i="13"/>
  <c r="AA753" i="13"/>
  <c r="AB753" i="13" s="1"/>
  <c r="U753" i="13"/>
  <c r="W753" i="13" s="1"/>
  <c r="AF753" i="13" s="1"/>
  <c r="AE752" i="13"/>
  <c r="AA752" i="13"/>
  <c r="AB752" i="13" s="1"/>
  <c r="U752" i="13"/>
  <c r="AE751" i="13"/>
  <c r="AA751" i="13"/>
  <c r="AB751" i="13" s="1"/>
  <c r="U751" i="13"/>
  <c r="W751" i="13" s="1"/>
  <c r="AF751" i="13" s="1"/>
  <c r="AE750" i="13"/>
  <c r="AA750" i="13"/>
  <c r="AB750" i="13" s="1"/>
  <c r="U750" i="13"/>
  <c r="V750" i="13" s="1"/>
  <c r="X750" i="13" s="1"/>
  <c r="AE749" i="13"/>
  <c r="AA749" i="13"/>
  <c r="AB749" i="13" s="1"/>
  <c r="U749" i="13"/>
  <c r="V749" i="13" s="1"/>
  <c r="X749" i="13" s="1"/>
  <c r="AE748" i="13"/>
  <c r="AA748" i="13"/>
  <c r="AB748" i="13" s="1"/>
  <c r="U748" i="13"/>
  <c r="W748" i="13" s="1"/>
  <c r="AF748" i="13" s="1"/>
  <c r="AE747" i="13"/>
  <c r="AA747" i="13"/>
  <c r="AB747" i="13" s="1"/>
  <c r="U747" i="13"/>
  <c r="W747" i="13" s="1"/>
  <c r="AF747" i="13" s="1"/>
  <c r="AE746" i="13"/>
  <c r="AA746" i="13"/>
  <c r="AB746" i="13" s="1"/>
  <c r="U746" i="13"/>
  <c r="AE745" i="13"/>
  <c r="AA745" i="13"/>
  <c r="AB745" i="13" s="1"/>
  <c r="U745" i="13"/>
  <c r="V745" i="13" s="1"/>
  <c r="X745" i="13" s="1"/>
  <c r="AE744" i="13"/>
  <c r="AA744" i="13"/>
  <c r="AB744" i="13" s="1"/>
  <c r="U744" i="13"/>
  <c r="W744" i="13" s="1"/>
  <c r="AF744" i="13" s="1"/>
  <c r="AE743" i="13"/>
  <c r="AA743" i="13"/>
  <c r="AB743" i="13" s="1"/>
  <c r="U743" i="13"/>
  <c r="W743" i="13" s="1"/>
  <c r="AF743" i="13" s="1"/>
  <c r="AE742" i="13"/>
  <c r="AA742" i="13"/>
  <c r="AB742" i="13" s="1"/>
  <c r="U742" i="13"/>
  <c r="V742" i="13" s="1"/>
  <c r="X742" i="13" s="1"/>
  <c r="AE741" i="13"/>
  <c r="AA741" i="13"/>
  <c r="AB741" i="13" s="1"/>
  <c r="U741" i="13"/>
  <c r="W741" i="13" s="1"/>
  <c r="AF741" i="13" s="1"/>
  <c r="AE740" i="13"/>
  <c r="AA740" i="13"/>
  <c r="AB740" i="13" s="1"/>
  <c r="U740" i="13"/>
  <c r="V740" i="13" s="1"/>
  <c r="X740" i="13" s="1"/>
  <c r="AE739" i="13"/>
  <c r="AA739" i="13"/>
  <c r="AB739" i="13" s="1"/>
  <c r="U739" i="13"/>
  <c r="W739" i="13" s="1"/>
  <c r="AF739" i="13" s="1"/>
  <c r="AE738" i="13"/>
  <c r="AA738" i="13"/>
  <c r="AB738" i="13" s="1"/>
  <c r="U738" i="13"/>
  <c r="W738" i="13" s="1"/>
  <c r="AF738" i="13" s="1"/>
  <c r="AE737" i="13"/>
  <c r="AA737" i="13"/>
  <c r="AB737" i="13" s="1"/>
  <c r="U737" i="13"/>
  <c r="W737" i="13" s="1"/>
  <c r="AF737" i="13" s="1"/>
  <c r="AE736" i="13"/>
  <c r="AA736" i="13"/>
  <c r="AB736" i="13" s="1"/>
  <c r="U736" i="13"/>
  <c r="W736" i="13" s="1"/>
  <c r="AF736" i="13" s="1"/>
  <c r="AE735" i="13"/>
  <c r="AA735" i="13"/>
  <c r="AB735" i="13" s="1"/>
  <c r="U735" i="13"/>
  <c r="W735" i="13" s="1"/>
  <c r="AF735" i="13" s="1"/>
  <c r="AE734" i="13"/>
  <c r="AA734" i="13"/>
  <c r="AB734" i="13" s="1"/>
  <c r="U734" i="13"/>
  <c r="AE733" i="13"/>
  <c r="AA733" i="13"/>
  <c r="AB733" i="13" s="1"/>
  <c r="U733" i="13"/>
  <c r="W733" i="13" s="1"/>
  <c r="AF733" i="13" s="1"/>
  <c r="AE732" i="13"/>
  <c r="AA732" i="13"/>
  <c r="AB732" i="13" s="1"/>
  <c r="U732" i="13"/>
  <c r="V732" i="13" s="1"/>
  <c r="X732" i="13" s="1"/>
  <c r="AE731" i="13"/>
  <c r="AA731" i="13"/>
  <c r="AB731" i="13" s="1"/>
  <c r="U731" i="13"/>
  <c r="W731" i="13" s="1"/>
  <c r="AF731" i="13" s="1"/>
  <c r="AE730" i="13"/>
  <c r="AA730" i="13"/>
  <c r="AB730" i="13" s="1"/>
  <c r="U730" i="13"/>
  <c r="AE729" i="13"/>
  <c r="AA729" i="13"/>
  <c r="AB729" i="13" s="1"/>
  <c r="U729" i="13"/>
  <c r="W729" i="13" s="1"/>
  <c r="AF729" i="13" s="1"/>
  <c r="AE728" i="13"/>
  <c r="AA728" i="13"/>
  <c r="AB728" i="13" s="1"/>
  <c r="U728" i="13"/>
  <c r="V728" i="13" s="1"/>
  <c r="X728" i="13" s="1"/>
  <c r="AE727" i="13"/>
  <c r="AA727" i="13"/>
  <c r="AB727" i="13" s="1"/>
  <c r="U727" i="13"/>
  <c r="W727" i="13" s="1"/>
  <c r="AF727" i="13" s="1"/>
  <c r="AE726" i="13"/>
  <c r="AA726" i="13"/>
  <c r="AB726" i="13" s="1"/>
  <c r="U726" i="13"/>
  <c r="V726" i="13" s="1"/>
  <c r="X726" i="13" s="1"/>
  <c r="AE725" i="13"/>
  <c r="AA725" i="13"/>
  <c r="AB725" i="13" s="1"/>
  <c r="U725" i="13"/>
  <c r="V725" i="13" s="1"/>
  <c r="X725" i="13" s="1"/>
  <c r="AE724" i="13"/>
  <c r="AA724" i="13"/>
  <c r="AB724" i="13" s="1"/>
  <c r="U724" i="13"/>
  <c r="V724" i="13" s="1"/>
  <c r="X724" i="13" s="1"/>
  <c r="AE723" i="13"/>
  <c r="AA723" i="13"/>
  <c r="AB723" i="13" s="1"/>
  <c r="U723" i="13"/>
  <c r="W723" i="13" s="1"/>
  <c r="AF723" i="13" s="1"/>
  <c r="AE722" i="13"/>
  <c r="AA722" i="13"/>
  <c r="AB722" i="13" s="1"/>
  <c r="U722" i="13"/>
  <c r="V722" i="13" s="1"/>
  <c r="X722" i="13" s="1"/>
  <c r="AG722" i="13" s="1"/>
  <c r="AE721" i="13"/>
  <c r="AA721" i="13"/>
  <c r="AB721" i="13" s="1"/>
  <c r="U721" i="13"/>
  <c r="W721" i="13" s="1"/>
  <c r="AF721" i="13" s="1"/>
  <c r="AE720" i="13"/>
  <c r="AA720" i="13"/>
  <c r="AB720" i="13" s="1"/>
  <c r="U720" i="13"/>
  <c r="W720" i="13" s="1"/>
  <c r="AF720" i="13" s="1"/>
  <c r="AE719" i="13"/>
  <c r="AA719" i="13"/>
  <c r="AB719" i="13" s="1"/>
  <c r="U719" i="13"/>
  <c r="W719" i="13" s="1"/>
  <c r="AF719" i="13" s="1"/>
  <c r="AE718" i="13"/>
  <c r="AA718" i="13"/>
  <c r="AB718" i="13" s="1"/>
  <c r="U718" i="13"/>
  <c r="W718" i="13" s="1"/>
  <c r="AF718" i="13" s="1"/>
  <c r="AE717" i="13"/>
  <c r="AA717" i="13"/>
  <c r="AB717" i="13" s="1"/>
  <c r="U717" i="13"/>
  <c r="W717" i="13" s="1"/>
  <c r="AF717" i="13" s="1"/>
  <c r="AE716" i="13"/>
  <c r="AA716" i="13"/>
  <c r="AB716" i="13" s="1"/>
  <c r="U716" i="13"/>
  <c r="V716" i="13" s="1"/>
  <c r="X716" i="13" s="1"/>
  <c r="AE715" i="13"/>
  <c r="AA715" i="13"/>
  <c r="AB715" i="13" s="1"/>
  <c r="U715" i="13"/>
  <c r="W715" i="13" s="1"/>
  <c r="AF715" i="13" s="1"/>
  <c r="AE714" i="13"/>
  <c r="AA714" i="13"/>
  <c r="AB714" i="13" s="1"/>
  <c r="U714" i="13"/>
  <c r="V714" i="13" s="1"/>
  <c r="X714" i="13" s="1"/>
  <c r="AG714" i="13" s="1"/>
  <c r="AE713" i="13"/>
  <c r="AA713" i="13"/>
  <c r="AB713" i="13" s="1"/>
  <c r="U713" i="13"/>
  <c r="W713" i="13" s="1"/>
  <c r="AF713" i="13" s="1"/>
  <c r="AE712" i="13"/>
  <c r="AA712" i="13"/>
  <c r="AB712" i="13" s="1"/>
  <c r="U712" i="13"/>
  <c r="V712" i="13" s="1"/>
  <c r="X712" i="13" s="1"/>
  <c r="AE711" i="13"/>
  <c r="AA711" i="13"/>
  <c r="AB711" i="13" s="1"/>
  <c r="U711" i="13"/>
  <c r="W711" i="13" s="1"/>
  <c r="AF711" i="13" s="1"/>
  <c r="AE710" i="13"/>
  <c r="AA710" i="13"/>
  <c r="AB710" i="13" s="1"/>
  <c r="U710" i="13"/>
  <c r="V710" i="13" s="1"/>
  <c r="X710" i="13" s="1"/>
  <c r="AE709" i="13"/>
  <c r="AA709" i="13"/>
  <c r="AB709" i="13" s="1"/>
  <c r="U709" i="13"/>
  <c r="W709" i="13" s="1"/>
  <c r="AF709" i="13" s="1"/>
  <c r="AE708" i="13"/>
  <c r="AA708" i="13"/>
  <c r="AB708" i="13" s="1"/>
  <c r="U708" i="13"/>
  <c r="V708" i="13" s="1"/>
  <c r="X708" i="13" s="1"/>
  <c r="AE707" i="13"/>
  <c r="AA707" i="13"/>
  <c r="AB707" i="13" s="1"/>
  <c r="U707" i="13"/>
  <c r="V707" i="13" s="1"/>
  <c r="X707" i="13" s="1"/>
  <c r="AE706" i="13"/>
  <c r="AA706" i="13"/>
  <c r="AB706" i="13" s="1"/>
  <c r="U706" i="13"/>
  <c r="V706" i="13" s="1"/>
  <c r="X706" i="13" s="1"/>
  <c r="AE705" i="13"/>
  <c r="AA705" i="13"/>
  <c r="AB705" i="13" s="1"/>
  <c r="U705" i="13"/>
  <c r="W705" i="13" s="1"/>
  <c r="AF705" i="13" s="1"/>
  <c r="AE704" i="13"/>
  <c r="AA704" i="13"/>
  <c r="AB704" i="13" s="1"/>
  <c r="U704" i="13"/>
  <c r="AE703" i="13"/>
  <c r="AA703" i="13"/>
  <c r="AB703" i="13" s="1"/>
  <c r="U703" i="13"/>
  <c r="W703" i="13" s="1"/>
  <c r="AF703" i="13" s="1"/>
  <c r="AE702" i="13"/>
  <c r="AA702" i="13"/>
  <c r="AB702" i="13" s="1"/>
  <c r="U702" i="13"/>
  <c r="AE701" i="13"/>
  <c r="AA701" i="13"/>
  <c r="AB701" i="13" s="1"/>
  <c r="U701" i="13"/>
  <c r="V701" i="13" s="1"/>
  <c r="X701" i="13" s="1"/>
  <c r="AE700" i="13"/>
  <c r="AA700" i="13"/>
  <c r="AB700" i="13" s="1"/>
  <c r="U700" i="13"/>
  <c r="AE699" i="13"/>
  <c r="AA699" i="13"/>
  <c r="AB699" i="13" s="1"/>
  <c r="U699" i="13"/>
  <c r="W699" i="13" s="1"/>
  <c r="AF699" i="13" s="1"/>
  <c r="AE698" i="13"/>
  <c r="AA698" i="13"/>
  <c r="AB698" i="13" s="1"/>
  <c r="U698" i="13"/>
  <c r="V698" i="13" s="1"/>
  <c r="X698" i="13" s="1"/>
  <c r="AE697" i="13"/>
  <c r="AA697" i="13"/>
  <c r="AB697" i="13" s="1"/>
  <c r="U697" i="13"/>
  <c r="V697" i="13" s="1"/>
  <c r="X697" i="13" s="1"/>
  <c r="AE696" i="13"/>
  <c r="AA696" i="13"/>
  <c r="AB696" i="13" s="1"/>
  <c r="U696" i="13"/>
  <c r="V696" i="13" s="1"/>
  <c r="X696" i="13" s="1"/>
  <c r="AG696" i="13" s="1"/>
  <c r="AE695" i="13"/>
  <c r="AA695" i="13"/>
  <c r="AB695" i="13" s="1"/>
  <c r="U695" i="13"/>
  <c r="W695" i="13" s="1"/>
  <c r="AF695" i="13" s="1"/>
  <c r="AE694" i="13"/>
  <c r="AA694" i="13"/>
  <c r="AB694" i="13" s="1"/>
  <c r="U694" i="13"/>
  <c r="V694" i="13" s="1"/>
  <c r="X694" i="13" s="1"/>
  <c r="AG694" i="13" s="1"/>
  <c r="AE693" i="13"/>
  <c r="AA693" i="13"/>
  <c r="AB693" i="13" s="1"/>
  <c r="U693" i="13"/>
  <c r="W693" i="13" s="1"/>
  <c r="AF693" i="13" s="1"/>
  <c r="AE692" i="13"/>
  <c r="AA692" i="13"/>
  <c r="AB692" i="13" s="1"/>
  <c r="U692" i="13"/>
  <c r="V692" i="13" s="1"/>
  <c r="X692" i="13" s="1"/>
  <c r="AG692" i="13" s="1"/>
  <c r="AE691" i="13"/>
  <c r="AA691" i="13"/>
  <c r="AB691" i="13" s="1"/>
  <c r="U691" i="13"/>
  <c r="W691" i="13" s="1"/>
  <c r="AF691" i="13" s="1"/>
  <c r="AE690" i="13"/>
  <c r="AA690" i="13"/>
  <c r="AB690" i="13" s="1"/>
  <c r="U690" i="13"/>
  <c r="V690" i="13" s="1"/>
  <c r="X690" i="13" s="1"/>
  <c r="AE689" i="13"/>
  <c r="AA689" i="13"/>
  <c r="AB689" i="13" s="1"/>
  <c r="U689" i="13"/>
  <c r="AE688" i="13"/>
  <c r="AA688" i="13"/>
  <c r="AB688" i="13" s="1"/>
  <c r="U688" i="13"/>
  <c r="W688" i="13" s="1"/>
  <c r="AF688" i="13" s="1"/>
  <c r="AE687" i="13"/>
  <c r="AA687" i="13"/>
  <c r="AB687" i="13" s="1"/>
  <c r="U687" i="13"/>
  <c r="AE686" i="13"/>
  <c r="AA686" i="13"/>
  <c r="AB686" i="13" s="1"/>
  <c r="U686" i="13"/>
  <c r="AE685" i="13"/>
  <c r="AA685" i="13"/>
  <c r="AB685" i="13" s="1"/>
  <c r="U685" i="13"/>
  <c r="AE684" i="13"/>
  <c r="AA684" i="13"/>
  <c r="AB684" i="13" s="1"/>
  <c r="U684" i="13"/>
  <c r="W684" i="13" s="1"/>
  <c r="AF684" i="13" s="1"/>
  <c r="AE683" i="13"/>
  <c r="AA683" i="13"/>
  <c r="AB683" i="13" s="1"/>
  <c r="U683" i="13"/>
  <c r="W683" i="13" s="1"/>
  <c r="AF683" i="13" s="1"/>
  <c r="AE682" i="13"/>
  <c r="AA682" i="13"/>
  <c r="AB682" i="13" s="1"/>
  <c r="U682" i="13"/>
  <c r="W682" i="13" s="1"/>
  <c r="AF682" i="13" s="1"/>
  <c r="AE681" i="13"/>
  <c r="AA681" i="13"/>
  <c r="AB681" i="13" s="1"/>
  <c r="U681" i="13"/>
  <c r="W681" i="13" s="1"/>
  <c r="AF681" i="13" s="1"/>
  <c r="AE680" i="13"/>
  <c r="AA680" i="13"/>
  <c r="AB680" i="13" s="1"/>
  <c r="U680" i="13"/>
  <c r="V680" i="13" s="1"/>
  <c r="X680" i="13" s="1"/>
  <c r="Y680" i="13" s="1"/>
  <c r="AE679" i="13"/>
  <c r="AA679" i="13"/>
  <c r="AB679" i="13" s="1"/>
  <c r="U679" i="13"/>
  <c r="AE678" i="13"/>
  <c r="AA678" i="13"/>
  <c r="AB678" i="13" s="1"/>
  <c r="U678" i="13"/>
  <c r="V678" i="13" s="1"/>
  <c r="X678" i="13" s="1"/>
  <c r="AE677" i="13"/>
  <c r="AA677" i="13"/>
  <c r="AB677" i="13" s="1"/>
  <c r="U677" i="13"/>
  <c r="V677" i="13" s="1"/>
  <c r="X677" i="13" s="1"/>
  <c r="Y677" i="13" s="1"/>
  <c r="AE676" i="13"/>
  <c r="AA676" i="13"/>
  <c r="AB676" i="13" s="1"/>
  <c r="U676" i="13"/>
  <c r="AE675" i="13"/>
  <c r="AA675" i="13"/>
  <c r="AB675" i="13" s="1"/>
  <c r="U675" i="13"/>
  <c r="W675" i="13" s="1"/>
  <c r="AF675" i="13" s="1"/>
  <c r="AE674" i="13"/>
  <c r="AA674" i="13"/>
  <c r="AB674" i="13" s="1"/>
  <c r="U674" i="13"/>
  <c r="AE673" i="13"/>
  <c r="AA673" i="13"/>
  <c r="AB673" i="13" s="1"/>
  <c r="U673" i="13"/>
  <c r="W673" i="13" s="1"/>
  <c r="AF673" i="13" s="1"/>
  <c r="AE672" i="13"/>
  <c r="AA672" i="13"/>
  <c r="AB672" i="13" s="1"/>
  <c r="U672" i="13"/>
  <c r="V672" i="13" s="1"/>
  <c r="X672" i="13" s="1"/>
  <c r="AE671" i="13"/>
  <c r="AA671" i="13"/>
  <c r="AB671" i="13" s="1"/>
  <c r="U671" i="13"/>
  <c r="AE670" i="13"/>
  <c r="AA670" i="13"/>
  <c r="AB670" i="13" s="1"/>
  <c r="U670" i="13"/>
  <c r="V670" i="13" s="1"/>
  <c r="X670" i="13" s="1"/>
  <c r="AG670" i="13" s="1"/>
  <c r="AE669" i="13"/>
  <c r="AA669" i="13"/>
  <c r="AB669" i="13" s="1"/>
  <c r="U669" i="13"/>
  <c r="AE668" i="13"/>
  <c r="AA668" i="13"/>
  <c r="AB668" i="13" s="1"/>
  <c r="U668" i="13"/>
  <c r="AE667" i="13"/>
  <c r="AA667" i="13"/>
  <c r="AB667" i="13" s="1"/>
  <c r="U667" i="13"/>
  <c r="AE666" i="13"/>
  <c r="AA666" i="13"/>
  <c r="AB666" i="13" s="1"/>
  <c r="U666" i="13"/>
  <c r="W666" i="13" s="1"/>
  <c r="AF666" i="13" s="1"/>
  <c r="AE665" i="13"/>
  <c r="AA665" i="13"/>
  <c r="AB665" i="13" s="1"/>
  <c r="U665" i="13"/>
  <c r="V665" i="13" s="1"/>
  <c r="X665" i="13" s="1"/>
  <c r="AE664" i="13"/>
  <c r="AA664" i="13"/>
  <c r="AB664" i="13" s="1"/>
  <c r="U664" i="13"/>
  <c r="W664" i="13" s="1"/>
  <c r="AF664" i="13" s="1"/>
  <c r="AE663" i="13"/>
  <c r="AA663" i="13"/>
  <c r="AB663" i="13" s="1"/>
  <c r="U663" i="13"/>
  <c r="W663" i="13" s="1"/>
  <c r="AF663" i="13" s="1"/>
  <c r="AE662" i="13"/>
  <c r="AA662" i="13"/>
  <c r="AB662" i="13" s="1"/>
  <c r="U662" i="13"/>
  <c r="V662" i="13" s="1"/>
  <c r="X662" i="13" s="1"/>
  <c r="Y662" i="13" s="1"/>
  <c r="AE661" i="13"/>
  <c r="AA661" i="13"/>
  <c r="AB661" i="13" s="1"/>
  <c r="U661" i="13"/>
  <c r="W661" i="13" s="1"/>
  <c r="AF661" i="13" s="1"/>
  <c r="AE660" i="13"/>
  <c r="AA660" i="13"/>
  <c r="AB660" i="13" s="1"/>
  <c r="U660" i="13"/>
  <c r="V660" i="13" s="1"/>
  <c r="X660" i="13" s="1"/>
  <c r="AE659" i="13"/>
  <c r="AA659" i="13"/>
  <c r="AB659" i="13" s="1"/>
  <c r="U659" i="13"/>
  <c r="W659" i="13" s="1"/>
  <c r="AF659" i="13" s="1"/>
  <c r="AE658" i="13"/>
  <c r="AA658" i="13"/>
  <c r="AB658" i="13" s="1"/>
  <c r="U658" i="13"/>
  <c r="V658" i="13" s="1"/>
  <c r="X658" i="13" s="1"/>
  <c r="AG658" i="13" s="1"/>
  <c r="AE657" i="13"/>
  <c r="AA657" i="13"/>
  <c r="AB657" i="13" s="1"/>
  <c r="U657" i="13"/>
  <c r="W657" i="13" s="1"/>
  <c r="AF657" i="13" s="1"/>
  <c r="AE656" i="13"/>
  <c r="AA656" i="13"/>
  <c r="AB656" i="13" s="1"/>
  <c r="U656" i="13"/>
  <c r="AE655" i="13"/>
  <c r="AA655" i="13"/>
  <c r="AB655" i="13" s="1"/>
  <c r="U655" i="13"/>
  <c r="AE654" i="13"/>
  <c r="AA654" i="13"/>
  <c r="AB654" i="13" s="1"/>
  <c r="U654" i="13"/>
  <c r="V654" i="13" s="1"/>
  <c r="X654" i="13" s="1"/>
  <c r="AE653" i="13"/>
  <c r="AA653" i="13"/>
  <c r="AB653" i="13" s="1"/>
  <c r="U653" i="13"/>
  <c r="AE652" i="13"/>
  <c r="AA652" i="13"/>
  <c r="AB652" i="13" s="1"/>
  <c r="U652" i="13"/>
  <c r="W652" i="13" s="1"/>
  <c r="AF652" i="13" s="1"/>
  <c r="AE651" i="13"/>
  <c r="AA651" i="13"/>
  <c r="AB651" i="13" s="1"/>
  <c r="U651" i="13"/>
  <c r="AE650" i="13"/>
  <c r="AA650" i="13"/>
  <c r="AB650" i="13" s="1"/>
  <c r="U650" i="13"/>
  <c r="V650" i="13" s="1"/>
  <c r="X650" i="13" s="1"/>
  <c r="AE649" i="13"/>
  <c r="AA649" i="13"/>
  <c r="AB649" i="13" s="1"/>
  <c r="U649" i="13"/>
  <c r="W649" i="13" s="1"/>
  <c r="AF649" i="13" s="1"/>
  <c r="AE648" i="13"/>
  <c r="AA648" i="13"/>
  <c r="AB648" i="13" s="1"/>
  <c r="U648" i="13"/>
  <c r="AE647" i="13"/>
  <c r="AA647" i="13"/>
  <c r="AB647" i="13" s="1"/>
  <c r="U647" i="13"/>
  <c r="V647" i="13" s="1"/>
  <c r="X647" i="13" s="1"/>
  <c r="AE646" i="13"/>
  <c r="AA646" i="13"/>
  <c r="AB646" i="13" s="1"/>
  <c r="U646" i="13"/>
  <c r="W646" i="13" s="1"/>
  <c r="AF646" i="13" s="1"/>
  <c r="AE645" i="13"/>
  <c r="AA645" i="13"/>
  <c r="AB645" i="13" s="1"/>
  <c r="U645" i="13"/>
  <c r="W645" i="13" s="1"/>
  <c r="AF645" i="13" s="1"/>
  <c r="AE644" i="13"/>
  <c r="AA644" i="13"/>
  <c r="AB644" i="13" s="1"/>
  <c r="U644" i="13"/>
  <c r="W644" i="13" s="1"/>
  <c r="AF644" i="13" s="1"/>
  <c r="AE643" i="13"/>
  <c r="AA643" i="13"/>
  <c r="AB643" i="13" s="1"/>
  <c r="U643" i="13"/>
  <c r="V643" i="13" s="1"/>
  <c r="X643" i="13" s="1"/>
  <c r="AE642" i="13"/>
  <c r="AA642" i="13"/>
  <c r="AB642" i="13" s="1"/>
  <c r="U642" i="13"/>
  <c r="W642" i="13" s="1"/>
  <c r="AF642" i="13" s="1"/>
  <c r="AE641" i="13"/>
  <c r="AA641" i="13"/>
  <c r="AB641" i="13" s="1"/>
  <c r="U641" i="13"/>
  <c r="V641" i="13" s="1"/>
  <c r="X641" i="13" s="1"/>
  <c r="AE640" i="13"/>
  <c r="AA640" i="13"/>
  <c r="AB640" i="13" s="1"/>
  <c r="U640" i="13"/>
  <c r="W640" i="13" s="1"/>
  <c r="AF640" i="13" s="1"/>
  <c r="AE639" i="13"/>
  <c r="AA639" i="13"/>
  <c r="AB639" i="13" s="1"/>
  <c r="U639" i="13"/>
  <c r="W639" i="13" s="1"/>
  <c r="AF639" i="13" s="1"/>
  <c r="AE638" i="13"/>
  <c r="AA638" i="13"/>
  <c r="AB638" i="13" s="1"/>
  <c r="U638" i="13"/>
  <c r="V638" i="13" s="1"/>
  <c r="X638" i="13" s="1"/>
  <c r="AE637" i="13"/>
  <c r="AA637" i="13"/>
  <c r="AB637" i="13" s="1"/>
  <c r="U637" i="13"/>
  <c r="W637" i="13" s="1"/>
  <c r="AF637" i="13" s="1"/>
  <c r="AE636" i="13"/>
  <c r="AA636" i="13"/>
  <c r="AB636" i="13" s="1"/>
  <c r="U636" i="13"/>
  <c r="W636" i="13" s="1"/>
  <c r="AF636" i="13" s="1"/>
  <c r="AE635" i="13"/>
  <c r="AA635" i="13"/>
  <c r="AB635" i="13" s="1"/>
  <c r="U635" i="13"/>
  <c r="V635" i="13" s="1"/>
  <c r="X635" i="13" s="1"/>
  <c r="AE634" i="13"/>
  <c r="AA634" i="13"/>
  <c r="AB634" i="13" s="1"/>
  <c r="U634" i="13"/>
  <c r="W634" i="13" s="1"/>
  <c r="AF634" i="13" s="1"/>
  <c r="AE633" i="13"/>
  <c r="AA633" i="13"/>
  <c r="AB633" i="13" s="1"/>
  <c r="U633" i="13"/>
  <c r="W633" i="13" s="1"/>
  <c r="AF633" i="13" s="1"/>
  <c r="AE632" i="13"/>
  <c r="AA632" i="13"/>
  <c r="AB632" i="13" s="1"/>
  <c r="U632" i="13"/>
  <c r="W632" i="13" s="1"/>
  <c r="AF632" i="13" s="1"/>
  <c r="AE631" i="13"/>
  <c r="AA631" i="13"/>
  <c r="AB631" i="13" s="1"/>
  <c r="U631" i="13"/>
  <c r="W631" i="13" s="1"/>
  <c r="AF631" i="13" s="1"/>
  <c r="AE630" i="13"/>
  <c r="AA630" i="13"/>
  <c r="AB630" i="13" s="1"/>
  <c r="U630" i="13"/>
  <c r="W630" i="13" s="1"/>
  <c r="AF630" i="13" s="1"/>
  <c r="AE629" i="13"/>
  <c r="AA629" i="13"/>
  <c r="AB629" i="13" s="1"/>
  <c r="U629" i="13"/>
  <c r="V629" i="13" s="1"/>
  <c r="X629" i="13" s="1"/>
  <c r="Y629" i="13" s="1"/>
  <c r="AE628" i="13"/>
  <c r="AA628" i="13"/>
  <c r="AB628" i="13" s="1"/>
  <c r="U628" i="13"/>
  <c r="W628" i="13" s="1"/>
  <c r="AF628" i="13" s="1"/>
  <c r="AE627" i="13"/>
  <c r="AA627" i="13"/>
  <c r="AB627" i="13" s="1"/>
  <c r="U627" i="13"/>
  <c r="V627" i="13" s="1"/>
  <c r="X627" i="13" s="1"/>
  <c r="AE626" i="13"/>
  <c r="AA626" i="13"/>
  <c r="AB626" i="13" s="1"/>
  <c r="U626" i="13"/>
  <c r="AE625" i="13"/>
  <c r="AA625" i="13"/>
  <c r="AB625" i="13" s="1"/>
  <c r="U625" i="13"/>
  <c r="V625" i="13" s="1"/>
  <c r="X625" i="13" s="1"/>
  <c r="AE624" i="13"/>
  <c r="AA624" i="13"/>
  <c r="AB624" i="13" s="1"/>
  <c r="U624" i="13"/>
  <c r="W624" i="13" s="1"/>
  <c r="AF624" i="13" s="1"/>
  <c r="AE623" i="13"/>
  <c r="AA623" i="13"/>
  <c r="AB623" i="13" s="1"/>
  <c r="U623" i="13"/>
  <c r="V623" i="13" s="1"/>
  <c r="X623" i="13" s="1"/>
  <c r="AE622" i="13"/>
  <c r="AA622" i="13"/>
  <c r="AB622" i="13" s="1"/>
  <c r="U622" i="13"/>
  <c r="AE621" i="13"/>
  <c r="AA621" i="13"/>
  <c r="AB621" i="13" s="1"/>
  <c r="U621" i="13"/>
  <c r="W621" i="13" s="1"/>
  <c r="AF621" i="13" s="1"/>
  <c r="AE620" i="13"/>
  <c r="AA620" i="13"/>
  <c r="AB620" i="13" s="1"/>
  <c r="U620" i="13"/>
  <c r="V620" i="13" s="1"/>
  <c r="X620" i="13" s="1"/>
  <c r="AE619" i="13"/>
  <c r="AA619" i="13"/>
  <c r="AB619" i="13" s="1"/>
  <c r="U619" i="13"/>
  <c r="W619" i="13" s="1"/>
  <c r="AF619" i="13" s="1"/>
  <c r="AE618" i="13"/>
  <c r="AA618" i="13"/>
  <c r="AB618" i="13" s="1"/>
  <c r="U618" i="13"/>
  <c r="W618" i="13" s="1"/>
  <c r="AF618" i="13" s="1"/>
  <c r="AE617" i="13"/>
  <c r="AA617" i="13"/>
  <c r="AB617" i="13" s="1"/>
  <c r="U617" i="13"/>
  <c r="V617" i="13" s="1"/>
  <c r="X617" i="13" s="1"/>
  <c r="AE616" i="13"/>
  <c r="AA616" i="13"/>
  <c r="AB616" i="13" s="1"/>
  <c r="U616" i="13"/>
  <c r="AE615" i="13"/>
  <c r="AA615" i="13"/>
  <c r="AB615" i="13" s="1"/>
  <c r="U615" i="13"/>
  <c r="W615" i="13" s="1"/>
  <c r="AF615" i="13" s="1"/>
  <c r="AE614" i="13"/>
  <c r="AA614" i="13"/>
  <c r="AB614" i="13" s="1"/>
  <c r="U614" i="13"/>
  <c r="W614" i="13" s="1"/>
  <c r="AF614" i="13" s="1"/>
  <c r="AE613" i="13"/>
  <c r="AA613" i="13"/>
  <c r="AB613" i="13" s="1"/>
  <c r="U613" i="13"/>
  <c r="W613" i="13" s="1"/>
  <c r="AF613" i="13" s="1"/>
  <c r="AE612" i="13"/>
  <c r="AA612" i="13"/>
  <c r="AB612" i="13" s="1"/>
  <c r="U612" i="13"/>
  <c r="W612" i="13" s="1"/>
  <c r="AF612" i="13" s="1"/>
  <c r="AE611" i="13"/>
  <c r="AA611" i="13"/>
  <c r="AB611" i="13" s="1"/>
  <c r="U611" i="13"/>
  <c r="V611" i="13" s="1"/>
  <c r="X611" i="13" s="1"/>
  <c r="Y611" i="13" s="1"/>
  <c r="AE610" i="13"/>
  <c r="AA610" i="13"/>
  <c r="AB610" i="13" s="1"/>
  <c r="U610" i="13"/>
  <c r="AE609" i="13"/>
  <c r="AA609" i="13"/>
  <c r="AB609" i="13" s="1"/>
  <c r="U609" i="13"/>
  <c r="V609" i="13" s="1"/>
  <c r="X609" i="13" s="1"/>
  <c r="AE608" i="13"/>
  <c r="AA608" i="13"/>
  <c r="AB608" i="13" s="1"/>
  <c r="U608" i="13"/>
  <c r="V608" i="13" s="1"/>
  <c r="X608" i="13" s="1"/>
  <c r="AE607" i="13"/>
  <c r="AA607" i="13"/>
  <c r="AB607" i="13" s="1"/>
  <c r="U607" i="13"/>
  <c r="V607" i="13" s="1"/>
  <c r="X607" i="13" s="1"/>
  <c r="AE606" i="13"/>
  <c r="AA606" i="13"/>
  <c r="AB606" i="13" s="1"/>
  <c r="U606" i="13"/>
  <c r="W606" i="13" s="1"/>
  <c r="AF606" i="13" s="1"/>
  <c r="AE605" i="13"/>
  <c r="AA605" i="13"/>
  <c r="AB605" i="13" s="1"/>
  <c r="U605" i="13"/>
  <c r="V605" i="13" s="1"/>
  <c r="X605" i="13" s="1"/>
  <c r="AE604" i="13"/>
  <c r="AA604" i="13"/>
  <c r="AB604" i="13" s="1"/>
  <c r="U604" i="13"/>
  <c r="V604" i="13" s="1"/>
  <c r="X604" i="13" s="1"/>
  <c r="AE603" i="13"/>
  <c r="AA603" i="13"/>
  <c r="AB603" i="13" s="1"/>
  <c r="U603" i="13"/>
  <c r="W603" i="13" s="1"/>
  <c r="AF603" i="13" s="1"/>
  <c r="AE602" i="13"/>
  <c r="AA602" i="13"/>
  <c r="AB602" i="13" s="1"/>
  <c r="U602" i="13"/>
  <c r="V602" i="13" s="1"/>
  <c r="X602" i="13" s="1"/>
  <c r="AE601" i="13"/>
  <c r="AA601" i="13"/>
  <c r="AB601" i="13" s="1"/>
  <c r="U601" i="13"/>
  <c r="W601" i="13" s="1"/>
  <c r="AF601" i="13" s="1"/>
  <c r="AE600" i="13"/>
  <c r="AA600" i="13"/>
  <c r="AB600" i="13" s="1"/>
  <c r="U600" i="13"/>
  <c r="AE599" i="13"/>
  <c r="AA599" i="13"/>
  <c r="AB599" i="13" s="1"/>
  <c r="U599" i="13"/>
  <c r="W599" i="13" s="1"/>
  <c r="AF599" i="13" s="1"/>
  <c r="AE598" i="13"/>
  <c r="AA598" i="13"/>
  <c r="AB598" i="13" s="1"/>
  <c r="U598" i="13"/>
  <c r="V598" i="13" s="1"/>
  <c r="X598" i="13" s="1"/>
  <c r="AE597" i="13"/>
  <c r="AA597" i="13"/>
  <c r="AB597" i="13" s="1"/>
  <c r="U597" i="13"/>
  <c r="V597" i="13" s="1"/>
  <c r="X597" i="13" s="1"/>
  <c r="AE596" i="13"/>
  <c r="AA596" i="13"/>
  <c r="AB596" i="13" s="1"/>
  <c r="U596" i="13"/>
  <c r="AE595" i="13"/>
  <c r="AA595" i="13"/>
  <c r="AB595" i="13" s="1"/>
  <c r="U595" i="13"/>
  <c r="W595" i="13" s="1"/>
  <c r="AF595" i="13" s="1"/>
  <c r="AE594" i="13"/>
  <c r="AA594" i="13"/>
  <c r="AB594" i="13" s="1"/>
  <c r="U594" i="13"/>
  <c r="AE593" i="13"/>
  <c r="AA593" i="13"/>
  <c r="AB593" i="13" s="1"/>
  <c r="U593" i="13"/>
  <c r="W593" i="13" s="1"/>
  <c r="AF593" i="13" s="1"/>
  <c r="AE592" i="13"/>
  <c r="AA592" i="13"/>
  <c r="AB592" i="13" s="1"/>
  <c r="U592" i="13"/>
  <c r="V592" i="13" s="1"/>
  <c r="X592" i="13" s="1"/>
  <c r="AE591" i="13"/>
  <c r="AA591" i="13"/>
  <c r="AB591" i="13" s="1"/>
  <c r="U591" i="13"/>
  <c r="V591" i="13" s="1"/>
  <c r="X591" i="13" s="1"/>
  <c r="AE590" i="13"/>
  <c r="AA590" i="13"/>
  <c r="AB590" i="13" s="1"/>
  <c r="U590" i="13"/>
  <c r="W590" i="13" s="1"/>
  <c r="AF590" i="13" s="1"/>
  <c r="AE589" i="13"/>
  <c r="AA589" i="13"/>
  <c r="AB589" i="13" s="1"/>
  <c r="U589" i="13"/>
  <c r="W589" i="13" s="1"/>
  <c r="AF589" i="13" s="1"/>
  <c r="AE588" i="13"/>
  <c r="AA588" i="13"/>
  <c r="AB588" i="13" s="1"/>
  <c r="U588" i="13"/>
  <c r="AE587" i="13"/>
  <c r="AA587" i="13"/>
  <c r="AB587" i="13" s="1"/>
  <c r="U587" i="13"/>
  <c r="W587" i="13" s="1"/>
  <c r="AF587" i="13" s="1"/>
  <c r="AE586" i="13"/>
  <c r="AA586" i="13"/>
  <c r="AB586" i="13" s="1"/>
  <c r="U586" i="13"/>
  <c r="V586" i="13" s="1"/>
  <c r="X586" i="13" s="1"/>
  <c r="AE585" i="13"/>
  <c r="AA585" i="13"/>
  <c r="AB585" i="13" s="1"/>
  <c r="U585" i="13"/>
  <c r="V585" i="13" s="1"/>
  <c r="X585" i="13" s="1"/>
  <c r="AE584" i="13"/>
  <c r="AA584" i="13"/>
  <c r="AB584" i="13" s="1"/>
  <c r="U584" i="13"/>
  <c r="AE583" i="13"/>
  <c r="AA583" i="13"/>
  <c r="AB583" i="13" s="1"/>
  <c r="U583" i="13"/>
  <c r="W583" i="13" s="1"/>
  <c r="AF583" i="13" s="1"/>
  <c r="AE582" i="13"/>
  <c r="AA582" i="13"/>
  <c r="AB582" i="13" s="1"/>
  <c r="U582" i="13"/>
  <c r="AE581" i="13"/>
  <c r="AA581" i="13"/>
  <c r="AB581" i="13" s="1"/>
  <c r="U581" i="13"/>
  <c r="W581" i="13" s="1"/>
  <c r="AF581" i="13" s="1"/>
  <c r="AE580" i="13"/>
  <c r="AA580" i="13"/>
  <c r="AB580" i="13" s="1"/>
  <c r="U580" i="13"/>
  <c r="V580" i="13" s="1"/>
  <c r="X580" i="13" s="1"/>
  <c r="AE579" i="13"/>
  <c r="AA579" i="13"/>
  <c r="AB579" i="13" s="1"/>
  <c r="U579" i="13"/>
  <c r="V579" i="13" s="1"/>
  <c r="X579" i="13" s="1"/>
  <c r="AE578" i="13"/>
  <c r="AA578" i="13"/>
  <c r="AB578" i="13" s="1"/>
  <c r="U578" i="13"/>
  <c r="W578" i="13" s="1"/>
  <c r="AF578" i="13" s="1"/>
  <c r="AE577" i="13"/>
  <c r="AA577" i="13"/>
  <c r="AB577" i="13" s="1"/>
  <c r="U577" i="13"/>
  <c r="W577" i="13" s="1"/>
  <c r="AF577" i="13" s="1"/>
  <c r="AE576" i="13"/>
  <c r="AA576" i="13"/>
  <c r="AB576" i="13" s="1"/>
  <c r="U576" i="13"/>
  <c r="AE575" i="13"/>
  <c r="AA575" i="13"/>
  <c r="AB575" i="13" s="1"/>
  <c r="U575" i="13"/>
  <c r="W575" i="13" s="1"/>
  <c r="AF575" i="13" s="1"/>
  <c r="AE574" i="13"/>
  <c r="AA574" i="13"/>
  <c r="AB574" i="13" s="1"/>
  <c r="U574" i="13"/>
  <c r="V574" i="13" s="1"/>
  <c r="X574" i="13" s="1"/>
  <c r="AE573" i="13"/>
  <c r="AA573" i="13"/>
  <c r="AB573" i="13" s="1"/>
  <c r="U573" i="13"/>
  <c r="V573" i="13" s="1"/>
  <c r="X573" i="13" s="1"/>
  <c r="AE572" i="13"/>
  <c r="AA572" i="13"/>
  <c r="AB572" i="13" s="1"/>
  <c r="U572" i="13"/>
  <c r="AE571" i="13"/>
  <c r="AA571" i="13"/>
  <c r="AB571" i="13" s="1"/>
  <c r="U571" i="13"/>
  <c r="W571" i="13" s="1"/>
  <c r="AF571" i="13" s="1"/>
  <c r="AE570" i="13"/>
  <c r="AA570" i="13"/>
  <c r="AB570" i="13" s="1"/>
  <c r="U570" i="13"/>
  <c r="AE569" i="13"/>
  <c r="AA569" i="13"/>
  <c r="AB569" i="13" s="1"/>
  <c r="U569" i="13"/>
  <c r="W569" i="13" s="1"/>
  <c r="AF569" i="13" s="1"/>
  <c r="AE568" i="13"/>
  <c r="AA568" i="13"/>
  <c r="AB568" i="13" s="1"/>
  <c r="U568" i="13"/>
  <c r="V568" i="13" s="1"/>
  <c r="X568" i="13" s="1"/>
  <c r="AE567" i="13"/>
  <c r="AA567" i="13"/>
  <c r="AB567" i="13" s="1"/>
  <c r="U567" i="13"/>
  <c r="V567" i="13" s="1"/>
  <c r="X567" i="13" s="1"/>
  <c r="AE566" i="13"/>
  <c r="AA566" i="13"/>
  <c r="AB566" i="13" s="1"/>
  <c r="U566" i="13"/>
  <c r="W566" i="13" s="1"/>
  <c r="AF566" i="13" s="1"/>
  <c r="AE565" i="13"/>
  <c r="AA565" i="13"/>
  <c r="AB565" i="13" s="1"/>
  <c r="U565" i="13"/>
  <c r="W565" i="13" s="1"/>
  <c r="AF565" i="13" s="1"/>
  <c r="AE564" i="13"/>
  <c r="AA564" i="13"/>
  <c r="AB564" i="13" s="1"/>
  <c r="U564" i="13"/>
  <c r="AE563" i="13"/>
  <c r="AA563" i="13"/>
  <c r="AB563" i="13" s="1"/>
  <c r="U563" i="13"/>
  <c r="W563" i="13" s="1"/>
  <c r="AF563" i="13" s="1"/>
  <c r="AE562" i="13"/>
  <c r="AA562" i="13"/>
  <c r="AB562" i="13" s="1"/>
  <c r="U562" i="13"/>
  <c r="AE561" i="13"/>
  <c r="AA561" i="13"/>
  <c r="AB561" i="13" s="1"/>
  <c r="U561" i="13"/>
  <c r="V561" i="13" s="1"/>
  <c r="X561" i="13" s="1"/>
  <c r="AE560" i="13"/>
  <c r="AA560" i="13"/>
  <c r="AB560" i="13" s="1"/>
  <c r="U560" i="13"/>
  <c r="AE559" i="13"/>
  <c r="AA559" i="13"/>
  <c r="AB559" i="13" s="1"/>
  <c r="U559" i="13"/>
  <c r="W559" i="13" s="1"/>
  <c r="AF559" i="13" s="1"/>
  <c r="AE558" i="13"/>
  <c r="AA558" i="13"/>
  <c r="AB558" i="13" s="1"/>
  <c r="U558" i="13"/>
  <c r="V558" i="13" s="1"/>
  <c r="X558" i="13" s="1"/>
  <c r="AE557" i="13"/>
  <c r="AA557" i="13"/>
  <c r="AB557" i="13" s="1"/>
  <c r="U557" i="13"/>
  <c r="W557" i="13" s="1"/>
  <c r="AF557" i="13" s="1"/>
  <c r="AE556" i="13"/>
  <c r="AA556" i="13"/>
  <c r="AB556" i="13" s="1"/>
  <c r="U556" i="13"/>
  <c r="AE555" i="13"/>
  <c r="AA555" i="13"/>
  <c r="AB555" i="13" s="1"/>
  <c r="U555" i="13"/>
  <c r="V555" i="13" s="1"/>
  <c r="X555" i="13" s="1"/>
  <c r="AE554" i="13"/>
  <c r="AA554" i="13"/>
  <c r="AB554" i="13" s="1"/>
  <c r="U554" i="13"/>
  <c r="V554" i="13" s="1"/>
  <c r="X554" i="13" s="1"/>
  <c r="AG554" i="13" s="1"/>
  <c r="AE553" i="13"/>
  <c r="AA553" i="13"/>
  <c r="AB553" i="13" s="1"/>
  <c r="U553" i="13"/>
  <c r="AE552" i="13"/>
  <c r="AA552" i="13"/>
  <c r="AB552" i="13" s="1"/>
  <c r="U552" i="13"/>
  <c r="V552" i="13" s="1"/>
  <c r="X552" i="13" s="1"/>
  <c r="AE551" i="13"/>
  <c r="AA551" i="13"/>
  <c r="AB551" i="13" s="1"/>
  <c r="U551" i="13"/>
  <c r="W551" i="13" s="1"/>
  <c r="AF551" i="13" s="1"/>
  <c r="AE550" i="13"/>
  <c r="AA550" i="13"/>
  <c r="AB550" i="13" s="1"/>
  <c r="U550" i="13"/>
  <c r="AE549" i="13"/>
  <c r="AA549" i="13"/>
  <c r="AB549" i="13" s="1"/>
  <c r="U549" i="13"/>
  <c r="V549" i="13" s="1"/>
  <c r="X549" i="13" s="1"/>
  <c r="AG549" i="13" s="1"/>
  <c r="AE548" i="13"/>
  <c r="AA548" i="13"/>
  <c r="AB548" i="13" s="1"/>
  <c r="U548" i="13"/>
  <c r="V548" i="13" s="1"/>
  <c r="X548" i="13" s="1"/>
  <c r="AE547" i="13"/>
  <c r="AA547" i="13"/>
  <c r="AB547" i="13" s="1"/>
  <c r="U547" i="13"/>
  <c r="V547" i="13" s="1"/>
  <c r="X547" i="13" s="1"/>
  <c r="AE546" i="13"/>
  <c r="AA546" i="13"/>
  <c r="AB546" i="13" s="1"/>
  <c r="U546" i="13"/>
  <c r="V546" i="13" s="1"/>
  <c r="X546" i="13" s="1"/>
  <c r="AE545" i="13"/>
  <c r="AA545" i="13"/>
  <c r="AB545" i="13" s="1"/>
  <c r="U545" i="13"/>
  <c r="W545" i="13" s="1"/>
  <c r="AF545" i="13" s="1"/>
  <c r="AE544" i="13"/>
  <c r="AA544" i="13"/>
  <c r="AB544" i="13" s="1"/>
  <c r="U544" i="13"/>
  <c r="AE543" i="13"/>
  <c r="AA543" i="13"/>
  <c r="AB543" i="13" s="1"/>
  <c r="U543" i="13"/>
  <c r="V543" i="13" s="1"/>
  <c r="X543" i="13" s="1"/>
  <c r="AG543" i="13" s="1"/>
  <c r="AE542" i="13"/>
  <c r="AA542" i="13"/>
  <c r="AB542" i="13" s="1"/>
  <c r="U542" i="13"/>
  <c r="V542" i="13" s="1"/>
  <c r="X542" i="13" s="1"/>
  <c r="Y542" i="13" s="1"/>
  <c r="AE541" i="13"/>
  <c r="AA541" i="13"/>
  <c r="AB541" i="13" s="1"/>
  <c r="U541" i="13"/>
  <c r="V541" i="13" s="1"/>
  <c r="X541" i="13" s="1"/>
  <c r="Y541" i="13" s="1"/>
  <c r="AE540" i="13"/>
  <c r="AA540" i="13"/>
  <c r="AB540" i="13" s="1"/>
  <c r="U540" i="13"/>
  <c r="V540" i="13" s="1"/>
  <c r="X540" i="13" s="1"/>
  <c r="AE539" i="13"/>
  <c r="AA539" i="13"/>
  <c r="AB539" i="13" s="1"/>
  <c r="U539" i="13"/>
  <c r="W539" i="13" s="1"/>
  <c r="AF539" i="13" s="1"/>
  <c r="AE538" i="13"/>
  <c r="AA538" i="13"/>
  <c r="AB538" i="13" s="1"/>
  <c r="U538" i="13"/>
  <c r="AE537" i="13"/>
  <c r="AA537" i="13"/>
  <c r="AB537" i="13" s="1"/>
  <c r="U537" i="13"/>
  <c r="V537" i="13" s="1"/>
  <c r="X537" i="13" s="1"/>
  <c r="AG537" i="13" s="1"/>
  <c r="AE536" i="13"/>
  <c r="AA536" i="13"/>
  <c r="AB536" i="13" s="1"/>
  <c r="U536" i="13"/>
  <c r="W536" i="13" s="1"/>
  <c r="AF536" i="13" s="1"/>
  <c r="AE535" i="13"/>
  <c r="AA535" i="13"/>
  <c r="AB535" i="13" s="1"/>
  <c r="U535" i="13"/>
  <c r="V535" i="13" s="1"/>
  <c r="X535" i="13" s="1"/>
  <c r="AE534" i="13"/>
  <c r="AA534" i="13"/>
  <c r="AB534" i="13" s="1"/>
  <c r="U534" i="13"/>
  <c r="W534" i="13" s="1"/>
  <c r="AF534" i="13" s="1"/>
  <c r="AE533" i="13"/>
  <c r="AA533" i="13"/>
  <c r="AB533" i="13" s="1"/>
  <c r="U533" i="13"/>
  <c r="W533" i="13" s="1"/>
  <c r="AF533" i="13" s="1"/>
  <c r="AE532" i="13"/>
  <c r="AA532" i="13"/>
  <c r="AB532" i="13" s="1"/>
  <c r="U532" i="13"/>
  <c r="AE531" i="13"/>
  <c r="AA531" i="13"/>
  <c r="AB531" i="13" s="1"/>
  <c r="U531" i="13"/>
  <c r="AE530" i="13"/>
  <c r="AA530" i="13"/>
  <c r="AB530" i="13" s="1"/>
  <c r="U530" i="13"/>
  <c r="V530" i="13" s="1"/>
  <c r="X530" i="13" s="1"/>
  <c r="AE529" i="13"/>
  <c r="AA529" i="13"/>
  <c r="AB529" i="13" s="1"/>
  <c r="U529" i="13"/>
  <c r="V529" i="13" s="1"/>
  <c r="X529" i="13" s="1"/>
  <c r="AE528" i="13"/>
  <c r="AA528" i="13"/>
  <c r="AB528" i="13" s="1"/>
  <c r="U528" i="13"/>
  <c r="AE527" i="13"/>
  <c r="AA527" i="13"/>
  <c r="AB527" i="13" s="1"/>
  <c r="U527" i="13"/>
  <c r="W527" i="13" s="1"/>
  <c r="AF527" i="13" s="1"/>
  <c r="AE526" i="13"/>
  <c r="AA526" i="13"/>
  <c r="AB526" i="13" s="1"/>
  <c r="U526" i="13"/>
  <c r="AE525" i="13"/>
  <c r="AA525" i="13"/>
  <c r="AB525" i="13" s="1"/>
  <c r="U525" i="13"/>
  <c r="AE524" i="13"/>
  <c r="AA524" i="13"/>
  <c r="AB524" i="13" s="1"/>
  <c r="U524" i="13"/>
  <c r="AE523" i="13"/>
  <c r="AA523" i="13"/>
  <c r="AB523" i="13" s="1"/>
  <c r="U523" i="13"/>
  <c r="V523" i="13" s="1"/>
  <c r="X523" i="13" s="1"/>
  <c r="AE522" i="13"/>
  <c r="AA522" i="13"/>
  <c r="AB522" i="13" s="1"/>
  <c r="U522" i="13"/>
  <c r="W522" i="13" s="1"/>
  <c r="AF522" i="13" s="1"/>
  <c r="AE521" i="13"/>
  <c r="AA521" i="13"/>
  <c r="AB521" i="13" s="1"/>
  <c r="U521" i="13"/>
  <c r="W521" i="13" s="1"/>
  <c r="AF521" i="13" s="1"/>
  <c r="AE520" i="13"/>
  <c r="AA520" i="13"/>
  <c r="AB520" i="13" s="1"/>
  <c r="U520" i="13"/>
  <c r="AE519" i="13"/>
  <c r="AA519" i="13"/>
  <c r="AB519" i="13" s="1"/>
  <c r="U519" i="13"/>
  <c r="AE518" i="13"/>
  <c r="AA518" i="13"/>
  <c r="AB518" i="13" s="1"/>
  <c r="U518" i="13"/>
  <c r="AE517" i="13"/>
  <c r="AA517" i="13"/>
  <c r="AB517" i="13" s="1"/>
  <c r="U517" i="13"/>
  <c r="V517" i="13" s="1"/>
  <c r="X517" i="13" s="1"/>
  <c r="Y517" i="13" s="1"/>
  <c r="AE516" i="13"/>
  <c r="AA516" i="13"/>
  <c r="AB516" i="13" s="1"/>
  <c r="U516" i="13"/>
  <c r="AE515" i="13"/>
  <c r="AA515" i="13"/>
  <c r="AB515" i="13" s="1"/>
  <c r="U515" i="13"/>
  <c r="W515" i="13" s="1"/>
  <c r="AF515" i="13" s="1"/>
  <c r="AE514" i="13"/>
  <c r="AA514" i="13"/>
  <c r="AB514" i="13" s="1"/>
  <c r="U514" i="13"/>
  <c r="W514" i="13" s="1"/>
  <c r="AF514" i="13" s="1"/>
  <c r="AE513" i="13"/>
  <c r="AA513" i="13"/>
  <c r="AB513" i="13" s="1"/>
  <c r="U513" i="13"/>
  <c r="V513" i="13" s="1"/>
  <c r="X513" i="13" s="1"/>
  <c r="AG513" i="13" s="1"/>
  <c r="AE512" i="13"/>
  <c r="AA512" i="13"/>
  <c r="AB512" i="13" s="1"/>
  <c r="U512" i="13"/>
  <c r="W512" i="13" s="1"/>
  <c r="AF512" i="13" s="1"/>
  <c r="AE511" i="13"/>
  <c r="AA511" i="13"/>
  <c r="AB511" i="13" s="1"/>
  <c r="U511" i="13"/>
  <c r="W511" i="13" s="1"/>
  <c r="AF511" i="13" s="1"/>
  <c r="AE510" i="13"/>
  <c r="AA510" i="13"/>
  <c r="AB510" i="13" s="1"/>
  <c r="U510" i="13"/>
  <c r="V510" i="13" s="1"/>
  <c r="X510" i="13" s="1"/>
  <c r="AE509" i="13"/>
  <c r="AA509" i="13"/>
  <c r="AB509" i="13" s="1"/>
  <c r="U509" i="13"/>
  <c r="W509" i="13" s="1"/>
  <c r="AF509" i="13" s="1"/>
  <c r="AE508" i="13"/>
  <c r="AA508" i="13"/>
  <c r="AB508" i="13" s="1"/>
  <c r="U508" i="13"/>
  <c r="W508" i="13" s="1"/>
  <c r="AF508" i="13" s="1"/>
  <c r="AE507" i="13"/>
  <c r="AA507" i="13"/>
  <c r="AB507" i="13" s="1"/>
  <c r="U507" i="13"/>
  <c r="V507" i="13" s="1"/>
  <c r="X507" i="13" s="1"/>
  <c r="AE506" i="13"/>
  <c r="AA506" i="13"/>
  <c r="AB506" i="13" s="1"/>
  <c r="U506" i="13"/>
  <c r="V506" i="13" s="1"/>
  <c r="X506" i="13" s="1"/>
  <c r="AE505" i="13"/>
  <c r="AA505" i="13"/>
  <c r="AB505" i="13" s="1"/>
  <c r="U505" i="13"/>
  <c r="W505" i="13" s="1"/>
  <c r="AF505" i="13" s="1"/>
  <c r="AE504" i="13"/>
  <c r="AA504" i="13"/>
  <c r="AB504" i="13" s="1"/>
  <c r="U504" i="13"/>
  <c r="W504" i="13" s="1"/>
  <c r="AF504" i="13" s="1"/>
  <c r="AE503" i="13"/>
  <c r="AA503" i="13"/>
  <c r="AB503" i="13" s="1"/>
  <c r="U503" i="13"/>
  <c r="W503" i="13" s="1"/>
  <c r="AF503" i="13" s="1"/>
  <c r="AE502" i="13"/>
  <c r="AA502" i="13"/>
  <c r="AB502" i="13" s="1"/>
  <c r="U502" i="13"/>
  <c r="W502" i="13" s="1"/>
  <c r="AF502" i="13" s="1"/>
  <c r="AE501" i="13"/>
  <c r="AA501" i="13"/>
  <c r="AB501" i="13" s="1"/>
  <c r="U501" i="13"/>
  <c r="V501" i="13" s="1"/>
  <c r="X501" i="13" s="1"/>
  <c r="Y501" i="13" s="1"/>
  <c r="AE500" i="13"/>
  <c r="AA500" i="13"/>
  <c r="AB500" i="13" s="1"/>
  <c r="U500" i="13"/>
  <c r="V500" i="13" s="1"/>
  <c r="X500" i="13" s="1"/>
  <c r="Y500" i="13" s="1"/>
  <c r="AE499" i="13"/>
  <c r="AA499" i="13"/>
  <c r="AB499" i="13" s="1"/>
  <c r="U499" i="13"/>
  <c r="V499" i="13" s="1"/>
  <c r="X499" i="13" s="1"/>
  <c r="AE498" i="13"/>
  <c r="AA498" i="13"/>
  <c r="AB498" i="13" s="1"/>
  <c r="U498" i="13"/>
  <c r="W498" i="13" s="1"/>
  <c r="AF498" i="13" s="1"/>
  <c r="AE497" i="13"/>
  <c r="AA497" i="13"/>
  <c r="AB497" i="13" s="1"/>
  <c r="U497" i="13"/>
  <c r="V497" i="13" s="1"/>
  <c r="X497" i="13" s="1"/>
  <c r="AE496" i="13"/>
  <c r="AA496" i="13"/>
  <c r="AB496" i="13" s="1"/>
  <c r="U496" i="13"/>
  <c r="W496" i="13" s="1"/>
  <c r="AF496" i="13" s="1"/>
  <c r="AE495" i="13"/>
  <c r="AA495" i="13"/>
  <c r="AB495" i="13" s="1"/>
  <c r="U495" i="13"/>
  <c r="V495" i="13" s="1"/>
  <c r="X495" i="13" s="1"/>
  <c r="AE494" i="13"/>
  <c r="AA494" i="13"/>
  <c r="AB494" i="13" s="1"/>
  <c r="U494" i="13"/>
  <c r="AE493" i="13"/>
  <c r="AA493" i="13"/>
  <c r="AB493" i="13" s="1"/>
  <c r="U493" i="13"/>
  <c r="W493" i="13" s="1"/>
  <c r="AF493" i="13" s="1"/>
  <c r="AE492" i="13"/>
  <c r="AA492" i="13"/>
  <c r="AB492" i="13" s="1"/>
  <c r="U492" i="13"/>
  <c r="V492" i="13" s="1"/>
  <c r="X492" i="13" s="1"/>
  <c r="AE491" i="13"/>
  <c r="AA491" i="13"/>
  <c r="AB491" i="13" s="1"/>
  <c r="U491" i="13"/>
  <c r="W491" i="13" s="1"/>
  <c r="AF491" i="13" s="1"/>
  <c r="AE490" i="13"/>
  <c r="AA490" i="13"/>
  <c r="AB490" i="13" s="1"/>
  <c r="U490" i="13"/>
  <c r="W490" i="13" s="1"/>
  <c r="AF490" i="13" s="1"/>
  <c r="AE489" i="13"/>
  <c r="AA489" i="13"/>
  <c r="AB489" i="13" s="1"/>
  <c r="U489" i="13"/>
  <c r="V489" i="13" s="1"/>
  <c r="X489" i="13" s="1"/>
  <c r="AG489" i="13" s="1"/>
  <c r="AE488" i="13"/>
  <c r="AA488" i="13"/>
  <c r="AB488" i="13" s="1"/>
  <c r="U488" i="13"/>
  <c r="W488" i="13" s="1"/>
  <c r="AF488" i="13" s="1"/>
  <c r="AE487" i="13"/>
  <c r="AA487" i="13"/>
  <c r="AB487" i="13" s="1"/>
  <c r="U487" i="13"/>
  <c r="W487" i="13" s="1"/>
  <c r="AF487" i="13" s="1"/>
  <c r="AE486" i="13"/>
  <c r="AA486" i="13"/>
  <c r="AB486" i="13" s="1"/>
  <c r="U486" i="13"/>
  <c r="W486" i="13" s="1"/>
  <c r="AF486" i="13" s="1"/>
  <c r="AE485" i="13"/>
  <c r="AA485" i="13"/>
  <c r="AB485" i="13" s="1"/>
  <c r="U485" i="13"/>
  <c r="W485" i="13" s="1"/>
  <c r="AF485" i="13" s="1"/>
  <c r="AE484" i="13"/>
  <c r="AA484" i="13"/>
  <c r="AB484" i="13" s="1"/>
  <c r="U484" i="13"/>
  <c r="W484" i="13" s="1"/>
  <c r="AF484" i="13" s="1"/>
  <c r="AE483" i="13"/>
  <c r="AA483" i="13"/>
  <c r="AB483" i="13" s="1"/>
  <c r="U483" i="13"/>
  <c r="V483" i="13" s="1"/>
  <c r="X483" i="13" s="1"/>
  <c r="Y483" i="13" s="1"/>
  <c r="AE482" i="13"/>
  <c r="AA482" i="13"/>
  <c r="AB482" i="13" s="1"/>
  <c r="U482" i="13"/>
  <c r="W482" i="13" s="1"/>
  <c r="AF482" i="13" s="1"/>
  <c r="AE481" i="13"/>
  <c r="AA481" i="13"/>
  <c r="AB481" i="13" s="1"/>
  <c r="U481" i="13"/>
  <c r="V481" i="13" s="1"/>
  <c r="X481" i="13" s="1"/>
  <c r="AE480" i="13"/>
  <c r="AA480" i="13"/>
  <c r="AB480" i="13" s="1"/>
  <c r="U480" i="13"/>
  <c r="W480" i="13" s="1"/>
  <c r="AF480" i="13" s="1"/>
  <c r="AE479" i="13"/>
  <c r="AA479" i="13"/>
  <c r="AB479" i="13" s="1"/>
  <c r="U479" i="13"/>
  <c r="V479" i="13" s="1"/>
  <c r="X479" i="13" s="1"/>
  <c r="AE478" i="13"/>
  <c r="AA478" i="13"/>
  <c r="AB478" i="13" s="1"/>
  <c r="U478" i="13"/>
  <c r="AE477" i="13"/>
  <c r="AA477" i="13"/>
  <c r="AB477" i="13" s="1"/>
  <c r="U477" i="13"/>
  <c r="V477" i="13" s="1"/>
  <c r="X477" i="13" s="1"/>
  <c r="AE476" i="13"/>
  <c r="AA476" i="13"/>
  <c r="AB476" i="13" s="1"/>
  <c r="U476" i="13"/>
  <c r="V476" i="13" s="1"/>
  <c r="X476" i="13" s="1"/>
  <c r="AE475" i="13"/>
  <c r="AA475" i="13"/>
  <c r="AB475" i="13" s="1"/>
  <c r="U475" i="13"/>
  <c r="W475" i="13" s="1"/>
  <c r="AF475" i="13" s="1"/>
  <c r="AE474" i="13"/>
  <c r="AA474" i="13"/>
  <c r="AB474" i="13" s="1"/>
  <c r="U474" i="13"/>
  <c r="V474" i="13" s="1"/>
  <c r="X474" i="13" s="1"/>
  <c r="AE473" i="13"/>
  <c r="AA473" i="13"/>
  <c r="AB473" i="13" s="1"/>
  <c r="U473" i="13"/>
  <c r="W473" i="13" s="1"/>
  <c r="AF473" i="13" s="1"/>
  <c r="AE472" i="13"/>
  <c r="AA472" i="13"/>
  <c r="AB472" i="13" s="1"/>
  <c r="U472" i="13"/>
  <c r="W472" i="13" s="1"/>
  <c r="AF472" i="13" s="1"/>
  <c r="AE471" i="13"/>
  <c r="AA471" i="13"/>
  <c r="AB471" i="13" s="1"/>
  <c r="U471" i="13"/>
  <c r="V471" i="13" s="1"/>
  <c r="X471" i="13" s="1"/>
  <c r="AE470" i="13"/>
  <c r="AA470" i="13"/>
  <c r="AB470" i="13" s="1"/>
  <c r="U470" i="13"/>
  <c r="W470" i="13" s="1"/>
  <c r="AF470" i="13" s="1"/>
  <c r="AE469" i="13"/>
  <c r="AA469" i="13"/>
  <c r="AB469" i="13" s="1"/>
  <c r="U469" i="13"/>
  <c r="W469" i="13" s="1"/>
  <c r="AF469" i="13" s="1"/>
  <c r="AE468" i="13"/>
  <c r="AA468" i="13"/>
  <c r="AB468" i="13" s="1"/>
  <c r="U468" i="13"/>
  <c r="V468" i="13" s="1"/>
  <c r="X468" i="13" s="1"/>
  <c r="AE467" i="13"/>
  <c r="AA467" i="13"/>
  <c r="AB467" i="13" s="1"/>
  <c r="U467" i="13"/>
  <c r="W467" i="13" s="1"/>
  <c r="AF467" i="13" s="1"/>
  <c r="AE466" i="13"/>
  <c r="AA466" i="13"/>
  <c r="AB466" i="13" s="1"/>
  <c r="U466" i="13"/>
  <c r="AE465" i="13"/>
  <c r="AA465" i="13"/>
  <c r="AB465" i="13" s="1"/>
  <c r="U465" i="13"/>
  <c r="AE464" i="13"/>
  <c r="AA464" i="13"/>
  <c r="AB464" i="13" s="1"/>
  <c r="U464" i="13"/>
  <c r="W464" i="13" s="1"/>
  <c r="AF464" i="13" s="1"/>
  <c r="AE463" i="13"/>
  <c r="AA463" i="13"/>
  <c r="AB463" i="13" s="1"/>
  <c r="U463" i="13"/>
  <c r="AE462" i="13"/>
  <c r="AA462" i="13"/>
  <c r="AB462" i="13" s="1"/>
  <c r="U462" i="13"/>
  <c r="W462" i="13" s="1"/>
  <c r="AF462" i="13" s="1"/>
  <c r="AE461" i="13"/>
  <c r="AA461" i="13"/>
  <c r="AB461" i="13" s="1"/>
  <c r="U461" i="13"/>
  <c r="V461" i="13" s="1"/>
  <c r="X461" i="13" s="1"/>
  <c r="AE460" i="13"/>
  <c r="AA460" i="13"/>
  <c r="AB460" i="13" s="1"/>
  <c r="U460" i="13"/>
  <c r="W460" i="13" s="1"/>
  <c r="AF460" i="13" s="1"/>
  <c r="AE459" i="13"/>
  <c r="AA459" i="13"/>
  <c r="AB459" i="13" s="1"/>
  <c r="U459" i="13"/>
  <c r="V459" i="13" s="1"/>
  <c r="X459" i="13" s="1"/>
  <c r="AE458" i="13"/>
  <c r="AA458" i="13"/>
  <c r="AB458" i="13" s="1"/>
  <c r="U458" i="13"/>
  <c r="W458" i="13" s="1"/>
  <c r="AF458" i="13" s="1"/>
  <c r="AE457" i="13"/>
  <c r="AA457" i="13"/>
  <c r="AB457" i="13" s="1"/>
  <c r="U457" i="13"/>
  <c r="W457" i="13" s="1"/>
  <c r="AF457" i="13" s="1"/>
  <c r="AE456" i="13"/>
  <c r="AA456" i="13"/>
  <c r="AB456" i="13" s="1"/>
  <c r="U456" i="13"/>
  <c r="V456" i="13" s="1"/>
  <c r="X456" i="13" s="1"/>
  <c r="AE455" i="13"/>
  <c r="AA455" i="13"/>
  <c r="AB455" i="13" s="1"/>
  <c r="U455" i="13"/>
  <c r="W455" i="13" s="1"/>
  <c r="AF455" i="13" s="1"/>
  <c r="AE454" i="13"/>
  <c r="AA454" i="13"/>
  <c r="AB454" i="13" s="1"/>
  <c r="U454" i="13"/>
  <c r="W454" i="13" s="1"/>
  <c r="AF454" i="13" s="1"/>
  <c r="AE453" i="13"/>
  <c r="AA453" i="13"/>
  <c r="AB453" i="13" s="1"/>
  <c r="U453" i="13"/>
  <c r="AE452" i="13"/>
  <c r="AA452" i="13"/>
  <c r="AB452" i="13" s="1"/>
  <c r="U452" i="13"/>
  <c r="AE451" i="13"/>
  <c r="AA451" i="13"/>
  <c r="AB451" i="13" s="1"/>
  <c r="U451" i="13"/>
  <c r="W451" i="13" s="1"/>
  <c r="AF451" i="13" s="1"/>
  <c r="AE450" i="13"/>
  <c r="AA450" i="13"/>
  <c r="AB450" i="13" s="1"/>
  <c r="U450" i="13"/>
  <c r="V450" i="13" s="1"/>
  <c r="X450" i="13" s="1"/>
  <c r="AE449" i="13"/>
  <c r="AA449" i="13"/>
  <c r="AB449" i="13" s="1"/>
  <c r="U449" i="13"/>
  <c r="W449" i="13" s="1"/>
  <c r="AF449" i="13" s="1"/>
  <c r="AE448" i="13"/>
  <c r="AA448" i="13"/>
  <c r="AB448" i="13" s="1"/>
  <c r="U448" i="13"/>
  <c r="W448" i="13" s="1"/>
  <c r="AF448" i="13" s="1"/>
  <c r="AE447" i="13"/>
  <c r="AA447" i="13"/>
  <c r="AB447" i="13" s="1"/>
  <c r="U447" i="13"/>
  <c r="V447" i="13" s="1"/>
  <c r="X447" i="13" s="1"/>
  <c r="Y447" i="13" s="1"/>
  <c r="AE446" i="13"/>
  <c r="AA446" i="13"/>
  <c r="AB446" i="13" s="1"/>
  <c r="U446" i="13"/>
  <c r="AE445" i="13"/>
  <c r="AA445" i="13"/>
  <c r="AB445" i="13" s="1"/>
  <c r="U445" i="13"/>
  <c r="V445" i="13" s="1"/>
  <c r="X445" i="13" s="1"/>
  <c r="AE444" i="13"/>
  <c r="AA444" i="13"/>
  <c r="AB444" i="13" s="1"/>
  <c r="U444" i="13"/>
  <c r="AE443" i="13"/>
  <c r="AA443" i="13"/>
  <c r="AB443" i="13" s="1"/>
  <c r="U443" i="13"/>
  <c r="V443" i="13" s="1"/>
  <c r="X443" i="13" s="1"/>
  <c r="AE442" i="13"/>
  <c r="AA442" i="13"/>
  <c r="AB442" i="13" s="1"/>
  <c r="U442" i="13"/>
  <c r="W442" i="13" s="1"/>
  <c r="AF442" i="13" s="1"/>
  <c r="AE441" i="13"/>
  <c r="AA441" i="13"/>
  <c r="AB441" i="13" s="1"/>
  <c r="U441" i="13"/>
  <c r="V441" i="13" s="1"/>
  <c r="X441" i="13" s="1"/>
  <c r="AE440" i="13"/>
  <c r="AA440" i="13"/>
  <c r="AB440" i="13" s="1"/>
  <c r="U440" i="13"/>
  <c r="V440" i="13" s="1"/>
  <c r="X440" i="13" s="1"/>
  <c r="AE439" i="13"/>
  <c r="AA439" i="13"/>
  <c r="AB439" i="13" s="1"/>
  <c r="U439" i="13"/>
  <c r="W439" i="13" s="1"/>
  <c r="AF439" i="13" s="1"/>
  <c r="AE438" i="13"/>
  <c r="AA438" i="13"/>
  <c r="AB438" i="13" s="1"/>
  <c r="U438" i="13"/>
  <c r="V438" i="13" s="1"/>
  <c r="X438" i="13" s="1"/>
  <c r="AE437" i="13"/>
  <c r="AA437" i="13"/>
  <c r="AB437" i="13" s="1"/>
  <c r="U437" i="13"/>
  <c r="W437" i="13" s="1"/>
  <c r="AF437" i="13" s="1"/>
  <c r="AE436" i="13"/>
  <c r="AA436" i="13"/>
  <c r="AB436" i="13" s="1"/>
  <c r="U436" i="13"/>
  <c r="V436" i="13" s="1"/>
  <c r="X436" i="13" s="1"/>
  <c r="AE435" i="13"/>
  <c r="AA435" i="13"/>
  <c r="AB435" i="13" s="1"/>
  <c r="U435" i="13"/>
  <c r="V435" i="13" s="1"/>
  <c r="X435" i="13" s="1"/>
  <c r="AE434" i="13"/>
  <c r="AA434" i="13"/>
  <c r="AB434" i="13" s="1"/>
  <c r="U434" i="13"/>
  <c r="AE433" i="13"/>
  <c r="AA433" i="13"/>
  <c r="AB433" i="13" s="1"/>
  <c r="U433" i="13"/>
  <c r="W433" i="13" s="1"/>
  <c r="AF433" i="13" s="1"/>
  <c r="AE432" i="13"/>
  <c r="AA432" i="13"/>
  <c r="AB432" i="13" s="1"/>
  <c r="U432" i="13"/>
  <c r="W432" i="13" s="1"/>
  <c r="AF432" i="13" s="1"/>
  <c r="AE431" i="13"/>
  <c r="AA431" i="13"/>
  <c r="AB431" i="13" s="1"/>
  <c r="U431" i="13"/>
  <c r="W431" i="13" s="1"/>
  <c r="AF431" i="13" s="1"/>
  <c r="AE430" i="13"/>
  <c r="AA430" i="13"/>
  <c r="AB430" i="13" s="1"/>
  <c r="U430" i="13"/>
  <c r="V430" i="13" s="1"/>
  <c r="X430" i="13" s="1"/>
  <c r="AE429" i="13"/>
  <c r="AA429" i="13"/>
  <c r="AB429" i="13" s="1"/>
  <c r="U429" i="13"/>
  <c r="V429" i="13" s="1"/>
  <c r="X429" i="13" s="1"/>
  <c r="AE428" i="13"/>
  <c r="AA428" i="13"/>
  <c r="AB428" i="13" s="1"/>
  <c r="U428" i="13"/>
  <c r="W428" i="13" s="1"/>
  <c r="AF428" i="13" s="1"/>
  <c r="AE427" i="13"/>
  <c r="AA427" i="13"/>
  <c r="AB427" i="13" s="1"/>
  <c r="U427" i="13"/>
  <c r="V427" i="13" s="1"/>
  <c r="X427" i="13" s="1"/>
  <c r="AE426" i="13"/>
  <c r="AA426" i="13"/>
  <c r="AB426" i="13" s="1"/>
  <c r="U426" i="13"/>
  <c r="W426" i="13" s="1"/>
  <c r="AF426" i="13" s="1"/>
  <c r="AE425" i="13"/>
  <c r="AA425" i="13"/>
  <c r="AB425" i="13" s="1"/>
  <c r="U425" i="13"/>
  <c r="AE424" i="13"/>
  <c r="AA424" i="13"/>
  <c r="AB424" i="13" s="1"/>
  <c r="U424" i="13"/>
  <c r="V424" i="13" s="1"/>
  <c r="X424" i="13" s="1"/>
  <c r="AE423" i="13"/>
  <c r="AA423" i="13"/>
  <c r="AB423" i="13" s="1"/>
  <c r="U423" i="13"/>
  <c r="V423" i="13" s="1"/>
  <c r="X423" i="13" s="1"/>
  <c r="AG423" i="13" s="1"/>
  <c r="AE422" i="13"/>
  <c r="AA422" i="13"/>
  <c r="AB422" i="13" s="1"/>
  <c r="U422" i="13"/>
  <c r="W422" i="13" s="1"/>
  <c r="AF422" i="13" s="1"/>
  <c r="AE421" i="13"/>
  <c r="AA421" i="13"/>
  <c r="AB421" i="13" s="1"/>
  <c r="U421" i="13"/>
  <c r="V421" i="13" s="1"/>
  <c r="X421" i="13" s="1"/>
  <c r="AE420" i="13"/>
  <c r="AA420" i="13"/>
  <c r="AB420" i="13" s="1"/>
  <c r="U420" i="13"/>
  <c r="W420" i="13" s="1"/>
  <c r="AF420" i="13" s="1"/>
  <c r="AE419" i="13"/>
  <c r="AA419" i="13"/>
  <c r="AB419" i="13" s="1"/>
  <c r="U419" i="13"/>
  <c r="AE418" i="13"/>
  <c r="AA418" i="13"/>
  <c r="AB418" i="13" s="1"/>
  <c r="U418" i="13"/>
  <c r="V418" i="13" s="1"/>
  <c r="X418" i="13" s="1"/>
  <c r="AE417" i="13"/>
  <c r="AA417" i="13"/>
  <c r="AB417" i="13" s="1"/>
  <c r="U417" i="13"/>
  <c r="V417" i="13" s="1"/>
  <c r="X417" i="13" s="1"/>
  <c r="AG417" i="13" s="1"/>
  <c r="AE416" i="13"/>
  <c r="AA416" i="13"/>
  <c r="AB416" i="13" s="1"/>
  <c r="U416" i="13"/>
  <c r="W416" i="13" s="1"/>
  <c r="AF416" i="13" s="1"/>
  <c r="AE415" i="13"/>
  <c r="AA415" i="13"/>
  <c r="AB415" i="13" s="1"/>
  <c r="U415" i="13"/>
  <c r="V415" i="13" s="1"/>
  <c r="X415" i="13" s="1"/>
  <c r="AE414" i="13"/>
  <c r="AA414" i="13"/>
  <c r="AB414" i="13" s="1"/>
  <c r="U414" i="13"/>
  <c r="V414" i="13" s="1"/>
  <c r="X414" i="13" s="1"/>
  <c r="AE413" i="13"/>
  <c r="AA413" i="13"/>
  <c r="AB413" i="13" s="1"/>
  <c r="U413" i="13"/>
  <c r="AE412" i="13"/>
  <c r="AA412" i="13"/>
  <c r="AB412" i="13" s="1"/>
  <c r="U412" i="13"/>
  <c r="V412" i="13" s="1"/>
  <c r="X412" i="13" s="1"/>
  <c r="AE411" i="13"/>
  <c r="AA411" i="13"/>
  <c r="AB411" i="13" s="1"/>
  <c r="U411" i="13"/>
  <c r="V411" i="13" s="1"/>
  <c r="X411" i="13" s="1"/>
  <c r="AG411" i="13" s="1"/>
  <c r="AE410" i="13"/>
  <c r="AA410" i="13"/>
  <c r="AB410" i="13" s="1"/>
  <c r="U410" i="13"/>
  <c r="V410" i="13" s="1"/>
  <c r="X410" i="13" s="1"/>
  <c r="AE409" i="13"/>
  <c r="AA409" i="13"/>
  <c r="AB409" i="13" s="1"/>
  <c r="U409" i="13"/>
  <c r="V409" i="13" s="1"/>
  <c r="X409" i="13" s="1"/>
  <c r="AE408" i="13"/>
  <c r="AA408" i="13"/>
  <c r="AB408" i="13" s="1"/>
  <c r="U408" i="13"/>
  <c r="V408" i="13" s="1"/>
  <c r="X408" i="13" s="1"/>
  <c r="AE407" i="13"/>
  <c r="AA407" i="13"/>
  <c r="AB407" i="13" s="1"/>
  <c r="U407" i="13"/>
  <c r="AE406" i="13"/>
  <c r="AA406" i="13"/>
  <c r="AB406" i="13" s="1"/>
  <c r="U406" i="13"/>
  <c r="V406" i="13" s="1"/>
  <c r="X406" i="13" s="1"/>
  <c r="AE405" i="13"/>
  <c r="AA405" i="13"/>
  <c r="AB405" i="13" s="1"/>
  <c r="U405" i="13"/>
  <c r="V405" i="13" s="1"/>
  <c r="X405" i="13" s="1"/>
  <c r="AG405" i="13" s="1"/>
  <c r="AE404" i="13"/>
  <c r="AA404" i="13"/>
  <c r="AB404" i="13" s="1"/>
  <c r="U404" i="13"/>
  <c r="W404" i="13" s="1"/>
  <c r="AF404" i="13" s="1"/>
  <c r="AE403" i="13"/>
  <c r="AA403" i="13"/>
  <c r="AB403" i="13" s="1"/>
  <c r="U403" i="13"/>
  <c r="V403" i="13" s="1"/>
  <c r="X403" i="13" s="1"/>
  <c r="AE402" i="13"/>
  <c r="AA402" i="13"/>
  <c r="AB402" i="13" s="1"/>
  <c r="U402" i="13"/>
  <c r="AE401" i="13"/>
  <c r="AA401" i="13"/>
  <c r="AB401" i="13" s="1"/>
  <c r="U401" i="13"/>
  <c r="AE400" i="13"/>
  <c r="AA400" i="13"/>
  <c r="AB400" i="13" s="1"/>
  <c r="U400" i="13"/>
  <c r="V400" i="13" s="1"/>
  <c r="X400" i="13" s="1"/>
  <c r="AE399" i="13"/>
  <c r="AA399" i="13"/>
  <c r="AB399" i="13" s="1"/>
  <c r="U399" i="13"/>
  <c r="AE398" i="13"/>
  <c r="AA398" i="13"/>
  <c r="AB398" i="13" s="1"/>
  <c r="U398" i="13"/>
  <c r="W398" i="13" s="1"/>
  <c r="AF398" i="13" s="1"/>
  <c r="AE397" i="13"/>
  <c r="AA397" i="13"/>
  <c r="AB397" i="13" s="1"/>
  <c r="U397" i="13"/>
  <c r="V397" i="13" s="1"/>
  <c r="X397" i="13" s="1"/>
  <c r="AE396" i="13"/>
  <c r="AA396" i="13"/>
  <c r="AB396" i="13" s="1"/>
  <c r="U396" i="13"/>
  <c r="W396" i="13" s="1"/>
  <c r="AF396" i="13" s="1"/>
  <c r="AE395" i="13"/>
  <c r="AA395" i="13"/>
  <c r="AB395" i="13" s="1"/>
  <c r="U395" i="13"/>
  <c r="AE394" i="13"/>
  <c r="AA394" i="13"/>
  <c r="AB394" i="13" s="1"/>
  <c r="U394" i="13"/>
  <c r="V394" i="13" s="1"/>
  <c r="X394" i="13" s="1"/>
  <c r="AE393" i="13"/>
  <c r="AA393" i="13"/>
  <c r="AB393" i="13" s="1"/>
  <c r="U393" i="13"/>
  <c r="V393" i="13" s="1"/>
  <c r="X393" i="13" s="1"/>
  <c r="AG393" i="13" s="1"/>
  <c r="AE392" i="13"/>
  <c r="AA392" i="13"/>
  <c r="AB392" i="13" s="1"/>
  <c r="U392" i="13"/>
  <c r="W392" i="13" s="1"/>
  <c r="AF392" i="13" s="1"/>
  <c r="AE391" i="13"/>
  <c r="AA391" i="13"/>
  <c r="AB391" i="13" s="1"/>
  <c r="U391" i="13"/>
  <c r="V391" i="13" s="1"/>
  <c r="X391" i="13" s="1"/>
  <c r="AE390" i="13"/>
  <c r="AA390" i="13"/>
  <c r="AB390" i="13" s="1"/>
  <c r="U390" i="13"/>
  <c r="V390" i="13" s="1"/>
  <c r="X390" i="13" s="1"/>
  <c r="AE389" i="13"/>
  <c r="AA389" i="13"/>
  <c r="AB389" i="13" s="1"/>
  <c r="U389" i="13"/>
  <c r="AE388" i="13"/>
  <c r="AA388" i="13"/>
  <c r="AB388" i="13" s="1"/>
  <c r="U388" i="13"/>
  <c r="V388" i="13" s="1"/>
  <c r="X388" i="13" s="1"/>
  <c r="AE387" i="13"/>
  <c r="AA387" i="13"/>
  <c r="AB387" i="13" s="1"/>
  <c r="U387" i="13"/>
  <c r="V387" i="13" s="1"/>
  <c r="X387" i="13" s="1"/>
  <c r="AG387" i="13" s="1"/>
  <c r="AE386" i="13"/>
  <c r="AA386" i="13"/>
  <c r="AB386" i="13" s="1"/>
  <c r="U386" i="13"/>
  <c r="W386" i="13" s="1"/>
  <c r="AF386" i="13" s="1"/>
  <c r="AE385" i="13"/>
  <c r="AA385" i="13"/>
  <c r="AB385" i="13" s="1"/>
  <c r="U385" i="13"/>
  <c r="V385" i="13" s="1"/>
  <c r="X385" i="13" s="1"/>
  <c r="AE384" i="13"/>
  <c r="AA384" i="13"/>
  <c r="AB384" i="13" s="1"/>
  <c r="U384" i="13"/>
  <c r="AE383" i="13"/>
  <c r="AA383" i="13"/>
  <c r="AB383" i="13" s="1"/>
  <c r="U383" i="13"/>
  <c r="W383" i="13" s="1"/>
  <c r="AF383" i="13" s="1"/>
  <c r="AE382" i="13"/>
  <c r="AA382" i="13"/>
  <c r="AB382" i="13" s="1"/>
  <c r="U382" i="13"/>
  <c r="AE381" i="13"/>
  <c r="AA381" i="13"/>
  <c r="AB381" i="13" s="1"/>
  <c r="U381" i="13"/>
  <c r="V381" i="13" s="1"/>
  <c r="X381" i="13" s="1"/>
  <c r="AG381" i="13" s="1"/>
  <c r="AE380" i="13"/>
  <c r="AA380" i="13"/>
  <c r="AB380" i="13" s="1"/>
  <c r="U380" i="13"/>
  <c r="W380" i="13" s="1"/>
  <c r="AF380" i="13" s="1"/>
  <c r="AE379" i="13"/>
  <c r="AA379" i="13"/>
  <c r="AB379" i="13" s="1"/>
  <c r="U379" i="13"/>
  <c r="V379" i="13" s="1"/>
  <c r="X379" i="13" s="1"/>
  <c r="Y379" i="13" s="1"/>
  <c r="AE378" i="13"/>
  <c r="AA378" i="13"/>
  <c r="AB378" i="13" s="1"/>
  <c r="U378" i="13"/>
  <c r="W378" i="13" s="1"/>
  <c r="AF378" i="13" s="1"/>
  <c r="AE377" i="13"/>
  <c r="AA377" i="13"/>
  <c r="AB377" i="13" s="1"/>
  <c r="U377" i="13"/>
  <c r="AE376" i="13"/>
  <c r="AA376" i="13"/>
  <c r="AB376" i="13" s="1"/>
  <c r="U376" i="13"/>
  <c r="AE375" i="13"/>
  <c r="AA375" i="13"/>
  <c r="AB375" i="13" s="1"/>
  <c r="U375" i="13"/>
  <c r="V375" i="13" s="1"/>
  <c r="X375" i="13" s="1"/>
  <c r="Y375" i="13" s="1"/>
  <c r="AE374" i="13"/>
  <c r="AA374" i="13"/>
  <c r="AB374" i="13" s="1"/>
  <c r="U374" i="13"/>
  <c r="W374" i="13" s="1"/>
  <c r="AF374" i="13" s="1"/>
  <c r="AE373" i="13"/>
  <c r="AA373" i="13"/>
  <c r="AB373" i="13" s="1"/>
  <c r="U373" i="13"/>
  <c r="W373" i="13" s="1"/>
  <c r="AF373" i="13" s="1"/>
  <c r="AE372" i="13"/>
  <c r="AA372" i="13"/>
  <c r="AB372" i="13" s="1"/>
  <c r="U372" i="13"/>
  <c r="V372" i="13" s="1"/>
  <c r="X372" i="13" s="1"/>
  <c r="AE371" i="13"/>
  <c r="AA371" i="13"/>
  <c r="AB371" i="13" s="1"/>
  <c r="U371" i="13"/>
  <c r="W371" i="13" s="1"/>
  <c r="AF371" i="13" s="1"/>
  <c r="AE370" i="13"/>
  <c r="AA370" i="13"/>
  <c r="AB370" i="13" s="1"/>
  <c r="U370" i="13"/>
  <c r="AE369" i="13"/>
  <c r="AA369" i="13"/>
  <c r="AB369" i="13" s="1"/>
  <c r="U369" i="13"/>
  <c r="V369" i="13" s="1"/>
  <c r="X369" i="13" s="1"/>
  <c r="AG369" i="13" s="1"/>
  <c r="AE368" i="13"/>
  <c r="AA368" i="13"/>
  <c r="AB368" i="13" s="1"/>
  <c r="U368" i="13"/>
  <c r="V368" i="13" s="1"/>
  <c r="X368" i="13" s="1"/>
  <c r="AG368" i="13" s="1"/>
  <c r="AE367" i="13"/>
  <c r="AA367" i="13"/>
  <c r="AB367" i="13" s="1"/>
  <c r="U367" i="13"/>
  <c r="W367" i="13" s="1"/>
  <c r="AF367" i="13" s="1"/>
  <c r="AE366" i="13"/>
  <c r="AA366" i="13"/>
  <c r="AB366" i="13" s="1"/>
  <c r="U366" i="13"/>
  <c r="W366" i="13" s="1"/>
  <c r="AF366" i="13" s="1"/>
  <c r="AE365" i="13"/>
  <c r="AA365" i="13"/>
  <c r="AB365" i="13" s="1"/>
  <c r="U365" i="13"/>
  <c r="AE364" i="13"/>
  <c r="AA364" i="13"/>
  <c r="AB364" i="13" s="1"/>
  <c r="U364" i="13"/>
  <c r="AE363" i="13"/>
  <c r="AA363" i="13"/>
  <c r="AB363" i="13" s="1"/>
  <c r="U363" i="13"/>
  <c r="V363" i="13" s="1"/>
  <c r="X363" i="13" s="1"/>
  <c r="AE362" i="13"/>
  <c r="AA362" i="13"/>
  <c r="AB362" i="13" s="1"/>
  <c r="U362" i="13"/>
  <c r="W362" i="13" s="1"/>
  <c r="AF362" i="13" s="1"/>
  <c r="AE361" i="13"/>
  <c r="AA361" i="13"/>
  <c r="AB361" i="13" s="1"/>
  <c r="U361" i="13"/>
  <c r="V361" i="13" s="1"/>
  <c r="X361" i="13" s="1"/>
  <c r="AE360" i="13"/>
  <c r="AA360" i="13"/>
  <c r="AB360" i="13" s="1"/>
  <c r="U360" i="13"/>
  <c r="V360" i="13" s="1"/>
  <c r="X360" i="13" s="1"/>
  <c r="AE359" i="13"/>
  <c r="AA359" i="13"/>
  <c r="AB359" i="13" s="1"/>
  <c r="U359" i="13"/>
  <c r="W359" i="13" s="1"/>
  <c r="AF359" i="13" s="1"/>
  <c r="AE358" i="13"/>
  <c r="AA358" i="13"/>
  <c r="AB358" i="13" s="1"/>
  <c r="U358" i="13"/>
  <c r="AE357" i="13"/>
  <c r="AA357" i="13"/>
  <c r="AB357" i="13" s="1"/>
  <c r="U357" i="13"/>
  <c r="V357" i="13" s="1"/>
  <c r="X357" i="13" s="1"/>
  <c r="Y357" i="13" s="1"/>
  <c r="AE356" i="13"/>
  <c r="AA356" i="13"/>
  <c r="AB356" i="13" s="1"/>
  <c r="U356" i="13"/>
  <c r="W356" i="13" s="1"/>
  <c r="AF356" i="13" s="1"/>
  <c r="AE355" i="13"/>
  <c r="AA355" i="13"/>
  <c r="AB355" i="13" s="1"/>
  <c r="U355" i="13"/>
  <c r="W355" i="13" s="1"/>
  <c r="AF355" i="13" s="1"/>
  <c r="AE354" i="13"/>
  <c r="AA354" i="13"/>
  <c r="AB354" i="13" s="1"/>
  <c r="U354" i="13"/>
  <c r="AE353" i="13"/>
  <c r="AA353" i="13"/>
  <c r="AB353" i="13" s="1"/>
  <c r="U353" i="13"/>
  <c r="W353" i="13" s="1"/>
  <c r="AF353" i="13" s="1"/>
  <c r="AE352" i="13"/>
  <c r="AA352" i="13"/>
  <c r="AB352" i="13" s="1"/>
  <c r="U352" i="13"/>
  <c r="AE351" i="13"/>
  <c r="AA351" i="13"/>
  <c r="AB351" i="13" s="1"/>
  <c r="U351" i="13"/>
  <c r="V351" i="13" s="1"/>
  <c r="X351" i="13" s="1"/>
  <c r="AG351" i="13" s="1"/>
  <c r="AE350" i="13"/>
  <c r="AA350" i="13"/>
  <c r="AB350" i="13" s="1"/>
  <c r="U350" i="13"/>
  <c r="V350" i="13" s="1"/>
  <c r="X350" i="13" s="1"/>
  <c r="AE349" i="13"/>
  <c r="AA349" i="13"/>
  <c r="AB349" i="13" s="1"/>
  <c r="U349" i="13"/>
  <c r="W349" i="13" s="1"/>
  <c r="AF349" i="13" s="1"/>
  <c r="AE348" i="13"/>
  <c r="AA348" i="13"/>
  <c r="AB348" i="13" s="1"/>
  <c r="U348" i="13"/>
  <c r="W348" i="13" s="1"/>
  <c r="AF348" i="13" s="1"/>
  <c r="AE347" i="13"/>
  <c r="AA347" i="13"/>
  <c r="AB347" i="13" s="1"/>
  <c r="U347" i="13"/>
  <c r="W347" i="13" s="1"/>
  <c r="AF347" i="13" s="1"/>
  <c r="AE346" i="13"/>
  <c r="AA346" i="13"/>
  <c r="AB346" i="13" s="1"/>
  <c r="U346" i="13"/>
  <c r="AE345" i="13"/>
  <c r="AA345" i="13"/>
  <c r="AB345" i="13" s="1"/>
  <c r="U345" i="13"/>
  <c r="V345" i="13" s="1"/>
  <c r="X345" i="13" s="1"/>
  <c r="AE344" i="13"/>
  <c r="AA344" i="13"/>
  <c r="AB344" i="13" s="1"/>
  <c r="U344" i="13"/>
  <c r="AE343" i="13"/>
  <c r="AA343" i="13"/>
  <c r="AB343" i="13" s="1"/>
  <c r="U343" i="13"/>
  <c r="W343" i="13" s="1"/>
  <c r="AF343" i="13" s="1"/>
  <c r="AE342" i="13"/>
  <c r="AA342" i="13"/>
  <c r="AB342" i="13" s="1"/>
  <c r="U342" i="13"/>
  <c r="AE341" i="13"/>
  <c r="AA341" i="13"/>
  <c r="AB341" i="13" s="1"/>
  <c r="U341" i="13"/>
  <c r="W341" i="13" s="1"/>
  <c r="AF341" i="13" s="1"/>
  <c r="AE340" i="13"/>
  <c r="AA340" i="13"/>
  <c r="AB340" i="13" s="1"/>
  <c r="U340" i="13"/>
  <c r="AE339" i="13"/>
  <c r="AA339" i="13"/>
  <c r="AB339" i="13" s="1"/>
  <c r="U339" i="13"/>
  <c r="V339" i="13" s="1"/>
  <c r="X339" i="13" s="1"/>
  <c r="Y339" i="13" s="1"/>
  <c r="AE338" i="13"/>
  <c r="AA338" i="13"/>
  <c r="AB338" i="13" s="1"/>
  <c r="U338" i="13"/>
  <c r="AE337" i="13"/>
  <c r="AA337" i="13"/>
  <c r="AB337" i="13" s="1"/>
  <c r="U337" i="13"/>
  <c r="AE336" i="13"/>
  <c r="AA336" i="13"/>
  <c r="AB336" i="13" s="1"/>
  <c r="U336" i="13"/>
  <c r="V336" i="13" s="1"/>
  <c r="X336" i="13" s="1"/>
  <c r="AE335" i="13"/>
  <c r="AA335" i="13"/>
  <c r="AB335" i="13" s="1"/>
  <c r="U335" i="13"/>
  <c r="W335" i="13" s="1"/>
  <c r="AF335" i="13" s="1"/>
  <c r="AE334" i="13"/>
  <c r="AA334" i="13"/>
  <c r="AB334" i="13" s="1"/>
  <c r="U334" i="13"/>
  <c r="AE333" i="13"/>
  <c r="AA333" i="13"/>
  <c r="AB333" i="13" s="1"/>
  <c r="U333" i="13"/>
  <c r="AE332" i="13"/>
  <c r="AA332" i="13"/>
  <c r="AB332" i="13" s="1"/>
  <c r="U332" i="13"/>
  <c r="W332" i="13" s="1"/>
  <c r="AF332" i="13" s="1"/>
  <c r="AE331" i="13"/>
  <c r="AA331" i="13"/>
  <c r="AB331" i="13" s="1"/>
  <c r="U331" i="13"/>
  <c r="W331" i="13" s="1"/>
  <c r="AF331" i="13" s="1"/>
  <c r="AE330" i="13"/>
  <c r="AA330" i="13"/>
  <c r="AB330" i="13" s="1"/>
  <c r="U330" i="13"/>
  <c r="AE329" i="13"/>
  <c r="AA329" i="13"/>
  <c r="AB329" i="13" s="1"/>
  <c r="U329" i="13"/>
  <c r="AE328" i="13"/>
  <c r="AA328" i="13"/>
  <c r="AB328" i="13" s="1"/>
  <c r="U328" i="13"/>
  <c r="W328" i="13" s="1"/>
  <c r="AF328" i="13" s="1"/>
  <c r="AE327" i="13"/>
  <c r="AA327" i="13"/>
  <c r="AB327" i="13" s="1"/>
  <c r="U327" i="13"/>
  <c r="V327" i="13" s="1"/>
  <c r="X327" i="13" s="1"/>
  <c r="AE326" i="13"/>
  <c r="AA326" i="13"/>
  <c r="AB326" i="13" s="1"/>
  <c r="U326" i="13"/>
  <c r="V326" i="13" s="1"/>
  <c r="X326" i="13" s="1"/>
  <c r="AE325" i="13"/>
  <c r="AA325" i="13"/>
  <c r="AB325" i="13" s="1"/>
  <c r="U325" i="13"/>
  <c r="W325" i="13" s="1"/>
  <c r="AF325" i="13" s="1"/>
  <c r="AE324" i="13"/>
  <c r="AA324" i="13"/>
  <c r="AB324" i="13" s="1"/>
  <c r="U324" i="13"/>
  <c r="W324" i="13" s="1"/>
  <c r="AF324" i="13" s="1"/>
  <c r="AE323" i="13"/>
  <c r="AA323" i="13"/>
  <c r="AB323" i="13" s="1"/>
  <c r="U323" i="13"/>
  <c r="W323" i="13" s="1"/>
  <c r="AF323" i="13" s="1"/>
  <c r="AE322" i="13"/>
  <c r="AA322" i="13"/>
  <c r="AB322" i="13" s="1"/>
  <c r="U322" i="13"/>
  <c r="W322" i="13" s="1"/>
  <c r="AF322" i="13" s="1"/>
  <c r="AE321" i="13"/>
  <c r="AA321" i="13"/>
  <c r="AB321" i="13" s="1"/>
  <c r="U321" i="13"/>
  <c r="AE320" i="13"/>
  <c r="AA320" i="13"/>
  <c r="AB320" i="13" s="1"/>
  <c r="U320" i="13"/>
  <c r="W320" i="13" s="1"/>
  <c r="AF320" i="13" s="1"/>
  <c r="AE319" i="13"/>
  <c r="AA319" i="13"/>
  <c r="AB319" i="13" s="1"/>
  <c r="U319" i="13"/>
  <c r="V319" i="13" s="1"/>
  <c r="X319" i="13" s="1"/>
  <c r="AE318" i="13"/>
  <c r="AA318" i="13"/>
  <c r="AB318" i="13" s="1"/>
  <c r="U318" i="13"/>
  <c r="W318" i="13" s="1"/>
  <c r="AF318" i="13" s="1"/>
  <c r="AE317" i="13"/>
  <c r="AA317" i="13"/>
  <c r="AB317" i="13" s="1"/>
  <c r="U317" i="13"/>
  <c r="W317" i="13" s="1"/>
  <c r="AF317" i="13" s="1"/>
  <c r="AE316" i="13"/>
  <c r="AA316" i="13"/>
  <c r="AB316" i="13" s="1"/>
  <c r="U316" i="13"/>
  <c r="AE315" i="13"/>
  <c r="AA315" i="13"/>
  <c r="AB315" i="13" s="1"/>
  <c r="U315" i="13"/>
  <c r="V315" i="13" s="1"/>
  <c r="X315" i="13" s="1"/>
  <c r="AE314" i="13"/>
  <c r="AA314" i="13"/>
  <c r="AB314" i="13" s="1"/>
  <c r="U314" i="13"/>
  <c r="W314" i="13" s="1"/>
  <c r="AF314" i="13" s="1"/>
  <c r="AE313" i="13"/>
  <c r="AA313" i="13"/>
  <c r="AB313" i="13" s="1"/>
  <c r="U313" i="13"/>
  <c r="V313" i="13" s="1"/>
  <c r="X313" i="13" s="1"/>
  <c r="AE312" i="13"/>
  <c r="AA312" i="13"/>
  <c r="AB312" i="13" s="1"/>
  <c r="U312" i="13"/>
  <c r="V312" i="13" s="1"/>
  <c r="X312" i="13" s="1"/>
  <c r="AE311" i="13"/>
  <c r="AA311" i="13"/>
  <c r="AB311" i="13" s="1"/>
  <c r="U311" i="13"/>
  <c r="W311" i="13" s="1"/>
  <c r="AF311" i="13" s="1"/>
  <c r="AE310" i="13"/>
  <c r="AA310" i="13"/>
  <c r="AB310" i="13" s="1"/>
  <c r="U310" i="13"/>
  <c r="W310" i="13" s="1"/>
  <c r="AF310" i="13" s="1"/>
  <c r="AE309" i="13"/>
  <c r="AA309" i="13"/>
  <c r="AB309" i="13" s="1"/>
  <c r="U309" i="13"/>
  <c r="V309" i="13" s="1"/>
  <c r="X309" i="13" s="1"/>
  <c r="AE308" i="13"/>
  <c r="AA308" i="13"/>
  <c r="AB308" i="13" s="1"/>
  <c r="U308" i="13"/>
  <c r="W308" i="13" s="1"/>
  <c r="AF308" i="13" s="1"/>
  <c r="AE307" i="13"/>
  <c r="AA307" i="13"/>
  <c r="AB307" i="13" s="1"/>
  <c r="U307" i="13"/>
  <c r="V307" i="13" s="1"/>
  <c r="X307" i="13" s="1"/>
  <c r="AE306" i="13"/>
  <c r="AA306" i="13"/>
  <c r="AB306" i="13" s="1"/>
  <c r="U306" i="13"/>
  <c r="W306" i="13" s="1"/>
  <c r="AF306" i="13" s="1"/>
  <c r="AE305" i="13"/>
  <c r="AA305" i="13"/>
  <c r="AB305" i="13" s="1"/>
  <c r="U305" i="13"/>
  <c r="W305" i="13" s="1"/>
  <c r="AF305" i="13" s="1"/>
  <c r="AE304" i="13"/>
  <c r="AA304" i="13"/>
  <c r="AB304" i="13" s="1"/>
  <c r="U304" i="13"/>
  <c r="W304" i="13" s="1"/>
  <c r="AF304" i="13" s="1"/>
  <c r="AE303" i="13"/>
  <c r="AA303" i="13"/>
  <c r="AB303" i="13" s="1"/>
  <c r="U303" i="13"/>
  <c r="V303" i="13" s="1"/>
  <c r="X303" i="13" s="1"/>
  <c r="AE302" i="13"/>
  <c r="AA302" i="13"/>
  <c r="AB302" i="13" s="1"/>
  <c r="U302" i="13"/>
  <c r="W302" i="13" s="1"/>
  <c r="AF302" i="13" s="1"/>
  <c r="AE301" i="13"/>
  <c r="AA301" i="13"/>
  <c r="AB301" i="13" s="1"/>
  <c r="U301" i="13"/>
  <c r="V301" i="13" s="1"/>
  <c r="X301" i="13" s="1"/>
  <c r="AE300" i="13"/>
  <c r="AA300" i="13"/>
  <c r="AB300" i="13" s="1"/>
  <c r="U300" i="13"/>
  <c r="AE299" i="13"/>
  <c r="AA299" i="13"/>
  <c r="AB299" i="13" s="1"/>
  <c r="U299" i="13"/>
  <c r="W299" i="13" s="1"/>
  <c r="AF299" i="13" s="1"/>
  <c r="AE298" i="13"/>
  <c r="AA298" i="13"/>
  <c r="AB298" i="13" s="1"/>
  <c r="U298" i="13"/>
  <c r="W298" i="13" s="1"/>
  <c r="AF298" i="13" s="1"/>
  <c r="AE297" i="13"/>
  <c r="AA297" i="13"/>
  <c r="AB297" i="13" s="1"/>
  <c r="U297" i="13"/>
  <c r="V297" i="13" s="1"/>
  <c r="X297" i="13" s="1"/>
  <c r="AE296" i="13"/>
  <c r="AA296" i="13"/>
  <c r="AB296" i="13" s="1"/>
  <c r="U296" i="13"/>
  <c r="W296" i="13" s="1"/>
  <c r="AF296" i="13" s="1"/>
  <c r="AE295" i="13"/>
  <c r="AA295" i="13"/>
  <c r="AB295" i="13" s="1"/>
  <c r="U295" i="13"/>
  <c r="AE294" i="13"/>
  <c r="AA294" i="13"/>
  <c r="AB294" i="13" s="1"/>
  <c r="U294" i="13"/>
  <c r="V294" i="13" s="1"/>
  <c r="X294" i="13" s="1"/>
  <c r="AE293" i="13"/>
  <c r="AA293" i="13"/>
  <c r="AB293" i="13" s="1"/>
  <c r="U293" i="13"/>
  <c r="W293" i="13" s="1"/>
  <c r="AF293" i="13" s="1"/>
  <c r="AE292" i="13"/>
  <c r="AA292" i="13"/>
  <c r="AB292" i="13" s="1"/>
  <c r="U292" i="13"/>
  <c r="W292" i="13" s="1"/>
  <c r="AF292" i="13" s="1"/>
  <c r="AE291" i="13"/>
  <c r="AA291" i="13"/>
  <c r="AB291" i="13" s="1"/>
  <c r="U291" i="13"/>
  <c r="V291" i="13" s="1"/>
  <c r="X291" i="13" s="1"/>
  <c r="AE290" i="13"/>
  <c r="AA290" i="13"/>
  <c r="AB290" i="13" s="1"/>
  <c r="U290" i="13"/>
  <c r="AE289" i="13"/>
  <c r="AA289" i="13"/>
  <c r="AB289" i="13" s="1"/>
  <c r="U289" i="13"/>
  <c r="V289" i="13" s="1"/>
  <c r="X289" i="13" s="1"/>
  <c r="AE288" i="13"/>
  <c r="AA288" i="13"/>
  <c r="AB288" i="13" s="1"/>
  <c r="U288" i="13"/>
  <c r="W288" i="13" s="1"/>
  <c r="AF288" i="13" s="1"/>
  <c r="AE287" i="13"/>
  <c r="AA287" i="13"/>
  <c r="AB287" i="13" s="1"/>
  <c r="U287" i="13"/>
  <c r="W287" i="13" s="1"/>
  <c r="AF287" i="13" s="1"/>
  <c r="AE286" i="13"/>
  <c r="AA286" i="13"/>
  <c r="AB286" i="13" s="1"/>
  <c r="U286" i="13"/>
  <c r="W286" i="13" s="1"/>
  <c r="AF286" i="13" s="1"/>
  <c r="AE285" i="13"/>
  <c r="AA285" i="13"/>
  <c r="AB285" i="13" s="1"/>
  <c r="U285" i="13"/>
  <c r="AE284" i="13"/>
  <c r="AA284" i="13"/>
  <c r="AB284" i="13" s="1"/>
  <c r="U284" i="13"/>
  <c r="W284" i="13" s="1"/>
  <c r="AF284" i="13" s="1"/>
  <c r="AE283" i="13"/>
  <c r="AA283" i="13"/>
  <c r="AB283" i="13" s="1"/>
  <c r="U283" i="13"/>
  <c r="V283" i="13" s="1"/>
  <c r="X283" i="13" s="1"/>
  <c r="AE282" i="13"/>
  <c r="AA282" i="13"/>
  <c r="AB282" i="13" s="1"/>
  <c r="U282" i="13"/>
  <c r="V282" i="13" s="1"/>
  <c r="X282" i="13" s="1"/>
  <c r="AE281" i="13"/>
  <c r="AA281" i="13"/>
  <c r="AB281" i="13" s="1"/>
  <c r="U281" i="13"/>
  <c r="W281" i="13" s="1"/>
  <c r="AF281" i="13" s="1"/>
  <c r="AE280" i="13"/>
  <c r="AA280" i="13"/>
  <c r="AB280" i="13" s="1"/>
  <c r="U280" i="13"/>
  <c r="AE279" i="13"/>
  <c r="AA279" i="13"/>
  <c r="AB279" i="13" s="1"/>
  <c r="U279" i="13"/>
  <c r="V279" i="13" s="1"/>
  <c r="X279" i="13" s="1"/>
  <c r="AE278" i="13"/>
  <c r="AA278" i="13"/>
  <c r="AB278" i="13" s="1"/>
  <c r="U278" i="13"/>
  <c r="W278" i="13" s="1"/>
  <c r="AF278" i="13" s="1"/>
  <c r="AE277" i="13"/>
  <c r="AA277" i="13"/>
  <c r="AB277" i="13" s="1"/>
  <c r="U277" i="13"/>
  <c r="AE276" i="13"/>
  <c r="AA276" i="13"/>
  <c r="AB276" i="13" s="1"/>
  <c r="U276" i="13"/>
  <c r="W276" i="13" s="1"/>
  <c r="AF276" i="13" s="1"/>
  <c r="AE275" i="13"/>
  <c r="AA275" i="13"/>
  <c r="AB275" i="13" s="1"/>
  <c r="U275" i="13"/>
  <c r="W275" i="13" s="1"/>
  <c r="AF275" i="13" s="1"/>
  <c r="AE274" i="13"/>
  <c r="AA274" i="13"/>
  <c r="AB274" i="13" s="1"/>
  <c r="U274" i="13"/>
  <c r="W274" i="13" s="1"/>
  <c r="AF274" i="13" s="1"/>
  <c r="AE273" i="13"/>
  <c r="AA273" i="13"/>
  <c r="AB273" i="13" s="1"/>
  <c r="U273" i="13"/>
  <c r="V273" i="13" s="1"/>
  <c r="X273" i="13" s="1"/>
  <c r="AE272" i="13"/>
  <c r="AA272" i="13"/>
  <c r="AB272" i="13" s="1"/>
  <c r="U272" i="13"/>
  <c r="W272" i="13" s="1"/>
  <c r="AF272" i="13" s="1"/>
  <c r="AE271" i="13"/>
  <c r="AA271" i="13"/>
  <c r="AB271" i="13" s="1"/>
  <c r="U271" i="13"/>
  <c r="V271" i="13" s="1"/>
  <c r="X271" i="13" s="1"/>
  <c r="AE270" i="13"/>
  <c r="AA270" i="13"/>
  <c r="AB270" i="13" s="1"/>
  <c r="U270" i="13"/>
  <c r="W270" i="13" s="1"/>
  <c r="AF270" i="13" s="1"/>
  <c r="AE269" i="13"/>
  <c r="AA269" i="13"/>
  <c r="AB269" i="13" s="1"/>
  <c r="U269" i="13"/>
  <c r="W269" i="13" s="1"/>
  <c r="AF269" i="13" s="1"/>
  <c r="AE268" i="13"/>
  <c r="AA268" i="13"/>
  <c r="AB268" i="13" s="1"/>
  <c r="U268" i="13"/>
  <c r="W268" i="13" s="1"/>
  <c r="AF268" i="13" s="1"/>
  <c r="AE267" i="13"/>
  <c r="AA267" i="13"/>
  <c r="AB267" i="13" s="1"/>
  <c r="U267" i="13"/>
  <c r="V267" i="13" s="1"/>
  <c r="X267" i="13" s="1"/>
  <c r="AE266" i="13"/>
  <c r="AA266" i="13"/>
  <c r="AB266" i="13" s="1"/>
  <c r="U266" i="13"/>
  <c r="W266" i="13" s="1"/>
  <c r="AF266" i="13" s="1"/>
  <c r="AE265" i="13"/>
  <c r="AA265" i="13"/>
  <c r="AB265" i="13" s="1"/>
  <c r="U265" i="13"/>
  <c r="W265" i="13" s="1"/>
  <c r="AF265" i="13" s="1"/>
  <c r="AE264" i="13"/>
  <c r="AA264" i="13"/>
  <c r="AB264" i="13" s="1"/>
  <c r="U264" i="13"/>
  <c r="V264" i="13" s="1"/>
  <c r="X264" i="13" s="1"/>
  <c r="AE263" i="13"/>
  <c r="AA263" i="13"/>
  <c r="AB263" i="13" s="1"/>
  <c r="U263" i="13"/>
  <c r="W263" i="13" s="1"/>
  <c r="AF263" i="13" s="1"/>
  <c r="AE262" i="13"/>
  <c r="AA262" i="13"/>
  <c r="AB262" i="13" s="1"/>
  <c r="U262" i="13"/>
  <c r="W262" i="13" s="1"/>
  <c r="AF262" i="13" s="1"/>
  <c r="AE261" i="13"/>
  <c r="AA261" i="13"/>
  <c r="AB261" i="13" s="1"/>
  <c r="U261" i="13"/>
  <c r="V261" i="13" s="1"/>
  <c r="X261" i="13" s="1"/>
  <c r="AE260" i="13"/>
  <c r="AA260" i="13"/>
  <c r="AB260" i="13" s="1"/>
  <c r="U260" i="13"/>
  <c r="W260" i="13" s="1"/>
  <c r="AF260" i="13" s="1"/>
  <c r="AE259" i="13"/>
  <c r="AA259" i="13"/>
  <c r="AB259" i="13" s="1"/>
  <c r="U259" i="13"/>
  <c r="W259" i="13" s="1"/>
  <c r="AF259" i="13" s="1"/>
  <c r="AE258" i="13"/>
  <c r="AA258" i="13"/>
  <c r="AB258" i="13" s="1"/>
  <c r="U258" i="13"/>
  <c r="W258" i="13" s="1"/>
  <c r="AF258" i="13" s="1"/>
  <c r="AE257" i="13"/>
  <c r="AA257" i="13"/>
  <c r="AB257" i="13" s="1"/>
  <c r="U257" i="13"/>
  <c r="W257" i="13" s="1"/>
  <c r="AF257" i="13" s="1"/>
  <c r="AE256" i="13"/>
  <c r="AA256" i="13"/>
  <c r="AB256" i="13" s="1"/>
  <c r="U256" i="13"/>
  <c r="W256" i="13" s="1"/>
  <c r="AF256" i="13" s="1"/>
  <c r="AE255" i="13"/>
  <c r="AA255" i="13"/>
  <c r="AB255" i="13" s="1"/>
  <c r="U255" i="13"/>
  <c r="V255" i="13" s="1"/>
  <c r="X255" i="13" s="1"/>
  <c r="AE254" i="13"/>
  <c r="AA254" i="13"/>
  <c r="AB254" i="13" s="1"/>
  <c r="U254" i="13"/>
  <c r="W254" i="13" s="1"/>
  <c r="AF254" i="13" s="1"/>
  <c r="AE253" i="13"/>
  <c r="AA253" i="13"/>
  <c r="AB253" i="13" s="1"/>
  <c r="U253" i="13"/>
  <c r="V253" i="13" s="1"/>
  <c r="X253" i="13" s="1"/>
  <c r="AE252" i="13"/>
  <c r="AA252" i="13"/>
  <c r="AB252" i="13" s="1"/>
  <c r="U252" i="13"/>
  <c r="W252" i="13" s="1"/>
  <c r="AF252" i="13" s="1"/>
  <c r="AE251" i="13"/>
  <c r="AA251" i="13"/>
  <c r="AB251" i="13" s="1"/>
  <c r="U251" i="13"/>
  <c r="W251" i="13" s="1"/>
  <c r="AF251" i="13" s="1"/>
  <c r="AE250" i="13"/>
  <c r="AA250" i="13"/>
  <c r="AB250" i="13" s="1"/>
  <c r="U250" i="13"/>
  <c r="W250" i="13" s="1"/>
  <c r="AF250" i="13" s="1"/>
  <c r="AE249" i="13"/>
  <c r="AA249" i="13"/>
  <c r="AB249" i="13" s="1"/>
  <c r="U249" i="13"/>
  <c r="V249" i="13" s="1"/>
  <c r="X249" i="13" s="1"/>
  <c r="AE248" i="13"/>
  <c r="AA248" i="13"/>
  <c r="AB248" i="13" s="1"/>
  <c r="U248" i="13"/>
  <c r="W248" i="13" s="1"/>
  <c r="AF248" i="13" s="1"/>
  <c r="AE247" i="13"/>
  <c r="AA247" i="13"/>
  <c r="AB247" i="13" s="1"/>
  <c r="U247" i="13"/>
  <c r="V247" i="13" s="1"/>
  <c r="X247" i="13" s="1"/>
  <c r="AE246" i="13"/>
  <c r="AA246" i="13"/>
  <c r="AB246" i="13" s="1"/>
  <c r="U246" i="13"/>
  <c r="V246" i="13" s="1"/>
  <c r="X246" i="13" s="1"/>
  <c r="AE245" i="13"/>
  <c r="AA245" i="13"/>
  <c r="AB245" i="13" s="1"/>
  <c r="U245" i="13"/>
  <c r="W245" i="13" s="1"/>
  <c r="AF245" i="13" s="1"/>
  <c r="AE244" i="13"/>
  <c r="AA244" i="13"/>
  <c r="AB244" i="13" s="1"/>
  <c r="U244" i="13"/>
  <c r="W244" i="13" s="1"/>
  <c r="AF244" i="13" s="1"/>
  <c r="AE243" i="13"/>
  <c r="AA243" i="13"/>
  <c r="AB243" i="13" s="1"/>
  <c r="U243" i="13"/>
  <c r="V243" i="13" s="1"/>
  <c r="X243" i="13" s="1"/>
  <c r="AE242" i="13"/>
  <c r="AA242" i="13"/>
  <c r="AB242" i="13" s="1"/>
  <c r="U242" i="13"/>
  <c r="W242" i="13" s="1"/>
  <c r="AF242" i="13" s="1"/>
  <c r="AE241" i="13"/>
  <c r="AA241" i="13"/>
  <c r="AB241" i="13" s="1"/>
  <c r="U241" i="13"/>
  <c r="W241" i="13" s="1"/>
  <c r="AF241" i="13" s="1"/>
  <c r="AE240" i="13"/>
  <c r="AA240" i="13"/>
  <c r="AB240" i="13" s="1"/>
  <c r="U240" i="13"/>
  <c r="W240" i="13" s="1"/>
  <c r="AF240" i="13" s="1"/>
  <c r="AE239" i="13"/>
  <c r="AA239" i="13"/>
  <c r="AB239" i="13" s="1"/>
  <c r="U239" i="13"/>
  <c r="AE238" i="13"/>
  <c r="AA238" i="13"/>
  <c r="AB238" i="13" s="1"/>
  <c r="U238" i="13"/>
  <c r="W238" i="13" s="1"/>
  <c r="AF238" i="13" s="1"/>
  <c r="AE237" i="13"/>
  <c r="AA237" i="13"/>
  <c r="AB237" i="13" s="1"/>
  <c r="U237" i="13"/>
  <c r="V237" i="13" s="1"/>
  <c r="X237" i="13" s="1"/>
  <c r="AG237" i="13" s="1"/>
  <c r="AE236" i="13"/>
  <c r="AA236" i="13"/>
  <c r="AB236" i="13" s="1"/>
  <c r="U236" i="13"/>
  <c r="W236" i="13" s="1"/>
  <c r="AF236" i="13" s="1"/>
  <c r="AE235" i="13"/>
  <c r="AA235" i="13"/>
  <c r="AB235" i="13" s="1"/>
  <c r="U235" i="13"/>
  <c r="V235" i="13" s="1"/>
  <c r="X235" i="13" s="1"/>
  <c r="AE234" i="13"/>
  <c r="AA234" i="13"/>
  <c r="AB234" i="13" s="1"/>
  <c r="U234" i="13"/>
  <c r="W234" i="13" s="1"/>
  <c r="AF234" i="13" s="1"/>
  <c r="AE233" i="13"/>
  <c r="AA233" i="13"/>
  <c r="AB233" i="13" s="1"/>
  <c r="U233" i="13"/>
  <c r="AE232" i="13"/>
  <c r="AA232" i="13"/>
  <c r="AB232" i="13" s="1"/>
  <c r="U232" i="13"/>
  <c r="W232" i="13" s="1"/>
  <c r="AF232" i="13" s="1"/>
  <c r="AE231" i="13"/>
  <c r="AA231" i="13"/>
  <c r="AB231" i="13" s="1"/>
  <c r="U231" i="13"/>
  <c r="V231" i="13" s="1"/>
  <c r="X231" i="13" s="1"/>
  <c r="AG231" i="13" s="1"/>
  <c r="AE230" i="13"/>
  <c r="AA230" i="13"/>
  <c r="AB230" i="13" s="1"/>
  <c r="U230" i="13"/>
  <c r="W230" i="13" s="1"/>
  <c r="AF230" i="13" s="1"/>
  <c r="AE229" i="13"/>
  <c r="AA229" i="13"/>
  <c r="AB229" i="13" s="1"/>
  <c r="U229" i="13"/>
  <c r="V229" i="13" s="1"/>
  <c r="X229" i="13" s="1"/>
  <c r="AG229" i="13" s="1"/>
  <c r="AE228" i="13"/>
  <c r="AA228" i="13"/>
  <c r="AB228" i="13" s="1"/>
  <c r="U228" i="13"/>
  <c r="W228" i="13" s="1"/>
  <c r="AF228" i="13" s="1"/>
  <c r="AE227" i="13"/>
  <c r="AA227" i="13"/>
  <c r="AB227" i="13" s="1"/>
  <c r="U227" i="13"/>
  <c r="V227" i="13" s="1"/>
  <c r="X227" i="13" s="1"/>
  <c r="AG227" i="13" s="1"/>
  <c r="AE226" i="13"/>
  <c r="AA226" i="13"/>
  <c r="AB226" i="13" s="1"/>
  <c r="U226" i="13"/>
  <c r="W226" i="13" s="1"/>
  <c r="AF226" i="13" s="1"/>
  <c r="AE225" i="13"/>
  <c r="AA225" i="13"/>
  <c r="AB225" i="13" s="1"/>
  <c r="U225" i="13"/>
  <c r="V225" i="13" s="1"/>
  <c r="X225" i="13" s="1"/>
  <c r="AG225" i="13" s="1"/>
  <c r="AE224" i="13"/>
  <c r="AA224" i="13"/>
  <c r="AB224" i="13" s="1"/>
  <c r="U224" i="13"/>
  <c r="W224" i="13" s="1"/>
  <c r="AF224" i="13" s="1"/>
  <c r="AE223" i="13"/>
  <c r="AA223" i="13"/>
  <c r="AB223" i="13" s="1"/>
  <c r="U223" i="13"/>
  <c r="V223" i="13" s="1"/>
  <c r="X223" i="13" s="1"/>
  <c r="AG223" i="13" s="1"/>
  <c r="AE222" i="13"/>
  <c r="AA222" i="13"/>
  <c r="AB222" i="13" s="1"/>
  <c r="U222" i="13"/>
  <c r="W222" i="13" s="1"/>
  <c r="AF222" i="13" s="1"/>
  <c r="AE221" i="13"/>
  <c r="AA221" i="13"/>
  <c r="AB221" i="13" s="1"/>
  <c r="U221" i="13"/>
  <c r="V221" i="13" s="1"/>
  <c r="X221" i="13" s="1"/>
  <c r="AG221" i="13" s="1"/>
  <c r="AE220" i="13"/>
  <c r="AA220" i="13"/>
  <c r="AB220" i="13" s="1"/>
  <c r="U220" i="13"/>
  <c r="W220" i="13" s="1"/>
  <c r="AF220" i="13" s="1"/>
  <c r="AE219" i="13"/>
  <c r="AA219" i="13"/>
  <c r="AB219" i="13" s="1"/>
  <c r="U219" i="13"/>
  <c r="V219" i="13" s="1"/>
  <c r="X219" i="13" s="1"/>
  <c r="AG219" i="13" s="1"/>
  <c r="AE218" i="13"/>
  <c r="AA218" i="13"/>
  <c r="AB218" i="13" s="1"/>
  <c r="U218" i="13"/>
  <c r="W218" i="13" s="1"/>
  <c r="AF218" i="13" s="1"/>
  <c r="AE217" i="13"/>
  <c r="AA217" i="13"/>
  <c r="AB217" i="13" s="1"/>
  <c r="U217" i="13"/>
  <c r="V217" i="13" s="1"/>
  <c r="X217" i="13" s="1"/>
  <c r="AG217" i="13" s="1"/>
  <c r="AE216" i="13"/>
  <c r="AA216" i="13"/>
  <c r="AB216" i="13" s="1"/>
  <c r="U216" i="13"/>
  <c r="V216" i="13" s="1"/>
  <c r="X216" i="13" s="1"/>
  <c r="AE215" i="13"/>
  <c r="AA215" i="13"/>
  <c r="AB215" i="13" s="1"/>
  <c r="U215" i="13"/>
  <c r="V215" i="13" s="1"/>
  <c r="X215" i="13" s="1"/>
  <c r="AG215" i="13" s="1"/>
  <c r="AE214" i="13"/>
  <c r="AA214" i="13"/>
  <c r="AB214" i="13" s="1"/>
  <c r="U214" i="13"/>
  <c r="W214" i="13" s="1"/>
  <c r="AF214" i="13" s="1"/>
  <c r="AE213" i="13"/>
  <c r="AA213" i="13"/>
  <c r="AB213" i="13" s="1"/>
  <c r="U213" i="13"/>
  <c r="V213" i="13" s="1"/>
  <c r="X213" i="13" s="1"/>
  <c r="AG213" i="13" s="1"/>
  <c r="AE212" i="13"/>
  <c r="AA212" i="13"/>
  <c r="AB212" i="13" s="1"/>
  <c r="U212" i="13"/>
  <c r="W212" i="13" s="1"/>
  <c r="AF212" i="13" s="1"/>
  <c r="AE211" i="13"/>
  <c r="AA211" i="13"/>
  <c r="AB211" i="13" s="1"/>
  <c r="U211" i="13"/>
  <c r="V211" i="13" s="1"/>
  <c r="X211" i="13" s="1"/>
  <c r="AG211" i="13" s="1"/>
  <c r="AE210" i="13"/>
  <c r="AA210" i="13"/>
  <c r="AB210" i="13" s="1"/>
  <c r="U210" i="13"/>
  <c r="W210" i="13" s="1"/>
  <c r="AF210" i="13" s="1"/>
  <c r="AE209" i="13"/>
  <c r="AA209" i="13"/>
  <c r="AB209" i="13" s="1"/>
  <c r="U209" i="13"/>
  <c r="V209" i="13" s="1"/>
  <c r="X209" i="13" s="1"/>
  <c r="AG209" i="13" s="1"/>
  <c r="AE208" i="13"/>
  <c r="AA208" i="13"/>
  <c r="AB208" i="13" s="1"/>
  <c r="U208" i="13"/>
  <c r="W208" i="13" s="1"/>
  <c r="AF208" i="13" s="1"/>
  <c r="AE207" i="13"/>
  <c r="AA207" i="13"/>
  <c r="AB207" i="13" s="1"/>
  <c r="U207" i="13"/>
  <c r="V207" i="13" s="1"/>
  <c r="X207" i="13" s="1"/>
  <c r="AG207" i="13" s="1"/>
  <c r="AE206" i="13"/>
  <c r="AA206" i="13"/>
  <c r="AB206" i="13" s="1"/>
  <c r="U206" i="13"/>
  <c r="W206" i="13" s="1"/>
  <c r="AF206" i="13" s="1"/>
  <c r="AE205" i="13"/>
  <c r="AA205" i="13"/>
  <c r="AB205" i="13" s="1"/>
  <c r="U205" i="13"/>
  <c r="V205" i="13" s="1"/>
  <c r="X205" i="13" s="1"/>
  <c r="AG205" i="13" s="1"/>
  <c r="AE204" i="13"/>
  <c r="AA204" i="13"/>
  <c r="AB204" i="13" s="1"/>
  <c r="U204" i="13"/>
  <c r="W204" i="13" s="1"/>
  <c r="AF204" i="13" s="1"/>
  <c r="AE203" i="13"/>
  <c r="AA203" i="13"/>
  <c r="AB203" i="13" s="1"/>
  <c r="U203" i="13"/>
  <c r="V203" i="13" s="1"/>
  <c r="X203" i="13" s="1"/>
  <c r="AG203" i="13" s="1"/>
  <c r="AE202" i="13"/>
  <c r="AA202" i="13"/>
  <c r="AB202" i="13" s="1"/>
  <c r="U202" i="13"/>
  <c r="W202" i="13" s="1"/>
  <c r="AF202" i="13" s="1"/>
  <c r="AE201" i="13"/>
  <c r="AA201" i="13"/>
  <c r="AB201" i="13" s="1"/>
  <c r="U201" i="13"/>
  <c r="V201" i="13" s="1"/>
  <c r="X201" i="13" s="1"/>
  <c r="AG201" i="13" s="1"/>
  <c r="AE200" i="13"/>
  <c r="AA200" i="13"/>
  <c r="AB200" i="13" s="1"/>
  <c r="U200" i="13"/>
  <c r="W200" i="13" s="1"/>
  <c r="AF200" i="13" s="1"/>
  <c r="AE199" i="13"/>
  <c r="AA199" i="13"/>
  <c r="AB199" i="13" s="1"/>
  <c r="U199" i="13"/>
  <c r="V199" i="13" s="1"/>
  <c r="X199" i="13" s="1"/>
  <c r="AG199" i="13" s="1"/>
  <c r="AE198" i="13"/>
  <c r="AA198" i="13"/>
  <c r="AB198" i="13" s="1"/>
  <c r="U198" i="13"/>
  <c r="W198" i="13" s="1"/>
  <c r="AF198" i="13" s="1"/>
  <c r="AE197" i="13"/>
  <c r="AA197" i="13"/>
  <c r="AB197" i="13" s="1"/>
  <c r="U197" i="13"/>
  <c r="V197" i="13" s="1"/>
  <c r="X197" i="13" s="1"/>
  <c r="AG197" i="13" s="1"/>
  <c r="AE196" i="13"/>
  <c r="AA196" i="13"/>
  <c r="AB196" i="13" s="1"/>
  <c r="U196" i="13"/>
  <c r="W196" i="13" s="1"/>
  <c r="AF196" i="13" s="1"/>
  <c r="AE195" i="13"/>
  <c r="AA195" i="13"/>
  <c r="AB195" i="13" s="1"/>
  <c r="U195" i="13"/>
  <c r="V195" i="13" s="1"/>
  <c r="X195" i="13" s="1"/>
  <c r="AG195" i="13" s="1"/>
  <c r="AE194" i="13"/>
  <c r="AA194" i="13"/>
  <c r="AB194" i="13" s="1"/>
  <c r="U194" i="13"/>
  <c r="W194" i="13" s="1"/>
  <c r="AF194" i="13" s="1"/>
  <c r="AE193" i="13"/>
  <c r="AA193" i="13"/>
  <c r="AB193" i="13" s="1"/>
  <c r="U193" i="13"/>
  <c r="V193" i="13" s="1"/>
  <c r="X193" i="13" s="1"/>
  <c r="AG193" i="13" s="1"/>
  <c r="AE192" i="13"/>
  <c r="AA192" i="13"/>
  <c r="AB192" i="13" s="1"/>
  <c r="U192" i="13"/>
  <c r="W192" i="13" s="1"/>
  <c r="AF192" i="13" s="1"/>
  <c r="AE191" i="13"/>
  <c r="AA191" i="13"/>
  <c r="AB191" i="13" s="1"/>
  <c r="U191" i="13"/>
  <c r="V191" i="13" s="1"/>
  <c r="X191" i="13" s="1"/>
  <c r="AG191" i="13" s="1"/>
  <c r="AE190" i="13"/>
  <c r="AA190" i="13"/>
  <c r="AB190" i="13" s="1"/>
  <c r="U190" i="13"/>
  <c r="W190" i="13" s="1"/>
  <c r="AF190" i="13" s="1"/>
  <c r="AE189" i="13"/>
  <c r="AA189" i="13"/>
  <c r="AB189" i="13" s="1"/>
  <c r="U189" i="13"/>
  <c r="V189" i="13" s="1"/>
  <c r="X189" i="13" s="1"/>
  <c r="AG189" i="13" s="1"/>
  <c r="AE188" i="13"/>
  <c r="AA188" i="13"/>
  <c r="AB188" i="13" s="1"/>
  <c r="U188" i="13"/>
  <c r="W188" i="13" s="1"/>
  <c r="AF188" i="13" s="1"/>
  <c r="AE187" i="13"/>
  <c r="AA187" i="13"/>
  <c r="AB187" i="13" s="1"/>
  <c r="U187" i="13"/>
  <c r="V187" i="13" s="1"/>
  <c r="X187" i="13" s="1"/>
  <c r="AE186" i="13"/>
  <c r="AA186" i="13"/>
  <c r="AB186" i="13" s="1"/>
  <c r="U186" i="13"/>
  <c r="V186" i="13" s="1"/>
  <c r="X186" i="13" s="1"/>
  <c r="Y186" i="13" s="1"/>
  <c r="AE185" i="13"/>
  <c r="AA185" i="13"/>
  <c r="AB185" i="13" s="1"/>
  <c r="U185" i="13"/>
  <c r="W185" i="13" s="1"/>
  <c r="AF185" i="13" s="1"/>
  <c r="AE184" i="13"/>
  <c r="AA184" i="13"/>
  <c r="AB184" i="13" s="1"/>
  <c r="U184" i="13"/>
  <c r="W184" i="13" s="1"/>
  <c r="AF184" i="13" s="1"/>
  <c r="AE183" i="13"/>
  <c r="AA183" i="13"/>
  <c r="AB183" i="13" s="1"/>
  <c r="U183" i="13"/>
  <c r="V183" i="13" s="1"/>
  <c r="X183" i="13" s="1"/>
  <c r="AG183" i="13" s="1"/>
  <c r="AE182" i="13"/>
  <c r="AA182" i="13"/>
  <c r="AB182" i="13" s="1"/>
  <c r="U182" i="13"/>
  <c r="W182" i="13" s="1"/>
  <c r="AF182" i="13" s="1"/>
  <c r="AE181" i="13"/>
  <c r="AA181" i="13"/>
  <c r="AB181" i="13" s="1"/>
  <c r="U181" i="13"/>
  <c r="V181" i="13" s="1"/>
  <c r="X181" i="13" s="1"/>
  <c r="Y181" i="13" s="1"/>
  <c r="AE180" i="13"/>
  <c r="AA180" i="13"/>
  <c r="AB180" i="13" s="1"/>
  <c r="U180" i="13"/>
  <c r="W180" i="13" s="1"/>
  <c r="AF180" i="13" s="1"/>
  <c r="AE179" i="13"/>
  <c r="AA179" i="13"/>
  <c r="AB179" i="13" s="1"/>
  <c r="U179" i="13"/>
  <c r="W179" i="13" s="1"/>
  <c r="AF179" i="13" s="1"/>
  <c r="AE178" i="13"/>
  <c r="AA178" i="13"/>
  <c r="AB178" i="13" s="1"/>
  <c r="U178" i="13"/>
  <c r="W178" i="13" s="1"/>
  <c r="AF178" i="13" s="1"/>
  <c r="AE177" i="13"/>
  <c r="AA177" i="13"/>
  <c r="AB177" i="13" s="1"/>
  <c r="U177" i="13"/>
  <c r="V177" i="13" s="1"/>
  <c r="X177" i="13" s="1"/>
  <c r="AG177" i="13" s="1"/>
  <c r="AE176" i="13"/>
  <c r="AA176" i="13"/>
  <c r="AB176" i="13" s="1"/>
  <c r="U176" i="13"/>
  <c r="W176" i="13" s="1"/>
  <c r="AF176" i="13" s="1"/>
  <c r="AE175" i="13"/>
  <c r="AA175" i="13"/>
  <c r="AB175" i="13" s="1"/>
  <c r="U175" i="13"/>
  <c r="V175" i="13" s="1"/>
  <c r="X175" i="13" s="1"/>
  <c r="AE174" i="13"/>
  <c r="AA174" i="13"/>
  <c r="AB174" i="13" s="1"/>
  <c r="U174" i="13"/>
  <c r="V174" i="13" s="1"/>
  <c r="X174" i="13" s="1"/>
  <c r="AE173" i="13"/>
  <c r="AA173" i="13"/>
  <c r="AB173" i="13" s="1"/>
  <c r="U173" i="13"/>
  <c r="V173" i="13" s="1"/>
  <c r="X173" i="13" s="1"/>
  <c r="AE172" i="13"/>
  <c r="AA172" i="13"/>
  <c r="AB172" i="13" s="1"/>
  <c r="U172" i="13"/>
  <c r="V172" i="13" s="1"/>
  <c r="X172" i="13" s="1"/>
  <c r="AE171" i="13"/>
  <c r="AA171" i="13"/>
  <c r="AB171" i="13" s="1"/>
  <c r="U171" i="13"/>
  <c r="W171" i="13" s="1"/>
  <c r="AF171" i="13" s="1"/>
  <c r="AE170" i="13"/>
  <c r="AA170" i="13"/>
  <c r="AB170" i="13" s="1"/>
  <c r="U170" i="13"/>
  <c r="W170" i="13" s="1"/>
  <c r="AF170" i="13" s="1"/>
  <c r="AE169" i="13"/>
  <c r="AA169" i="13"/>
  <c r="AB169" i="13" s="1"/>
  <c r="U169" i="13"/>
  <c r="W169" i="13" s="1"/>
  <c r="AF169" i="13" s="1"/>
  <c r="AE168" i="13"/>
  <c r="AA168" i="13"/>
  <c r="AB168" i="13" s="1"/>
  <c r="U168" i="13"/>
  <c r="V168" i="13" s="1"/>
  <c r="X168" i="13" s="1"/>
  <c r="AE167" i="13"/>
  <c r="AA167" i="13"/>
  <c r="AB167" i="13" s="1"/>
  <c r="U167" i="13"/>
  <c r="V167" i="13" s="1"/>
  <c r="X167" i="13" s="1"/>
  <c r="AE166" i="13"/>
  <c r="AA166" i="13"/>
  <c r="AB166" i="13" s="1"/>
  <c r="U166" i="13"/>
  <c r="W166" i="13" s="1"/>
  <c r="AF166" i="13" s="1"/>
  <c r="AE165" i="13"/>
  <c r="AA165" i="13"/>
  <c r="AB165" i="13" s="1"/>
  <c r="U165" i="13"/>
  <c r="W165" i="13" s="1"/>
  <c r="AF165" i="13" s="1"/>
  <c r="AE164" i="13"/>
  <c r="AA164" i="13"/>
  <c r="AB164" i="13" s="1"/>
  <c r="U164" i="13"/>
  <c r="W164" i="13" s="1"/>
  <c r="AF164" i="13" s="1"/>
  <c r="AE163" i="13"/>
  <c r="AA163" i="13"/>
  <c r="AB163" i="13" s="1"/>
  <c r="U163" i="13"/>
  <c r="W163" i="13" s="1"/>
  <c r="AF163" i="13" s="1"/>
  <c r="AE162" i="13"/>
  <c r="AA162" i="13"/>
  <c r="AB162" i="13" s="1"/>
  <c r="U162" i="13"/>
  <c r="V162" i="13" s="1"/>
  <c r="X162" i="13" s="1"/>
  <c r="AE161" i="13"/>
  <c r="AA161" i="13"/>
  <c r="AB161" i="13" s="1"/>
  <c r="U161" i="13"/>
  <c r="V161" i="13" s="1"/>
  <c r="X161" i="13" s="1"/>
  <c r="AE160" i="13"/>
  <c r="AA160" i="13"/>
  <c r="AB160" i="13" s="1"/>
  <c r="U160" i="13"/>
  <c r="W160" i="13" s="1"/>
  <c r="AF160" i="13" s="1"/>
  <c r="AE159" i="13"/>
  <c r="AA159" i="13"/>
  <c r="AB159" i="13" s="1"/>
  <c r="U159" i="13"/>
  <c r="W159" i="13" s="1"/>
  <c r="AF159" i="13" s="1"/>
  <c r="AE158" i="13"/>
  <c r="AA158" i="13"/>
  <c r="AB158" i="13" s="1"/>
  <c r="U158" i="13"/>
  <c r="W158" i="13" s="1"/>
  <c r="AF158" i="13" s="1"/>
  <c r="AE157" i="13"/>
  <c r="AA157" i="13"/>
  <c r="AB157" i="13" s="1"/>
  <c r="U157" i="13"/>
  <c r="W157" i="13" s="1"/>
  <c r="AF157" i="13" s="1"/>
  <c r="AE156" i="13"/>
  <c r="AA156" i="13"/>
  <c r="AB156" i="13" s="1"/>
  <c r="U156" i="13"/>
  <c r="V156" i="13" s="1"/>
  <c r="X156" i="13" s="1"/>
  <c r="AE155" i="13"/>
  <c r="AA155" i="13"/>
  <c r="AB155" i="13" s="1"/>
  <c r="U155" i="13"/>
  <c r="V155" i="13" s="1"/>
  <c r="X155" i="13" s="1"/>
  <c r="AE154" i="13"/>
  <c r="AA154" i="13"/>
  <c r="AB154" i="13" s="1"/>
  <c r="U154" i="13"/>
  <c r="W154" i="13" s="1"/>
  <c r="AF154" i="13" s="1"/>
  <c r="AE153" i="13"/>
  <c r="AA153" i="13"/>
  <c r="AB153" i="13" s="1"/>
  <c r="U153" i="13"/>
  <c r="W153" i="13" s="1"/>
  <c r="AF153" i="13" s="1"/>
  <c r="AE152" i="13"/>
  <c r="AA152" i="13"/>
  <c r="AB152" i="13" s="1"/>
  <c r="U152" i="13"/>
  <c r="W152" i="13" s="1"/>
  <c r="AF152" i="13" s="1"/>
  <c r="AE151" i="13"/>
  <c r="AA151" i="13"/>
  <c r="AB151" i="13" s="1"/>
  <c r="U151" i="13"/>
  <c r="W151" i="13" s="1"/>
  <c r="AF151" i="13" s="1"/>
  <c r="AE150" i="13"/>
  <c r="AA150" i="13"/>
  <c r="AB150" i="13" s="1"/>
  <c r="U150" i="13"/>
  <c r="V150" i="13" s="1"/>
  <c r="X150" i="13" s="1"/>
  <c r="AE149" i="13"/>
  <c r="AA149" i="13"/>
  <c r="AB149" i="13" s="1"/>
  <c r="U149" i="13"/>
  <c r="V149" i="13" s="1"/>
  <c r="X149" i="13" s="1"/>
  <c r="AE148" i="13"/>
  <c r="AA148" i="13"/>
  <c r="AB148" i="13" s="1"/>
  <c r="U148" i="13"/>
  <c r="W148" i="13" s="1"/>
  <c r="AF148" i="13" s="1"/>
  <c r="AE147" i="13"/>
  <c r="AA147" i="13"/>
  <c r="AB147" i="13" s="1"/>
  <c r="U147" i="13"/>
  <c r="W147" i="13" s="1"/>
  <c r="AF147" i="13" s="1"/>
  <c r="AE146" i="13"/>
  <c r="AA146" i="13"/>
  <c r="AB146" i="13" s="1"/>
  <c r="U146" i="13"/>
  <c r="V146" i="13" s="1"/>
  <c r="X146" i="13" s="1"/>
  <c r="AE145" i="13"/>
  <c r="AA145" i="13"/>
  <c r="AB145" i="13" s="1"/>
  <c r="U145" i="13"/>
  <c r="W145" i="13" s="1"/>
  <c r="AF145" i="13" s="1"/>
  <c r="AE144" i="13"/>
  <c r="AA144" i="13"/>
  <c r="AB144" i="13" s="1"/>
  <c r="U144" i="13"/>
  <c r="V144" i="13" s="1"/>
  <c r="X144" i="13" s="1"/>
  <c r="AE143" i="13"/>
  <c r="AA143" i="13"/>
  <c r="AB143" i="13" s="1"/>
  <c r="U143" i="13"/>
  <c r="V143" i="13" s="1"/>
  <c r="X143" i="13" s="1"/>
  <c r="AE142" i="13"/>
  <c r="AA142" i="13"/>
  <c r="AB142" i="13" s="1"/>
  <c r="U142" i="13"/>
  <c r="W142" i="13" s="1"/>
  <c r="AF142" i="13" s="1"/>
  <c r="AE141" i="13"/>
  <c r="AA141" i="13"/>
  <c r="AB141" i="13" s="1"/>
  <c r="U141" i="13"/>
  <c r="W141" i="13" s="1"/>
  <c r="AF141" i="13" s="1"/>
  <c r="AE140" i="13"/>
  <c r="AA140" i="13"/>
  <c r="AB140" i="13" s="1"/>
  <c r="U140" i="13"/>
  <c r="V140" i="13" s="1"/>
  <c r="X140" i="13" s="1"/>
  <c r="AE139" i="13"/>
  <c r="AA139" i="13"/>
  <c r="AB139" i="13" s="1"/>
  <c r="U139" i="13"/>
  <c r="W139" i="13" s="1"/>
  <c r="AF139" i="13" s="1"/>
  <c r="AE138" i="13"/>
  <c r="AA138" i="13"/>
  <c r="AB138" i="13" s="1"/>
  <c r="U138" i="13"/>
  <c r="V138" i="13" s="1"/>
  <c r="X138" i="13" s="1"/>
  <c r="AE137" i="13"/>
  <c r="AA137" i="13"/>
  <c r="AB137" i="13" s="1"/>
  <c r="U137" i="13"/>
  <c r="V137" i="13" s="1"/>
  <c r="X137" i="13" s="1"/>
  <c r="AE136" i="13"/>
  <c r="AA136" i="13"/>
  <c r="AB136" i="13" s="1"/>
  <c r="U136" i="13"/>
  <c r="W136" i="13" s="1"/>
  <c r="AF136" i="13" s="1"/>
  <c r="AE135" i="13"/>
  <c r="AA135" i="13"/>
  <c r="AB135" i="13" s="1"/>
  <c r="U135" i="13"/>
  <c r="W135" i="13" s="1"/>
  <c r="AF135" i="13" s="1"/>
  <c r="AE134" i="13"/>
  <c r="AA134" i="13"/>
  <c r="AB134" i="13" s="1"/>
  <c r="U134" i="13"/>
  <c r="V134" i="13" s="1"/>
  <c r="X134" i="13" s="1"/>
  <c r="AE133" i="13"/>
  <c r="AA133" i="13"/>
  <c r="AB133" i="13" s="1"/>
  <c r="U133" i="13"/>
  <c r="W133" i="13" s="1"/>
  <c r="AF133" i="13" s="1"/>
  <c r="AE132" i="13"/>
  <c r="AA132" i="13"/>
  <c r="AB132" i="13" s="1"/>
  <c r="U132" i="13"/>
  <c r="V132" i="13" s="1"/>
  <c r="X132" i="13" s="1"/>
  <c r="AE131" i="13"/>
  <c r="AA131" i="13"/>
  <c r="AB131" i="13" s="1"/>
  <c r="U131" i="13"/>
  <c r="V131" i="13" s="1"/>
  <c r="X131" i="13" s="1"/>
  <c r="AE130" i="13"/>
  <c r="AA130" i="13"/>
  <c r="AB130" i="13" s="1"/>
  <c r="U130" i="13"/>
  <c r="W130" i="13" s="1"/>
  <c r="AF130" i="13" s="1"/>
  <c r="AE129" i="13"/>
  <c r="AA129" i="13"/>
  <c r="AB129" i="13" s="1"/>
  <c r="U129" i="13"/>
  <c r="W129" i="13" s="1"/>
  <c r="AF129" i="13" s="1"/>
  <c r="AE128" i="13"/>
  <c r="AA128" i="13"/>
  <c r="AB128" i="13" s="1"/>
  <c r="U128" i="13"/>
  <c r="V128" i="13" s="1"/>
  <c r="X128" i="13" s="1"/>
  <c r="AE127" i="13"/>
  <c r="AA127" i="13"/>
  <c r="AB127" i="13" s="1"/>
  <c r="U127" i="13"/>
  <c r="W127" i="13" s="1"/>
  <c r="AF127" i="13" s="1"/>
  <c r="AE126" i="13"/>
  <c r="AA126" i="13"/>
  <c r="AB126" i="13" s="1"/>
  <c r="U126" i="13"/>
  <c r="V126" i="13" s="1"/>
  <c r="X126" i="13" s="1"/>
  <c r="AE125" i="13"/>
  <c r="AA125" i="13"/>
  <c r="AB125" i="13" s="1"/>
  <c r="U125" i="13"/>
  <c r="V125" i="13" s="1"/>
  <c r="X125" i="13" s="1"/>
  <c r="AE124" i="13"/>
  <c r="AA124" i="13"/>
  <c r="AB124" i="13" s="1"/>
  <c r="U124" i="13"/>
  <c r="W124" i="13" s="1"/>
  <c r="AF124" i="13" s="1"/>
  <c r="AE123" i="13"/>
  <c r="AA123" i="13"/>
  <c r="AB123" i="13" s="1"/>
  <c r="U123" i="13"/>
  <c r="W123" i="13" s="1"/>
  <c r="AF123" i="13" s="1"/>
  <c r="AE122" i="13"/>
  <c r="AA122" i="13"/>
  <c r="AB122" i="13" s="1"/>
  <c r="U122" i="13"/>
  <c r="V122" i="13" s="1"/>
  <c r="X122" i="13" s="1"/>
  <c r="AE121" i="13"/>
  <c r="AA121" i="13"/>
  <c r="AB121" i="13" s="1"/>
  <c r="U121" i="13"/>
  <c r="W121" i="13" s="1"/>
  <c r="AF121" i="13" s="1"/>
  <c r="AE120" i="13"/>
  <c r="AA120" i="13"/>
  <c r="AB120" i="13" s="1"/>
  <c r="U120" i="13"/>
  <c r="V120" i="13" s="1"/>
  <c r="X120" i="13" s="1"/>
  <c r="AE119" i="13"/>
  <c r="AA119" i="13"/>
  <c r="AB119" i="13" s="1"/>
  <c r="U119" i="13"/>
  <c r="V119" i="13" s="1"/>
  <c r="X119" i="13" s="1"/>
  <c r="AE118" i="13"/>
  <c r="AA118" i="13"/>
  <c r="AB118" i="13" s="1"/>
  <c r="U118" i="13"/>
  <c r="V118" i="13" s="1"/>
  <c r="X118" i="13" s="1"/>
  <c r="AE117" i="13"/>
  <c r="AA117" i="13"/>
  <c r="AB117" i="13" s="1"/>
  <c r="U117" i="13"/>
  <c r="W117" i="13" s="1"/>
  <c r="AF117" i="13" s="1"/>
  <c r="AE116" i="13"/>
  <c r="AA116" i="13"/>
  <c r="AB116" i="13" s="1"/>
  <c r="U116" i="13"/>
  <c r="V116" i="13" s="1"/>
  <c r="X116" i="13" s="1"/>
  <c r="AE115" i="13"/>
  <c r="AA115" i="13"/>
  <c r="AB115" i="13" s="1"/>
  <c r="U115" i="13"/>
  <c r="W115" i="13" s="1"/>
  <c r="AF115" i="13" s="1"/>
  <c r="AE114" i="13"/>
  <c r="AA114" i="13"/>
  <c r="AB114" i="13" s="1"/>
  <c r="U114" i="13"/>
  <c r="V114" i="13" s="1"/>
  <c r="X114" i="13" s="1"/>
  <c r="AE113" i="13"/>
  <c r="AA113" i="13"/>
  <c r="AB113" i="13" s="1"/>
  <c r="U113" i="13"/>
  <c r="V113" i="13" s="1"/>
  <c r="X113" i="13" s="1"/>
  <c r="AE112" i="13"/>
  <c r="AA112" i="13"/>
  <c r="AB112" i="13" s="1"/>
  <c r="U112" i="13"/>
  <c r="W112" i="13" s="1"/>
  <c r="AF112" i="13" s="1"/>
  <c r="AE111" i="13"/>
  <c r="AA111" i="13"/>
  <c r="AB111" i="13" s="1"/>
  <c r="U111" i="13"/>
  <c r="W111" i="13" s="1"/>
  <c r="AF111" i="13" s="1"/>
  <c r="AE110" i="13"/>
  <c r="AA110" i="13"/>
  <c r="AB110" i="13" s="1"/>
  <c r="U110" i="13"/>
  <c r="V110" i="13" s="1"/>
  <c r="X110" i="13" s="1"/>
  <c r="AE109" i="13"/>
  <c r="AA109" i="13"/>
  <c r="AB109" i="13" s="1"/>
  <c r="U109" i="13"/>
  <c r="W109" i="13" s="1"/>
  <c r="AF109" i="13" s="1"/>
  <c r="AE108" i="13"/>
  <c r="AA108" i="13"/>
  <c r="AB108" i="13" s="1"/>
  <c r="U108" i="13"/>
  <c r="V108" i="13" s="1"/>
  <c r="X108" i="13" s="1"/>
  <c r="AE107" i="13"/>
  <c r="AA107" i="13"/>
  <c r="AB107" i="13" s="1"/>
  <c r="U107" i="13"/>
  <c r="V107" i="13" s="1"/>
  <c r="X107" i="13" s="1"/>
  <c r="AE106" i="13"/>
  <c r="AA106" i="13"/>
  <c r="AB106" i="13" s="1"/>
  <c r="U106" i="13"/>
  <c r="W106" i="13" s="1"/>
  <c r="AF106" i="13" s="1"/>
  <c r="AE105" i="13"/>
  <c r="AA105" i="13"/>
  <c r="AB105" i="13" s="1"/>
  <c r="U105" i="13"/>
  <c r="W105" i="13" s="1"/>
  <c r="AF105" i="13" s="1"/>
  <c r="AE104" i="13"/>
  <c r="AA104" i="13"/>
  <c r="AB104" i="13" s="1"/>
  <c r="U104" i="13"/>
  <c r="V104" i="13" s="1"/>
  <c r="X104" i="13" s="1"/>
  <c r="AE103" i="13"/>
  <c r="AA103" i="13"/>
  <c r="AB103" i="13" s="1"/>
  <c r="U103" i="13"/>
  <c r="W103" i="13" s="1"/>
  <c r="AF103" i="13" s="1"/>
  <c r="AE102" i="13"/>
  <c r="AA102" i="13"/>
  <c r="AB102" i="13" s="1"/>
  <c r="U102" i="13"/>
  <c r="V102" i="13" s="1"/>
  <c r="X102" i="13" s="1"/>
  <c r="AE101" i="13"/>
  <c r="AA101" i="13"/>
  <c r="AB101" i="13" s="1"/>
  <c r="U101" i="13"/>
  <c r="V101" i="13" s="1"/>
  <c r="X101" i="13" s="1"/>
  <c r="AE100" i="13"/>
  <c r="AA100" i="13"/>
  <c r="AB100" i="13" s="1"/>
  <c r="U100" i="13"/>
  <c r="W100" i="13" s="1"/>
  <c r="AF100" i="13" s="1"/>
  <c r="AE99" i="13"/>
  <c r="AA99" i="13"/>
  <c r="AB99" i="13" s="1"/>
  <c r="U99" i="13"/>
  <c r="W99" i="13" s="1"/>
  <c r="AF99" i="13" s="1"/>
  <c r="AE98" i="13"/>
  <c r="AA98" i="13"/>
  <c r="AB98" i="13" s="1"/>
  <c r="U98" i="13"/>
  <c r="V98" i="13" s="1"/>
  <c r="X98" i="13" s="1"/>
  <c r="AE97" i="13"/>
  <c r="AA97" i="13"/>
  <c r="AB97" i="13" s="1"/>
  <c r="U97" i="13"/>
  <c r="W97" i="13" s="1"/>
  <c r="AF97" i="13" s="1"/>
  <c r="AE96" i="13"/>
  <c r="AA96" i="13"/>
  <c r="AB96" i="13" s="1"/>
  <c r="U96" i="13"/>
  <c r="V96" i="13" s="1"/>
  <c r="X96" i="13" s="1"/>
  <c r="AE95" i="13"/>
  <c r="AA95" i="13"/>
  <c r="AB95" i="13" s="1"/>
  <c r="U95" i="13"/>
  <c r="V95" i="13" s="1"/>
  <c r="X95" i="13" s="1"/>
  <c r="AE94" i="13"/>
  <c r="AA94" i="13"/>
  <c r="AB94" i="13" s="1"/>
  <c r="U94" i="13"/>
  <c r="W94" i="13" s="1"/>
  <c r="AF94" i="13" s="1"/>
  <c r="AE93" i="13"/>
  <c r="AA93" i="13"/>
  <c r="AB93" i="13" s="1"/>
  <c r="U93" i="13"/>
  <c r="W93" i="13" s="1"/>
  <c r="AF93" i="13" s="1"/>
  <c r="AE92" i="13"/>
  <c r="AA92" i="13"/>
  <c r="AB92" i="13" s="1"/>
  <c r="U92" i="13"/>
  <c r="V92" i="13" s="1"/>
  <c r="X92" i="13" s="1"/>
  <c r="AE91" i="13"/>
  <c r="AA91" i="13"/>
  <c r="AB91" i="13" s="1"/>
  <c r="U91" i="13"/>
  <c r="W91" i="13" s="1"/>
  <c r="AF91" i="13" s="1"/>
  <c r="AE90" i="13"/>
  <c r="AA90" i="13"/>
  <c r="AB90" i="13" s="1"/>
  <c r="U90" i="13"/>
  <c r="V90" i="13" s="1"/>
  <c r="X90" i="13" s="1"/>
  <c r="AE89" i="13"/>
  <c r="AA89" i="13"/>
  <c r="AB89" i="13" s="1"/>
  <c r="U89" i="13"/>
  <c r="V89" i="13" s="1"/>
  <c r="X89" i="13" s="1"/>
  <c r="AE88" i="13"/>
  <c r="AA88" i="13"/>
  <c r="AB88" i="13" s="1"/>
  <c r="U88" i="13"/>
  <c r="W88" i="13" s="1"/>
  <c r="AF88" i="13" s="1"/>
  <c r="AE87" i="13"/>
  <c r="AA87" i="13"/>
  <c r="AB87" i="13" s="1"/>
  <c r="U87" i="13"/>
  <c r="AE86" i="13"/>
  <c r="AA86" i="13"/>
  <c r="AB86" i="13" s="1"/>
  <c r="U86" i="13"/>
  <c r="V86" i="13" s="1"/>
  <c r="X86" i="13" s="1"/>
  <c r="AE85" i="13"/>
  <c r="AA85" i="13"/>
  <c r="AB85" i="13" s="1"/>
  <c r="U85" i="13"/>
  <c r="W85" i="13" s="1"/>
  <c r="AF85" i="13" s="1"/>
  <c r="AE84" i="13"/>
  <c r="AA84" i="13"/>
  <c r="AB84" i="13" s="1"/>
  <c r="U84" i="13"/>
  <c r="V84" i="13" s="1"/>
  <c r="X84" i="13" s="1"/>
  <c r="AE83" i="13"/>
  <c r="AA83" i="13"/>
  <c r="AB83" i="13" s="1"/>
  <c r="U83" i="13"/>
  <c r="V83" i="13" s="1"/>
  <c r="X83" i="13" s="1"/>
  <c r="AE82" i="13"/>
  <c r="AA82" i="13"/>
  <c r="AB82" i="13" s="1"/>
  <c r="U82" i="13"/>
  <c r="V82" i="13" s="1"/>
  <c r="X82" i="13" s="1"/>
  <c r="AE81" i="13"/>
  <c r="AA81" i="13"/>
  <c r="AB81" i="13" s="1"/>
  <c r="U81" i="13"/>
  <c r="AE80" i="13"/>
  <c r="AA80" i="13"/>
  <c r="AB80" i="13" s="1"/>
  <c r="U80" i="13"/>
  <c r="V80" i="13" s="1"/>
  <c r="X80" i="13" s="1"/>
  <c r="AE79" i="13"/>
  <c r="AA79" i="13"/>
  <c r="AB79" i="13" s="1"/>
  <c r="U79" i="13"/>
  <c r="W79" i="13" s="1"/>
  <c r="AF79" i="13" s="1"/>
  <c r="AE78" i="13"/>
  <c r="AA78" i="13"/>
  <c r="AB78" i="13" s="1"/>
  <c r="U78" i="13"/>
  <c r="V78" i="13" s="1"/>
  <c r="X78" i="13" s="1"/>
  <c r="AE77" i="13"/>
  <c r="AA77" i="13"/>
  <c r="AB77" i="13" s="1"/>
  <c r="U77" i="13"/>
  <c r="V77" i="13" s="1"/>
  <c r="X77" i="13" s="1"/>
  <c r="AE76" i="13"/>
  <c r="AA76" i="13"/>
  <c r="AB76" i="13" s="1"/>
  <c r="U76" i="13"/>
  <c r="V76" i="13" s="1"/>
  <c r="X76" i="13" s="1"/>
  <c r="AE75" i="13"/>
  <c r="AA75" i="13"/>
  <c r="AB75" i="13" s="1"/>
  <c r="U75" i="13"/>
  <c r="AE74" i="13"/>
  <c r="AA74" i="13"/>
  <c r="AB74" i="13" s="1"/>
  <c r="U74" i="13"/>
  <c r="V74" i="13" s="1"/>
  <c r="X74" i="13" s="1"/>
  <c r="AE73" i="13"/>
  <c r="AA73" i="13"/>
  <c r="AB73" i="13" s="1"/>
  <c r="U73" i="13"/>
  <c r="W73" i="13" s="1"/>
  <c r="AF73" i="13" s="1"/>
  <c r="AE72" i="13"/>
  <c r="AA72" i="13"/>
  <c r="AB72" i="13" s="1"/>
  <c r="U72" i="13"/>
  <c r="AE71" i="13"/>
  <c r="AA71" i="13"/>
  <c r="AB71" i="13" s="1"/>
  <c r="U71" i="13"/>
  <c r="V71" i="13" s="1"/>
  <c r="X71" i="13" s="1"/>
  <c r="AE70" i="13"/>
  <c r="AA70" i="13"/>
  <c r="AB70" i="13" s="1"/>
  <c r="U70" i="13"/>
  <c r="V70" i="13" s="1"/>
  <c r="X70" i="13" s="1"/>
  <c r="AE69" i="13"/>
  <c r="AA69" i="13"/>
  <c r="AB69" i="13" s="1"/>
  <c r="U69" i="13"/>
  <c r="AE68" i="13"/>
  <c r="AA68" i="13"/>
  <c r="AB68" i="13" s="1"/>
  <c r="U68" i="13"/>
  <c r="V68" i="13" s="1"/>
  <c r="X68" i="13" s="1"/>
  <c r="AE67" i="13"/>
  <c r="AA67" i="13"/>
  <c r="AB67" i="13" s="1"/>
  <c r="U67" i="13"/>
  <c r="W67" i="13" s="1"/>
  <c r="AF67" i="13" s="1"/>
  <c r="AE66" i="13"/>
  <c r="AA66" i="13"/>
  <c r="AB66" i="13" s="1"/>
  <c r="U66" i="13"/>
  <c r="AE65" i="13"/>
  <c r="AA65" i="13"/>
  <c r="AB65" i="13" s="1"/>
  <c r="U65" i="13"/>
  <c r="W65" i="13" s="1"/>
  <c r="AF65" i="13" s="1"/>
  <c r="AE64" i="13"/>
  <c r="AA64" i="13"/>
  <c r="AB64" i="13" s="1"/>
  <c r="U64" i="13"/>
  <c r="W64" i="13" s="1"/>
  <c r="AF64" i="13" s="1"/>
  <c r="AE63" i="13"/>
  <c r="AA63" i="13"/>
  <c r="AB63" i="13" s="1"/>
  <c r="U63" i="13"/>
  <c r="V63" i="13" s="1"/>
  <c r="X63" i="13" s="1"/>
  <c r="Y63" i="13" s="1"/>
  <c r="AE62" i="13"/>
  <c r="AA62" i="13"/>
  <c r="AB62" i="13" s="1"/>
  <c r="U62" i="13"/>
  <c r="W62" i="13" s="1"/>
  <c r="AF62" i="13" s="1"/>
  <c r="AE61" i="13"/>
  <c r="AA61" i="13"/>
  <c r="AB61" i="13" s="1"/>
  <c r="U61" i="13"/>
  <c r="W61" i="13" s="1"/>
  <c r="AF61" i="13" s="1"/>
  <c r="AE60" i="13"/>
  <c r="AA60" i="13"/>
  <c r="AB60" i="13" s="1"/>
  <c r="U60" i="13"/>
  <c r="V60" i="13" s="1"/>
  <c r="X60" i="13" s="1"/>
  <c r="AE59" i="13"/>
  <c r="AA59" i="13"/>
  <c r="AB59" i="13" s="1"/>
  <c r="U59" i="13"/>
  <c r="W59" i="13" s="1"/>
  <c r="AF59" i="13" s="1"/>
  <c r="AE58" i="13"/>
  <c r="AA58" i="13"/>
  <c r="AB58" i="13" s="1"/>
  <c r="U58" i="13"/>
  <c r="W58" i="13" s="1"/>
  <c r="AF58" i="13" s="1"/>
  <c r="AE57" i="13"/>
  <c r="AA57" i="13"/>
  <c r="AB57" i="13" s="1"/>
  <c r="U57" i="13"/>
  <c r="V57" i="13" s="1"/>
  <c r="X57" i="13" s="1"/>
  <c r="AE56" i="13"/>
  <c r="AA56" i="13"/>
  <c r="AB56" i="13" s="1"/>
  <c r="U56" i="13"/>
  <c r="W56" i="13" s="1"/>
  <c r="AF56" i="13" s="1"/>
  <c r="AE55" i="13"/>
  <c r="AA55" i="13"/>
  <c r="AB55" i="13" s="1"/>
  <c r="U55" i="13"/>
  <c r="V55" i="13" s="1"/>
  <c r="X55" i="13" s="1"/>
  <c r="AE54" i="13"/>
  <c r="AA54" i="13"/>
  <c r="AB54" i="13" s="1"/>
  <c r="U54" i="13"/>
  <c r="W54" i="13" s="1"/>
  <c r="AF54" i="13" s="1"/>
  <c r="AE53" i="13"/>
  <c r="AA53" i="13"/>
  <c r="AB53" i="13" s="1"/>
  <c r="U53" i="13"/>
  <c r="V53" i="13" s="1"/>
  <c r="X53" i="13" s="1"/>
  <c r="AE52" i="13"/>
  <c r="AA52" i="13"/>
  <c r="AB52" i="13" s="1"/>
  <c r="U52" i="13"/>
  <c r="W52" i="13" s="1"/>
  <c r="AF52" i="13" s="1"/>
  <c r="AE51" i="13"/>
  <c r="AA51" i="13"/>
  <c r="AB51" i="13" s="1"/>
  <c r="U51" i="13"/>
  <c r="V51" i="13" s="1"/>
  <c r="X51" i="13" s="1"/>
  <c r="AE50" i="13"/>
  <c r="AA50" i="13"/>
  <c r="AB50" i="13" s="1"/>
  <c r="U50" i="13"/>
  <c r="V50" i="13" s="1"/>
  <c r="X50" i="13" s="1"/>
  <c r="AE49" i="13"/>
  <c r="AA49" i="13"/>
  <c r="AB49" i="13" s="1"/>
  <c r="U49" i="13"/>
  <c r="W49" i="13" s="1"/>
  <c r="AF49" i="13" s="1"/>
  <c r="AE48" i="13"/>
  <c r="AA48" i="13"/>
  <c r="AB48" i="13" s="1"/>
  <c r="U48" i="13"/>
  <c r="V48" i="13" s="1"/>
  <c r="X48" i="13" s="1"/>
  <c r="AE47" i="13"/>
  <c r="AA47" i="13"/>
  <c r="AB47" i="13" s="1"/>
  <c r="U47" i="13"/>
  <c r="W47" i="13" s="1"/>
  <c r="AF47" i="13" s="1"/>
  <c r="AE46" i="13"/>
  <c r="AA46" i="13"/>
  <c r="AB46" i="13" s="1"/>
  <c r="U46" i="13"/>
  <c r="W46" i="13" s="1"/>
  <c r="AF46" i="13" s="1"/>
  <c r="AE45" i="13"/>
  <c r="AA45" i="13"/>
  <c r="AB45" i="13" s="1"/>
  <c r="U45" i="13"/>
  <c r="V45" i="13" s="1"/>
  <c r="X45" i="13" s="1"/>
  <c r="Y45" i="13" s="1"/>
  <c r="AE44" i="13"/>
  <c r="AA44" i="13"/>
  <c r="AB44" i="13" s="1"/>
  <c r="U44" i="13"/>
  <c r="W44" i="13" s="1"/>
  <c r="AF44" i="13" s="1"/>
  <c r="AE43" i="13"/>
  <c r="AA43" i="13"/>
  <c r="AB43" i="13" s="1"/>
  <c r="U43" i="13"/>
  <c r="W43" i="13" s="1"/>
  <c r="AF43" i="13" s="1"/>
  <c r="AE42" i="13"/>
  <c r="AA42" i="13"/>
  <c r="AB42" i="13" s="1"/>
  <c r="U42" i="13"/>
  <c r="W42" i="13" s="1"/>
  <c r="AF42" i="13" s="1"/>
  <c r="AE41" i="13"/>
  <c r="AA41" i="13"/>
  <c r="AB41" i="13" s="1"/>
  <c r="U41" i="13"/>
  <c r="V41" i="13" s="1"/>
  <c r="X41" i="13" s="1"/>
  <c r="AE40" i="13"/>
  <c r="AA40" i="13"/>
  <c r="AB40" i="13" s="1"/>
  <c r="U40" i="13"/>
  <c r="V40" i="13" s="1"/>
  <c r="X40" i="13" s="1"/>
  <c r="AE39" i="13"/>
  <c r="AA39" i="13"/>
  <c r="AB39" i="13" s="1"/>
  <c r="U39" i="13"/>
  <c r="W39" i="13" s="1"/>
  <c r="AF39" i="13" s="1"/>
  <c r="AE38" i="13"/>
  <c r="AA38" i="13"/>
  <c r="AB38" i="13" s="1"/>
  <c r="U38" i="13"/>
  <c r="W38" i="13" s="1"/>
  <c r="AF38" i="13" s="1"/>
  <c r="AE37" i="13"/>
  <c r="AA37" i="13"/>
  <c r="AB37" i="13" s="1"/>
  <c r="U37" i="13"/>
  <c r="W37" i="13" s="1"/>
  <c r="AF37" i="13" s="1"/>
  <c r="AE36" i="13"/>
  <c r="AA36" i="13"/>
  <c r="AB36" i="13" s="1"/>
  <c r="U36" i="13"/>
  <c r="W36" i="13" s="1"/>
  <c r="AF36" i="13" s="1"/>
  <c r="AE35" i="13"/>
  <c r="AA35" i="13"/>
  <c r="AB35" i="13" s="1"/>
  <c r="U35" i="13"/>
  <c r="V35" i="13" s="1"/>
  <c r="X35" i="13" s="1"/>
  <c r="AE34" i="13"/>
  <c r="AA34" i="13"/>
  <c r="AB34" i="13" s="1"/>
  <c r="U34" i="13"/>
  <c r="V34" i="13" s="1"/>
  <c r="X34" i="13" s="1"/>
  <c r="AE33" i="13"/>
  <c r="AA33" i="13"/>
  <c r="AB33" i="13" s="1"/>
  <c r="U33" i="13"/>
  <c r="V33" i="13" s="1"/>
  <c r="X33" i="13" s="1"/>
  <c r="AE32" i="13"/>
  <c r="AA32" i="13"/>
  <c r="AB32" i="13" s="1"/>
  <c r="U32" i="13"/>
  <c r="W32" i="13" s="1"/>
  <c r="AF32" i="13" s="1"/>
  <c r="AE31" i="13"/>
  <c r="AA31" i="13"/>
  <c r="AB31" i="13" s="1"/>
  <c r="U31" i="13"/>
  <c r="W31" i="13" s="1"/>
  <c r="AF31" i="13" s="1"/>
  <c r="AE30" i="13"/>
  <c r="AA30" i="13"/>
  <c r="AB30" i="13" s="1"/>
  <c r="U30" i="13"/>
  <c r="W30" i="13" s="1"/>
  <c r="AF30" i="13" s="1"/>
  <c r="AE29" i="13"/>
  <c r="AA29" i="13"/>
  <c r="AB29" i="13" s="1"/>
  <c r="U29" i="13"/>
  <c r="V29" i="13" s="1"/>
  <c r="X29" i="13" s="1"/>
  <c r="AE28" i="13"/>
  <c r="AA28" i="13"/>
  <c r="AB28" i="13" s="1"/>
  <c r="U28" i="13"/>
  <c r="V28" i="13" s="1"/>
  <c r="X28" i="13" s="1"/>
  <c r="AE27" i="13"/>
  <c r="AA27" i="13"/>
  <c r="AB27" i="13" s="1"/>
  <c r="U27" i="13"/>
  <c r="W27" i="13" s="1"/>
  <c r="AF27" i="13" s="1"/>
  <c r="AE26" i="13"/>
  <c r="AA26" i="13"/>
  <c r="AB26" i="13" s="1"/>
  <c r="U26" i="13"/>
  <c r="W26" i="13" s="1"/>
  <c r="AF26" i="13" s="1"/>
  <c r="AE25" i="13"/>
  <c r="AA25" i="13"/>
  <c r="AB25" i="13" s="1"/>
  <c r="U25" i="13"/>
  <c r="W25" i="13" s="1"/>
  <c r="AF25" i="13" s="1"/>
  <c r="AE24" i="13"/>
  <c r="AA24" i="13"/>
  <c r="AB24" i="13" s="1"/>
  <c r="U24" i="13"/>
  <c r="W24" i="13" s="1"/>
  <c r="AF24" i="13" s="1"/>
  <c r="AE23" i="13"/>
  <c r="AA23" i="13"/>
  <c r="AB23" i="13" s="1"/>
  <c r="U23" i="13"/>
  <c r="W23" i="13" s="1"/>
  <c r="AF23" i="13" s="1"/>
  <c r="AE22" i="13"/>
  <c r="AA22" i="13"/>
  <c r="AB22" i="13" s="1"/>
  <c r="U22" i="13"/>
  <c r="V22" i="13" s="1"/>
  <c r="X22" i="13" s="1"/>
  <c r="AE21" i="13"/>
  <c r="AA21" i="13"/>
  <c r="AB21" i="13" s="1"/>
  <c r="U21" i="13"/>
  <c r="W21" i="13" s="1"/>
  <c r="AF21" i="13" s="1"/>
  <c r="AE20" i="13"/>
  <c r="AA20" i="13"/>
  <c r="AB20" i="13" s="1"/>
  <c r="U20" i="13"/>
  <c r="W20" i="13" s="1"/>
  <c r="AF20" i="13" s="1"/>
  <c r="AE19" i="13"/>
  <c r="AA19" i="13"/>
  <c r="AB19" i="13" s="1"/>
  <c r="U19" i="13"/>
  <c r="W19" i="13" s="1"/>
  <c r="AF19" i="13" s="1"/>
  <c r="AE18" i="13"/>
  <c r="AA18" i="13"/>
  <c r="AB18" i="13" s="1"/>
  <c r="U18" i="13"/>
  <c r="W18" i="13" s="1"/>
  <c r="AF18" i="13" s="1"/>
  <c r="AE17" i="13"/>
  <c r="AA17" i="13"/>
  <c r="AB17" i="13" s="1"/>
  <c r="U17" i="13"/>
  <c r="W17" i="13" s="1"/>
  <c r="AF17" i="13" s="1"/>
  <c r="AE16" i="13"/>
  <c r="AA16" i="13"/>
  <c r="AB16" i="13" s="1"/>
  <c r="U16" i="13"/>
  <c r="V16" i="13" s="1"/>
  <c r="X16" i="13" s="1"/>
  <c r="AE15" i="13"/>
  <c r="AA15" i="13"/>
  <c r="AB15" i="13" s="1"/>
  <c r="U15" i="13"/>
  <c r="W15" i="13" s="1"/>
  <c r="AF15" i="13" s="1"/>
  <c r="AE14" i="13"/>
  <c r="AA14" i="13"/>
  <c r="AB14" i="13" s="1"/>
  <c r="U14" i="13"/>
  <c r="W14" i="13" s="1"/>
  <c r="AF14" i="13" s="1"/>
  <c r="AE13" i="13"/>
  <c r="AA13" i="13"/>
  <c r="AB13" i="13" s="1"/>
  <c r="U13" i="13"/>
  <c r="W13" i="13" s="1"/>
  <c r="AF13" i="13" s="1"/>
  <c r="AE12" i="13"/>
  <c r="AA12" i="13"/>
  <c r="AB12" i="13" s="1"/>
  <c r="U12" i="13"/>
  <c r="W12" i="13" s="1"/>
  <c r="AF12" i="13" s="1"/>
  <c r="AE11" i="13"/>
  <c r="AA11" i="13"/>
  <c r="AB11" i="13" s="1"/>
  <c r="U11" i="13"/>
  <c r="W11" i="13" s="1"/>
  <c r="AF11" i="13" s="1"/>
  <c r="AE10" i="13"/>
  <c r="AA10" i="13"/>
  <c r="AB10" i="13" s="1"/>
  <c r="U10" i="13"/>
  <c r="V10" i="13" s="1"/>
  <c r="X10" i="13" s="1"/>
  <c r="AE9" i="13"/>
  <c r="AA9" i="13"/>
  <c r="AB9" i="13" s="1"/>
  <c r="U9" i="13"/>
  <c r="W9" i="13" s="1"/>
  <c r="AF9" i="13" s="1"/>
  <c r="AE8" i="13"/>
  <c r="AA8" i="13"/>
  <c r="AB8" i="13" s="1"/>
  <c r="U8" i="13"/>
  <c r="W8" i="13" s="1"/>
  <c r="AF8" i="13" s="1"/>
  <c r="AE7" i="13"/>
  <c r="AA7" i="13"/>
  <c r="AB7" i="13" s="1"/>
  <c r="U7" i="13"/>
  <c r="W7" i="13" s="1"/>
  <c r="AF7" i="13" s="1"/>
  <c r="AE6" i="13"/>
  <c r="AA6" i="13"/>
  <c r="AB6" i="13" s="1"/>
  <c r="U6" i="13"/>
  <c r="W6" i="13" s="1"/>
  <c r="AF6" i="13" s="1"/>
  <c r="B42" i="19"/>
  <c r="B43" i="19"/>
  <c r="B44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W1017" i="13" l="1"/>
  <c r="AF1017" i="13" s="1"/>
  <c r="V901" i="13"/>
  <c r="X901" i="13" s="1"/>
  <c r="W301" i="13"/>
  <c r="AF301" i="13" s="1"/>
  <c r="W732" i="13"/>
  <c r="AF732" i="13" s="1"/>
  <c r="W1240" i="13"/>
  <c r="AF1240" i="13" s="1"/>
  <c r="V88" i="13"/>
  <c r="X88" i="13" s="1"/>
  <c r="Y88" i="13" s="1"/>
  <c r="AH88" i="13" s="1"/>
  <c r="V1159" i="13"/>
  <c r="X1159" i="13" s="1"/>
  <c r="Y1159" i="13" s="1"/>
  <c r="AH1159" i="13" s="1"/>
  <c r="V1185" i="13"/>
  <c r="X1185" i="13" s="1"/>
  <c r="AG1185" i="13" s="1"/>
  <c r="V719" i="13"/>
  <c r="X719" i="13" s="1"/>
  <c r="Y719" i="13" s="1"/>
  <c r="AH719" i="13" s="1"/>
  <c r="V244" i="13"/>
  <c r="X244" i="13" s="1"/>
  <c r="AG244" i="13" s="1"/>
  <c r="V833" i="13"/>
  <c r="X833" i="13" s="1"/>
  <c r="Y833" i="13" s="1"/>
  <c r="AH833" i="13" s="1"/>
  <c r="W186" i="13"/>
  <c r="AF186" i="13" s="1"/>
  <c r="W429" i="13"/>
  <c r="AF429" i="13" s="1"/>
  <c r="W767" i="13"/>
  <c r="AF767" i="13" s="1"/>
  <c r="V1207" i="13"/>
  <c r="X1207" i="13" s="1"/>
  <c r="AG1207" i="13" s="1"/>
  <c r="W95" i="13"/>
  <c r="AF95" i="13" s="1"/>
  <c r="Y368" i="13"/>
  <c r="AH368" i="13" s="1"/>
  <c r="W476" i="13"/>
  <c r="AF476" i="13" s="1"/>
  <c r="W635" i="13"/>
  <c r="AF635" i="13" s="1"/>
  <c r="V688" i="13"/>
  <c r="X688" i="13" s="1"/>
  <c r="AG688" i="13" s="1"/>
  <c r="AH1260" i="13"/>
  <c r="W177" i="13"/>
  <c r="AF177" i="13" s="1"/>
  <c r="V875" i="13"/>
  <c r="X875" i="13" s="1"/>
  <c r="AG875" i="13" s="1"/>
  <c r="W996" i="13"/>
  <c r="AF996" i="13" s="1"/>
  <c r="AH483" i="13"/>
  <c r="V963" i="13"/>
  <c r="X963" i="13" s="1"/>
  <c r="AG963" i="13" s="1"/>
  <c r="AH973" i="13"/>
  <c r="W1112" i="13"/>
  <c r="AF1112" i="13" s="1"/>
  <c r="V1195" i="13"/>
  <c r="X1195" i="13" s="1"/>
  <c r="AG1195" i="13" s="1"/>
  <c r="V1216" i="13"/>
  <c r="X1216" i="13" s="1"/>
  <c r="AG1216" i="13" s="1"/>
  <c r="W1253" i="13"/>
  <c r="AF1253" i="13" s="1"/>
  <c r="Y387" i="13"/>
  <c r="AH387" i="13" s="1"/>
  <c r="V464" i="13"/>
  <c r="X464" i="13" s="1"/>
  <c r="Y464" i="13" s="1"/>
  <c r="AH464" i="13" s="1"/>
  <c r="W438" i="13"/>
  <c r="AF438" i="13" s="1"/>
  <c r="V649" i="13"/>
  <c r="X649" i="13" s="1"/>
  <c r="AG649" i="13" s="1"/>
  <c r="W282" i="13"/>
  <c r="AF282" i="13" s="1"/>
  <c r="V343" i="13"/>
  <c r="X343" i="13" s="1"/>
  <c r="Y343" i="13" s="1"/>
  <c r="AH343" i="13" s="1"/>
  <c r="Y411" i="13"/>
  <c r="AH411" i="13" s="1"/>
  <c r="AH541" i="13"/>
  <c r="V632" i="13"/>
  <c r="X632" i="13" s="1"/>
  <c r="Y632" i="13" s="1"/>
  <c r="AH632" i="13" s="1"/>
  <c r="W670" i="13"/>
  <c r="AF670" i="13" s="1"/>
  <c r="V863" i="13"/>
  <c r="X863" i="13" s="1"/>
  <c r="Y863" i="13" s="1"/>
  <c r="AH863" i="13" s="1"/>
  <c r="V907" i="13"/>
  <c r="X907" i="13" s="1"/>
  <c r="Y907" i="13" s="1"/>
  <c r="AH907" i="13" s="1"/>
  <c r="V960" i="13"/>
  <c r="X960" i="13" s="1"/>
  <c r="AG960" i="13" s="1"/>
  <c r="AG1054" i="13"/>
  <c r="W1204" i="13"/>
  <c r="AF1204" i="13" s="1"/>
  <c r="W172" i="13"/>
  <c r="AF172" i="13" s="1"/>
  <c r="V498" i="13"/>
  <c r="X498" i="13" s="1"/>
  <c r="Y498" i="13" s="1"/>
  <c r="AH498" i="13" s="1"/>
  <c r="W585" i="13"/>
  <c r="AF585" i="13" s="1"/>
  <c r="W629" i="13"/>
  <c r="AF629" i="13" s="1"/>
  <c r="W665" i="13"/>
  <c r="AF665" i="13" s="1"/>
  <c r="W698" i="13"/>
  <c r="AF698" i="13" s="1"/>
  <c r="W742" i="13"/>
  <c r="AF742" i="13" s="1"/>
  <c r="V867" i="13"/>
  <c r="X867" i="13" s="1"/>
  <c r="Y867" i="13" s="1"/>
  <c r="AH867" i="13" s="1"/>
  <c r="V536" i="13"/>
  <c r="X536" i="13" s="1"/>
  <c r="AG536" i="13" s="1"/>
  <c r="V624" i="13"/>
  <c r="X624" i="13" s="1"/>
  <c r="Y624" i="13" s="1"/>
  <c r="AH624" i="13" s="1"/>
  <c r="W1000" i="13"/>
  <c r="AF1000" i="13" s="1"/>
  <c r="V1174" i="13"/>
  <c r="X1174" i="13" s="1"/>
  <c r="AG1174" i="13" s="1"/>
  <c r="W1201" i="13"/>
  <c r="AF1201" i="13" s="1"/>
  <c r="W1256" i="13"/>
  <c r="AF1256" i="13" s="1"/>
  <c r="V208" i="13"/>
  <c r="X208" i="13" s="1"/>
  <c r="AG208" i="13" s="1"/>
  <c r="W223" i="13"/>
  <c r="AF223" i="13" s="1"/>
  <c r="V268" i="13"/>
  <c r="X268" i="13" s="1"/>
  <c r="AG268" i="13" s="1"/>
  <c r="V652" i="13"/>
  <c r="X652" i="13" s="1"/>
  <c r="AG652" i="13" s="1"/>
  <c r="V664" i="13"/>
  <c r="X664" i="13" s="1"/>
  <c r="AG664" i="13" s="1"/>
  <c r="V953" i="13"/>
  <c r="X953" i="13" s="1"/>
  <c r="AG953" i="13" s="1"/>
  <c r="V1020" i="13"/>
  <c r="X1020" i="13" s="1"/>
  <c r="AG1020" i="13" s="1"/>
  <c r="V362" i="13"/>
  <c r="X362" i="13" s="1"/>
  <c r="AG362" i="13" s="1"/>
  <c r="W414" i="13"/>
  <c r="AF414" i="13" s="1"/>
  <c r="V936" i="13"/>
  <c r="X936" i="13" s="1"/>
  <c r="AG936" i="13" s="1"/>
  <c r="V1019" i="13"/>
  <c r="X1019" i="13" s="1"/>
  <c r="Y1019" i="13" s="1"/>
  <c r="AH1019" i="13" s="1"/>
  <c r="W110" i="13"/>
  <c r="AF110" i="13" s="1"/>
  <c r="V179" i="13"/>
  <c r="X179" i="13" s="1"/>
  <c r="AG179" i="13" s="1"/>
  <c r="AH181" i="13"/>
  <c r="W216" i="13"/>
  <c r="AF216" i="13" s="1"/>
  <c r="W231" i="13"/>
  <c r="AF231" i="13" s="1"/>
  <c r="W246" i="13"/>
  <c r="AF246" i="13" s="1"/>
  <c r="W255" i="13"/>
  <c r="AF255" i="13" s="1"/>
  <c r="Y405" i="13"/>
  <c r="AH405" i="13" s="1"/>
  <c r="Y489" i="13"/>
  <c r="AH489" i="13" s="1"/>
  <c r="W625" i="13"/>
  <c r="AF625" i="13" s="1"/>
  <c r="V628" i="13"/>
  <c r="X628" i="13" s="1"/>
  <c r="Y628" i="13" s="1"/>
  <c r="AH628" i="13" s="1"/>
  <c r="V640" i="13"/>
  <c r="X640" i="13" s="1"/>
  <c r="Y640" i="13" s="1"/>
  <c r="AH640" i="13" s="1"/>
  <c r="W647" i="13"/>
  <c r="AF647" i="13" s="1"/>
  <c r="V661" i="13"/>
  <c r="X661" i="13" s="1"/>
  <c r="AG661" i="13" s="1"/>
  <c r="W677" i="13"/>
  <c r="AF677" i="13" s="1"/>
  <c r="Y694" i="13"/>
  <c r="AH694" i="13" s="1"/>
  <c r="W697" i="13"/>
  <c r="AF697" i="13" s="1"/>
  <c r="V760" i="13"/>
  <c r="X760" i="13" s="1"/>
  <c r="AG760" i="13" s="1"/>
  <c r="V777" i="13"/>
  <c r="X777" i="13" s="1"/>
  <c r="Y777" i="13" s="1"/>
  <c r="AH777" i="13" s="1"/>
  <c r="V829" i="13"/>
  <c r="X829" i="13" s="1"/>
  <c r="AG829" i="13" s="1"/>
  <c r="W870" i="13"/>
  <c r="AF870" i="13" s="1"/>
  <c r="W873" i="13"/>
  <c r="AF873" i="13" s="1"/>
  <c r="W894" i="13"/>
  <c r="AF894" i="13" s="1"/>
  <c r="V921" i="13"/>
  <c r="X921" i="13" s="1"/>
  <c r="Y921" i="13" s="1"/>
  <c r="AH921" i="13" s="1"/>
  <c r="W1116" i="13"/>
  <c r="AF1116" i="13" s="1"/>
  <c r="W1154" i="13"/>
  <c r="AF1154" i="13" s="1"/>
  <c r="V59" i="13"/>
  <c r="X59" i="13" s="1"/>
  <c r="AG59" i="13" s="1"/>
  <c r="W131" i="13"/>
  <c r="AF131" i="13" s="1"/>
  <c r="W312" i="13"/>
  <c r="AF312" i="13" s="1"/>
  <c r="V566" i="13"/>
  <c r="X566" i="13" s="1"/>
  <c r="Y566" i="13" s="1"/>
  <c r="AH566" i="13" s="1"/>
  <c r="W591" i="13"/>
  <c r="AF591" i="13" s="1"/>
  <c r="W128" i="13"/>
  <c r="AF128" i="13" s="1"/>
  <c r="W1104" i="13"/>
  <c r="AF1104" i="13" s="1"/>
  <c r="W390" i="13"/>
  <c r="AF390" i="13" s="1"/>
  <c r="W523" i="13"/>
  <c r="AF523" i="13" s="1"/>
  <c r="V659" i="13"/>
  <c r="X659" i="13" s="1"/>
  <c r="Y659" i="13" s="1"/>
  <c r="AH659" i="13" s="1"/>
  <c r="W813" i="13"/>
  <c r="AF813" i="13" s="1"/>
  <c r="W848" i="13"/>
  <c r="AF848" i="13" s="1"/>
  <c r="V254" i="13"/>
  <c r="X254" i="13" s="1"/>
  <c r="Y254" i="13" s="1"/>
  <c r="AH254" i="13" s="1"/>
  <c r="V398" i="13"/>
  <c r="X398" i="13" s="1"/>
  <c r="AG398" i="13" s="1"/>
  <c r="V486" i="13"/>
  <c r="X486" i="13" s="1"/>
  <c r="Y486" i="13" s="1"/>
  <c r="AH486" i="13" s="1"/>
  <c r="W546" i="13"/>
  <c r="AF546" i="13" s="1"/>
  <c r="W627" i="13"/>
  <c r="AF627" i="13" s="1"/>
  <c r="V737" i="13"/>
  <c r="X737" i="13" s="1"/>
  <c r="Y737" i="13" s="1"/>
  <c r="AH737" i="13" s="1"/>
  <c r="W750" i="13"/>
  <c r="AF750" i="13" s="1"/>
  <c r="W755" i="13"/>
  <c r="AF755" i="13" s="1"/>
  <c r="W770" i="13"/>
  <c r="AF770" i="13" s="1"/>
  <c r="W789" i="13"/>
  <c r="AF789" i="13" s="1"/>
  <c r="V831" i="13"/>
  <c r="X831" i="13" s="1"/>
  <c r="Y831" i="13" s="1"/>
  <c r="AH831" i="13" s="1"/>
  <c r="W840" i="13"/>
  <c r="AF840" i="13" s="1"/>
  <c r="W866" i="13"/>
  <c r="AF866" i="13" s="1"/>
  <c r="V869" i="13"/>
  <c r="X869" i="13" s="1"/>
  <c r="Y869" i="13" s="1"/>
  <c r="AH869" i="13" s="1"/>
  <c r="W872" i="13"/>
  <c r="AF872" i="13" s="1"/>
  <c r="W988" i="13"/>
  <c r="AF988" i="13" s="1"/>
  <c r="W1139" i="13"/>
  <c r="AF1139" i="13" s="1"/>
  <c r="V1153" i="13"/>
  <c r="X1153" i="13" s="1"/>
  <c r="AG1153" i="13" s="1"/>
  <c r="V9" i="13"/>
  <c r="X9" i="13" s="1"/>
  <c r="Y9" i="13" s="1"/>
  <c r="AH9" i="13" s="1"/>
  <c r="V470" i="13"/>
  <c r="X470" i="13" s="1"/>
  <c r="V631" i="13"/>
  <c r="X631" i="13" s="1"/>
  <c r="AG631" i="13" s="1"/>
  <c r="W694" i="13"/>
  <c r="AF694" i="13" s="1"/>
  <c r="W146" i="13"/>
  <c r="AF146" i="13" s="1"/>
  <c r="W175" i="13"/>
  <c r="AF175" i="13" s="1"/>
  <c r="W273" i="13"/>
  <c r="AF273" i="13" s="1"/>
  <c r="W393" i="13"/>
  <c r="AF393" i="13" s="1"/>
  <c r="V515" i="13"/>
  <c r="X515" i="13" s="1"/>
  <c r="AG515" i="13" s="1"/>
  <c r="W530" i="13"/>
  <c r="AF530" i="13" s="1"/>
  <c r="W554" i="13"/>
  <c r="AF554" i="13" s="1"/>
  <c r="V911" i="13"/>
  <c r="X911" i="13" s="1"/>
  <c r="Y911" i="13" s="1"/>
  <c r="AH911" i="13" s="1"/>
  <c r="V1145" i="13"/>
  <c r="X1145" i="13" s="1"/>
  <c r="Y1145" i="13" s="1"/>
  <c r="AH1145" i="13" s="1"/>
  <c r="V1182" i="13"/>
  <c r="X1182" i="13" s="1"/>
  <c r="Y1182" i="13" s="1"/>
  <c r="AH1182" i="13" s="1"/>
  <c r="V1258" i="13"/>
  <c r="X1258" i="13" s="1"/>
  <c r="Y1258" i="13" s="1"/>
  <c r="AH1258" i="13" s="1"/>
  <c r="V36" i="13"/>
  <c r="X36" i="13" s="1"/>
  <c r="Y36" i="13" s="1"/>
  <c r="AH36" i="13" s="1"/>
  <c r="V49" i="13"/>
  <c r="X49" i="13" s="1"/>
  <c r="Y49" i="13" s="1"/>
  <c r="AH49" i="13" s="1"/>
  <c r="V160" i="13"/>
  <c r="X160" i="13" s="1"/>
  <c r="Y160" i="13" s="1"/>
  <c r="AH160" i="13" s="1"/>
  <c r="V204" i="13"/>
  <c r="X204" i="13" s="1"/>
  <c r="Y204" i="13" s="1"/>
  <c r="AH204" i="13" s="1"/>
  <c r="V332" i="13"/>
  <c r="X332" i="13" s="1"/>
  <c r="AG332" i="13" s="1"/>
  <c r="W345" i="13"/>
  <c r="AF345" i="13" s="1"/>
  <c r="V374" i="13"/>
  <c r="X374" i="13" s="1"/>
  <c r="Y374" i="13" s="1"/>
  <c r="AH374" i="13" s="1"/>
  <c r="V392" i="13"/>
  <c r="X392" i="13" s="1"/>
  <c r="Y392" i="13" s="1"/>
  <c r="AH392" i="13" s="1"/>
  <c r="V420" i="13"/>
  <c r="X420" i="13" s="1"/>
  <c r="Y420" i="13" s="1"/>
  <c r="AH420" i="13" s="1"/>
  <c r="W555" i="13"/>
  <c r="AF555" i="13" s="1"/>
  <c r="W604" i="13"/>
  <c r="AF604" i="13" s="1"/>
  <c r="V614" i="13"/>
  <c r="X614" i="13" s="1"/>
  <c r="Y614" i="13" s="1"/>
  <c r="AH614" i="13" s="1"/>
  <c r="V634" i="13"/>
  <c r="X634" i="13" s="1"/>
  <c r="AG634" i="13" s="1"/>
  <c r="V727" i="13"/>
  <c r="X727" i="13" s="1"/>
  <c r="Y727" i="13" s="1"/>
  <c r="AH727" i="13" s="1"/>
  <c r="W745" i="13"/>
  <c r="AF745" i="13" s="1"/>
  <c r="W766" i="13"/>
  <c r="AF766" i="13" s="1"/>
  <c r="W771" i="13"/>
  <c r="AF771" i="13" s="1"/>
  <c r="W820" i="13"/>
  <c r="AF820" i="13" s="1"/>
  <c r="V841" i="13"/>
  <c r="X841" i="13" s="1"/>
  <c r="Y841" i="13" s="1"/>
  <c r="AH841" i="13" s="1"/>
  <c r="W854" i="13"/>
  <c r="AF854" i="13" s="1"/>
  <c r="V915" i="13"/>
  <c r="X915" i="13" s="1"/>
  <c r="Y915" i="13" s="1"/>
  <c r="AH915" i="13" s="1"/>
  <c r="W939" i="13"/>
  <c r="AF939" i="13" s="1"/>
  <c r="W954" i="13"/>
  <c r="AF954" i="13" s="1"/>
  <c r="W976" i="13"/>
  <c r="AF976" i="13" s="1"/>
  <c r="W1059" i="13"/>
  <c r="AF1059" i="13" s="1"/>
  <c r="V1127" i="13"/>
  <c r="X1127" i="13" s="1"/>
  <c r="Y1127" i="13" s="1"/>
  <c r="AH1127" i="13" s="1"/>
  <c r="V1137" i="13"/>
  <c r="X1137" i="13" s="1"/>
  <c r="Y1137" i="13" s="1"/>
  <c r="AH1137" i="13" s="1"/>
  <c r="W1163" i="13"/>
  <c r="AF1163" i="13" s="1"/>
  <c r="V1189" i="13"/>
  <c r="X1189" i="13" s="1"/>
  <c r="AG1189" i="13" s="1"/>
  <c r="W1211" i="13"/>
  <c r="AF1211" i="13" s="1"/>
  <c r="V1247" i="13"/>
  <c r="X1247" i="13" s="1"/>
  <c r="Y1247" i="13" s="1"/>
  <c r="AH1247" i="13" s="1"/>
  <c r="V1257" i="13"/>
  <c r="X1257" i="13" s="1"/>
  <c r="Y1257" i="13" s="1"/>
  <c r="AH1257" i="13" s="1"/>
  <c r="W55" i="13"/>
  <c r="AF55" i="13" s="1"/>
  <c r="W92" i="13"/>
  <c r="AF92" i="13" s="1"/>
  <c r="V194" i="13"/>
  <c r="X194" i="13" s="1"/>
  <c r="Y194" i="13" s="1"/>
  <c r="AH194" i="13" s="1"/>
  <c r="V236" i="13"/>
  <c r="X236" i="13" s="1"/>
  <c r="AG236" i="13" s="1"/>
  <c r="V274" i="13"/>
  <c r="X274" i="13" s="1"/>
  <c r="AG274" i="13" s="1"/>
  <c r="V322" i="13"/>
  <c r="X322" i="13" s="1"/>
  <c r="AG322" i="13" s="1"/>
  <c r="V331" i="13"/>
  <c r="X331" i="13" s="1"/>
  <c r="Y331" i="13" s="1"/>
  <c r="AH331" i="13" s="1"/>
  <c r="V378" i="13"/>
  <c r="X378" i="13" s="1"/>
  <c r="AG378" i="13" s="1"/>
  <c r="W417" i="13"/>
  <c r="AF417" i="13" s="1"/>
  <c r="V458" i="13"/>
  <c r="X458" i="13" s="1"/>
  <c r="Y458" i="13" s="1"/>
  <c r="AH458" i="13" s="1"/>
  <c r="V522" i="13"/>
  <c r="X522" i="13" s="1"/>
  <c r="AG522" i="13" s="1"/>
  <c r="W552" i="13"/>
  <c r="AF552" i="13" s="1"/>
  <c r="V557" i="13"/>
  <c r="X557" i="13" s="1"/>
  <c r="Y557" i="13" s="1"/>
  <c r="AH557" i="13" s="1"/>
  <c r="W579" i="13"/>
  <c r="AF579" i="13" s="1"/>
  <c r="V590" i="13"/>
  <c r="X590" i="13" s="1"/>
  <c r="W597" i="13"/>
  <c r="AF597" i="13" s="1"/>
  <c r="W660" i="13"/>
  <c r="AF660" i="13" s="1"/>
  <c r="V673" i="13"/>
  <c r="X673" i="13" s="1"/>
  <c r="Y673" i="13" s="1"/>
  <c r="AH673" i="13" s="1"/>
  <c r="AH680" i="13"/>
  <c r="W706" i="13"/>
  <c r="AF706" i="13" s="1"/>
  <c r="V713" i="13"/>
  <c r="X713" i="13" s="1"/>
  <c r="Y713" i="13" s="1"/>
  <c r="AH713" i="13" s="1"/>
  <c r="Y722" i="13"/>
  <c r="AH722" i="13" s="1"/>
  <c r="W749" i="13"/>
  <c r="AF749" i="13" s="1"/>
  <c r="W761" i="13"/>
  <c r="AF761" i="13" s="1"/>
  <c r="V775" i="13"/>
  <c r="X775" i="13" s="1"/>
  <c r="Y775" i="13" s="1"/>
  <c r="AH775" i="13" s="1"/>
  <c r="V196" i="13"/>
  <c r="X196" i="13" s="1"/>
  <c r="Y196" i="13" s="1"/>
  <c r="AH196" i="13" s="1"/>
  <c r="V250" i="13"/>
  <c r="X250" i="13" s="1"/>
  <c r="AG250" i="13" s="1"/>
  <c r="W264" i="13"/>
  <c r="AF264" i="13" s="1"/>
  <c r="W271" i="13"/>
  <c r="AF271" i="13" s="1"/>
  <c r="Y417" i="13"/>
  <c r="AH417" i="13" s="1"/>
  <c r="W608" i="13"/>
  <c r="AF608" i="13" s="1"/>
  <c r="V613" i="13"/>
  <c r="X613" i="13" s="1"/>
  <c r="AG613" i="13" s="1"/>
  <c r="V682" i="13"/>
  <c r="X682" i="13" s="1"/>
  <c r="Y682" i="13" s="1"/>
  <c r="AH682" i="13" s="1"/>
  <c r="W701" i="13"/>
  <c r="AF701" i="13" s="1"/>
  <c r="V306" i="13"/>
  <c r="X306" i="13" s="1"/>
  <c r="Y306" i="13" s="1"/>
  <c r="AH306" i="13" s="1"/>
  <c r="AH375" i="13"/>
  <c r="W411" i="13"/>
  <c r="AF411" i="13" s="1"/>
  <c r="V416" i="13"/>
  <c r="X416" i="13" s="1"/>
  <c r="Y416" i="13" s="1"/>
  <c r="AH416" i="13" s="1"/>
  <c r="W471" i="13"/>
  <c r="AF471" i="13" s="1"/>
  <c r="V480" i="13"/>
  <c r="X480" i="13" s="1"/>
  <c r="Y480" i="13" s="1"/>
  <c r="AH480" i="13" s="1"/>
  <c r="V512" i="13"/>
  <c r="X512" i="13" s="1"/>
  <c r="AG512" i="13" s="1"/>
  <c r="W542" i="13"/>
  <c r="AF542" i="13" s="1"/>
  <c r="V551" i="13"/>
  <c r="X551" i="13" s="1"/>
  <c r="Y551" i="13" s="1"/>
  <c r="AH551" i="13" s="1"/>
  <c r="W561" i="13"/>
  <c r="AF561" i="13" s="1"/>
  <c r="V578" i="13"/>
  <c r="X578" i="13" s="1"/>
  <c r="AG578" i="13" s="1"/>
  <c r="AH662" i="13"/>
  <c r="AH931" i="13"/>
  <c r="AH955" i="13"/>
  <c r="V32" i="13"/>
  <c r="X32" i="13" s="1"/>
  <c r="AG32" i="13" s="1"/>
  <c r="W80" i="13"/>
  <c r="AF80" i="13" s="1"/>
  <c r="V124" i="13"/>
  <c r="X124" i="13" s="1"/>
  <c r="Y124" i="13" s="1"/>
  <c r="AH124" i="13" s="1"/>
  <c r="V154" i="13"/>
  <c r="X154" i="13" s="1"/>
  <c r="Y154" i="13" s="1"/>
  <c r="AH154" i="13" s="1"/>
  <c r="W205" i="13"/>
  <c r="AF205" i="13" s="1"/>
  <c r="V226" i="13"/>
  <c r="X226" i="13" s="1"/>
  <c r="Y226" i="13" s="1"/>
  <c r="AH226" i="13" s="1"/>
  <c r="W249" i="13"/>
  <c r="AF249" i="13" s="1"/>
  <c r="V356" i="13"/>
  <c r="X356" i="13" s="1"/>
  <c r="Y356" i="13" s="1"/>
  <c r="AH356" i="13" s="1"/>
  <c r="W33" i="13"/>
  <c r="AF33" i="13" s="1"/>
  <c r="W50" i="13"/>
  <c r="AF50" i="13" s="1"/>
  <c r="W82" i="13"/>
  <c r="AF82" i="13" s="1"/>
  <c r="V121" i="13"/>
  <c r="X121" i="13" s="1"/>
  <c r="Y121" i="13" s="1"/>
  <c r="AH121" i="13" s="1"/>
  <c r="V148" i="13"/>
  <c r="X148" i="13" s="1"/>
  <c r="AG148" i="13" s="1"/>
  <c r="V166" i="13"/>
  <c r="X166" i="13" s="1"/>
  <c r="Y166" i="13" s="1"/>
  <c r="AH166" i="13" s="1"/>
  <c r="Y183" i="13"/>
  <c r="AH183" i="13" s="1"/>
  <c r="Y215" i="13"/>
  <c r="AH215" i="13" s="1"/>
  <c r="Y225" i="13"/>
  <c r="AH225" i="13" s="1"/>
  <c r="W235" i="13"/>
  <c r="AF235" i="13" s="1"/>
  <c r="V240" i="13"/>
  <c r="X240" i="13" s="1"/>
  <c r="Y240" i="13" s="1"/>
  <c r="AH240" i="13" s="1"/>
  <c r="V296" i="13"/>
  <c r="X296" i="13" s="1"/>
  <c r="Y296" i="13" s="1"/>
  <c r="AH296" i="13" s="1"/>
  <c r="AH339" i="13"/>
  <c r="W351" i="13"/>
  <c r="AF351" i="13" s="1"/>
  <c r="W361" i="13"/>
  <c r="AF361" i="13" s="1"/>
  <c r="W372" i="13"/>
  <c r="AF372" i="13" s="1"/>
  <c r="V380" i="13"/>
  <c r="X380" i="13" s="1"/>
  <c r="Y380" i="13" s="1"/>
  <c r="AH380" i="13" s="1"/>
  <c r="W408" i="13"/>
  <c r="AF408" i="13" s="1"/>
  <c r="W435" i="13"/>
  <c r="AF435" i="13" s="1"/>
  <c r="W450" i="13"/>
  <c r="AF450" i="13" s="1"/>
  <c r="V482" i="13"/>
  <c r="X482" i="13" s="1"/>
  <c r="Y482" i="13" s="1"/>
  <c r="AH482" i="13" s="1"/>
  <c r="AH501" i="13"/>
  <c r="W540" i="13"/>
  <c r="AF540" i="13" s="1"/>
  <c r="W548" i="13"/>
  <c r="AF548" i="13" s="1"/>
  <c r="W573" i="13"/>
  <c r="AF573" i="13" s="1"/>
  <c r="V622" i="13"/>
  <c r="X622" i="13" s="1"/>
  <c r="Y622" i="13" s="1"/>
  <c r="AH622" i="13" s="1"/>
  <c r="W622" i="13"/>
  <c r="AF622" i="13" s="1"/>
  <c r="V633" i="13"/>
  <c r="X633" i="13" s="1"/>
  <c r="Y633" i="13" s="1"/>
  <c r="AH633" i="13" s="1"/>
  <c r="V686" i="13"/>
  <c r="X686" i="13" s="1"/>
  <c r="AG686" i="13" s="1"/>
  <c r="W686" i="13"/>
  <c r="AF686" i="13" s="1"/>
  <c r="W851" i="13"/>
  <c r="AF851" i="13" s="1"/>
  <c r="V851" i="13"/>
  <c r="X851" i="13" s="1"/>
  <c r="Y851" i="13" s="1"/>
  <c r="AH851" i="13" s="1"/>
  <c r="V626" i="13"/>
  <c r="X626" i="13" s="1"/>
  <c r="Y626" i="13" s="1"/>
  <c r="AH626" i="13" s="1"/>
  <c r="W626" i="13"/>
  <c r="AF626" i="13" s="1"/>
  <c r="W1228" i="13"/>
  <c r="AF1228" i="13" s="1"/>
  <c r="V1228" i="13"/>
  <c r="X1228" i="13" s="1"/>
  <c r="AG1228" i="13" s="1"/>
  <c r="V15" i="13"/>
  <c r="X15" i="13" s="1"/>
  <c r="Y15" i="13" s="1"/>
  <c r="AH15" i="13" s="1"/>
  <c r="V18" i="13"/>
  <c r="X18" i="13" s="1"/>
  <c r="AG18" i="13" s="1"/>
  <c r="W40" i="13"/>
  <c r="AF40" i="13" s="1"/>
  <c r="AH45" i="13"/>
  <c r="AH63" i="13"/>
  <c r="W70" i="13"/>
  <c r="AF70" i="13" s="1"/>
  <c r="V79" i="13"/>
  <c r="X79" i="13" s="1"/>
  <c r="AG79" i="13" s="1"/>
  <c r="W86" i="13"/>
  <c r="AF86" i="13" s="1"/>
  <c r="W98" i="13"/>
  <c r="AF98" i="13" s="1"/>
  <c r="W107" i="13"/>
  <c r="AF107" i="13" s="1"/>
  <c r="W118" i="13"/>
  <c r="AF118" i="13" s="1"/>
  <c r="W134" i="13"/>
  <c r="AF134" i="13" s="1"/>
  <c r="W143" i="13"/>
  <c r="AF143" i="13" s="1"/>
  <c r="Y195" i="13"/>
  <c r="AH195" i="13" s="1"/>
  <c r="V200" i="13"/>
  <c r="X200" i="13" s="1"/>
  <c r="Y200" i="13" s="1"/>
  <c r="AH200" i="13" s="1"/>
  <c r="V276" i="13"/>
  <c r="X276" i="13" s="1"/>
  <c r="Y276" i="13" s="1"/>
  <c r="AH276" i="13" s="1"/>
  <c r="V286" i="13"/>
  <c r="X286" i="13" s="1"/>
  <c r="AG286" i="13" s="1"/>
  <c r="W291" i="13"/>
  <c r="AF291" i="13" s="1"/>
  <c r="W339" i="13"/>
  <c r="AF339" i="13" s="1"/>
  <c r="W350" i="13"/>
  <c r="AF350" i="13" s="1"/>
  <c r="V355" i="13"/>
  <c r="X355" i="13" s="1"/>
  <c r="Y355" i="13" s="1"/>
  <c r="AH355" i="13" s="1"/>
  <c r="W360" i="13"/>
  <c r="AF360" i="13" s="1"/>
  <c r="W369" i="13"/>
  <c r="AF369" i="13" s="1"/>
  <c r="V428" i="13"/>
  <c r="X428" i="13" s="1"/>
  <c r="Y428" i="13" s="1"/>
  <c r="AH428" i="13" s="1"/>
  <c r="V462" i="13"/>
  <c r="X462" i="13" s="1"/>
  <c r="Y462" i="13" s="1"/>
  <c r="AH462" i="13" s="1"/>
  <c r="W479" i="13"/>
  <c r="AF479" i="13" s="1"/>
  <c r="W570" i="13"/>
  <c r="AF570" i="13" s="1"/>
  <c r="V570" i="13"/>
  <c r="X570" i="13" s="1"/>
  <c r="AG570" i="13" s="1"/>
  <c r="W885" i="13"/>
  <c r="AF885" i="13" s="1"/>
  <c r="V885" i="13"/>
  <c r="X885" i="13" s="1"/>
  <c r="Y885" i="13" s="1"/>
  <c r="AH885" i="13" s="1"/>
  <c r="W1056" i="13"/>
  <c r="AF1056" i="13" s="1"/>
  <c r="V1056" i="13"/>
  <c r="X1056" i="13" s="1"/>
  <c r="Y1056" i="13" s="1"/>
  <c r="AH1056" i="13" s="1"/>
  <c r="W1091" i="13"/>
  <c r="AF1091" i="13" s="1"/>
  <c r="V1091" i="13"/>
  <c r="X1091" i="13" s="1"/>
  <c r="AG1091" i="13" s="1"/>
  <c r="V1186" i="13"/>
  <c r="X1186" i="13" s="1"/>
  <c r="Y1186" i="13" s="1"/>
  <c r="AH1186" i="13" s="1"/>
  <c r="W1186" i="13"/>
  <c r="AF1186" i="13" s="1"/>
  <c r="W1259" i="13"/>
  <c r="AF1259" i="13" s="1"/>
  <c r="V1259" i="13"/>
  <c r="X1259" i="13" s="1"/>
  <c r="Y1259" i="13" s="1"/>
  <c r="AH1259" i="13" s="1"/>
  <c r="W582" i="13"/>
  <c r="AF582" i="13" s="1"/>
  <c r="V582" i="13"/>
  <c r="X582" i="13" s="1"/>
  <c r="Y582" i="13" s="1"/>
  <c r="AH582" i="13" s="1"/>
  <c r="V1063" i="13"/>
  <c r="X1063" i="13" s="1"/>
  <c r="Y1063" i="13" s="1"/>
  <c r="AH1063" i="13" s="1"/>
  <c r="W1063" i="13"/>
  <c r="AF1063" i="13" s="1"/>
  <c r="W1114" i="13"/>
  <c r="AF1114" i="13" s="1"/>
  <c r="V1114" i="13"/>
  <c r="X1114" i="13" s="1"/>
  <c r="Y1114" i="13" s="1"/>
  <c r="AH1114" i="13" s="1"/>
  <c r="W1180" i="13"/>
  <c r="AF1180" i="13" s="1"/>
  <c r="V1180" i="13"/>
  <c r="X1180" i="13" s="1"/>
  <c r="W368" i="13"/>
  <c r="AF368" i="13" s="1"/>
  <c r="V396" i="13"/>
  <c r="X396" i="13" s="1"/>
  <c r="AG396" i="13" s="1"/>
  <c r="W558" i="13"/>
  <c r="AF558" i="13" s="1"/>
  <c r="V563" i="13"/>
  <c r="X563" i="13" s="1"/>
  <c r="Y563" i="13" s="1"/>
  <c r="AH563" i="13" s="1"/>
  <c r="AG617" i="13"/>
  <c r="Y617" i="13"/>
  <c r="AH617" i="13" s="1"/>
  <c r="W679" i="13"/>
  <c r="AF679" i="13" s="1"/>
  <c r="V679" i="13"/>
  <c r="X679" i="13" s="1"/>
  <c r="AG679" i="13" s="1"/>
  <c r="W776" i="13"/>
  <c r="AF776" i="13" s="1"/>
  <c r="V776" i="13"/>
  <c r="X776" i="13" s="1"/>
  <c r="AG776" i="13" s="1"/>
  <c r="W1043" i="13"/>
  <c r="AF1043" i="13" s="1"/>
  <c r="V1043" i="13"/>
  <c r="X1043" i="13" s="1"/>
  <c r="AG1043" i="13" s="1"/>
  <c r="W1138" i="13"/>
  <c r="AF1138" i="13" s="1"/>
  <c r="V1138" i="13"/>
  <c r="X1138" i="13" s="1"/>
  <c r="AG1138" i="13" s="1"/>
  <c r="V900" i="13"/>
  <c r="X900" i="13" s="1"/>
  <c r="Y900" i="13" s="1"/>
  <c r="AH900" i="13" s="1"/>
  <c r="W900" i="13"/>
  <c r="AF900" i="13" s="1"/>
  <c r="V1073" i="13"/>
  <c r="X1073" i="13" s="1"/>
  <c r="AG1073" i="13" s="1"/>
  <c r="W1073" i="13"/>
  <c r="AF1073" i="13" s="1"/>
  <c r="V14" i="13"/>
  <c r="X14" i="13" s="1"/>
  <c r="AG14" i="13" s="1"/>
  <c r="W22" i="13"/>
  <c r="AF22" i="13" s="1"/>
  <c r="V27" i="13"/>
  <c r="X27" i="13" s="1"/>
  <c r="Y27" i="13" s="1"/>
  <c r="AH27" i="13" s="1"/>
  <c r="V42" i="13"/>
  <c r="X42" i="13" s="1"/>
  <c r="Y42" i="13" s="1"/>
  <c r="AH42" i="13" s="1"/>
  <c r="W60" i="13"/>
  <c r="AF60" i="13" s="1"/>
  <c r="W76" i="13"/>
  <c r="AF76" i="13" s="1"/>
  <c r="AH357" i="13"/>
  <c r="W594" i="13"/>
  <c r="AF594" i="13" s="1"/>
  <c r="V594" i="13"/>
  <c r="X594" i="13" s="1"/>
  <c r="AG594" i="13" s="1"/>
  <c r="V704" i="13"/>
  <c r="X704" i="13" s="1"/>
  <c r="AG704" i="13" s="1"/>
  <c r="W704" i="13"/>
  <c r="AF704" i="13" s="1"/>
  <c r="V734" i="13"/>
  <c r="X734" i="13" s="1"/>
  <c r="AG734" i="13" s="1"/>
  <c r="W734" i="13"/>
  <c r="AF734" i="13" s="1"/>
  <c r="V850" i="13"/>
  <c r="X850" i="13" s="1"/>
  <c r="W850" i="13"/>
  <c r="AF850" i="13" s="1"/>
  <c r="W1183" i="13"/>
  <c r="AF1183" i="13" s="1"/>
  <c r="V1183" i="13"/>
  <c r="X1183" i="13" s="1"/>
  <c r="AG1183" i="13" s="1"/>
  <c r="W616" i="13"/>
  <c r="AF616" i="13" s="1"/>
  <c r="V616" i="13"/>
  <c r="X616" i="13" s="1"/>
  <c r="AG616" i="13" s="1"/>
  <c r="V884" i="13"/>
  <c r="X884" i="13" s="1"/>
  <c r="W884" i="13"/>
  <c r="AF884" i="13" s="1"/>
  <c r="AG954" i="13"/>
  <c r="Y954" i="13"/>
  <c r="AH954" i="13" s="1"/>
  <c r="V1133" i="13"/>
  <c r="X1133" i="13" s="1"/>
  <c r="Y1133" i="13" s="1"/>
  <c r="AH1133" i="13" s="1"/>
  <c r="W1133" i="13"/>
  <c r="AF1133" i="13" s="1"/>
  <c r="W567" i="13"/>
  <c r="AF567" i="13" s="1"/>
  <c r="V606" i="13"/>
  <c r="X606" i="13" s="1"/>
  <c r="Y606" i="13" s="1"/>
  <c r="AH606" i="13" s="1"/>
  <c r="W607" i="13"/>
  <c r="AF607" i="13" s="1"/>
  <c r="V615" i="13"/>
  <c r="X615" i="13" s="1"/>
  <c r="Y615" i="13" s="1"/>
  <c r="AH615" i="13" s="1"/>
  <c r="V630" i="13"/>
  <c r="X630" i="13" s="1"/>
  <c r="AG630" i="13" s="1"/>
  <c r="V711" i="13"/>
  <c r="X711" i="13" s="1"/>
  <c r="Y711" i="13" s="1"/>
  <c r="AH711" i="13" s="1"/>
  <c r="V731" i="13"/>
  <c r="X731" i="13" s="1"/>
  <c r="AG731" i="13" s="1"/>
  <c r="V748" i="13"/>
  <c r="X748" i="13" s="1"/>
  <c r="AG748" i="13" s="1"/>
  <c r="V757" i="13"/>
  <c r="X757" i="13" s="1"/>
  <c r="Y757" i="13" s="1"/>
  <c r="AH757" i="13" s="1"/>
  <c r="V779" i="13"/>
  <c r="X779" i="13" s="1"/>
  <c r="AG779" i="13" s="1"/>
  <c r="V788" i="13"/>
  <c r="X788" i="13" s="1"/>
  <c r="Y788" i="13" s="1"/>
  <c r="AH788" i="13" s="1"/>
  <c r="W819" i="13"/>
  <c r="AF819" i="13" s="1"/>
  <c r="Y834" i="13"/>
  <c r="AH834" i="13" s="1"/>
  <c r="V849" i="13"/>
  <c r="X849" i="13" s="1"/>
  <c r="Y849" i="13" s="1"/>
  <c r="AH849" i="13" s="1"/>
  <c r="W860" i="13"/>
  <c r="AF860" i="13" s="1"/>
  <c r="V861" i="13"/>
  <c r="X861" i="13" s="1"/>
  <c r="Y861" i="13" s="1"/>
  <c r="AH861" i="13" s="1"/>
  <c r="V879" i="13"/>
  <c r="X879" i="13" s="1"/>
  <c r="Y879" i="13" s="1"/>
  <c r="AH879" i="13" s="1"/>
  <c r="V930" i="13"/>
  <c r="X930" i="13" s="1"/>
  <c r="Y930" i="13" s="1"/>
  <c r="AH930" i="13" s="1"/>
  <c r="V935" i="13"/>
  <c r="X935" i="13" s="1"/>
  <c r="Y935" i="13" s="1"/>
  <c r="AH935" i="13" s="1"/>
  <c r="V981" i="13"/>
  <c r="X981" i="13" s="1"/>
  <c r="W982" i="13"/>
  <c r="AF982" i="13" s="1"/>
  <c r="V1007" i="13"/>
  <c r="X1007" i="13" s="1"/>
  <c r="Y1007" i="13" s="1"/>
  <c r="AH1007" i="13" s="1"/>
  <c r="V1016" i="13"/>
  <c r="X1016" i="13" s="1"/>
  <c r="AG1016" i="13" s="1"/>
  <c r="W1032" i="13"/>
  <c r="AF1032" i="13" s="1"/>
  <c r="V1065" i="13"/>
  <c r="X1065" i="13" s="1"/>
  <c r="W1066" i="13"/>
  <c r="AF1066" i="13" s="1"/>
  <c r="V1113" i="13"/>
  <c r="X1113" i="13" s="1"/>
  <c r="Y1113" i="13" s="1"/>
  <c r="AH1113" i="13" s="1"/>
  <c r="AH1116" i="13"/>
  <c r="V1143" i="13"/>
  <c r="X1143" i="13" s="1"/>
  <c r="AG1143" i="13" s="1"/>
  <c r="V1167" i="13"/>
  <c r="X1167" i="13" s="1"/>
  <c r="AG1167" i="13" s="1"/>
  <c r="V1198" i="13"/>
  <c r="X1198" i="13" s="1"/>
  <c r="V1212" i="13"/>
  <c r="X1212" i="13" s="1"/>
  <c r="Y1212" i="13" s="1"/>
  <c r="AH1212" i="13" s="1"/>
  <c r="V1255" i="13"/>
  <c r="X1255" i="13" s="1"/>
  <c r="Y1255" i="13" s="1"/>
  <c r="AH1255" i="13" s="1"/>
  <c r="AH629" i="13"/>
  <c r="AH756" i="13"/>
  <c r="Y860" i="13"/>
  <c r="AH860" i="13" s="1"/>
  <c r="W756" i="13"/>
  <c r="AF756" i="13" s="1"/>
  <c r="V762" i="13"/>
  <c r="X762" i="13" s="1"/>
  <c r="Y762" i="13" s="1"/>
  <c r="AH762" i="13" s="1"/>
  <c r="V768" i="13"/>
  <c r="X768" i="13" s="1"/>
  <c r="AG768" i="13" s="1"/>
  <c r="V774" i="13"/>
  <c r="X774" i="13" s="1"/>
  <c r="AH778" i="13"/>
  <c r="W795" i="13"/>
  <c r="AF795" i="13" s="1"/>
  <c r="Y802" i="13"/>
  <c r="AH802" i="13" s="1"/>
  <c r="W814" i="13"/>
  <c r="AF814" i="13" s="1"/>
  <c r="W826" i="13"/>
  <c r="AF826" i="13" s="1"/>
  <c r="Y840" i="13"/>
  <c r="AH840" i="13" s="1"/>
  <c r="V845" i="13"/>
  <c r="X845" i="13" s="1"/>
  <c r="AG845" i="13" s="1"/>
  <c r="Y848" i="13"/>
  <c r="AH848" i="13" s="1"/>
  <c r="V855" i="13"/>
  <c r="X855" i="13" s="1"/>
  <c r="Y855" i="13" s="1"/>
  <c r="AH855" i="13" s="1"/>
  <c r="Y866" i="13"/>
  <c r="AH866" i="13" s="1"/>
  <c r="W902" i="13"/>
  <c r="AF902" i="13" s="1"/>
  <c r="V905" i="13"/>
  <c r="X905" i="13" s="1"/>
  <c r="Y905" i="13" s="1"/>
  <c r="AH905" i="13" s="1"/>
  <c r="W920" i="13"/>
  <c r="AF920" i="13" s="1"/>
  <c r="W940" i="13"/>
  <c r="AF940" i="13" s="1"/>
  <c r="V945" i="13"/>
  <c r="X945" i="13" s="1"/>
  <c r="W946" i="13"/>
  <c r="AF946" i="13" s="1"/>
  <c r="W951" i="13"/>
  <c r="AF951" i="13" s="1"/>
  <c r="W958" i="13"/>
  <c r="AF958" i="13" s="1"/>
  <c r="V975" i="13"/>
  <c r="X975" i="13" s="1"/>
  <c r="AG975" i="13" s="1"/>
  <c r="V987" i="13"/>
  <c r="X987" i="13" s="1"/>
  <c r="AG987" i="13" s="1"/>
  <c r="V999" i="13"/>
  <c r="X999" i="13" s="1"/>
  <c r="Y999" i="13" s="1"/>
  <c r="AH999" i="13" s="1"/>
  <c r="W1241" i="13"/>
  <c r="AF1241" i="13" s="1"/>
  <c r="V1246" i="13"/>
  <c r="X1246" i="13" s="1"/>
  <c r="Y1246" i="13" s="1"/>
  <c r="AH1246" i="13" s="1"/>
  <c r="V821" i="13"/>
  <c r="X821" i="13" s="1"/>
  <c r="Y821" i="13" s="1"/>
  <c r="AH821" i="13" s="1"/>
  <c r="Y828" i="13"/>
  <c r="AH828" i="13" s="1"/>
  <c r="W832" i="13"/>
  <c r="AF832" i="13" s="1"/>
  <c r="V948" i="13"/>
  <c r="X948" i="13" s="1"/>
  <c r="AG948" i="13" s="1"/>
  <c r="V986" i="13"/>
  <c r="X986" i="13" s="1"/>
  <c r="Y986" i="13" s="1"/>
  <c r="AH986" i="13" s="1"/>
  <c r="W1044" i="13"/>
  <c r="AF1044" i="13" s="1"/>
  <c r="V1047" i="13"/>
  <c r="X1047" i="13" s="1"/>
  <c r="AG1047" i="13" s="1"/>
  <c r="V1111" i="13"/>
  <c r="X1111" i="13" s="1"/>
  <c r="Y1111" i="13" s="1"/>
  <c r="AH1111" i="13" s="1"/>
  <c r="V1120" i="13"/>
  <c r="X1120" i="13" s="1"/>
  <c r="AG1120" i="13" s="1"/>
  <c r="Y1154" i="13"/>
  <c r="AH1154" i="13" s="1"/>
  <c r="V1171" i="13"/>
  <c r="X1171" i="13" s="1"/>
  <c r="AG1171" i="13" s="1"/>
  <c r="V1176" i="13"/>
  <c r="X1176" i="13" s="1"/>
  <c r="Y1176" i="13" s="1"/>
  <c r="AH1176" i="13" s="1"/>
  <c r="V1200" i="13"/>
  <c r="X1200" i="13" s="1"/>
  <c r="Y1200" i="13" s="1"/>
  <c r="AH1200" i="13" s="1"/>
  <c r="V1210" i="13"/>
  <c r="X1210" i="13" s="1"/>
  <c r="AG70" i="13"/>
  <c r="Y70" i="13"/>
  <c r="AH70" i="13" s="1"/>
  <c r="V277" i="13"/>
  <c r="X277" i="13" s="1"/>
  <c r="Y277" i="13" s="1"/>
  <c r="AH277" i="13" s="1"/>
  <c r="W277" i="13"/>
  <c r="AF277" i="13" s="1"/>
  <c r="W338" i="13"/>
  <c r="AF338" i="13" s="1"/>
  <c r="V338" i="13"/>
  <c r="X338" i="13" s="1"/>
  <c r="Y338" i="13" s="1"/>
  <c r="AH338" i="13" s="1"/>
  <c r="V354" i="13"/>
  <c r="X354" i="13" s="1"/>
  <c r="AG354" i="13" s="1"/>
  <c r="W354" i="13"/>
  <c r="AF354" i="13" s="1"/>
  <c r="V399" i="13"/>
  <c r="X399" i="13" s="1"/>
  <c r="W399" i="13"/>
  <c r="AF399" i="13" s="1"/>
  <c r="Y410" i="13"/>
  <c r="AH410" i="13" s="1"/>
  <c r="AG410" i="13"/>
  <c r="V21" i="13"/>
  <c r="X21" i="13" s="1"/>
  <c r="AG21" i="13" s="1"/>
  <c r="V39" i="13"/>
  <c r="X39" i="13" s="1"/>
  <c r="Y39" i="13" s="1"/>
  <c r="AH39" i="13" s="1"/>
  <c r="V56" i="13"/>
  <c r="X56" i="13" s="1"/>
  <c r="V58" i="13"/>
  <c r="X58" i="13" s="1"/>
  <c r="Y58" i="13" s="1"/>
  <c r="AH58" i="13" s="1"/>
  <c r="W83" i="13"/>
  <c r="AF83" i="13" s="1"/>
  <c r="V91" i="13"/>
  <c r="X91" i="13" s="1"/>
  <c r="Y91" i="13" s="1"/>
  <c r="AH91" i="13" s="1"/>
  <c r="V94" i="13"/>
  <c r="X94" i="13" s="1"/>
  <c r="Y94" i="13" s="1"/>
  <c r="AH94" i="13" s="1"/>
  <c r="W101" i="13"/>
  <c r="AF101" i="13" s="1"/>
  <c r="W104" i="13"/>
  <c r="AF104" i="13" s="1"/>
  <c r="V127" i="13"/>
  <c r="X127" i="13" s="1"/>
  <c r="AG127" i="13" s="1"/>
  <c r="V130" i="13"/>
  <c r="X130" i="13" s="1"/>
  <c r="Y130" i="13" s="1"/>
  <c r="AH130" i="13" s="1"/>
  <c r="W137" i="13"/>
  <c r="AF137" i="13" s="1"/>
  <c r="W140" i="13"/>
  <c r="AF140" i="13" s="1"/>
  <c r="V190" i="13"/>
  <c r="X190" i="13" s="1"/>
  <c r="Y190" i="13" s="1"/>
  <c r="AH190" i="13" s="1"/>
  <c r="V198" i="13"/>
  <c r="X198" i="13" s="1"/>
  <c r="Y198" i="13" s="1"/>
  <c r="AH198" i="13" s="1"/>
  <c r="Y199" i="13"/>
  <c r="AH199" i="13" s="1"/>
  <c r="W203" i="13"/>
  <c r="AF203" i="13" s="1"/>
  <c r="Y205" i="13"/>
  <c r="AH205" i="13" s="1"/>
  <c r="V206" i="13"/>
  <c r="X206" i="13" s="1"/>
  <c r="V210" i="13"/>
  <c r="X210" i="13" s="1"/>
  <c r="Y210" i="13" s="1"/>
  <c r="AH210" i="13" s="1"/>
  <c r="V214" i="13"/>
  <c r="X214" i="13" s="1"/>
  <c r="Y214" i="13" s="1"/>
  <c r="AH214" i="13" s="1"/>
  <c r="V224" i="13"/>
  <c r="X224" i="13" s="1"/>
  <c r="Y224" i="13" s="1"/>
  <c r="AH224" i="13" s="1"/>
  <c r="V228" i="13"/>
  <c r="X228" i="13" s="1"/>
  <c r="Y228" i="13" s="1"/>
  <c r="AH228" i="13" s="1"/>
  <c r="V234" i="13"/>
  <c r="X234" i="13" s="1"/>
  <c r="AG234" i="13" s="1"/>
  <c r="W243" i="13"/>
  <c r="AF243" i="13" s="1"/>
  <c r="V248" i="13"/>
  <c r="X248" i="13" s="1"/>
  <c r="Y248" i="13" s="1"/>
  <c r="AH248" i="13" s="1"/>
  <c r="W253" i="13"/>
  <c r="AF253" i="13" s="1"/>
  <c r="V258" i="13"/>
  <c r="X258" i="13" s="1"/>
  <c r="Y258" i="13" s="1"/>
  <c r="AH258" i="13" s="1"/>
  <c r="W267" i="13"/>
  <c r="AF267" i="13" s="1"/>
  <c r="V272" i="13"/>
  <c r="X272" i="13" s="1"/>
  <c r="Y272" i="13" s="1"/>
  <c r="AH272" i="13" s="1"/>
  <c r="V321" i="13"/>
  <c r="X321" i="13" s="1"/>
  <c r="AG321" i="13" s="1"/>
  <c r="W321" i="13"/>
  <c r="AF321" i="13" s="1"/>
  <c r="V342" i="13"/>
  <c r="X342" i="13" s="1"/>
  <c r="Y342" i="13" s="1"/>
  <c r="AH342" i="13" s="1"/>
  <c r="W342" i="13"/>
  <c r="AF342" i="13" s="1"/>
  <c r="AH447" i="13"/>
  <c r="W452" i="13"/>
  <c r="AF452" i="13" s="1"/>
  <c r="V452" i="13"/>
  <c r="X452" i="13" s="1"/>
  <c r="AG452" i="13" s="1"/>
  <c r="V6" i="13"/>
  <c r="X6" i="13" s="1"/>
  <c r="Y6" i="13" s="1"/>
  <c r="AH6" i="13" s="1"/>
  <c r="W10" i="13"/>
  <c r="AF10" i="13" s="1"/>
  <c r="V20" i="13"/>
  <c r="X20" i="13" s="1"/>
  <c r="Y20" i="13" s="1"/>
  <c r="AH20" i="13" s="1"/>
  <c r="V24" i="13"/>
  <c r="X24" i="13" s="1"/>
  <c r="Y24" i="13" s="1"/>
  <c r="AH24" i="13" s="1"/>
  <c r="W28" i="13"/>
  <c r="AF28" i="13" s="1"/>
  <c r="V38" i="13"/>
  <c r="X38" i="13" s="1"/>
  <c r="Y38" i="13" s="1"/>
  <c r="AH38" i="13" s="1"/>
  <c r="W63" i="13"/>
  <c r="AF63" i="13" s="1"/>
  <c r="W68" i="13"/>
  <c r="AF68" i="13" s="1"/>
  <c r="V73" i="13"/>
  <c r="X73" i="13" s="1"/>
  <c r="W74" i="13"/>
  <c r="AF74" i="13" s="1"/>
  <c r="V97" i="13"/>
  <c r="X97" i="13" s="1"/>
  <c r="Y97" i="13" s="1"/>
  <c r="AH97" i="13" s="1"/>
  <c r="V100" i="13"/>
  <c r="X100" i="13" s="1"/>
  <c r="AG100" i="13" s="1"/>
  <c r="V133" i="13"/>
  <c r="X133" i="13" s="1"/>
  <c r="Y133" i="13" s="1"/>
  <c r="AH133" i="13" s="1"/>
  <c r="V136" i="13"/>
  <c r="X136" i="13" s="1"/>
  <c r="Y136" i="13" s="1"/>
  <c r="AH136" i="13" s="1"/>
  <c r="V182" i="13"/>
  <c r="X182" i="13" s="1"/>
  <c r="AG182" i="13" s="1"/>
  <c r="Y189" i="13"/>
  <c r="AH189" i="13" s="1"/>
  <c r="V202" i="13"/>
  <c r="X202" i="13" s="1"/>
  <c r="Y202" i="13" s="1"/>
  <c r="AH202" i="13" s="1"/>
  <c r="W213" i="13"/>
  <c r="AF213" i="13" s="1"/>
  <c r="V218" i="13"/>
  <c r="X218" i="13" s="1"/>
  <c r="Y218" i="13" s="1"/>
  <c r="AH218" i="13" s="1"/>
  <c r="W221" i="13"/>
  <c r="AF221" i="13" s="1"/>
  <c r="V238" i="13"/>
  <c r="X238" i="13" s="1"/>
  <c r="AG238" i="13" s="1"/>
  <c r="V242" i="13"/>
  <c r="X242" i="13" s="1"/>
  <c r="Y242" i="13" s="1"/>
  <c r="AH242" i="13" s="1"/>
  <c r="W247" i="13"/>
  <c r="AF247" i="13" s="1"/>
  <c r="V252" i="13"/>
  <c r="X252" i="13" s="1"/>
  <c r="Y252" i="13" s="1"/>
  <c r="AH252" i="13" s="1"/>
  <c r="V262" i="13"/>
  <c r="X262" i="13" s="1"/>
  <c r="AG262" i="13" s="1"/>
  <c r="V266" i="13"/>
  <c r="X266" i="13" s="1"/>
  <c r="Y266" i="13" s="1"/>
  <c r="AH266" i="13" s="1"/>
  <c r="W300" i="13"/>
  <c r="AF300" i="13" s="1"/>
  <c r="V300" i="13"/>
  <c r="X300" i="13" s="1"/>
  <c r="Y300" i="13" s="1"/>
  <c r="AH300" i="13" s="1"/>
  <c r="V330" i="13"/>
  <c r="X330" i="13" s="1"/>
  <c r="Y330" i="13" s="1"/>
  <c r="AH330" i="13" s="1"/>
  <c r="W330" i="13"/>
  <c r="AF330" i="13" s="1"/>
  <c r="W344" i="13"/>
  <c r="AF344" i="13" s="1"/>
  <c r="V344" i="13"/>
  <c r="X344" i="13" s="1"/>
  <c r="AG344" i="13" s="1"/>
  <c r="W434" i="13"/>
  <c r="AF434" i="13" s="1"/>
  <c r="V434" i="13"/>
  <c r="X434" i="13" s="1"/>
  <c r="Y434" i="13" s="1"/>
  <c r="AH434" i="13" s="1"/>
  <c r="W444" i="13"/>
  <c r="AF444" i="13" s="1"/>
  <c r="V444" i="13"/>
  <c r="X444" i="13" s="1"/>
  <c r="AG444" i="13" s="1"/>
  <c r="AG471" i="13"/>
  <c r="Y471" i="13"/>
  <c r="AH471" i="13" s="1"/>
  <c r="W494" i="13"/>
  <c r="AF494" i="13" s="1"/>
  <c r="V494" i="13"/>
  <c r="X494" i="13" s="1"/>
  <c r="Y494" i="13" s="1"/>
  <c r="AH494" i="13" s="1"/>
  <c r="W524" i="13"/>
  <c r="AF524" i="13" s="1"/>
  <c r="V524" i="13"/>
  <c r="X524" i="13" s="1"/>
  <c r="AG524" i="13" s="1"/>
  <c r="W45" i="13"/>
  <c r="AF45" i="13" s="1"/>
  <c r="V62" i="13"/>
  <c r="X62" i="13" s="1"/>
  <c r="AG62" i="13" s="1"/>
  <c r="V67" i="13"/>
  <c r="X67" i="13" s="1"/>
  <c r="W77" i="13"/>
  <c r="AF77" i="13" s="1"/>
  <c r="V103" i="13"/>
  <c r="X103" i="13" s="1"/>
  <c r="Y103" i="13" s="1"/>
  <c r="AH103" i="13" s="1"/>
  <c r="V106" i="13"/>
  <c r="X106" i="13" s="1"/>
  <c r="AG106" i="13" s="1"/>
  <c r="W113" i="13"/>
  <c r="AF113" i="13" s="1"/>
  <c r="W116" i="13"/>
  <c r="AF116" i="13" s="1"/>
  <c r="V139" i="13"/>
  <c r="X139" i="13" s="1"/>
  <c r="Y139" i="13" s="1"/>
  <c r="AH139" i="13" s="1"/>
  <c r="V142" i="13"/>
  <c r="X142" i="13" s="1"/>
  <c r="AG142" i="13" s="1"/>
  <c r="W149" i="13"/>
  <c r="AF149" i="13" s="1"/>
  <c r="W155" i="13"/>
  <c r="AF155" i="13" s="1"/>
  <c r="W161" i="13"/>
  <c r="AF161" i="13" s="1"/>
  <c r="W167" i="13"/>
  <c r="AF167" i="13" s="1"/>
  <c r="W173" i="13"/>
  <c r="AF173" i="13" s="1"/>
  <c r="V180" i="13"/>
  <c r="X180" i="13" s="1"/>
  <c r="AG180" i="13" s="1"/>
  <c r="V188" i="13"/>
  <c r="X188" i="13" s="1"/>
  <c r="Y188" i="13" s="1"/>
  <c r="AH188" i="13" s="1"/>
  <c r="V192" i="13"/>
  <c r="X192" i="13" s="1"/>
  <c r="AG192" i="13" s="1"/>
  <c r="Y221" i="13"/>
  <c r="AH221" i="13" s="1"/>
  <c r="V222" i="13"/>
  <c r="X222" i="13" s="1"/>
  <c r="Y222" i="13" s="1"/>
  <c r="AH222" i="13" s="1"/>
  <c r="Y231" i="13"/>
  <c r="AH231" i="13" s="1"/>
  <c r="V232" i="13"/>
  <c r="X232" i="13" s="1"/>
  <c r="W237" i="13"/>
  <c r="AF237" i="13" s="1"/>
  <c r="W261" i="13"/>
  <c r="AF261" i="13" s="1"/>
  <c r="V270" i="13"/>
  <c r="X270" i="13" s="1"/>
  <c r="Y270" i="13" s="1"/>
  <c r="AH270" i="13" s="1"/>
  <c r="V295" i="13"/>
  <c r="X295" i="13" s="1"/>
  <c r="Y295" i="13" s="1"/>
  <c r="AH295" i="13" s="1"/>
  <c r="W295" i="13"/>
  <c r="AF295" i="13" s="1"/>
  <c r="W316" i="13"/>
  <c r="AF316" i="13" s="1"/>
  <c r="V316" i="13"/>
  <c r="X316" i="13" s="1"/>
  <c r="AG316" i="13" s="1"/>
  <c r="V333" i="13"/>
  <c r="X333" i="13" s="1"/>
  <c r="AG333" i="13" s="1"/>
  <c r="W333" i="13"/>
  <c r="AF333" i="13" s="1"/>
  <c r="W337" i="13"/>
  <c r="AF337" i="13" s="1"/>
  <c r="V337" i="13"/>
  <c r="X337" i="13" s="1"/>
  <c r="Y337" i="13" s="1"/>
  <c r="AH337" i="13" s="1"/>
  <c r="W377" i="13"/>
  <c r="AF377" i="13" s="1"/>
  <c r="V377" i="13"/>
  <c r="X377" i="13" s="1"/>
  <c r="AG377" i="13" s="1"/>
  <c r="W402" i="13"/>
  <c r="AF402" i="13" s="1"/>
  <c r="V402" i="13"/>
  <c r="X402" i="13" s="1"/>
  <c r="AG402" i="13" s="1"/>
  <c r="W446" i="13"/>
  <c r="AF446" i="13" s="1"/>
  <c r="V446" i="13"/>
  <c r="X446" i="13" s="1"/>
  <c r="Y446" i="13" s="1"/>
  <c r="AH446" i="13" s="1"/>
  <c r="W466" i="13"/>
  <c r="AF466" i="13" s="1"/>
  <c r="V466" i="13"/>
  <c r="X466" i="13" s="1"/>
  <c r="Y466" i="13" s="1"/>
  <c r="AH466" i="13" s="1"/>
  <c r="AG507" i="13"/>
  <c r="Y507" i="13"/>
  <c r="AH507" i="13" s="1"/>
  <c r="V519" i="13"/>
  <c r="X519" i="13" s="1"/>
  <c r="W519" i="13"/>
  <c r="AF519" i="13" s="1"/>
  <c r="V8" i="13"/>
  <c r="X8" i="13" s="1"/>
  <c r="Y8" i="13" s="1"/>
  <c r="AH8" i="13" s="1"/>
  <c r="V12" i="13"/>
  <c r="X12" i="13" s="1"/>
  <c r="AG12" i="13" s="1"/>
  <c r="W16" i="13"/>
  <c r="AF16" i="13" s="1"/>
  <c r="V26" i="13"/>
  <c r="X26" i="13" s="1"/>
  <c r="Y26" i="13" s="1"/>
  <c r="AH26" i="13" s="1"/>
  <c r="V30" i="13"/>
  <c r="X30" i="13" s="1"/>
  <c r="Y30" i="13" s="1"/>
  <c r="AH30" i="13" s="1"/>
  <c r="W34" i="13"/>
  <c r="AF34" i="13" s="1"/>
  <c r="V44" i="13"/>
  <c r="X44" i="13" s="1"/>
  <c r="Y44" i="13" s="1"/>
  <c r="AH44" i="13" s="1"/>
  <c r="V61" i="13"/>
  <c r="X61" i="13" s="1"/>
  <c r="Y61" i="13" s="1"/>
  <c r="AH61" i="13" s="1"/>
  <c r="V65" i="13"/>
  <c r="X65" i="13" s="1"/>
  <c r="AG65" i="13" s="1"/>
  <c r="V85" i="13"/>
  <c r="X85" i="13" s="1"/>
  <c r="V109" i="13"/>
  <c r="X109" i="13" s="1"/>
  <c r="Y109" i="13" s="1"/>
  <c r="AH109" i="13" s="1"/>
  <c r="V112" i="13"/>
  <c r="X112" i="13" s="1"/>
  <c r="Y112" i="13" s="1"/>
  <c r="AH112" i="13" s="1"/>
  <c r="W119" i="13"/>
  <c r="AF119" i="13" s="1"/>
  <c r="W122" i="13"/>
  <c r="AF122" i="13" s="1"/>
  <c r="V145" i="13"/>
  <c r="X145" i="13" s="1"/>
  <c r="Y145" i="13" s="1"/>
  <c r="AH145" i="13" s="1"/>
  <c r="W195" i="13"/>
  <c r="AF195" i="13" s="1"/>
  <c r="V212" i="13"/>
  <c r="X212" i="13" s="1"/>
  <c r="Y212" i="13" s="1"/>
  <c r="AH212" i="13" s="1"/>
  <c r="V220" i="13"/>
  <c r="X220" i="13" s="1"/>
  <c r="Y220" i="13" s="1"/>
  <c r="AH220" i="13" s="1"/>
  <c r="V230" i="13"/>
  <c r="X230" i="13" s="1"/>
  <c r="AG230" i="13" s="1"/>
  <c r="V256" i="13"/>
  <c r="X256" i="13" s="1"/>
  <c r="AG256" i="13" s="1"/>
  <c r="V260" i="13"/>
  <c r="X260" i="13" s="1"/>
  <c r="Y260" i="13" s="1"/>
  <c r="AH260" i="13" s="1"/>
  <c r="V285" i="13"/>
  <c r="X285" i="13" s="1"/>
  <c r="Y285" i="13" s="1"/>
  <c r="AH285" i="13" s="1"/>
  <c r="W285" i="13"/>
  <c r="AF285" i="13" s="1"/>
  <c r="W290" i="13"/>
  <c r="AF290" i="13" s="1"/>
  <c r="V290" i="13"/>
  <c r="X290" i="13" s="1"/>
  <c r="Y290" i="13" s="1"/>
  <c r="AH290" i="13" s="1"/>
  <c r="W329" i="13"/>
  <c r="AF329" i="13" s="1"/>
  <c r="V329" i="13"/>
  <c r="X329" i="13" s="1"/>
  <c r="W384" i="13"/>
  <c r="AF384" i="13" s="1"/>
  <c r="V384" i="13"/>
  <c r="X384" i="13" s="1"/>
  <c r="AG384" i="13" s="1"/>
  <c r="V453" i="13"/>
  <c r="X453" i="13" s="1"/>
  <c r="W453" i="13"/>
  <c r="AF453" i="13" s="1"/>
  <c r="V463" i="13"/>
  <c r="X463" i="13" s="1"/>
  <c r="Y463" i="13" s="1"/>
  <c r="AH463" i="13" s="1"/>
  <c r="W463" i="13"/>
  <c r="AF463" i="13" s="1"/>
  <c r="W478" i="13"/>
  <c r="AF478" i="13" s="1"/>
  <c r="V478" i="13"/>
  <c r="X478" i="13" s="1"/>
  <c r="Y478" i="13" s="1"/>
  <c r="AH478" i="13" s="1"/>
  <c r="AH500" i="13"/>
  <c r="V47" i="13"/>
  <c r="X47" i="13" s="1"/>
  <c r="AG47" i="13" s="1"/>
  <c r="W53" i="13"/>
  <c r="AF53" i="13" s="1"/>
  <c r="W71" i="13"/>
  <c r="AF71" i="13" s="1"/>
  <c r="W89" i="13"/>
  <c r="AF89" i="13" s="1"/>
  <c r="V115" i="13"/>
  <c r="X115" i="13" s="1"/>
  <c r="Y115" i="13" s="1"/>
  <c r="AH115" i="13" s="1"/>
  <c r="W125" i="13"/>
  <c r="AF125" i="13" s="1"/>
  <c r="V151" i="13"/>
  <c r="X151" i="13" s="1"/>
  <c r="Y151" i="13" s="1"/>
  <c r="AH151" i="13" s="1"/>
  <c r="V157" i="13"/>
  <c r="X157" i="13" s="1"/>
  <c r="AG157" i="13" s="1"/>
  <c r="V163" i="13"/>
  <c r="X163" i="13" s="1"/>
  <c r="Y163" i="13" s="1"/>
  <c r="AH163" i="13" s="1"/>
  <c r="V169" i="13"/>
  <c r="X169" i="13" s="1"/>
  <c r="Y169" i="13" s="1"/>
  <c r="AH169" i="13" s="1"/>
  <c r="W280" i="13"/>
  <c r="AF280" i="13" s="1"/>
  <c r="V280" i="13"/>
  <c r="X280" i="13" s="1"/>
  <c r="AG280" i="13" s="1"/>
  <c r="Y350" i="13"/>
  <c r="AH350" i="13" s="1"/>
  <c r="AG350" i="13"/>
  <c r="W365" i="13"/>
  <c r="AF365" i="13" s="1"/>
  <c r="V365" i="13"/>
  <c r="X365" i="13" s="1"/>
  <c r="AG365" i="13" s="1"/>
  <c r="V465" i="13"/>
  <c r="X465" i="13" s="1"/>
  <c r="Y465" i="13" s="1"/>
  <c r="AH465" i="13" s="1"/>
  <c r="W465" i="13"/>
  <c r="AF465" i="13" s="1"/>
  <c r="W516" i="13"/>
  <c r="AF516" i="13" s="1"/>
  <c r="V516" i="13"/>
  <c r="X516" i="13" s="1"/>
  <c r="Y516" i="13" s="1"/>
  <c r="AH516" i="13" s="1"/>
  <c r="V278" i="13"/>
  <c r="X278" i="13" s="1"/>
  <c r="Y278" i="13" s="1"/>
  <c r="AH278" i="13" s="1"/>
  <c r="W283" i="13"/>
  <c r="AF283" i="13" s="1"/>
  <c r="V288" i="13"/>
  <c r="X288" i="13" s="1"/>
  <c r="Y288" i="13" s="1"/>
  <c r="AH288" i="13" s="1"/>
  <c r="W294" i="13"/>
  <c r="AF294" i="13" s="1"/>
  <c r="V304" i="13"/>
  <c r="X304" i="13" s="1"/>
  <c r="AG304" i="13" s="1"/>
  <c r="W309" i="13"/>
  <c r="AF309" i="13" s="1"/>
  <c r="V314" i="13"/>
  <c r="X314" i="13" s="1"/>
  <c r="Y314" i="13" s="1"/>
  <c r="AH314" i="13" s="1"/>
  <c r="W319" i="13"/>
  <c r="AF319" i="13" s="1"/>
  <c r="V324" i="13"/>
  <c r="X324" i="13" s="1"/>
  <c r="Y324" i="13" s="1"/>
  <c r="AH324" i="13" s="1"/>
  <c r="W326" i="13"/>
  <c r="AF326" i="13" s="1"/>
  <c r="V341" i="13"/>
  <c r="X341" i="13" s="1"/>
  <c r="AG341" i="13" s="1"/>
  <c r="V353" i="13"/>
  <c r="X353" i="13" s="1"/>
  <c r="AG353" i="13" s="1"/>
  <c r="V367" i="13"/>
  <c r="X367" i="13" s="1"/>
  <c r="Y367" i="13" s="1"/>
  <c r="AH367" i="13" s="1"/>
  <c r="W410" i="13"/>
  <c r="AF410" i="13" s="1"/>
  <c r="V422" i="13"/>
  <c r="X422" i="13" s="1"/>
  <c r="Y422" i="13" s="1"/>
  <c r="AH422" i="13" s="1"/>
  <c r="W423" i="13"/>
  <c r="AF423" i="13" s="1"/>
  <c r="V426" i="13"/>
  <c r="X426" i="13" s="1"/>
  <c r="AG426" i="13" s="1"/>
  <c r="W440" i="13"/>
  <c r="AF440" i="13" s="1"/>
  <c r="W443" i="13"/>
  <c r="AF443" i="13" s="1"/>
  <c r="V460" i="13"/>
  <c r="X460" i="13" s="1"/>
  <c r="Y460" i="13" s="1"/>
  <c r="AH460" i="13" s="1"/>
  <c r="W468" i="13"/>
  <c r="AF468" i="13" s="1"/>
  <c r="W499" i="13"/>
  <c r="AF499" i="13" s="1"/>
  <c r="W500" i="13"/>
  <c r="AF500" i="13" s="1"/>
  <c r="W501" i="13"/>
  <c r="AF501" i="13" s="1"/>
  <c r="V502" i="13"/>
  <c r="X502" i="13" s="1"/>
  <c r="Y502" i="13" s="1"/>
  <c r="AH502" i="13" s="1"/>
  <c r="W506" i="13"/>
  <c r="AF506" i="13" s="1"/>
  <c r="W518" i="13"/>
  <c r="AF518" i="13" s="1"/>
  <c r="V518" i="13"/>
  <c r="X518" i="13" s="1"/>
  <c r="Y518" i="13" s="1"/>
  <c r="AH518" i="13" s="1"/>
  <c r="V525" i="13"/>
  <c r="X525" i="13" s="1"/>
  <c r="AG525" i="13" s="1"/>
  <c r="W525" i="13"/>
  <c r="AF525" i="13" s="1"/>
  <c r="W572" i="13"/>
  <c r="AF572" i="13" s="1"/>
  <c r="V572" i="13"/>
  <c r="X572" i="13" s="1"/>
  <c r="Y572" i="13" s="1"/>
  <c r="AH572" i="13" s="1"/>
  <c r="W584" i="13"/>
  <c r="AF584" i="13" s="1"/>
  <c r="V584" i="13"/>
  <c r="X584" i="13" s="1"/>
  <c r="Y584" i="13" s="1"/>
  <c r="AH584" i="13" s="1"/>
  <c r="W596" i="13"/>
  <c r="AF596" i="13" s="1"/>
  <c r="V596" i="13"/>
  <c r="X596" i="13" s="1"/>
  <c r="Y596" i="13" s="1"/>
  <c r="AH596" i="13" s="1"/>
  <c r="W667" i="13"/>
  <c r="AF667" i="13" s="1"/>
  <c r="V667" i="13"/>
  <c r="X667" i="13" s="1"/>
  <c r="Y667" i="13" s="1"/>
  <c r="AH667" i="13" s="1"/>
  <c r="V298" i="13"/>
  <c r="X298" i="13" s="1"/>
  <c r="AG298" i="13" s="1"/>
  <c r="W303" i="13"/>
  <c r="AF303" i="13" s="1"/>
  <c r="V308" i="13"/>
  <c r="X308" i="13" s="1"/>
  <c r="Y308" i="13" s="1"/>
  <c r="AH308" i="13" s="1"/>
  <c r="W313" i="13"/>
  <c r="AF313" i="13" s="1"/>
  <c r="V318" i="13"/>
  <c r="X318" i="13" s="1"/>
  <c r="Y318" i="13" s="1"/>
  <c r="AH318" i="13" s="1"/>
  <c r="V335" i="13"/>
  <c r="X335" i="13" s="1"/>
  <c r="AG335" i="13" s="1"/>
  <c r="V349" i="13"/>
  <c r="X349" i="13" s="1"/>
  <c r="Y349" i="13" s="1"/>
  <c r="AH349" i="13" s="1"/>
  <c r="W375" i="13"/>
  <c r="AF375" i="13" s="1"/>
  <c r="V386" i="13"/>
  <c r="X386" i="13" s="1"/>
  <c r="Y393" i="13"/>
  <c r="AH393" i="13" s="1"/>
  <c r="V404" i="13"/>
  <c r="X404" i="13" s="1"/>
  <c r="Y423" i="13"/>
  <c r="AH423" i="13" s="1"/>
  <c r="V432" i="13"/>
  <c r="X432" i="13" s="1"/>
  <c r="AG432" i="13" s="1"/>
  <c r="V442" i="13"/>
  <c r="X442" i="13" s="1"/>
  <c r="Y442" i="13" s="1"/>
  <c r="AH442" i="13" s="1"/>
  <c r="V488" i="13"/>
  <c r="X488" i="13" s="1"/>
  <c r="AG488" i="13" s="1"/>
  <c r="W489" i="13"/>
  <c r="AF489" i="13" s="1"/>
  <c r="W497" i="13"/>
  <c r="AF497" i="13" s="1"/>
  <c r="V504" i="13"/>
  <c r="X504" i="13" s="1"/>
  <c r="Y504" i="13" s="1"/>
  <c r="AH504" i="13" s="1"/>
  <c r="Y547" i="13"/>
  <c r="AH547" i="13" s="1"/>
  <c r="AG547" i="13"/>
  <c r="W564" i="13"/>
  <c r="AF564" i="13" s="1"/>
  <c r="V564" i="13"/>
  <c r="X564" i="13" s="1"/>
  <c r="AG564" i="13" s="1"/>
  <c r="W655" i="13"/>
  <c r="AF655" i="13" s="1"/>
  <c r="V655" i="13"/>
  <c r="X655" i="13" s="1"/>
  <c r="Y655" i="13" s="1"/>
  <c r="AH655" i="13" s="1"/>
  <c r="V292" i="13"/>
  <c r="X292" i="13" s="1"/>
  <c r="AG292" i="13" s="1"/>
  <c r="W297" i="13"/>
  <c r="AF297" i="13" s="1"/>
  <c r="V302" i="13"/>
  <c r="X302" i="13" s="1"/>
  <c r="Y302" i="13" s="1"/>
  <c r="AH302" i="13" s="1"/>
  <c r="W307" i="13"/>
  <c r="AF307" i="13" s="1"/>
  <c r="W357" i="13"/>
  <c r="AF357" i="13" s="1"/>
  <c r="W363" i="13"/>
  <c r="AF363" i="13" s="1"/>
  <c r="V373" i="13"/>
  <c r="X373" i="13" s="1"/>
  <c r="Y373" i="13" s="1"/>
  <c r="AH373" i="13" s="1"/>
  <c r="W387" i="13"/>
  <c r="AF387" i="13" s="1"/>
  <c r="W405" i="13"/>
  <c r="AF405" i="13" s="1"/>
  <c r="W481" i="13"/>
  <c r="AF481" i="13" s="1"/>
  <c r="W483" i="13"/>
  <c r="AF483" i="13" s="1"/>
  <c r="V484" i="13"/>
  <c r="X484" i="13" s="1"/>
  <c r="Y484" i="13" s="1"/>
  <c r="AH484" i="13" s="1"/>
  <c r="V496" i="13"/>
  <c r="X496" i="13" s="1"/>
  <c r="AG496" i="13" s="1"/>
  <c r="AH517" i="13"/>
  <c r="V531" i="13"/>
  <c r="X531" i="13" s="1"/>
  <c r="W531" i="13"/>
  <c r="AF531" i="13" s="1"/>
  <c r="W576" i="13"/>
  <c r="AF576" i="13" s="1"/>
  <c r="V576" i="13"/>
  <c r="X576" i="13" s="1"/>
  <c r="Y576" i="13" s="1"/>
  <c r="AH576" i="13" s="1"/>
  <c r="W588" i="13"/>
  <c r="AF588" i="13" s="1"/>
  <c r="V588" i="13"/>
  <c r="X588" i="13" s="1"/>
  <c r="AG588" i="13" s="1"/>
  <c r="W600" i="13"/>
  <c r="AF600" i="13" s="1"/>
  <c r="V600" i="13"/>
  <c r="X600" i="13" s="1"/>
  <c r="Y600" i="13" s="1"/>
  <c r="AH600" i="13" s="1"/>
  <c r="AG635" i="13"/>
  <c r="Y635" i="13"/>
  <c r="AH635" i="13" s="1"/>
  <c r="V668" i="13"/>
  <c r="X668" i="13" s="1"/>
  <c r="W668" i="13"/>
  <c r="AF668" i="13" s="1"/>
  <c r="V676" i="13"/>
  <c r="X676" i="13" s="1"/>
  <c r="AG676" i="13" s="1"/>
  <c r="W676" i="13"/>
  <c r="AF676" i="13" s="1"/>
  <c r="AG740" i="13"/>
  <c r="Y740" i="13"/>
  <c r="AH740" i="13" s="1"/>
  <c r="AG745" i="13"/>
  <c r="Y745" i="13"/>
  <c r="AH745" i="13" s="1"/>
  <c r="W528" i="13"/>
  <c r="AF528" i="13" s="1"/>
  <c r="V528" i="13"/>
  <c r="X528" i="13" s="1"/>
  <c r="Y528" i="13" s="1"/>
  <c r="AH528" i="13" s="1"/>
  <c r="AG530" i="13"/>
  <c r="Y530" i="13"/>
  <c r="AH530" i="13" s="1"/>
  <c r="W560" i="13"/>
  <c r="AF560" i="13" s="1"/>
  <c r="V560" i="13"/>
  <c r="X560" i="13" s="1"/>
  <c r="AG560" i="13" s="1"/>
  <c r="V730" i="13"/>
  <c r="X730" i="13" s="1"/>
  <c r="Y730" i="13" s="1"/>
  <c r="AH730" i="13" s="1"/>
  <c r="W730" i="13"/>
  <c r="AF730" i="13" s="1"/>
  <c r="AG750" i="13"/>
  <c r="Y750" i="13"/>
  <c r="AH750" i="13" s="1"/>
  <c r="AG771" i="13"/>
  <c r="Y771" i="13"/>
  <c r="AH771" i="13" s="1"/>
  <c r="W279" i="13"/>
  <c r="AF279" i="13" s="1"/>
  <c r="V284" i="13"/>
  <c r="X284" i="13" s="1"/>
  <c r="Y284" i="13" s="1"/>
  <c r="AH284" i="13" s="1"/>
  <c r="W289" i="13"/>
  <c r="AF289" i="13" s="1"/>
  <c r="V310" i="13"/>
  <c r="X310" i="13" s="1"/>
  <c r="AG310" i="13" s="1"/>
  <c r="W315" i="13"/>
  <c r="AF315" i="13" s="1"/>
  <c r="V320" i="13"/>
  <c r="X320" i="13" s="1"/>
  <c r="Y320" i="13" s="1"/>
  <c r="AH320" i="13" s="1"/>
  <c r="V325" i="13"/>
  <c r="X325" i="13" s="1"/>
  <c r="Y325" i="13" s="1"/>
  <c r="AH325" i="13" s="1"/>
  <c r="W336" i="13"/>
  <c r="AF336" i="13" s="1"/>
  <c r="V347" i="13"/>
  <c r="X347" i="13" s="1"/>
  <c r="AG347" i="13" s="1"/>
  <c r="V359" i="13"/>
  <c r="X359" i="13" s="1"/>
  <c r="AG359" i="13" s="1"/>
  <c r="V371" i="13"/>
  <c r="X371" i="13" s="1"/>
  <c r="AG371" i="13" s="1"/>
  <c r="W381" i="13"/>
  <c r="AF381" i="13" s="1"/>
  <c r="W445" i="13"/>
  <c r="AF445" i="13" s="1"/>
  <c r="W447" i="13"/>
  <c r="AF447" i="13" s="1"/>
  <c r="V448" i="13"/>
  <c r="X448" i="13" s="1"/>
  <c r="Y448" i="13" s="1"/>
  <c r="AH448" i="13" s="1"/>
  <c r="W461" i="13"/>
  <c r="AF461" i="13" s="1"/>
  <c r="W507" i="13"/>
  <c r="AF507" i="13" s="1"/>
  <c r="Y523" i="13"/>
  <c r="AH523" i="13" s="1"/>
  <c r="AG523" i="13"/>
  <c r="W610" i="13"/>
  <c r="AF610" i="13" s="1"/>
  <c r="V610" i="13"/>
  <c r="X610" i="13" s="1"/>
  <c r="Y610" i="13" s="1"/>
  <c r="AH610" i="13" s="1"/>
  <c r="V651" i="13"/>
  <c r="X651" i="13" s="1"/>
  <c r="AG651" i="13" s="1"/>
  <c r="W651" i="13"/>
  <c r="AF651" i="13" s="1"/>
  <c r="W685" i="13"/>
  <c r="AF685" i="13" s="1"/>
  <c r="V685" i="13"/>
  <c r="X685" i="13" s="1"/>
  <c r="Y685" i="13" s="1"/>
  <c r="AH685" i="13" s="1"/>
  <c r="Y770" i="13"/>
  <c r="AH770" i="13" s="1"/>
  <c r="AG770" i="13"/>
  <c r="W791" i="13"/>
  <c r="AF791" i="13" s="1"/>
  <c r="V791" i="13"/>
  <c r="X791" i="13" s="1"/>
  <c r="Y791" i="13" s="1"/>
  <c r="AH791" i="13" s="1"/>
  <c r="AG826" i="13"/>
  <c r="Y826" i="13"/>
  <c r="AH826" i="13" s="1"/>
  <c r="V838" i="13"/>
  <c r="X838" i="13" s="1"/>
  <c r="W838" i="13"/>
  <c r="AF838" i="13" s="1"/>
  <c r="V858" i="13"/>
  <c r="X858" i="13" s="1"/>
  <c r="W858" i="13"/>
  <c r="AF858" i="13" s="1"/>
  <c r="V527" i="13"/>
  <c r="X527" i="13" s="1"/>
  <c r="AG527" i="13" s="1"/>
  <c r="V534" i="13"/>
  <c r="X534" i="13" s="1"/>
  <c r="AG534" i="13" s="1"/>
  <c r="W547" i="13"/>
  <c r="AF547" i="13" s="1"/>
  <c r="W549" i="13"/>
  <c r="AF549" i="13" s="1"/>
  <c r="V575" i="13"/>
  <c r="X575" i="13" s="1"/>
  <c r="AG575" i="13" s="1"/>
  <c r="V587" i="13"/>
  <c r="X587" i="13" s="1"/>
  <c r="Y587" i="13" s="1"/>
  <c r="AH587" i="13" s="1"/>
  <c r="V599" i="13"/>
  <c r="X599" i="13" s="1"/>
  <c r="Y599" i="13" s="1"/>
  <c r="AH599" i="13" s="1"/>
  <c r="W609" i="13"/>
  <c r="AF609" i="13" s="1"/>
  <c r="W611" i="13"/>
  <c r="AF611" i="13" s="1"/>
  <c r="V612" i="13"/>
  <c r="X612" i="13" s="1"/>
  <c r="Y612" i="13" s="1"/>
  <c r="AH612" i="13" s="1"/>
  <c r="W617" i="13"/>
  <c r="AF617" i="13" s="1"/>
  <c r="V645" i="13"/>
  <c r="X645" i="13" s="1"/>
  <c r="AG645" i="13" s="1"/>
  <c r="W658" i="13"/>
  <c r="AF658" i="13" s="1"/>
  <c r="W712" i="13"/>
  <c r="AF712" i="13" s="1"/>
  <c r="W724" i="13"/>
  <c r="AF724" i="13" s="1"/>
  <c r="V729" i="13"/>
  <c r="X729" i="13" s="1"/>
  <c r="AG729" i="13" s="1"/>
  <c r="V751" i="13"/>
  <c r="X751" i="13" s="1"/>
  <c r="V763" i="13"/>
  <c r="X763" i="13" s="1"/>
  <c r="W778" i="13"/>
  <c r="AF778" i="13" s="1"/>
  <c r="V784" i="13"/>
  <c r="X784" i="13" s="1"/>
  <c r="W784" i="13"/>
  <c r="AF784" i="13" s="1"/>
  <c r="W793" i="13"/>
  <c r="AF793" i="13" s="1"/>
  <c r="V793" i="13"/>
  <c r="X793" i="13" s="1"/>
  <c r="Y793" i="13" s="1"/>
  <c r="AH793" i="13" s="1"/>
  <c r="V876" i="13"/>
  <c r="X876" i="13" s="1"/>
  <c r="Y876" i="13" s="1"/>
  <c r="AH876" i="13" s="1"/>
  <c r="W876" i="13"/>
  <c r="AF876" i="13" s="1"/>
  <c r="V896" i="13"/>
  <c r="X896" i="13" s="1"/>
  <c r="W896" i="13"/>
  <c r="AF896" i="13" s="1"/>
  <c r="Y901" i="13"/>
  <c r="AH901" i="13" s="1"/>
  <c r="AG901" i="13"/>
  <c r="W917" i="13"/>
  <c r="AF917" i="13" s="1"/>
  <c r="V917" i="13"/>
  <c r="X917" i="13" s="1"/>
  <c r="Y917" i="13" s="1"/>
  <c r="AH917" i="13" s="1"/>
  <c r="V970" i="13"/>
  <c r="X970" i="13" s="1"/>
  <c r="W970" i="13"/>
  <c r="AF970" i="13" s="1"/>
  <c r="V994" i="13"/>
  <c r="X994" i="13" s="1"/>
  <c r="Y994" i="13" s="1"/>
  <c r="AH994" i="13" s="1"/>
  <c r="W994" i="13"/>
  <c r="AF994" i="13" s="1"/>
  <c r="AG1140" i="13"/>
  <c r="Y1140" i="13"/>
  <c r="AH1140" i="13" s="1"/>
  <c r="W1157" i="13"/>
  <c r="AF1157" i="13" s="1"/>
  <c r="V1157" i="13"/>
  <c r="X1157" i="13" s="1"/>
  <c r="Y1157" i="13" s="1"/>
  <c r="AH1157" i="13" s="1"/>
  <c r="W543" i="13"/>
  <c r="AF543" i="13" s="1"/>
  <c r="Y549" i="13"/>
  <c r="AH549" i="13" s="1"/>
  <c r="AH611" i="13"/>
  <c r="V644" i="13"/>
  <c r="X644" i="13" s="1"/>
  <c r="AG644" i="13" s="1"/>
  <c r="V646" i="13"/>
  <c r="X646" i="13" s="1"/>
  <c r="AG646" i="13" s="1"/>
  <c r="AH677" i="13"/>
  <c r="V683" i="13"/>
  <c r="X683" i="13" s="1"/>
  <c r="Y683" i="13" s="1"/>
  <c r="AH683" i="13" s="1"/>
  <c r="V733" i="13"/>
  <c r="X733" i="13" s="1"/>
  <c r="Y733" i="13" s="1"/>
  <c r="AH733" i="13" s="1"/>
  <c r="V735" i="13"/>
  <c r="X735" i="13" s="1"/>
  <c r="Y735" i="13" s="1"/>
  <c r="AH735" i="13" s="1"/>
  <c r="V739" i="13"/>
  <c r="X739" i="13" s="1"/>
  <c r="AG739" i="13" s="1"/>
  <c r="W740" i="13"/>
  <c r="AF740" i="13" s="1"/>
  <c r="V744" i="13"/>
  <c r="X744" i="13" s="1"/>
  <c r="Y744" i="13" s="1"/>
  <c r="AH744" i="13" s="1"/>
  <c r="AH755" i="13"/>
  <c r="V878" i="13"/>
  <c r="X878" i="13" s="1"/>
  <c r="AG878" i="13" s="1"/>
  <c r="W878" i="13"/>
  <c r="AF878" i="13" s="1"/>
  <c r="W883" i="13"/>
  <c r="AF883" i="13" s="1"/>
  <c r="V883" i="13"/>
  <c r="X883" i="13" s="1"/>
  <c r="Y883" i="13" s="1"/>
  <c r="AH883" i="13" s="1"/>
  <c r="W1018" i="13"/>
  <c r="AF1018" i="13" s="1"/>
  <c r="V1018" i="13"/>
  <c r="X1018" i="13" s="1"/>
  <c r="Y1018" i="13" s="1"/>
  <c r="AH1018" i="13" s="1"/>
  <c r="Y1208" i="13"/>
  <c r="AH1208" i="13" s="1"/>
  <c r="AG1208" i="13"/>
  <c r="V642" i="13"/>
  <c r="X642" i="13" s="1"/>
  <c r="Y642" i="13" s="1"/>
  <c r="AH642" i="13" s="1"/>
  <c r="W643" i="13"/>
  <c r="AF643" i="13" s="1"/>
  <c r="V681" i="13"/>
  <c r="X681" i="13" s="1"/>
  <c r="V691" i="13"/>
  <c r="X691" i="13" s="1"/>
  <c r="Y691" i="13" s="1"/>
  <c r="AH691" i="13" s="1"/>
  <c r="V695" i="13"/>
  <c r="X695" i="13" s="1"/>
  <c r="Y695" i="13" s="1"/>
  <c r="AH695" i="13" s="1"/>
  <c r="W696" i="13"/>
  <c r="AF696" i="13" s="1"/>
  <c r="V703" i="13"/>
  <c r="X703" i="13" s="1"/>
  <c r="AG703" i="13" s="1"/>
  <c r="V709" i="13"/>
  <c r="X709" i="13" s="1"/>
  <c r="Y709" i="13" s="1"/>
  <c r="AH709" i="13" s="1"/>
  <c r="V715" i="13"/>
  <c r="X715" i="13" s="1"/>
  <c r="Y715" i="13" s="1"/>
  <c r="AH715" i="13" s="1"/>
  <c r="V717" i="13"/>
  <c r="X717" i="13" s="1"/>
  <c r="AG717" i="13" s="1"/>
  <c r="V721" i="13"/>
  <c r="X721" i="13" s="1"/>
  <c r="AG721" i="13" s="1"/>
  <c r="W722" i="13"/>
  <c r="AF722" i="13" s="1"/>
  <c r="W726" i="13"/>
  <c r="AF726" i="13" s="1"/>
  <c r="W783" i="13"/>
  <c r="AF783" i="13" s="1"/>
  <c r="V783" i="13"/>
  <c r="X783" i="13" s="1"/>
  <c r="V786" i="13"/>
  <c r="X786" i="13" s="1"/>
  <c r="W837" i="13"/>
  <c r="AF837" i="13" s="1"/>
  <c r="V837" i="13"/>
  <c r="X837" i="13" s="1"/>
  <c r="Y837" i="13" s="1"/>
  <c r="AH837" i="13" s="1"/>
  <c r="W839" i="13"/>
  <c r="AF839" i="13" s="1"/>
  <c r="V839" i="13"/>
  <c r="X839" i="13" s="1"/>
  <c r="Y839" i="13" s="1"/>
  <c r="AH839" i="13" s="1"/>
  <c r="W857" i="13"/>
  <c r="AF857" i="13" s="1"/>
  <c r="V857" i="13"/>
  <c r="X857" i="13" s="1"/>
  <c r="W859" i="13"/>
  <c r="AF859" i="13" s="1"/>
  <c r="V859" i="13"/>
  <c r="X859" i="13" s="1"/>
  <c r="Y859" i="13" s="1"/>
  <c r="AH859" i="13" s="1"/>
  <c r="W891" i="13"/>
  <c r="AF891" i="13" s="1"/>
  <c r="V891" i="13"/>
  <c r="X891" i="13" s="1"/>
  <c r="Y891" i="13" s="1"/>
  <c r="AH891" i="13" s="1"/>
  <c r="W965" i="13"/>
  <c r="AF965" i="13" s="1"/>
  <c r="V965" i="13"/>
  <c r="X965" i="13" s="1"/>
  <c r="AG965" i="13" s="1"/>
  <c r="W1103" i="13"/>
  <c r="AF1103" i="13" s="1"/>
  <c r="V1103" i="13"/>
  <c r="X1103" i="13" s="1"/>
  <c r="W537" i="13"/>
  <c r="AF537" i="13" s="1"/>
  <c r="V569" i="13"/>
  <c r="X569" i="13" s="1"/>
  <c r="AG569" i="13" s="1"/>
  <c r="V581" i="13"/>
  <c r="X581" i="13" s="1"/>
  <c r="Y581" i="13" s="1"/>
  <c r="AH581" i="13" s="1"/>
  <c r="V593" i="13"/>
  <c r="X593" i="13" s="1"/>
  <c r="AG593" i="13" s="1"/>
  <c r="V663" i="13"/>
  <c r="X663" i="13" s="1"/>
  <c r="W678" i="13"/>
  <c r="AF678" i="13" s="1"/>
  <c r="Y696" i="13"/>
  <c r="AH696" i="13" s="1"/>
  <c r="V699" i="13"/>
  <c r="X699" i="13" s="1"/>
  <c r="Y699" i="13" s="1"/>
  <c r="AH699" i="13" s="1"/>
  <c r="W708" i="13"/>
  <c r="AF708" i="13" s="1"/>
  <c r="W714" i="13"/>
  <c r="AF714" i="13" s="1"/>
  <c r="W716" i="13"/>
  <c r="AF716" i="13" s="1"/>
  <c r="W792" i="13"/>
  <c r="AF792" i="13" s="1"/>
  <c r="V792" i="13"/>
  <c r="X792" i="13" s="1"/>
  <c r="AG820" i="13"/>
  <c r="Y820" i="13"/>
  <c r="AH820" i="13" s="1"/>
  <c r="W847" i="13"/>
  <c r="AF847" i="13" s="1"/>
  <c r="V847" i="13"/>
  <c r="X847" i="13" s="1"/>
  <c r="Y847" i="13" s="1"/>
  <c r="AH847" i="13" s="1"/>
  <c r="W865" i="13"/>
  <c r="AF865" i="13" s="1"/>
  <c r="V865" i="13"/>
  <c r="X865" i="13" s="1"/>
  <c r="Y865" i="13" s="1"/>
  <c r="AH865" i="13" s="1"/>
  <c r="W897" i="13"/>
  <c r="AF897" i="13" s="1"/>
  <c r="V897" i="13"/>
  <c r="X897" i="13" s="1"/>
  <c r="Y897" i="13" s="1"/>
  <c r="AH897" i="13" s="1"/>
  <c r="W933" i="13"/>
  <c r="AF933" i="13" s="1"/>
  <c r="V933" i="13"/>
  <c r="X933" i="13" s="1"/>
  <c r="W959" i="13"/>
  <c r="AF959" i="13" s="1"/>
  <c r="V959" i="13"/>
  <c r="X959" i="13" s="1"/>
  <c r="W1053" i="13"/>
  <c r="AF1053" i="13" s="1"/>
  <c r="V1053" i="13"/>
  <c r="X1053" i="13" s="1"/>
  <c r="Y1053" i="13" s="1"/>
  <c r="AH1053" i="13" s="1"/>
  <c r="V765" i="13"/>
  <c r="X765" i="13" s="1"/>
  <c r="AG765" i="13" s="1"/>
  <c r="V773" i="13"/>
  <c r="X773" i="13" s="1"/>
  <c r="AG773" i="13" s="1"/>
  <c r="AG808" i="13"/>
  <c r="Y808" i="13"/>
  <c r="AH808" i="13" s="1"/>
  <c r="W877" i="13"/>
  <c r="AF877" i="13" s="1"/>
  <c r="V877" i="13"/>
  <c r="X877" i="13" s="1"/>
  <c r="W923" i="13"/>
  <c r="AF923" i="13" s="1"/>
  <c r="V923" i="13"/>
  <c r="X923" i="13" s="1"/>
  <c r="Y923" i="13" s="1"/>
  <c r="AH923" i="13" s="1"/>
  <c r="Y952" i="13"/>
  <c r="AH952" i="13" s="1"/>
  <c r="AG952" i="13"/>
  <c r="W1014" i="13"/>
  <c r="AF1014" i="13" s="1"/>
  <c r="V1014" i="13"/>
  <c r="X1014" i="13" s="1"/>
  <c r="W1038" i="13"/>
  <c r="AF1038" i="13" s="1"/>
  <c r="V1038" i="13"/>
  <c r="X1038" i="13" s="1"/>
  <c r="Y1080" i="13"/>
  <c r="AH1080" i="13" s="1"/>
  <c r="AG1080" i="13"/>
  <c r="W1096" i="13"/>
  <c r="AF1096" i="13" s="1"/>
  <c r="V1096" i="13"/>
  <c r="X1096" i="13" s="1"/>
  <c r="W1115" i="13"/>
  <c r="AF1115" i="13" s="1"/>
  <c r="V1115" i="13"/>
  <c r="X1115" i="13" s="1"/>
  <c r="AG1115" i="13" s="1"/>
  <c r="V1223" i="13"/>
  <c r="X1223" i="13" s="1"/>
  <c r="Y1223" i="13" s="1"/>
  <c r="AH1223" i="13" s="1"/>
  <c r="W1223" i="13"/>
  <c r="AF1223" i="13" s="1"/>
  <c r="V806" i="13"/>
  <c r="X806" i="13" s="1"/>
  <c r="AG806" i="13" s="1"/>
  <c r="V807" i="13"/>
  <c r="X807" i="13" s="1"/>
  <c r="Y807" i="13" s="1"/>
  <c r="AH807" i="13" s="1"/>
  <c r="W808" i="13"/>
  <c r="AF808" i="13" s="1"/>
  <c r="W836" i="13"/>
  <c r="AF836" i="13" s="1"/>
  <c r="W846" i="13"/>
  <c r="AF846" i="13" s="1"/>
  <c r="W856" i="13"/>
  <c r="AF856" i="13" s="1"/>
  <c r="Y864" i="13"/>
  <c r="AH864" i="13" s="1"/>
  <c r="V871" i="13"/>
  <c r="X871" i="13" s="1"/>
  <c r="Y871" i="13" s="1"/>
  <c r="AH871" i="13" s="1"/>
  <c r="W882" i="13"/>
  <c r="AF882" i="13" s="1"/>
  <c r="W888" i="13"/>
  <c r="AF888" i="13" s="1"/>
  <c r="V889" i="13"/>
  <c r="X889" i="13" s="1"/>
  <c r="W890" i="13"/>
  <c r="AF890" i="13" s="1"/>
  <c r="V895" i="13"/>
  <c r="X895" i="13" s="1"/>
  <c r="Y895" i="13" s="1"/>
  <c r="AH895" i="13" s="1"/>
  <c r="V903" i="13"/>
  <c r="X903" i="13" s="1"/>
  <c r="Y903" i="13" s="1"/>
  <c r="AH903" i="13" s="1"/>
  <c r="W908" i="13"/>
  <c r="AF908" i="13" s="1"/>
  <c r="V909" i="13"/>
  <c r="X909" i="13" s="1"/>
  <c r="Y909" i="13" s="1"/>
  <c r="AH909" i="13" s="1"/>
  <c r="V929" i="13"/>
  <c r="X929" i="13" s="1"/>
  <c r="Y929" i="13" s="1"/>
  <c r="AH929" i="13" s="1"/>
  <c r="W969" i="13"/>
  <c r="AF969" i="13" s="1"/>
  <c r="V969" i="13"/>
  <c r="X969" i="13" s="1"/>
  <c r="AG969" i="13" s="1"/>
  <c r="W972" i="13"/>
  <c r="AF972" i="13" s="1"/>
  <c r="V972" i="13"/>
  <c r="X972" i="13" s="1"/>
  <c r="W993" i="13"/>
  <c r="AF993" i="13" s="1"/>
  <c r="V993" i="13"/>
  <c r="X993" i="13" s="1"/>
  <c r="Y993" i="13" s="1"/>
  <c r="AH993" i="13" s="1"/>
  <c r="V1050" i="13"/>
  <c r="X1050" i="13" s="1"/>
  <c r="AG1050" i="13" s="1"/>
  <c r="V1062" i="13"/>
  <c r="X1062" i="13" s="1"/>
  <c r="AG1062" i="13" s="1"/>
  <c r="W1136" i="13"/>
  <c r="AF1136" i="13" s="1"/>
  <c r="V1136" i="13"/>
  <c r="X1136" i="13" s="1"/>
  <c r="AG1136" i="13" s="1"/>
  <c r="W1150" i="13"/>
  <c r="AF1150" i="13" s="1"/>
  <c r="V1150" i="13"/>
  <c r="X1150" i="13" s="1"/>
  <c r="AG1150" i="13" s="1"/>
  <c r="W1169" i="13"/>
  <c r="AF1169" i="13" s="1"/>
  <c r="W1172" i="13"/>
  <c r="AF1172" i="13" s="1"/>
  <c r="V1172" i="13"/>
  <c r="X1172" i="13" s="1"/>
  <c r="Y1172" i="13" s="1"/>
  <c r="AH1172" i="13" s="1"/>
  <c r="V1177" i="13"/>
  <c r="X1177" i="13" s="1"/>
  <c r="AG1177" i="13" s="1"/>
  <c r="V1203" i="13"/>
  <c r="X1203" i="13" s="1"/>
  <c r="Y1203" i="13" s="1"/>
  <c r="AH1203" i="13" s="1"/>
  <c r="W1225" i="13"/>
  <c r="AF1225" i="13" s="1"/>
  <c r="V1225" i="13"/>
  <c r="X1225" i="13" s="1"/>
  <c r="V799" i="13"/>
  <c r="X799" i="13" s="1"/>
  <c r="Y799" i="13" s="1"/>
  <c r="AH799" i="13" s="1"/>
  <c r="V800" i="13"/>
  <c r="X800" i="13" s="1"/>
  <c r="W804" i="13"/>
  <c r="AF804" i="13" s="1"/>
  <c r="V805" i="13"/>
  <c r="X805" i="13" s="1"/>
  <c r="Y805" i="13" s="1"/>
  <c r="AH805" i="13" s="1"/>
  <c r="V811" i="13"/>
  <c r="X811" i="13" s="1"/>
  <c r="Y811" i="13" s="1"/>
  <c r="AH811" i="13" s="1"/>
  <c r="V824" i="13"/>
  <c r="X824" i="13" s="1"/>
  <c r="AG824" i="13" s="1"/>
  <c r="V825" i="13"/>
  <c r="X825" i="13" s="1"/>
  <c r="Y825" i="13" s="1"/>
  <c r="AH825" i="13" s="1"/>
  <c r="AH873" i="13"/>
  <c r="Y908" i="13"/>
  <c r="AH908" i="13" s="1"/>
  <c r="AG939" i="13"/>
  <c r="Y939" i="13"/>
  <c r="AH939" i="13" s="1"/>
  <c r="Y1021" i="13"/>
  <c r="AH1021" i="13" s="1"/>
  <c r="AG1021" i="13"/>
  <c r="W1035" i="13"/>
  <c r="AF1035" i="13" s="1"/>
  <c r="V1035" i="13"/>
  <c r="X1035" i="13" s="1"/>
  <c r="AG1035" i="13" s="1"/>
  <c r="Y1072" i="13"/>
  <c r="AH1072" i="13" s="1"/>
  <c r="AG1072" i="13"/>
  <c r="W1147" i="13"/>
  <c r="AF1147" i="13" s="1"/>
  <c r="V1147" i="13"/>
  <c r="X1147" i="13" s="1"/>
  <c r="V1166" i="13"/>
  <c r="X1166" i="13" s="1"/>
  <c r="AG1166" i="13" s="1"/>
  <c r="W1166" i="13"/>
  <c r="AF1166" i="13" s="1"/>
  <c r="V1199" i="13"/>
  <c r="X1199" i="13" s="1"/>
  <c r="Y1199" i="13" s="1"/>
  <c r="AH1199" i="13" s="1"/>
  <c r="W1199" i="13"/>
  <c r="AF1199" i="13" s="1"/>
  <c r="W1236" i="13"/>
  <c r="AF1236" i="13" s="1"/>
  <c r="V1236" i="13"/>
  <c r="X1236" i="13" s="1"/>
  <c r="Y1236" i="13" s="1"/>
  <c r="AH1236" i="13" s="1"/>
  <c r="Y1241" i="13"/>
  <c r="AH1241" i="13" s="1"/>
  <c r="AG1241" i="13"/>
  <c r="V781" i="13"/>
  <c r="X781" i="13" s="1"/>
  <c r="Y781" i="13" s="1"/>
  <c r="AH781" i="13" s="1"/>
  <c r="V797" i="13"/>
  <c r="X797" i="13" s="1"/>
  <c r="W798" i="13"/>
  <c r="AF798" i="13" s="1"/>
  <c r="V801" i="13"/>
  <c r="X801" i="13" s="1"/>
  <c r="Y801" i="13" s="1"/>
  <c r="AH801" i="13" s="1"/>
  <c r="W802" i="13"/>
  <c r="AF802" i="13" s="1"/>
  <c r="Y804" i="13"/>
  <c r="AH804" i="13" s="1"/>
  <c r="V809" i="13"/>
  <c r="X809" i="13" s="1"/>
  <c r="W810" i="13"/>
  <c r="AF810" i="13" s="1"/>
  <c r="V817" i="13"/>
  <c r="X817" i="13" s="1"/>
  <c r="Y817" i="13" s="1"/>
  <c r="AH817" i="13" s="1"/>
  <c r="V818" i="13"/>
  <c r="X818" i="13" s="1"/>
  <c r="W822" i="13"/>
  <c r="AF822" i="13" s="1"/>
  <c r="V823" i="13"/>
  <c r="X823" i="13" s="1"/>
  <c r="Y823" i="13" s="1"/>
  <c r="AH823" i="13" s="1"/>
  <c r="V827" i="13"/>
  <c r="X827" i="13" s="1"/>
  <c r="W828" i="13"/>
  <c r="AF828" i="13" s="1"/>
  <c r="W834" i="13"/>
  <c r="AF834" i="13" s="1"/>
  <c r="V835" i="13"/>
  <c r="X835" i="13" s="1"/>
  <c r="Y835" i="13" s="1"/>
  <c r="AH835" i="13" s="1"/>
  <c r="V843" i="13"/>
  <c r="X843" i="13" s="1"/>
  <c r="Y843" i="13" s="1"/>
  <c r="AH843" i="13" s="1"/>
  <c r="W844" i="13"/>
  <c r="AF844" i="13" s="1"/>
  <c r="V853" i="13"/>
  <c r="X853" i="13" s="1"/>
  <c r="Y853" i="13" s="1"/>
  <c r="AH853" i="13" s="1"/>
  <c r="Y854" i="13"/>
  <c r="AH854" i="13" s="1"/>
  <c r="V881" i="13"/>
  <c r="X881" i="13" s="1"/>
  <c r="Y881" i="13" s="1"/>
  <c r="AH881" i="13" s="1"/>
  <c r="V887" i="13"/>
  <c r="X887" i="13" s="1"/>
  <c r="Y887" i="13" s="1"/>
  <c r="AH887" i="13" s="1"/>
  <c r="W906" i="13"/>
  <c r="AF906" i="13" s="1"/>
  <c r="W912" i="13"/>
  <c r="AF912" i="13" s="1"/>
  <c r="V913" i="13"/>
  <c r="X913" i="13" s="1"/>
  <c r="W914" i="13"/>
  <c r="AF914" i="13" s="1"/>
  <c r="V919" i="13"/>
  <c r="X919" i="13" s="1"/>
  <c r="Y919" i="13" s="1"/>
  <c r="AH919" i="13" s="1"/>
  <c r="Y920" i="13"/>
  <c r="AH920" i="13" s="1"/>
  <c r="V927" i="13"/>
  <c r="X927" i="13" s="1"/>
  <c r="Y927" i="13" s="1"/>
  <c r="AH927" i="13" s="1"/>
  <c r="V966" i="13"/>
  <c r="X966" i="13" s="1"/>
  <c r="AG966" i="13" s="1"/>
  <c r="W971" i="13"/>
  <c r="AF971" i="13" s="1"/>
  <c r="V971" i="13"/>
  <c r="X971" i="13" s="1"/>
  <c r="V995" i="13"/>
  <c r="X995" i="13" s="1"/>
  <c r="Y995" i="13" s="1"/>
  <c r="AH995" i="13" s="1"/>
  <c r="V1008" i="13"/>
  <c r="X1008" i="13" s="1"/>
  <c r="W1021" i="13"/>
  <c r="AF1021" i="13" s="1"/>
  <c r="W1037" i="13"/>
  <c r="AF1037" i="13" s="1"/>
  <c r="V1037" i="13"/>
  <c r="X1037" i="13" s="1"/>
  <c r="AG1037" i="13" s="1"/>
  <c r="W1049" i="13"/>
  <c r="AF1049" i="13" s="1"/>
  <c r="V1049" i="13"/>
  <c r="X1049" i="13" s="1"/>
  <c r="Y1049" i="13" s="1"/>
  <c r="AH1049" i="13" s="1"/>
  <c r="V1061" i="13"/>
  <c r="X1061" i="13" s="1"/>
  <c r="W1095" i="13"/>
  <c r="AF1095" i="13" s="1"/>
  <c r="V1095" i="13"/>
  <c r="X1095" i="13" s="1"/>
  <c r="Y1095" i="13" s="1"/>
  <c r="AH1095" i="13" s="1"/>
  <c r="V1117" i="13"/>
  <c r="X1117" i="13" s="1"/>
  <c r="Y1117" i="13" s="1"/>
  <c r="AH1117" i="13" s="1"/>
  <c r="W1119" i="13"/>
  <c r="AF1119" i="13" s="1"/>
  <c r="V1119" i="13"/>
  <c r="X1119" i="13" s="1"/>
  <c r="Y1119" i="13" s="1"/>
  <c r="AH1119" i="13" s="1"/>
  <c r="W1168" i="13"/>
  <c r="AF1168" i="13" s="1"/>
  <c r="V1168" i="13"/>
  <c r="X1168" i="13" s="1"/>
  <c r="W796" i="13"/>
  <c r="AF796" i="13" s="1"/>
  <c r="V803" i="13"/>
  <c r="X803" i="13" s="1"/>
  <c r="Y803" i="13" s="1"/>
  <c r="AH803" i="13" s="1"/>
  <c r="Y810" i="13"/>
  <c r="AH810" i="13" s="1"/>
  <c r="V815" i="13"/>
  <c r="X815" i="13" s="1"/>
  <c r="W816" i="13"/>
  <c r="AF816" i="13" s="1"/>
  <c r="Y822" i="13"/>
  <c r="AH822" i="13" s="1"/>
  <c r="Y844" i="13"/>
  <c r="AH844" i="13" s="1"/>
  <c r="V893" i="13"/>
  <c r="X893" i="13" s="1"/>
  <c r="Y893" i="13" s="1"/>
  <c r="AH893" i="13" s="1"/>
  <c r="V899" i="13"/>
  <c r="X899" i="13" s="1"/>
  <c r="AG899" i="13" s="1"/>
  <c r="W918" i="13"/>
  <c r="AF918" i="13" s="1"/>
  <c r="W924" i="13"/>
  <c r="AF924" i="13" s="1"/>
  <c r="V925" i="13"/>
  <c r="X925" i="13" s="1"/>
  <c r="W926" i="13"/>
  <c r="AF926" i="13" s="1"/>
  <c r="W931" i="13"/>
  <c r="AF931" i="13" s="1"/>
  <c r="W992" i="13"/>
  <c r="AF992" i="13" s="1"/>
  <c r="V992" i="13"/>
  <c r="X992" i="13" s="1"/>
  <c r="AH1039" i="13"/>
  <c r="W1054" i="13"/>
  <c r="AF1054" i="13" s="1"/>
  <c r="W1129" i="13"/>
  <c r="AF1129" i="13" s="1"/>
  <c r="V1129" i="13"/>
  <c r="X1129" i="13" s="1"/>
  <c r="Y1129" i="13" s="1"/>
  <c r="AH1129" i="13" s="1"/>
  <c r="W1132" i="13"/>
  <c r="AF1132" i="13" s="1"/>
  <c r="V1132" i="13"/>
  <c r="X1132" i="13" s="1"/>
  <c r="Y1132" i="13" s="1"/>
  <c r="AH1132" i="13" s="1"/>
  <c r="V1146" i="13"/>
  <c r="X1146" i="13" s="1"/>
  <c r="AG1146" i="13" s="1"/>
  <c r="W1146" i="13"/>
  <c r="AF1146" i="13" s="1"/>
  <c r="W1165" i="13"/>
  <c r="AF1165" i="13" s="1"/>
  <c r="V1165" i="13"/>
  <c r="X1165" i="13" s="1"/>
  <c r="V1213" i="13"/>
  <c r="X1213" i="13" s="1"/>
  <c r="AG1213" i="13" s="1"/>
  <c r="W1231" i="13"/>
  <c r="AF1231" i="13" s="1"/>
  <c r="V1231" i="13"/>
  <c r="X1231" i="13" s="1"/>
  <c r="AG1231" i="13" s="1"/>
  <c r="W1149" i="13"/>
  <c r="AF1149" i="13" s="1"/>
  <c r="V1149" i="13"/>
  <c r="X1149" i="13" s="1"/>
  <c r="Y1149" i="13" s="1"/>
  <c r="AH1149" i="13" s="1"/>
  <c r="W1156" i="13"/>
  <c r="AF1156" i="13" s="1"/>
  <c r="V1156" i="13"/>
  <c r="X1156" i="13" s="1"/>
  <c r="AG1156" i="13" s="1"/>
  <c r="V1190" i="13"/>
  <c r="X1190" i="13" s="1"/>
  <c r="W1190" i="13"/>
  <c r="AF1190" i="13" s="1"/>
  <c r="W1222" i="13"/>
  <c r="AF1222" i="13" s="1"/>
  <c r="V1222" i="13"/>
  <c r="X1222" i="13" s="1"/>
  <c r="Y1222" i="13" s="1"/>
  <c r="AH1222" i="13" s="1"/>
  <c r="W1230" i="13"/>
  <c r="AF1230" i="13" s="1"/>
  <c r="V1230" i="13"/>
  <c r="X1230" i="13" s="1"/>
  <c r="V942" i="13"/>
  <c r="X942" i="13" s="1"/>
  <c r="AG942" i="13" s="1"/>
  <c r="AG946" i="13"/>
  <c r="V957" i="13"/>
  <c r="X957" i="13" s="1"/>
  <c r="V978" i="13"/>
  <c r="X978" i="13" s="1"/>
  <c r="AG978" i="13" s="1"/>
  <c r="V984" i="13"/>
  <c r="X984" i="13" s="1"/>
  <c r="AG984" i="13" s="1"/>
  <c r="AH988" i="13"/>
  <c r="V1034" i="13"/>
  <c r="X1034" i="13" s="1"/>
  <c r="AG1034" i="13" s="1"/>
  <c r="V1036" i="13"/>
  <c r="X1036" i="13" s="1"/>
  <c r="Y1036" i="13" s="1"/>
  <c r="AH1036" i="13" s="1"/>
  <c r="W1039" i="13"/>
  <c r="AF1039" i="13" s="1"/>
  <c r="AG1066" i="13"/>
  <c r="V1076" i="13"/>
  <c r="X1076" i="13" s="1"/>
  <c r="Y1076" i="13" s="1"/>
  <c r="AH1076" i="13" s="1"/>
  <c r="V1077" i="13"/>
  <c r="X1077" i="13" s="1"/>
  <c r="Y1077" i="13" s="1"/>
  <c r="AH1077" i="13" s="1"/>
  <c r="V1078" i="13"/>
  <c r="X1078" i="13" s="1"/>
  <c r="AG1078" i="13" s="1"/>
  <c r="V1085" i="13"/>
  <c r="X1085" i="13" s="1"/>
  <c r="V1094" i="13"/>
  <c r="X1094" i="13" s="1"/>
  <c r="AG1094" i="13" s="1"/>
  <c r="V1097" i="13"/>
  <c r="X1097" i="13" s="1"/>
  <c r="Y1097" i="13" s="1"/>
  <c r="AH1097" i="13" s="1"/>
  <c r="W1098" i="13"/>
  <c r="AF1098" i="13" s="1"/>
  <c r="V1099" i="13"/>
  <c r="X1099" i="13" s="1"/>
  <c r="V1102" i="13"/>
  <c r="X1102" i="13" s="1"/>
  <c r="AG1102" i="13" s="1"/>
  <c r="V1109" i="13"/>
  <c r="X1109" i="13" s="1"/>
  <c r="W1122" i="13"/>
  <c r="AF1122" i="13" s="1"/>
  <c r="W1131" i="13"/>
  <c r="AF1131" i="13" s="1"/>
  <c r="V1131" i="13"/>
  <c r="X1131" i="13" s="1"/>
  <c r="Y1131" i="13" s="1"/>
  <c r="AH1131" i="13" s="1"/>
  <c r="AH1152" i="13"/>
  <c r="W1224" i="13"/>
  <c r="AF1224" i="13" s="1"/>
  <c r="V1224" i="13"/>
  <c r="X1224" i="13" s="1"/>
  <c r="Y1224" i="13" s="1"/>
  <c r="AH1224" i="13" s="1"/>
  <c r="V941" i="13"/>
  <c r="X941" i="13" s="1"/>
  <c r="Y941" i="13" s="1"/>
  <c r="AH941" i="13" s="1"/>
  <c r="W964" i="13"/>
  <c r="AF964" i="13" s="1"/>
  <c r="V977" i="13"/>
  <c r="X977" i="13" s="1"/>
  <c r="Y977" i="13" s="1"/>
  <c r="AH977" i="13" s="1"/>
  <c r="V983" i="13"/>
  <c r="X983" i="13" s="1"/>
  <c r="Y983" i="13" s="1"/>
  <c r="AH983" i="13" s="1"/>
  <c r="V990" i="13"/>
  <c r="X990" i="13" s="1"/>
  <c r="V1002" i="13"/>
  <c r="X1002" i="13" s="1"/>
  <c r="AG1002" i="13" s="1"/>
  <c r="V1005" i="13"/>
  <c r="X1005" i="13" s="1"/>
  <c r="Y1005" i="13" s="1"/>
  <c r="AH1005" i="13" s="1"/>
  <c r="V1023" i="13"/>
  <c r="X1023" i="13" s="1"/>
  <c r="AG1023" i="13" s="1"/>
  <c r="V1026" i="13"/>
  <c r="X1026" i="13" s="1"/>
  <c r="W1048" i="13"/>
  <c r="AF1048" i="13" s="1"/>
  <c r="V1068" i="13"/>
  <c r="X1068" i="13" s="1"/>
  <c r="AG1068" i="13" s="1"/>
  <c r="V1071" i="13"/>
  <c r="X1071" i="13" s="1"/>
  <c r="Y1071" i="13" s="1"/>
  <c r="AH1071" i="13" s="1"/>
  <c r="W1072" i="13"/>
  <c r="AF1072" i="13" s="1"/>
  <c r="V1075" i="13"/>
  <c r="X1075" i="13" s="1"/>
  <c r="Y1075" i="13" s="1"/>
  <c r="AH1075" i="13" s="1"/>
  <c r="V1079" i="13"/>
  <c r="X1079" i="13" s="1"/>
  <c r="Y1079" i="13" s="1"/>
  <c r="AH1079" i="13" s="1"/>
  <c r="W1086" i="13"/>
  <c r="AF1086" i="13" s="1"/>
  <c r="V1093" i="13"/>
  <c r="X1093" i="13" s="1"/>
  <c r="Y1093" i="13" s="1"/>
  <c r="AH1093" i="13" s="1"/>
  <c r="W1152" i="13"/>
  <c r="AF1152" i="13" s="1"/>
  <c r="Y1158" i="13"/>
  <c r="AH1158" i="13" s="1"/>
  <c r="W1164" i="13"/>
  <c r="AF1164" i="13" s="1"/>
  <c r="W1237" i="13"/>
  <c r="AF1237" i="13" s="1"/>
  <c r="V1237" i="13"/>
  <c r="X1237" i="13" s="1"/>
  <c r="AG1237" i="13" s="1"/>
  <c r="V947" i="13"/>
  <c r="X947" i="13" s="1"/>
  <c r="AG947" i="13" s="1"/>
  <c r="W952" i="13"/>
  <c r="AF952" i="13" s="1"/>
  <c r="V989" i="13"/>
  <c r="X989" i="13" s="1"/>
  <c r="AG989" i="13" s="1"/>
  <c r="V1001" i="13"/>
  <c r="X1001" i="13" s="1"/>
  <c r="Y1001" i="13" s="1"/>
  <c r="AH1001" i="13" s="1"/>
  <c r="V1025" i="13"/>
  <c r="X1025" i="13" s="1"/>
  <c r="Y1025" i="13" s="1"/>
  <c r="AH1025" i="13" s="1"/>
  <c r="V1041" i="13"/>
  <c r="X1041" i="13" s="1"/>
  <c r="AG1041" i="13" s="1"/>
  <c r="W1045" i="13"/>
  <c r="AF1045" i="13" s="1"/>
  <c r="AH1054" i="13"/>
  <c r="V1058" i="13"/>
  <c r="X1058" i="13" s="1"/>
  <c r="AG1058" i="13" s="1"/>
  <c r="V1067" i="13"/>
  <c r="X1067" i="13" s="1"/>
  <c r="Y1067" i="13" s="1"/>
  <c r="AH1067" i="13" s="1"/>
  <c r="W1080" i="13"/>
  <c r="AF1080" i="13" s="1"/>
  <c r="V1101" i="13"/>
  <c r="X1101" i="13" s="1"/>
  <c r="Y1101" i="13" s="1"/>
  <c r="AH1101" i="13" s="1"/>
  <c r="W1121" i="13"/>
  <c r="AF1121" i="13" s="1"/>
  <c r="V1121" i="13"/>
  <c r="X1121" i="13" s="1"/>
  <c r="Y1121" i="13" s="1"/>
  <c r="AH1121" i="13" s="1"/>
  <c r="W1130" i="13"/>
  <c r="AF1130" i="13" s="1"/>
  <c r="V1130" i="13"/>
  <c r="X1130" i="13" s="1"/>
  <c r="AG1130" i="13" s="1"/>
  <c r="W1141" i="13"/>
  <c r="AF1141" i="13" s="1"/>
  <c r="V1141" i="13"/>
  <c r="X1141" i="13" s="1"/>
  <c r="Y1141" i="13" s="1"/>
  <c r="AH1141" i="13" s="1"/>
  <c r="V1151" i="13"/>
  <c r="X1151" i="13" s="1"/>
  <c r="Y1151" i="13" s="1"/>
  <c r="AH1151" i="13" s="1"/>
  <c r="AH1187" i="13"/>
  <c r="V1192" i="13"/>
  <c r="X1192" i="13" s="1"/>
  <c r="W1205" i="13"/>
  <c r="AF1205" i="13" s="1"/>
  <c r="W1219" i="13"/>
  <c r="AF1219" i="13" s="1"/>
  <c r="V1219" i="13"/>
  <c r="X1219" i="13" s="1"/>
  <c r="AG1219" i="13" s="1"/>
  <c r="V1218" i="13"/>
  <c r="X1218" i="13" s="1"/>
  <c r="Y1218" i="13" s="1"/>
  <c r="AH1218" i="13" s="1"/>
  <c r="V1234" i="13"/>
  <c r="X1234" i="13" s="1"/>
  <c r="Y1234" i="13" s="1"/>
  <c r="AH1234" i="13" s="1"/>
  <c r="W1235" i="13"/>
  <c r="AF1235" i="13" s="1"/>
  <c r="V1244" i="13"/>
  <c r="X1244" i="13" s="1"/>
  <c r="W1134" i="13"/>
  <c r="AF1134" i="13" s="1"/>
  <c r="V1135" i="13"/>
  <c r="X1135" i="13" s="1"/>
  <c r="Y1135" i="13" s="1"/>
  <c r="AH1135" i="13" s="1"/>
  <c r="W1148" i="13"/>
  <c r="AF1148" i="13" s="1"/>
  <c r="V1161" i="13"/>
  <c r="X1161" i="13" s="1"/>
  <c r="Y1161" i="13" s="1"/>
  <c r="AH1161" i="13" s="1"/>
  <c r="AH1205" i="13"/>
  <c r="V1118" i="13"/>
  <c r="X1118" i="13" s="1"/>
  <c r="AG1118" i="13" s="1"/>
  <c r="AH1134" i="13"/>
  <c r="W1181" i="13"/>
  <c r="AF1181" i="13" s="1"/>
  <c r="W1187" i="13"/>
  <c r="AF1187" i="13" s="1"/>
  <c r="V1194" i="13"/>
  <c r="X1194" i="13" s="1"/>
  <c r="AG1194" i="13" s="1"/>
  <c r="W1208" i="13"/>
  <c r="AF1208" i="13" s="1"/>
  <c r="W1217" i="13"/>
  <c r="AF1217" i="13" s="1"/>
  <c r="V1227" i="13"/>
  <c r="X1227" i="13" s="1"/>
  <c r="AG1227" i="13" s="1"/>
  <c r="W1242" i="13"/>
  <c r="AF1242" i="13" s="1"/>
  <c r="V1243" i="13"/>
  <c r="X1243" i="13" s="1"/>
  <c r="Y1243" i="13" s="1"/>
  <c r="AH1243" i="13" s="1"/>
  <c r="W1260" i="13"/>
  <c r="AF1260" i="13" s="1"/>
  <c r="AG22" i="13"/>
  <c r="Y22" i="13"/>
  <c r="AH22" i="13" s="1"/>
  <c r="Y28" i="13"/>
  <c r="AH28" i="13" s="1"/>
  <c r="AG28" i="13"/>
  <c r="Y16" i="13"/>
  <c r="AH16" i="13" s="1"/>
  <c r="AG16" i="13"/>
  <c r="Y41" i="13"/>
  <c r="AH41" i="13" s="1"/>
  <c r="AG41" i="13"/>
  <c r="AG53" i="13"/>
  <c r="Y53" i="13"/>
  <c r="AH53" i="13" s="1"/>
  <c r="Y40" i="13"/>
  <c r="AH40" i="13" s="1"/>
  <c r="AG40" i="13"/>
  <c r="Y50" i="13"/>
  <c r="AH50" i="13" s="1"/>
  <c r="AG50" i="13"/>
  <c r="Y60" i="13"/>
  <c r="AH60" i="13" s="1"/>
  <c r="AG60" i="13"/>
  <c r="Y84" i="13"/>
  <c r="AH84" i="13" s="1"/>
  <c r="AG84" i="13"/>
  <c r="Y29" i="13"/>
  <c r="AH29" i="13" s="1"/>
  <c r="AG29" i="13"/>
  <c r="Y33" i="13"/>
  <c r="AH33" i="13" s="1"/>
  <c r="AG33" i="13"/>
  <c r="Y10" i="13"/>
  <c r="AH10" i="13" s="1"/>
  <c r="AG10" i="13"/>
  <c r="Y78" i="13"/>
  <c r="AH78" i="13" s="1"/>
  <c r="AG78" i="13"/>
  <c r="Y35" i="13"/>
  <c r="AH35" i="13" s="1"/>
  <c r="AG35" i="13"/>
  <c r="Y48" i="13"/>
  <c r="AH48" i="13" s="1"/>
  <c r="AG48" i="13"/>
  <c r="Y55" i="13"/>
  <c r="AH55" i="13" s="1"/>
  <c r="AG55" i="13"/>
  <c r="Y57" i="13"/>
  <c r="AH57" i="13" s="1"/>
  <c r="AG57" i="13"/>
  <c r="Y34" i="13"/>
  <c r="AH34" i="13" s="1"/>
  <c r="AG34" i="13"/>
  <c r="Y51" i="13"/>
  <c r="AH51" i="13" s="1"/>
  <c r="AG51" i="13"/>
  <c r="V11" i="13"/>
  <c r="X11" i="13" s="1"/>
  <c r="V17" i="13"/>
  <c r="X17" i="13" s="1"/>
  <c r="V23" i="13"/>
  <c r="X23" i="13" s="1"/>
  <c r="W29" i="13"/>
  <c r="AF29" i="13" s="1"/>
  <c r="W35" i="13"/>
  <c r="AF35" i="13" s="1"/>
  <c r="W41" i="13"/>
  <c r="AF41" i="13" s="1"/>
  <c r="W48" i="13"/>
  <c r="AF48" i="13" s="1"/>
  <c r="V66" i="13"/>
  <c r="X66" i="13" s="1"/>
  <c r="W66" i="13"/>
  <c r="AF66" i="13" s="1"/>
  <c r="AG68" i="13"/>
  <c r="Y68" i="13"/>
  <c r="AH68" i="13" s="1"/>
  <c r="Y71" i="13"/>
  <c r="AH71" i="13" s="1"/>
  <c r="AG71" i="13"/>
  <c r="Y77" i="13"/>
  <c r="AH77" i="13" s="1"/>
  <c r="AG77" i="13"/>
  <c r="Y83" i="13"/>
  <c r="AH83" i="13" s="1"/>
  <c r="AG83" i="13"/>
  <c r="Y89" i="13"/>
  <c r="AH89" i="13" s="1"/>
  <c r="AG89" i="13"/>
  <c r="AG92" i="13"/>
  <c r="Y92" i="13"/>
  <c r="AH92" i="13" s="1"/>
  <c r="Y102" i="13"/>
  <c r="AH102" i="13" s="1"/>
  <c r="AG102" i="13"/>
  <c r="Y125" i="13"/>
  <c r="AH125" i="13" s="1"/>
  <c r="AG125" i="13"/>
  <c r="AG128" i="13"/>
  <c r="Y128" i="13"/>
  <c r="AH128" i="13" s="1"/>
  <c r="Y138" i="13"/>
  <c r="AH138" i="13" s="1"/>
  <c r="AG138" i="13"/>
  <c r="Y172" i="13"/>
  <c r="AH172" i="13" s="1"/>
  <c r="AG172" i="13"/>
  <c r="AG175" i="13"/>
  <c r="Y175" i="13"/>
  <c r="AH175" i="13" s="1"/>
  <c r="Y187" i="13"/>
  <c r="AH187" i="13" s="1"/>
  <c r="AG187" i="13"/>
  <c r="Y95" i="13"/>
  <c r="AH95" i="13" s="1"/>
  <c r="AG95" i="13"/>
  <c r="AG98" i="13"/>
  <c r="Y98" i="13"/>
  <c r="AH98" i="13" s="1"/>
  <c r="Y108" i="13"/>
  <c r="AH108" i="13" s="1"/>
  <c r="AG108" i="13"/>
  <c r="Y118" i="13"/>
  <c r="AH118" i="13" s="1"/>
  <c r="AG118" i="13"/>
  <c r="Y131" i="13"/>
  <c r="AH131" i="13" s="1"/>
  <c r="AG131" i="13"/>
  <c r="AG134" i="13"/>
  <c r="Y134" i="13"/>
  <c r="AH134" i="13" s="1"/>
  <c r="Y144" i="13"/>
  <c r="AH144" i="13" s="1"/>
  <c r="AG144" i="13"/>
  <c r="Y216" i="13"/>
  <c r="AH216" i="13" s="1"/>
  <c r="AG216" i="13"/>
  <c r="AG45" i="13"/>
  <c r="AG63" i="13"/>
  <c r="Y76" i="13"/>
  <c r="AH76" i="13" s="1"/>
  <c r="AG76" i="13"/>
  <c r="Y82" i="13"/>
  <c r="AH82" i="13" s="1"/>
  <c r="AG82" i="13"/>
  <c r="Y101" i="13"/>
  <c r="AH101" i="13" s="1"/>
  <c r="AG101" i="13"/>
  <c r="AG104" i="13"/>
  <c r="Y104" i="13"/>
  <c r="AH104" i="13" s="1"/>
  <c r="Y114" i="13"/>
  <c r="AH114" i="13" s="1"/>
  <c r="AG114" i="13"/>
  <c r="Y137" i="13"/>
  <c r="AH137" i="13" s="1"/>
  <c r="AG137" i="13"/>
  <c r="AG140" i="13"/>
  <c r="Y140" i="13"/>
  <c r="AH140" i="13" s="1"/>
  <c r="Y150" i="13"/>
  <c r="AH150" i="13" s="1"/>
  <c r="AG150" i="13"/>
  <c r="Y156" i="13"/>
  <c r="AH156" i="13" s="1"/>
  <c r="AG156" i="13"/>
  <c r="Y162" i="13"/>
  <c r="AH162" i="13" s="1"/>
  <c r="AG162" i="13"/>
  <c r="Y168" i="13"/>
  <c r="AH168" i="13" s="1"/>
  <c r="AG168" i="13"/>
  <c r="Y174" i="13"/>
  <c r="AH174" i="13" s="1"/>
  <c r="AG174" i="13"/>
  <c r="AG194" i="13"/>
  <c r="V7" i="13"/>
  <c r="X7" i="13" s="1"/>
  <c r="V13" i="13"/>
  <c r="X13" i="13" s="1"/>
  <c r="V19" i="13"/>
  <c r="X19" i="13" s="1"/>
  <c r="V25" i="13"/>
  <c r="X25" i="13" s="1"/>
  <c r="V31" i="13"/>
  <c r="X31" i="13" s="1"/>
  <c r="V37" i="13"/>
  <c r="X37" i="13" s="1"/>
  <c r="V43" i="13"/>
  <c r="X43" i="13" s="1"/>
  <c r="V52" i="13"/>
  <c r="X52" i="13" s="1"/>
  <c r="V54" i="13"/>
  <c r="X54" i="13" s="1"/>
  <c r="W57" i="13"/>
  <c r="AF57" i="13" s="1"/>
  <c r="W75" i="13"/>
  <c r="AF75" i="13" s="1"/>
  <c r="V75" i="13"/>
  <c r="X75" i="13" s="1"/>
  <c r="W81" i="13"/>
  <c r="AF81" i="13" s="1"/>
  <c r="V81" i="13"/>
  <c r="X81" i="13" s="1"/>
  <c r="W87" i="13"/>
  <c r="AF87" i="13" s="1"/>
  <c r="V87" i="13"/>
  <c r="X87" i="13" s="1"/>
  <c r="Y107" i="13"/>
  <c r="AH107" i="13" s="1"/>
  <c r="AG107" i="13"/>
  <c r="AG110" i="13"/>
  <c r="Y110" i="13"/>
  <c r="AH110" i="13" s="1"/>
  <c r="Y120" i="13"/>
  <c r="AH120" i="13" s="1"/>
  <c r="AG120" i="13"/>
  <c r="Y143" i="13"/>
  <c r="AH143" i="13" s="1"/>
  <c r="AG143" i="13"/>
  <c r="AG146" i="13"/>
  <c r="Y146" i="13"/>
  <c r="AH146" i="13" s="1"/>
  <c r="Y90" i="13"/>
  <c r="AH90" i="13" s="1"/>
  <c r="AG90" i="13"/>
  <c r="Y113" i="13"/>
  <c r="AH113" i="13" s="1"/>
  <c r="AG113" i="13"/>
  <c r="AG116" i="13"/>
  <c r="Y116" i="13"/>
  <c r="AH116" i="13" s="1"/>
  <c r="Y126" i="13"/>
  <c r="AH126" i="13" s="1"/>
  <c r="AG126" i="13"/>
  <c r="Y149" i="13"/>
  <c r="AH149" i="13" s="1"/>
  <c r="AG149" i="13"/>
  <c r="Y155" i="13"/>
  <c r="AH155" i="13" s="1"/>
  <c r="AG155" i="13"/>
  <c r="Y161" i="13"/>
  <c r="AH161" i="13" s="1"/>
  <c r="AG161" i="13"/>
  <c r="Y167" i="13"/>
  <c r="AH167" i="13" s="1"/>
  <c r="AG167" i="13"/>
  <c r="Y173" i="13"/>
  <c r="AH173" i="13" s="1"/>
  <c r="AG173" i="13"/>
  <c r="V46" i="13"/>
  <c r="X46" i="13" s="1"/>
  <c r="W51" i="13"/>
  <c r="AF51" i="13" s="1"/>
  <c r="V64" i="13"/>
  <c r="X64" i="13" s="1"/>
  <c r="W69" i="13"/>
  <c r="AF69" i="13" s="1"/>
  <c r="V69" i="13"/>
  <c r="X69" i="13" s="1"/>
  <c r="V72" i="13"/>
  <c r="X72" i="13" s="1"/>
  <c r="W72" i="13"/>
  <c r="AF72" i="13" s="1"/>
  <c r="AG74" i="13"/>
  <c r="Y74" i="13"/>
  <c r="AH74" i="13" s="1"/>
  <c r="AG80" i="13"/>
  <c r="Y80" i="13"/>
  <c r="AH80" i="13" s="1"/>
  <c r="AG86" i="13"/>
  <c r="Y86" i="13"/>
  <c r="AH86" i="13" s="1"/>
  <c r="Y96" i="13"/>
  <c r="AH96" i="13" s="1"/>
  <c r="AG96" i="13"/>
  <c r="Y119" i="13"/>
  <c r="AH119" i="13" s="1"/>
  <c r="AG119" i="13"/>
  <c r="AG122" i="13"/>
  <c r="Y122" i="13"/>
  <c r="AH122" i="13" s="1"/>
  <c r="Y132" i="13"/>
  <c r="AH132" i="13" s="1"/>
  <c r="AG132" i="13"/>
  <c r="W78" i="13"/>
  <c r="AF78" i="13" s="1"/>
  <c r="W84" i="13"/>
  <c r="AF84" i="13" s="1"/>
  <c r="W90" i="13"/>
  <c r="AF90" i="13" s="1"/>
  <c r="W96" i="13"/>
  <c r="AF96" i="13" s="1"/>
  <c r="W102" i="13"/>
  <c r="AF102" i="13" s="1"/>
  <c r="W108" i="13"/>
  <c r="AF108" i="13" s="1"/>
  <c r="W114" i="13"/>
  <c r="AF114" i="13" s="1"/>
  <c r="W120" i="13"/>
  <c r="AF120" i="13" s="1"/>
  <c r="W126" i="13"/>
  <c r="AF126" i="13" s="1"/>
  <c r="W132" i="13"/>
  <c r="AF132" i="13" s="1"/>
  <c r="W138" i="13"/>
  <c r="AF138" i="13" s="1"/>
  <c r="W144" i="13"/>
  <c r="AF144" i="13" s="1"/>
  <c r="W150" i="13"/>
  <c r="AF150" i="13" s="1"/>
  <c r="W156" i="13"/>
  <c r="AF156" i="13" s="1"/>
  <c r="W162" i="13"/>
  <c r="AF162" i="13" s="1"/>
  <c r="W168" i="13"/>
  <c r="AF168" i="13" s="1"/>
  <c r="W174" i="13"/>
  <c r="AF174" i="13" s="1"/>
  <c r="V178" i="13"/>
  <c r="X178" i="13" s="1"/>
  <c r="W181" i="13"/>
  <c r="AF181" i="13" s="1"/>
  <c r="W183" i="13"/>
  <c r="AF183" i="13" s="1"/>
  <c r="AG186" i="13"/>
  <c r="W189" i="13"/>
  <c r="AF189" i="13" s="1"/>
  <c r="Y193" i="13"/>
  <c r="AH193" i="13" s="1"/>
  <c r="W199" i="13"/>
  <c r="AF199" i="13" s="1"/>
  <c r="Y209" i="13"/>
  <c r="AH209" i="13" s="1"/>
  <c r="W215" i="13"/>
  <c r="AF215" i="13" s="1"/>
  <c r="Y219" i="13"/>
  <c r="AH219" i="13" s="1"/>
  <c r="W225" i="13"/>
  <c r="AF225" i="13" s="1"/>
  <c r="Y229" i="13"/>
  <c r="AH229" i="13" s="1"/>
  <c r="Y255" i="13"/>
  <c r="AH255" i="13" s="1"/>
  <c r="AG255" i="13"/>
  <c r="Y279" i="13"/>
  <c r="AH279" i="13" s="1"/>
  <c r="AG279" i="13"/>
  <c r="Y289" i="13"/>
  <c r="AH289" i="13" s="1"/>
  <c r="AG289" i="13"/>
  <c r="Y315" i="13"/>
  <c r="AH315" i="13" s="1"/>
  <c r="AG315" i="13"/>
  <c r="AG336" i="13"/>
  <c r="Y336" i="13"/>
  <c r="AH336" i="13" s="1"/>
  <c r="Y394" i="13"/>
  <c r="AH394" i="13" s="1"/>
  <c r="AG394" i="13"/>
  <c r="Y412" i="13"/>
  <c r="AH412" i="13" s="1"/>
  <c r="AG412" i="13"/>
  <c r="Y424" i="13"/>
  <c r="AH424" i="13" s="1"/>
  <c r="AG424" i="13"/>
  <c r="AG181" i="13"/>
  <c r="Y235" i="13"/>
  <c r="AH235" i="13" s="1"/>
  <c r="AG235" i="13"/>
  <c r="Y249" i="13"/>
  <c r="AH249" i="13" s="1"/>
  <c r="AG249" i="13"/>
  <c r="Y264" i="13"/>
  <c r="AH264" i="13" s="1"/>
  <c r="AG264" i="13"/>
  <c r="Y273" i="13"/>
  <c r="AH273" i="13" s="1"/>
  <c r="AG273" i="13"/>
  <c r="Y283" i="13"/>
  <c r="AH283" i="13" s="1"/>
  <c r="AG283" i="13"/>
  <c r="Y294" i="13"/>
  <c r="AH294" i="13" s="1"/>
  <c r="AG294" i="13"/>
  <c r="Y309" i="13"/>
  <c r="AH309" i="13" s="1"/>
  <c r="AG309" i="13"/>
  <c r="Y319" i="13"/>
  <c r="AH319" i="13" s="1"/>
  <c r="AG319" i="13"/>
  <c r="AG326" i="13"/>
  <c r="Y326" i="13"/>
  <c r="AH326" i="13" s="1"/>
  <c r="V93" i="13"/>
  <c r="X93" i="13" s="1"/>
  <c r="V99" i="13"/>
  <c r="X99" i="13" s="1"/>
  <c r="V105" i="13"/>
  <c r="X105" i="13" s="1"/>
  <c r="V111" i="13"/>
  <c r="X111" i="13" s="1"/>
  <c r="V117" i="13"/>
  <c r="X117" i="13" s="1"/>
  <c r="V123" i="13"/>
  <c r="X123" i="13" s="1"/>
  <c r="V129" i="13"/>
  <c r="X129" i="13" s="1"/>
  <c r="V135" i="13"/>
  <c r="X135" i="13" s="1"/>
  <c r="V141" i="13"/>
  <c r="X141" i="13" s="1"/>
  <c r="V147" i="13"/>
  <c r="X147" i="13" s="1"/>
  <c r="V153" i="13"/>
  <c r="X153" i="13" s="1"/>
  <c r="V159" i="13"/>
  <c r="X159" i="13" s="1"/>
  <c r="V165" i="13"/>
  <c r="X165" i="13" s="1"/>
  <c r="V171" i="13"/>
  <c r="X171" i="13" s="1"/>
  <c r="V176" i="13"/>
  <c r="X176" i="13" s="1"/>
  <c r="V184" i="13"/>
  <c r="X184" i="13" s="1"/>
  <c r="W187" i="13"/>
  <c r="AF187" i="13" s="1"/>
  <c r="W191" i="13"/>
  <c r="AF191" i="13" s="1"/>
  <c r="W201" i="13"/>
  <c r="AF201" i="13" s="1"/>
  <c r="W211" i="13"/>
  <c r="AF211" i="13" s="1"/>
  <c r="W227" i="13"/>
  <c r="AF227" i="13" s="1"/>
  <c r="W233" i="13"/>
  <c r="AF233" i="13" s="1"/>
  <c r="V233" i="13"/>
  <c r="X233" i="13" s="1"/>
  <c r="W239" i="13"/>
  <c r="AF239" i="13" s="1"/>
  <c r="V239" i="13"/>
  <c r="X239" i="13" s="1"/>
  <c r="Y243" i="13"/>
  <c r="AH243" i="13" s="1"/>
  <c r="AG243" i="13"/>
  <c r="Y253" i="13"/>
  <c r="AH253" i="13" s="1"/>
  <c r="AG253" i="13"/>
  <c r="Y267" i="13"/>
  <c r="AH267" i="13" s="1"/>
  <c r="AG267" i="13"/>
  <c r="Y303" i="13"/>
  <c r="AH303" i="13" s="1"/>
  <c r="AG303" i="13"/>
  <c r="Y313" i="13"/>
  <c r="AH313" i="13" s="1"/>
  <c r="AG313" i="13"/>
  <c r="Y388" i="13"/>
  <c r="AH388" i="13" s="1"/>
  <c r="AG388" i="13"/>
  <c r="Y406" i="13"/>
  <c r="AH406" i="13" s="1"/>
  <c r="AG406" i="13"/>
  <c r="V152" i="13"/>
  <c r="X152" i="13" s="1"/>
  <c r="V158" i="13"/>
  <c r="X158" i="13" s="1"/>
  <c r="V164" i="13"/>
  <c r="X164" i="13" s="1"/>
  <c r="V170" i="13"/>
  <c r="X170" i="13" s="1"/>
  <c r="V185" i="13"/>
  <c r="X185" i="13" s="1"/>
  <c r="Y191" i="13"/>
  <c r="AH191" i="13" s="1"/>
  <c r="W197" i="13"/>
  <c r="AF197" i="13" s="1"/>
  <c r="Y201" i="13"/>
  <c r="AH201" i="13" s="1"/>
  <c r="W207" i="13"/>
  <c r="AF207" i="13" s="1"/>
  <c r="Y211" i="13"/>
  <c r="AH211" i="13" s="1"/>
  <c r="W217" i="13"/>
  <c r="AF217" i="13" s="1"/>
  <c r="Y227" i="13"/>
  <c r="AH227" i="13" s="1"/>
  <c r="Y237" i="13"/>
  <c r="AH237" i="13" s="1"/>
  <c r="Y247" i="13"/>
  <c r="AH247" i="13" s="1"/>
  <c r="AG247" i="13"/>
  <c r="Y271" i="13"/>
  <c r="AH271" i="13" s="1"/>
  <c r="AG271" i="13"/>
  <c r="Y282" i="13"/>
  <c r="AH282" i="13" s="1"/>
  <c r="AG282" i="13"/>
  <c r="Y297" i="13"/>
  <c r="AH297" i="13" s="1"/>
  <c r="AG297" i="13"/>
  <c r="Y307" i="13"/>
  <c r="AH307" i="13" s="1"/>
  <c r="AG307" i="13"/>
  <c r="Y363" i="13"/>
  <c r="AH363" i="13" s="1"/>
  <c r="AG363" i="13"/>
  <c r="Y418" i="13"/>
  <c r="AH418" i="13" s="1"/>
  <c r="AG418" i="13"/>
  <c r="AH186" i="13"/>
  <c r="Y197" i="13"/>
  <c r="AH197" i="13" s="1"/>
  <c r="Y207" i="13"/>
  <c r="AH207" i="13" s="1"/>
  <c r="Y217" i="13"/>
  <c r="AH217" i="13" s="1"/>
  <c r="Y261" i="13"/>
  <c r="AH261" i="13" s="1"/>
  <c r="AG261" i="13"/>
  <c r="Y291" i="13"/>
  <c r="AH291" i="13" s="1"/>
  <c r="AG291" i="13"/>
  <c r="Y301" i="13"/>
  <c r="AH301" i="13" s="1"/>
  <c r="AG301" i="13"/>
  <c r="Y312" i="13"/>
  <c r="AH312" i="13" s="1"/>
  <c r="AG312" i="13"/>
  <c r="Y345" i="13"/>
  <c r="AH345" i="13" s="1"/>
  <c r="AG345" i="13"/>
  <c r="AG360" i="13"/>
  <c r="Y360" i="13"/>
  <c r="AH360" i="13" s="1"/>
  <c r="Y361" i="13"/>
  <c r="AH361" i="13" s="1"/>
  <c r="AG361" i="13"/>
  <c r="AG372" i="13"/>
  <c r="Y372" i="13"/>
  <c r="AH372" i="13" s="1"/>
  <c r="Y400" i="13"/>
  <c r="AH400" i="13" s="1"/>
  <c r="AG400" i="13"/>
  <c r="Y177" i="13"/>
  <c r="AH177" i="13" s="1"/>
  <c r="W193" i="13"/>
  <c r="AF193" i="13" s="1"/>
  <c r="Y203" i="13"/>
  <c r="AH203" i="13" s="1"/>
  <c r="W209" i="13"/>
  <c r="AF209" i="13" s="1"/>
  <c r="Y213" i="13"/>
  <c r="AH213" i="13" s="1"/>
  <c r="W219" i="13"/>
  <c r="AF219" i="13" s="1"/>
  <c r="Y223" i="13"/>
  <c r="AH223" i="13" s="1"/>
  <c r="W229" i="13"/>
  <c r="AF229" i="13" s="1"/>
  <c r="Y246" i="13"/>
  <c r="AH246" i="13" s="1"/>
  <c r="AG246" i="13"/>
  <c r="Y327" i="13"/>
  <c r="AH327" i="13" s="1"/>
  <c r="AG327" i="13"/>
  <c r="AG356" i="13"/>
  <c r="V241" i="13"/>
  <c r="X241" i="13" s="1"/>
  <c r="Y250" i="13"/>
  <c r="AH250" i="13" s="1"/>
  <c r="V259" i="13"/>
  <c r="X259" i="13" s="1"/>
  <c r="V265" i="13"/>
  <c r="X265" i="13" s="1"/>
  <c r="V328" i="13"/>
  <c r="X328" i="13" s="1"/>
  <c r="V334" i="13"/>
  <c r="X334" i="13" s="1"/>
  <c r="W334" i="13"/>
  <c r="AF334" i="13" s="1"/>
  <c r="AG339" i="13"/>
  <c r="Y351" i="13"/>
  <c r="AH351" i="13" s="1"/>
  <c r="V352" i="13"/>
  <c r="X352" i="13" s="1"/>
  <c r="W352" i="13"/>
  <c r="AF352" i="13" s="1"/>
  <c r="AG357" i="13"/>
  <c r="Y369" i="13"/>
  <c r="AH369" i="13" s="1"/>
  <c r="V370" i="13"/>
  <c r="X370" i="13" s="1"/>
  <c r="W370" i="13"/>
  <c r="AF370" i="13" s="1"/>
  <c r="AG375" i="13"/>
  <c r="W379" i="13"/>
  <c r="AF379" i="13" s="1"/>
  <c r="AG379" i="13"/>
  <c r="Y381" i="13"/>
  <c r="AH381" i="13" s="1"/>
  <c r="V383" i="13"/>
  <c r="X383" i="13" s="1"/>
  <c r="W385" i="13"/>
  <c r="AF385" i="13" s="1"/>
  <c r="W389" i="13"/>
  <c r="AF389" i="13" s="1"/>
  <c r="V389" i="13"/>
  <c r="X389" i="13" s="1"/>
  <c r="W391" i="13"/>
  <c r="AF391" i="13" s="1"/>
  <c r="W395" i="13"/>
  <c r="AF395" i="13" s="1"/>
  <c r="V395" i="13"/>
  <c r="X395" i="13" s="1"/>
  <c r="W397" i="13"/>
  <c r="AF397" i="13" s="1"/>
  <c r="W401" i="13"/>
  <c r="AF401" i="13" s="1"/>
  <c r="V401" i="13"/>
  <c r="X401" i="13" s="1"/>
  <c r="W403" i="13"/>
  <c r="AF403" i="13" s="1"/>
  <c r="W407" i="13"/>
  <c r="AF407" i="13" s="1"/>
  <c r="V407" i="13"/>
  <c r="X407" i="13" s="1"/>
  <c r="W409" i="13"/>
  <c r="AF409" i="13" s="1"/>
  <c r="W413" i="13"/>
  <c r="AF413" i="13" s="1"/>
  <c r="V413" i="13"/>
  <c r="X413" i="13" s="1"/>
  <c r="W415" i="13"/>
  <c r="AF415" i="13" s="1"/>
  <c r="W419" i="13"/>
  <c r="AF419" i="13" s="1"/>
  <c r="V419" i="13"/>
  <c r="X419" i="13" s="1"/>
  <c r="W421" i="13"/>
  <c r="AF421" i="13" s="1"/>
  <c r="W425" i="13"/>
  <c r="AF425" i="13" s="1"/>
  <c r="V425" i="13"/>
  <c r="X425" i="13" s="1"/>
  <c r="W427" i="13"/>
  <c r="AF427" i="13" s="1"/>
  <c r="Y445" i="13"/>
  <c r="AH445" i="13" s="1"/>
  <c r="AG445" i="13"/>
  <c r="Y456" i="13"/>
  <c r="AH456" i="13" s="1"/>
  <c r="AG456" i="13"/>
  <c r="AG461" i="13"/>
  <c r="Y461" i="13"/>
  <c r="AH461" i="13" s="1"/>
  <c r="AG390" i="13"/>
  <c r="Y390" i="13"/>
  <c r="AH390" i="13" s="1"/>
  <c r="AG408" i="13"/>
  <c r="Y408" i="13"/>
  <c r="AH408" i="13" s="1"/>
  <c r="AG414" i="13"/>
  <c r="Y414" i="13"/>
  <c r="AH414" i="13" s="1"/>
  <c r="Y430" i="13"/>
  <c r="AH430" i="13" s="1"/>
  <c r="AG430" i="13"/>
  <c r="Y440" i="13"/>
  <c r="AH440" i="13" s="1"/>
  <c r="AG440" i="13"/>
  <c r="AG443" i="13"/>
  <c r="Y443" i="13"/>
  <c r="AH443" i="13" s="1"/>
  <c r="Y468" i="13"/>
  <c r="AH468" i="13" s="1"/>
  <c r="AG468" i="13"/>
  <c r="Y477" i="13"/>
  <c r="AH477" i="13" s="1"/>
  <c r="AG477" i="13"/>
  <c r="Y499" i="13"/>
  <c r="AH499" i="13" s="1"/>
  <c r="AG499" i="13"/>
  <c r="AG506" i="13"/>
  <c r="Y506" i="13"/>
  <c r="AH506" i="13" s="1"/>
  <c r="Y510" i="13"/>
  <c r="AH510" i="13" s="1"/>
  <c r="AG510" i="13"/>
  <c r="AG548" i="13"/>
  <c r="Y548" i="13"/>
  <c r="AH548" i="13" s="1"/>
  <c r="V245" i="13"/>
  <c r="X245" i="13" s="1"/>
  <c r="V251" i="13"/>
  <c r="X251" i="13" s="1"/>
  <c r="V257" i="13"/>
  <c r="X257" i="13" s="1"/>
  <c r="V263" i="13"/>
  <c r="X263" i="13" s="1"/>
  <c r="V269" i="13"/>
  <c r="X269" i="13" s="1"/>
  <c r="V275" i="13"/>
  <c r="X275" i="13" s="1"/>
  <c r="V281" i="13"/>
  <c r="X281" i="13" s="1"/>
  <c r="V287" i="13"/>
  <c r="X287" i="13" s="1"/>
  <c r="V293" i="13"/>
  <c r="X293" i="13" s="1"/>
  <c r="V299" i="13"/>
  <c r="X299" i="13" s="1"/>
  <c r="V305" i="13"/>
  <c r="X305" i="13" s="1"/>
  <c r="V311" i="13"/>
  <c r="X311" i="13" s="1"/>
  <c r="V317" i="13"/>
  <c r="X317" i="13" s="1"/>
  <c r="V323" i="13"/>
  <c r="X323" i="13" s="1"/>
  <c r="W327" i="13"/>
  <c r="AF327" i="13" s="1"/>
  <c r="V340" i="13"/>
  <c r="X340" i="13" s="1"/>
  <c r="W340" i="13"/>
  <c r="AF340" i="13" s="1"/>
  <c r="V348" i="13"/>
  <c r="X348" i="13" s="1"/>
  <c r="V358" i="13"/>
  <c r="X358" i="13" s="1"/>
  <c r="W358" i="13"/>
  <c r="AF358" i="13" s="1"/>
  <c r="V366" i="13"/>
  <c r="X366" i="13" s="1"/>
  <c r="V376" i="13"/>
  <c r="X376" i="13" s="1"/>
  <c r="W376" i="13"/>
  <c r="AF376" i="13" s="1"/>
  <c r="Y436" i="13"/>
  <c r="AH436" i="13" s="1"/>
  <c r="AG436" i="13"/>
  <c r="Y450" i="13"/>
  <c r="AH450" i="13" s="1"/>
  <c r="AG450" i="13"/>
  <c r="Y476" i="13"/>
  <c r="AH476" i="13" s="1"/>
  <c r="AG476" i="13"/>
  <c r="AG497" i="13"/>
  <c r="Y497" i="13"/>
  <c r="AH497" i="13" s="1"/>
  <c r="Y429" i="13"/>
  <c r="AH429" i="13" s="1"/>
  <c r="AG429" i="13"/>
  <c r="Y459" i="13"/>
  <c r="AH459" i="13" s="1"/>
  <c r="AG459" i="13"/>
  <c r="Y481" i="13"/>
  <c r="AH481" i="13" s="1"/>
  <c r="AG481" i="13"/>
  <c r="Y492" i="13"/>
  <c r="AH492" i="13" s="1"/>
  <c r="AG492" i="13"/>
  <c r="V346" i="13"/>
  <c r="X346" i="13" s="1"/>
  <c r="W346" i="13"/>
  <c r="AF346" i="13" s="1"/>
  <c r="V364" i="13"/>
  <c r="X364" i="13" s="1"/>
  <c r="W364" i="13"/>
  <c r="AF364" i="13" s="1"/>
  <c r="AH379" i="13"/>
  <c r="Y435" i="13"/>
  <c r="AH435" i="13" s="1"/>
  <c r="AG435" i="13"/>
  <c r="AG438" i="13"/>
  <c r="Y438" i="13"/>
  <c r="AH438" i="13" s="1"/>
  <c r="Y441" i="13"/>
  <c r="AH441" i="13" s="1"/>
  <c r="AG441" i="13"/>
  <c r="AG479" i="13"/>
  <c r="Y479" i="13"/>
  <c r="AH479" i="13" s="1"/>
  <c r="Y529" i="13"/>
  <c r="AH529" i="13" s="1"/>
  <c r="AG529" i="13"/>
  <c r="V382" i="13"/>
  <c r="X382" i="13" s="1"/>
  <c r="W382" i="13"/>
  <c r="AF382" i="13" s="1"/>
  <c r="Y385" i="13"/>
  <c r="AH385" i="13" s="1"/>
  <c r="AG385" i="13"/>
  <c r="Y391" i="13"/>
  <c r="AH391" i="13" s="1"/>
  <c r="AG391" i="13"/>
  <c r="Y397" i="13"/>
  <c r="AH397" i="13" s="1"/>
  <c r="AG397" i="13"/>
  <c r="Y403" i="13"/>
  <c r="AH403" i="13" s="1"/>
  <c r="AG403" i="13"/>
  <c r="Y409" i="13"/>
  <c r="AH409" i="13" s="1"/>
  <c r="AG409" i="13"/>
  <c r="Y415" i="13"/>
  <c r="AH415" i="13" s="1"/>
  <c r="AG415" i="13"/>
  <c r="Y421" i="13"/>
  <c r="AH421" i="13" s="1"/>
  <c r="AG421" i="13"/>
  <c r="Y427" i="13"/>
  <c r="AH427" i="13" s="1"/>
  <c r="AG427" i="13"/>
  <c r="AG470" i="13"/>
  <c r="Y470" i="13"/>
  <c r="AH470" i="13" s="1"/>
  <c r="Y474" i="13"/>
  <c r="AH474" i="13" s="1"/>
  <c r="AG474" i="13"/>
  <c r="Y495" i="13"/>
  <c r="AH495" i="13" s="1"/>
  <c r="AG495" i="13"/>
  <c r="Y535" i="13"/>
  <c r="AH535" i="13" s="1"/>
  <c r="AG535" i="13"/>
  <c r="AH542" i="13"/>
  <c r="W388" i="13"/>
  <c r="AF388" i="13" s="1"/>
  <c r="W394" i="13"/>
  <c r="AF394" i="13" s="1"/>
  <c r="W400" i="13"/>
  <c r="AF400" i="13" s="1"/>
  <c r="W406" i="13"/>
  <c r="AF406" i="13" s="1"/>
  <c r="W412" i="13"/>
  <c r="AF412" i="13" s="1"/>
  <c r="W418" i="13"/>
  <c r="AF418" i="13" s="1"/>
  <c r="W424" i="13"/>
  <c r="AF424" i="13" s="1"/>
  <c r="W430" i="13"/>
  <c r="AF430" i="13" s="1"/>
  <c r="W436" i="13"/>
  <c r="AF436" i="13" s="1"/>
  <c r="W456" i="13"/>
  <c r="AF456" i="13" s="1"/>
  <c r="W474" i="13"/>
  <c r="AF474" i="13" s="1"/>
  <c r="W492" i="13"/>
  <c r="AF492" i="13" s="1"/>
  <c r="AG500" i="13"/>
  <c r="W510" i="13"/>
  <c r="AF510" i="13" s="1"/>
  <c r="V514" i="13"/>
  <c r="X514" i="13" s="1"/>
  <c r="W517" i="13"/>
  <c r="AF517" i="13" s="1"/>
  <c r="AG540" i="13"/>
  <c r="Y540" i="13"/>
  <c r="AH540" i="13" s="1"/>
  <c r="W541" i="13"/>
  <c r="AF541" i="13" s="1"/>
  <c r="AG541" i="13"/>
  <c r="Y543" i="13"/>
  <c r="AH543" i="13" s="1"/>
  <c r="V545" i="13"/>
  <c r="X545" i="13" s="1"/>
  <c r="W553" i="13"/>
  <c r="AF553" i="13" s="1"/>
  <c r="V553" i="13"/>
  <c r="X553" i="13" s="1"/>
  <c r="Y567" i="13"/>
  <c r="AH567" i="13" s="1"/>
  <c r="AG567" i="13"/>
  <c r="Y579" i="13"/>
  <c r="AH579" i="13" s="1"/>
  <c r="AG579" i="13"/>
  <c r="Y591" i="13"/>
  <c r="AH591" i="13" s="1"/>
  <c r="AG591" i="13"/>
  <c r="Y602" i="13"/>
  <c r="AH602" i="13" s="1"/>
  <c r="AG602" i="13"/>
  <c r="AG607" i="13"/>
  <c r="Y607" i="13"/>
  <c r="AH607" i="13" s="1"/>
  <c r="Y608" i="13"/>
  <c r="AH608" i="13" s="1"/>
  <c r="AG608" i="13"/>
  <c r="Y620" i="13"/>
  <c r="AH620" i="13" s="1"/>
  <c r="AG620" i="13"/>
  <c r="AG625" i="13"/>
  <c r="Y625" i="13"/>
  <c r="AH625" i="13" s="1"/>
  <c r="AG647" i="13"/>
  <c r="Y647" i="13"/>
  <c r="AH647" i="13" s="1"/>
  <c r="Y654" i="13"/>
  <c r="AH654" i="13" s="1"/>
  <c r="AG654" i="13"/>
  <c r="AG517" i="13"/>
  <c r="V520" i="13"/>
  <c r="X520" i="13" s="1"/>
  <c r="W520" i="13"/>
  <c r="AF520" i="13" s="1"/>
  <c r="AG546" i="13"/>
  <c r="Y546" i="13"/>
  <c r="AH546" i="13" s="1"/>
  <c r="AG552" i="13"/>
  <c r="Y552" i="13"/>
  <c r="AH552" i="13" s="1"/>
  <c r="Y555" i="13"/>
  <c r="AH555" i="13" s="1"/>
  <c r="AG555" i="13"/>
  <c r="V562" i="13"/>
  <c r="X562" i="13" s="1"/>
  <c r="W562" i="13"/>
  <c r="AF562" i="13" s="1"/>
  <c r="Y574" i="13"/>
  <c r="AH574" i="13" s="1"/>
  <c r="AG574" i="13"/>
  <c r="Y586" i="13"/>
  <c r="AH586" i="13" s="1"/>
  <c r="AG586" i="13"/>
  <c r="Y598" i="13"/>
  <c r="AH598" i="13" s="1"/>
  <c r="AG598" i="13"/>
  <c r="Y627" i="13"/>
  <c r="AH627" i="13" s="1"/>
  <c r="AG627" i="13"/>
  <c r="Y638" i="13"/>
  <c r="AH638" i="13" s="1"/>
  <c r="AG638" i="13"/>
  <c r="AG643" i="13"/>
  <c r="Y643" i="13"/>
  <c r="AH643" i="13" s="1"/>
  <c r="AG650" i="13"/>
  <c r="Y650" i="13"/>
  <c r="AH650" i="13" s="1"/>
  <c r="V433" i="13"/>
  <c r="X433" i="13" s="1"/>
  <c r="V439" i="13"/>
  <c r="X439" i="13" s="1"/>
  <c r="V455" i="13"/>
  <c r="X455" i="13" s="1"/>
  <c r="V457" i="13"/>
  <c r="X457" i="13" s="1"/>
  <c r="V473" i="13"/>
  <c r="X473" i="13" s="1"/>
  <c r="V475" i="13"/>
  <c r="X475" i="13" s="1"/>
  <c r="V491" i="13"/>
  <c r="X491" i="13" s="1"/>
  <c r="V493" i="13"/>
  <c r="X493" i="13" s="1"/>
  <c r="V509" i="13"/>
  <c r="X509" i="13" s="1"/>
  <c r="V511" i="13"/>
  <c r="X511" i="13" s="1"/>
  <c r="V521" i="13"/>
  <c r="X521" i="13" s="1"/>
  <c r="V526" i="13"/>
  <c r="X526" i="13" s="1"/>
  <c r="W526" i="13"/>
  <c r="AF526" i="13" s="1"/>
  <c r="AG542" i="13"/>
  <c r="Y590" i="13"/>
  <c r="AH590" i="13" s="1"/>
  <c r="AG590" i="13"/>
  <c r="Y605" i="13"/>
  <c r="AH605" i="13" s="1"/>
  <c r="AG605" i="13"/>
  <c r="Y623" i="13"/>
  <c r="AH623" i="13" s="1"/>
  <c r="AG623" i="13"/>
  <c r="Y665" i="13"/>
  <c r="AH665" i="13" s="1"/>
  <c r="AG665" i="13"/>
  <c r="Y678" i="13"/>
  <c r="AH678" i="13" s="1"/>
  <c r="AG678" i="13"/>
  <c r="V532" i="13"/>
  <c r="X532" i="13" s="1"/>
  <c r="W532" i="13"/>
  <c r="AF532" i="13" s="1"/>
  <c r="Y554" i="13"/>
  <c r="AH554" i="13" s="1"/>
  <c r="AG558" i="13"/>
  <c r="Y558" i="13"/>
  <c r="AH558" i="13" s="1"/>
  <c r="Y561" i="13"/>
  <c r="AH561" i="13" s="1"/>
  <c r="AG561" i="13"/>
  <c r="Y573" i="13"/>
  <c r="AH573" i="13" s="1"/>
  <c r="AG573" i="13"/>
  <c r="Y585" i="13"/>
  <c r="AH585" i="13" s="1"/>
  <c r="AG585" i="13"/>
  <c r="Y597" i="13"/>
  <c r="AH597" i="13" s="1"/>
  <c r="AG597" i="13"/>
  <c r="Y604" i="13"/>
  <c r="AH604" i="13" s="1"/>
  <c r="AG604" i="13"/>
  <c r="Y641" i="13"/>
  <c r="AH641" i="13" s="1"/>
  <c r="AG641" i="13"/>
  <c r="Y660" i="13"/>
  <c r="AH660" i="13" s="1"/>
  <c r="AG660" i="13"/>
  <c r="Y690" i="13"/>
  <c r="AH690" i="13" s="1"/>
  <c r="AG690" i="13"/>
  <c r="V431" i="13"/>
  <c r="X431" i="13" s="1"/>
  <c r="V437" i="13"/>
  <c r="X437" i="13" s="1"/>
  <c r="AG447" i="13"/>
  <c r="V449" i="13"/>
  <c r="X449" i="13" s="1"/>
  <c r="V451" i="13"/>
  <c r="X451" i="13" s="1"/>
  <c r="V467" i="13"/>
  <c r="X467" i="13" s="1"/>
  <c r="V469" i="13"/>
  <c r="X469" i="13" s="1"/>
  <c r="AG483" i="13"/>
  <c r="V485" i="13"/>
  <c r="X485" i="13" s="1"/>
  <c r="V487" i="13"/>
  <c r="X487" i="13" s="1"/>
  <c r="AG501" i="13"/>
  <c r="V503" i="13"/>
  <c r="X503" i="13" s="1"/>
  <c r="V505" i="13"/>
  <c r="X505" i="13" s="1"/>
  <c r="W513" i="13"/>
  <c r="AF513" i="13" s="1"/>
  <c r="W529" i="13"/>
  <c r="AF529" i="13" s="1"/>
  <c r="V533" i="13"/>
  <c r="X533" i="13" s="1"/>
  <c r="V538" i="13"/>
  <c r="X538" i="13" s="1"/>
  <c r="W538" i="13"/>
  <c r="AF538" i="13" s="1"/>
  <c r="Y568" i="13"/>
  <c r="AH568" i="13" s="1"/>
  <c r="AG568" i="13"/>
  <c r="Y580" i="13"/>
  <c r="AH580" i="13" s="1"/>
  <c r="AG580" i="13"/>
  <c r="Y592" i="13"/>
  <c r="AH592" i="13" s="1"/>
  <c r="AG592" i="13"/>
  <c r="Y701" i="13"/>
  <c r="AH701" i="13" s="1"/>
  <c r="AG701" i="13"/>
  <c r="Y707" i="13"/>
  <c r="AH707" i="13" s="1"/>
  <c r="AG707" i="13"/>
  <c r="W441" i="13"/>
  <c r="AF441" i="13" s="1"/>
  <c r="V454" i="13"/>
  <c r="X454" i="13" s="1"/>
  <c r="W459" i="13"/>
  <c r="AF459" i="13" s="1"/>
  <c r="V472" i="13"/>
  <c r="X472" i="13" s="1"/>
  <c r="W477" i="13"/>
  <c r="AF477" i="13" s="1"/>
  <c r="V490" i="13"/>
  <c r="X490" i="13" s="1"/>
  <c r="W495" i="13"/>
  <c r="AF495" i="13" s="1"/>
  <c r="V508" i="13"/>
  <c r="X508" i="13" s="1"/>
  <c r="Y513" i="13"/>
  <c r="AH513" i="13" s="1"/>
  <c r="W535" i="13"/>
  <c r="AF535" i="13" s="1"/>
  <c r="Y537" i="13"/>
  <c r="AH537" i="13" s="1"/>
  <c r="V539" i="13"/>
  <c r="X539" i="13" s="1"/>
  <c r="V544" i="13"/>
  <c r="X544" i="13" s="1"/>
  <c r="W544" i="13"/>
  <c r="AF544" i="13" s="1"/>
  <c r="V550" i="13"/>
  <c r="X550" i="13" s="1"/>
  <c r="W550" i="13"/>
  <c r="AF550" i="13" s="1"/>
  <c r="V556" i="13"/>
  <c r="X556" i="13" s="1"/>
  <c r="W556" i="13"/>
  <c r="AF556" i="13" s="1"/>
  <c r="Y609" i="13"/>
  <c r="AH609" i="13" s="1"/>
  <c r="AG609" i="13"/>
  <c r="Y672" i="13"/>
  <c r="AH672" i="13" s="1"/>
  <c r="AG672" i="13"/>
  <c r="W568" i="13"/>
  <c r="AF568" i="13" s="1"/>
  <c r="W574" i="13"/>
  <c r="AF574" i="13" s="1"/>
  <c r="W580" i="13"/>
  <c r="AF580" i="13" s="1"/>
  <c r="W586" i="13"/>
  <c r="AF586" i="13" s="1"/>
  <c r="W592" i="13"/>
  <c r="AF592" i="13" s="1"/>
  <c r="W598" i="13"/>
  <c r="AF598" i="13" s="1"/>
  <c r="W602" i="13"/>
  <c r="AF602" i="13" s="1"/>
  <c r="W620" i="13"/>
  <c r="AF620" i="13" s="1"/>
  <c r="W638" i="13"/>
  <c r="AF638" i="13" s="1"/>
  <c r="W650" i="13"/>
  <c r="AF650" i="13" s="1"/>
  <c r="W654" i="13"/>
  <c r="AF654" i="13" s="1"/>
  <c r="V657" i="13"/>
  <c r="X657" i="13" s="1"/>
  <c r="W662" i="13"/>
  <c r="AF662" i="13" s="1"/>
  <c r="AG662" i="13"/>
  <c r="V666" i="13"/>
  <c r="X666" i="13" s="1"/>
  <c r="Y670" i="13"/>
  <c r="AH670" i="13" s="1"/>
  <c r="W672" i="13"/>
  <c r="AF672" i="13" s="1"/>
  <c r="V675" i="13"/>
  <c r="X675" i="13" s="1"/>
  <c r="W680" i="13"/>
  <c r="AF680" i="13" s="1"/>
  <c r="AG680" i="13"/>
  <c r="V684" i="13"/>
  <c r="X684" i="13" s="1"/>
  <c r="W690" i="13"/>
  <c r="AF690" i="13" s="1"/>
  <c r="Y692" i="13"/>
  <c r="AH692" i="13" s="1"/>
  <c r="V693" i="13"/>
  <c r="X693" i="13" s="1"/>
  <c r="Y708" i="13"/>
  <c r="AH708" i="13" s="1"/>
  <c r="AG708" i="13"/>
  <c r="AG712" i="13"/>
  <c r="Y712" i="13"/>
  <c r="AH712" i="13" s="1"/>
  <c r="Y714" i="13"/>
  <c r="AH714" i="13" s="1"/>
  <c r="Y716" i="13"/>
  <c r="AH716" i="13" s="1"/>
  <c r="AG716" i="13"/>
  <c r="V648" i="13"/>
  <c r="X648" i="13" s="1"/>
  <c r="W648" i="13"/>
  <c r="AF648" i="13" s="1"/>
  <c r="W702" i="13"/>
  <c r="AF702" i="13" s="1"/>
  <c r="V702" i="13"/>
  <c r="X702" i="13" s="1"/>
  <c r="Y726" i="13"/>
  <c r="AH726" i="13" s="1"/>
  <c r="AG726" i="13"/>
  <c r="Y728" i="13"/>
  <c r="AH728" i="13" s="1"/>
  <c r="AG728" i="13"/>
  <c r="Y732" i="13"/>
  <c r="AH732" i="13" s="1"/>
  <c r="AG732" i="13"/>
  <c r="V559" i="13"/>
  <c r="X559" i="13" s="1"/>
  <c r="V565" i="13"/>
  <c r="X565" i="13" s="1"/>
  <c r="V571" i="13"/>
  <c r="X571" i="13" s="1"/>
  <c r="V577" i="13"/>
  <c r="X577" i="13" s="1"/>
  <c r="V583" i="13"/>
  <c r="X583" i="13" s="1"/>
  <c r="V589" i="13"/>
  <c r="X589" i="13" s="1"/>
  <c r="V595" i="13"/>
  <c r="X595" i="13" s="1"/>
  <c r="V601" i="13"/>
  <c r="X601" i="13" s="1"/>
  <c r="V603" i="13"/>
  <c r="X603" i="13" s="1"/>
  <c r="V619" i="13"/>
  <c r="X619" i="13" s="1"/>
  <c r="V621" i="13"/>
  <c r="X621" i="13" s="1"/>
  <c r="V637" i="13"/>
  <c r="X637" i="13" s="1"/>
  <c r="V639" i="13"/>
  <c r="X639" i="13" s="1"/>
  <c r="AG706" i="13"/>
  <c r="Y706" i="13"/>
  <c r="AH706" i="13" s="1"/>
  <c r="Y710" i="13"/>
  <c r="AH710" i="13" s="1"/>
  <c r="AG710" i="13"/>
  <c r="Y767" i="13"/>
  <c r="AH767" i="13" s="1"/>
  <c r="AG767" i="13"/>
  <c r="Y658" i="13"/>
  <c r="AH658" i="13" s="1"/>
  <c r="AG673" i="13"/>
  <c r="AG677" i="13"/>
  <c r="Y698" i="13"/>
  <c r="AH698" i="13" s="1"/>
  <c r="AG698" i="13"/>
  <c r="W700" i="13"/>
  <c r="AF700" i="13" s="1"/>
  <c r="V700" i="13"/>
  <c r="X700" i="13" s="1"/>
  <c r="Y725" i="13"/>
  <c r="AH725" i="13" s="1"/>
  <c r="AG725" i="13"/>
  <c r="AG611" i="13"/>
  <c r="AG629" i="13"/>
  <c r="W669" i="13"/>
  <c r="AF669" i="13" s="1"/>
  <c r="V669" i="13"/>
  <c r="X669" i="13" s="1"/>
  <c r="W687" i="13"/>
  <c r="AF687" i="13" s="1"/>
  <c r="V687" i="13"/>
  <c r="X687" i="13" s="1"/>
  <c r="Y697" i="13"/>
  <c r="AH697" i="13" s="1"/>
  <c r="AG697" i="13"/>
  <c r="AG742" i="13"/>
  <c r="Y742" i="13"/>
  <c r="AH742" i="13" s="1"/>
  <c r="Y749" i="13"/>
  <c r="AH749" i="13" s="1"/>
  <c r="AG749" i="13"/>
  <c r="Y761" i="13"/>
  <c r="AH761" i="13" s="1"/>
  <c r="AG761" i="13"/>
  <c r="W605" i="13"/>
  <c r="AF605" i="13" s="1"/>
  <c r="V618" i="13"/>
  <c r="X618" i="13" s="1"/>
  <c r="W623" i="13"/>
  <c r="AF623" i="13" s="1"/>
  <c r="V636" i="13"/>
  <c r="X636" i="13" s="1"/>
  <c r="W641" i="13"/>
  <c r="AF641" i="13" s="1"/>
  <c r="V653" i="13"/>
  <c r="X653" i="13" s="1"/>
  <c r="W653" i="13"/>
  <c r="AF653" i="13" s="1"/>
  <c r="V656" i="13"/>
  <c r="X656" i="13" s="1"/>
  <c r="W656" i="13"/>
  <c r="AF656" i="13" s="1"/>
  <c r="V671" i="13"/>
  <c r="X671" i="13" s="1"/>
  <c r="W671" i="13"/>
  <c r="AF671" i="13" s="1"/>
  <c r="V674" i="13"/>
  <c r="X674" i="13" s="1"/>
  <c r="W674" i="13"/>
  <c r="AF674" i="13" s="1"/>
  <c r="V689" i="13"/>
  <c r="X689" i="13" s="1"/>
  <c r="W689" i="13"/>
  <c r="AF689" i="13" s="1"/>
  <c r="AG724" i="13"/>
  <c r="Y724" i="13"/>
  <c r="AH724" i="13" s="1"/>
  <c r="W707" i="13"/>
  <c r="AF707" i="13" s="1"/>
  <c r="W725" i="13"/>
  <c r="AF725" i="13" s="1"/>
  <c r="V747" i="13"/>
  <c r="X747" i="13" s="1"/>
  <c r="AG755" i="13"/>
  <c r="V772" i="13"/>
  <c r="X772" i="13" s="1"/>
  <c r="W772" i="13"/>
  <c r="AF772" i="13" s="1"/>
  <c r="Y796" i="13"/>
  <c r="AH796" i="13" s="1"/>
  <c r="AG796" i="13"/>
  <c r="Y814" i="13"/>
  <c r="AH814" i="13" s="1"/>
  <c r="AG814" i="13"/>
  <c r="Y819" i="13"/>
  <c r="AH819" i="13" s="1"/>
  <c r="AG819" i="13"/>
  <c r="Y832" i="13"/>
  <c r="AH832" i="13" s="1"/>
  <c r="AG832" i="13"/>
  <c r="W752" i="13"/>
  <c r="AF752" i="13" s="1"/>
  <c r="V752" i="13"/>
  <c r="X752" i="13" s="1"/>
  <c r="V790" i="13"/>
  <c r="X790" i="13" s="1"/>
  <c r="W790" i="13"/>
  <c r="AF790" i="13" s="1"/>
  <c r="W764" i="13"/>
  <c r="AF764" i="13" s="1"/>
  <c r="V764" i="13"/>
  <c r="X764" i="13" s="1"/>
  <c r="Y766" i="13"/>
  <c r="AH766" i="13" s="1"/>
  <c r="AG766" i="13"/>
  <c r="AG778" i="13"/>
  <c r="W794" i="13"/>
  <c r="AF794" i="13" s="1"/>
  <c r="V794" i="13"/>
  <c r="X794" i="13" s="1"/>
  <c r="W746" i="13"/>
  <c r="AF746" i="13" s="1"/>
  <c r="V746" i="13"/>
  <c r="X746" i="13" s="1"/>
  <c r="W758" i="13"/>
  <c r="AF758" i="13" s="1"/>
  <c r="V758" i="13"/>
  <c r="X758" i="13" s="1"/>
  <c r="W769" i="13"/>
  <c r="AF769" i="13" s="1"/>
  <c r="V769" i="13"/>
  <c r="X769" i="13" s="1"/>
  <c r="Y789" i="13"/>
  <c r="AH789" i="13" s="1"/>
  <c r="Y795" i="13"/>
  <c r="AH795" i="13" s="1"/>
  <c r="AG795" i="13"/>
  <c r="V718" i="13"/>
  <c r="X718" i="13" s="1"/>
  <c r="V720" i="13"/>
  <c r="X720" i="13" s="1"/>
  <c r="V736" i="13"/>
  <c r="X736" i="13" s="1"/>
  <c r="V738" i="13"/>
  <c r="X738" i="13" s="1"/>
  <c r="V743" i="13"/>
  <c r="X743" i="13" s="1"/>
  <c r="V753" i="13"/>
  <c r="X753" i="13" s="1"/>
  <c r="V754" i="13"/>
  <c r="X754" i="13" s="1"/>
  <c r="AG756" i="13"/>
  <c r="V759" i="13"/>
  <c r="X759" i="13" s="1"/>
  <c r="V780" i="13"/>
  <c r="X780" i="13" s="1"/>
  <c r="V782" i="13"/>
  <c r="X782" i="13" s="1"/>
  <c r="W785" i="13"/>
  <c r="AF785" i="13" s="1"/>
  <c r="V785" i="13"/>
  <c r="X785" i="13" s="1"/>
  <c r="W787" i="13"/>
  <c r="AF787" i="13" s="1"/>
  <c r="V787" i="13"/>
  <c r="X787" i="13" s="1"/>
  <c r="W692" i="13"/>
  <c r="AF692" i="13" s="1"/>
  <c r="V705" i="13"/>
  <c r="X705" i="13" s="1"/>
  <c r="W710" i="13"/>
  <c r="AF710" i="13" s="1"/>
  <c r="V723" i="13"/>
  <c r="X723" i="13" s="1"/>
  <c r="W728" i="13"/>
  <c r="AF728" i="13" s="1"/>
  <c r="V741" i="13"/>
  <c r="X741" i="13" s="1"/>
  <c r="AG849" i="13"/>
  <c r="W864" i="13"/>
  <c r="AF864" i="13" s="1"/>
  <c r="Y882" i="13"/>
  <c r="AH882" i="13" s="1"/>
  <c r="AG882" i="13"/>
  <c r="Y894" i="13"/>
  <c r="AH894" i="13" s="1"/>
  <c r="AG894" i="13"/>
  <c r="Y906" i="13"/>
  <c r="AH906" i="13" s="1"/>
  <c r="AG906" i="13"/>
  <c r="Y918" i="13"/>
  <c r="AH918" i="13" s="1"/>
  <c r="AG918" i="13"/>
  <c r="V937" i="13"/>
  <c r="X937" i="13" s="1"/>
  <c r="W937" i="13"/>
  <c r="AF937" i="13" s="1"/>
  <c r="AG982" i="13"/>
  <c r="V1033" i="13"/>
  <c r="X1033" i="13" s="1"/>
  <c r="W1033" i="13"/>
  <c r="AF1033" i="13" s="1"/>
  <c r="AG813" i="13"/>
  <c r="AG831" i="13"/>
  <c r="W886" i="13"/>
  <c r="AF886" i="13" s="1"/>
  <c r="V886" i="13"/>
  <c r="X886" i="13" s="1"/>
  <c r="W898" i="13"/>
  <c r="AF898" i="13" s="1"/>
  <c r="V898" i="13"/>
  <c r="X898" i="13" s="1"/>
  <c r="W910" i="13"/>
  <c r="AF910" i="13" s="1"/>
  <c r="V910" i="13"/>
  <c r="X910" i="13" s="1"/>
  <c r="W922" i="13"/>
  <c r="AF922" i="13" s="1"/>
  <c r="V922" i="13"/>
  <c r="X922" i="13" s="1"/>
  <c r="Y943" i="13"/>
  <c r="AH943" i="13" s="1"/>
  <c r="AG943" i="13"/>
  <c r="V949" i="13"/>
  <c r="X949" i="13" s="1"/>
  <c r="W949" i="13"/>
  <c r="AF949" i="13" s="1"/>
  <c r="W962" i="13"/>
  <c r="AF962" i="13" s="1"/>
  <c r="V962" i="13"/>
  <c r="X962" i="13" s="1"/>
  <c r="Y976" i="13"/>
  <c r="AH976" i="13" s="1"/>
  <c r="AG976" i="13"/>
  <c r="AG1000" i="13"/>
  <c r="AG1032" i="13"/>
  <c r="Y1032" i="13"/>
  <c r="AH1032" i="13" s="1"/>
  <c r="Y870" i="13"/>
  <c r="AH870" i="13" s="1"/>
  <c r="AG870" i="13"/>
  <c r="W934" i="13"/>
  <c r="AF934" i="13" s="1"/>
  <c r="V934" i="13"/>
  <c r="X934" i="13" s="1"/>
  <c r="Y888" i="13"/>
  <c r="AH888" i="13" s="1"/>
  <c r="AG888" i="13"/>
  <c r="Y912" i="13"/>
  <c r="AH912" i="13" s="1"/>
  <c r="AG912" i="13"/>
  <c r="Y924" i="13"/>
  <c r="AH924" i="13" s="1"/>
  <c r="AG924" i="13"/>
  <c r="Y940" i="13"/>
  <c r="AH940" i="13" s="1"/>
  <c r="AG940" i="13"/>
  <c r="Y961" i="13"/>
  <c r="AH961" i="13" s="1"/>
  <c r="AG961" i="13"/>
  <c r="V967" i="13"/>
  <c r="X967" i="13" s="1"/>
  <c r="W967" i="13"/>
  <c r="AF967" i="13" s="1"/>
  <c r="W980" i="13"/>
  <c r="AF980" i="13" s="1"/>
  <c r="V980" i="13"/>
  <c r="X980" i="13" s="1"/>
  <c r="W1064" i="13"/>
  <c r="AF1064" i="13" s="1"/>
  <c r="V1064" i="13"/>
  <c r="X1064" i="13" s="1"/>
  <c r="Y798" i="13"/>
  <c r="AH798" i="13" s="1"/>
  <c r="V812" i="13"/>
  <c r="X812" i="13" s="1"/>
  <c r="Y816" i="13"/>
  <c r="AH816" i="13" s="1"/>
  <c r="V830" i="13"/>
  <c r="X830" i="13" s="1"/>
  <c r="Y836" i="13"/>
  <c r="AH836" i="13" s="1"/>
  <c r="W842" i="13"/>
  <c r="AF842" i="13" s="1"/>
  <c r="Y846" i="13"/>
  <c r="AH846" i="13" s="1"/>
  <c r="W852" i="13"/>
  <c r="AF852" i="13" s="1"/>
  <c r="Y856" i="13"/>
  <c r="AH856" i="13" s="1"/>
  <c r="W862" i="13"/>
  <c r="AF862" i="13" s="1"/>
  <c r="W868" i="13"/>
  <c r="AF868" i="13" s="1"/>
  <c r="V868" i="13"/>
  <c r="X868" i="13" s="1"/>
  <c r="Y872" i="13"/>
  <c r="AH872" i="13" s="1"/>
  <c r="AG873" i="13"/>
  <c r="W880" i="13"/>
  <c r="AF880" i="13" s="1"/>
  <c r="V880" i="13"/>
  <c r="X880" i="13" s="1"/>
  <c r="W892" i="13"/>
  <c r="AF892" i="13" s="1"/>
  <c r="V892" i="13"/>
  <c r="X892" i="13" s="1"/>
  <c r="W904" i="13"/>
  <c r="AF904" i="13" s="1"/>
  <c r="V904" i="13"/>
  <c r="X904" i="13" s="1"/>
  <c r="W916" i="13"/>
  <c r="AF916" i="13" s="1"/>
  <c r="V916" i="13"/>
  <c r="X916" i="13" s="1"/>
  <c r="W928" i="13"/>
  <c r="AF928" i="13" s="1"/>
  <c r="V928" i="13"/>
  <c r="X928" i="13" s="1"/>
  <c r="AG964" i="13"/>
  <c r="V1012" i="13"/>
  <c r="X1012" i="13" s="1"/>
  <c r="W1012" i="13"/>
  <c r="AF1012" i="13" s="1"/>
  <c r="AH813" i="13"/>
  <c r="Y842" i="13"/>
  <c r="AH842" i="13" s="1"/>
  <c r="Y852" i="13"/>
  <c r="AH852" i="13" s="1"/>
  <c r="Y862" i="13"/>
  <c r="AH862" i="13" s="1"/>
  <c r="AG869" i="13"/>
  <c r="W874" i="13"/>
  <c r="AF874" i="13" s="1"/>
  <c r="V874" i="13"/>
  <c r="X874" i="13" s="1"/>
  <c r="Y890" i="13"/>
  <c r="AH890" i="13" s="1"/>
  <c r="Y902" i="13"/>
  <c r="AH902" i="13" s="1"/>
  <c r="Y914" i="13"/>
  <c r="AH914" i="13" s="1"/>
  <c r="Y926" i="13"/>
  <c r="AH926" i="13" s="1"/>
  <c r="W932" i="13"/>
  <c r="AF932" i="13" s="1"/>
  <c r="V932" i="13"/>
  <c r="X932" i="13" s="1"/>
  <c r="W944" i="13"/>
  <c r="AF944" i="13" s="1"/>
  <c r="V944" i="13"/>
  <c r="X944" i="13" s="1"/>
  <c r="AG951" i="13"/>
  <c r="Y951" i="13"/>
  <c r="AH951" i="13" s="1"/>
  <c r="Y958" i="13"/>
  <c r="AH958" i="13" s="1"/>
  <c r="AG958" i="13"/>
  <c r="Y979" i="13"/>
  <c r="AH979" i="13" s="1"/>
  <c r="AG979" i="13"/>
  <c r="V985" i="13"/>
  <c r="X985" i="13" s="1"/>
  <c r="W985" i="13"/>
  <c r="AF985" i="13" s="1"/>
  <c r="W1010" i="13"/>
  <c r="AF1010" i="13" s="1"/>
  <c r="V1010" i="13"/>
  <c r="X1010" i="13" s="1"/>
  <c r="V1015" i="13"/>
  <c r="X1015" i="13" s="1"/>
  <c r="W1015" i="13"/>
  <c r="AF1015" i="13" s="1"/>
  <c r="Y1027" i="13"/>
  <c r="AH1027" i="13" s="1"/>
  <c r="AG1027" i="13"/>
  <c r="W1030" i="13"/>
  <c r="AF1030" i="13" s="1"/>
  <c r="V1030" i="13"/>
  <c r="X1030" i="13" s="1"/>
  <c r="Y1045" i="13"/>
  <c r="AH1045" i="13" s="1"/>
  <c r="AG1045" i="13"/>
  <c r="V1051" i="13"/>
  <c r="X1051" i="13" s="1"/>
  <c r="W1051" i="13"/>
  <c r="AF1051" i="13" s="1"/>
  <c r="V1074" i="13"/>
  <c r="X1074" i="13" s="1"/>
  <c r="W1074" i="13"/>
  <c r="AF1074" i="13" s="1"/>
  <c r="W1105" i="13"/>
  <c r="AF1105" i="13" s="1"/>
  <c r="V1105" i="13"/>
  <c r="X1105" i="13" s="1"/>
  <c r="AG988" i="13"/>
  <c r="W991" i="13"/>
  <c r="AF991" i="13" s="1"/>
  <c r="V991" i="13"/>
  <c r="X991" i="13" s="1"/>
  <c r="Y1006" i="13"/>
  <c r="AH1006" i="13" s="1"/>
  <c r="AG1006" i="13"/>
  <c r="AG1017" i="13"/>
  <c r="Y1017" i="13"/>
  <c r="AH1017" i="13" s="1"/>
  <c r="AG1048" i="13"/>
  <c r="V1069" i="13"/>
  <c r="X1069" i="13" s="1"/>
  <c r="W1069" i="13"/>
  <c r="AF1069" i="13" s="1"/>
  <c r="V950" i="13"/>
  <c r="X950" i="13" s="1"/>
  <c r="W955" i="13"/>
  <c r="AF955" i="13" s="1"/>
  <c r="AG955" i="13"/>
  <c r="V968" i="13"/>
  <c r="X968" i="13" s="1"/>
  <c r="W973" i="13"/>
  <c r="AF973" i="13" s="1"/>
  <c r="AG973" i="13"/>
  <c r="W1004" i="13"/>
  <c r="AF1004" i="13" s="1"/>
  <c r="V1004" i="13"/>
  <c r="X1004" i="13" s="1"/>
  <c r="W1006" i="13"/>
  <c r="AF1006" i="13" s="1"/>
  <c r="Y1060" i="13"/>
  <c r="AH1060" i="13" s="1"/>
  <c r="AG1060" i="13"/>
  <c r="W1100" i="13"/>
  <c r="AF1100" i="13" s="1"/>
  <c r="V1100" i="13"/>
  <c r="X1100" i="13" s="1"/>
  <c r="AG931" i="13"/>
  <c r="AH946" i="13"/>
  <c r="AH964" i="13"/>
  <c r="AH982" i="13"/>
  <c r="W997" i="13"/>
  <c r="AF997" i="13" s="1"/>
  <c r="V997" i="13"/>
  <c r="X997" i="13" s="1"/>
  <c r="AH1000" i="13"/>
  <c r="V1009" i="13"/>
  <c r="X1009" i="13" s="1"/>
  <c r="W1009" i="13"/>
  <c r="AF1009" i="13" s="1"/>
  <c r="W1028" i="13"/>
  <c r="AF1028" i="13" s="1"/>
  <c r="V1028" i="13"/>
  <c r="X1028" i="13" s="1"/>
  <c r="V938" i="13"/>
  <c r="X938" i="13" s="1"/>
  <c r="W943" i="13"/>
  <c r="AF943" i="13" s="1"/>
  <c r="V956" i="13"/>
  <c r="X956" i="13" s="1"/>
  <c r="W961" i="13"/>
  <c r="AF961" i="13" s="1"/>
  <c r="V974" i="13"/>
  <c r="X974" i="13" s="1"/>
  <c r="W979" i="13"/>
  <c r="AF979" i="13" s="1"/>
  <c r="Y996" i="13"/>
  <c r="AH996" i="13" s="1"/>
  <c r="V998" i="13"/>
  <c r="X998" i="13" s="1"/>
  <c r="AG1039" i="13"/>
  <c r="W1046" i="13"/>
  <c r="AF1046" i="13" s="1"/>
  <c r="V1046" i="13"/>
  <c r="X1046" i="13" s="1"/>
  <c r="Y1057" i="13"/>
  <c r="AH1057" i="13" s="1"/>
  <c r="AG1057" i="13"/>
  <c r="Y1090" i="13"/>
  <c r="AH1090" i="13" s="1"/>
  <c r="AG1090" i="13"/>
  <c r="Y1098" i="13"/>
  <c r="AH1098" i="13" s="1"/>
  <c r="AG1098" i="13"/>
  <c r="V1092" i="13"/>
  <c r="X1092" i="13" s="1"/>
  <c r="W1092" i="13"/>
  <c r="AF1092" i="13" s="1"/>
  <c r="Y1104" i="13"/>
  <c r="AH1104" i="13" s="1"/>
  <c r="AG1104" i="13"/>
  <c r="W1124" i="13"/>
  <c r="AF1124" i="13" s="1"/>
  <c r="V1124" i="13"/>
  <c r="X1124" i="13" s="1"/>
  <c r="W1221" i="13"/>
  <c r="AF1221" i="13" s="1"/>
  <c r="V1221" i="13"/>
  <c r="X1221" i="13" s="1"/>
  <c r="W1144" i="13"/>
  <c r="AF1144" i="13" s="1"/>
  <c r="V1144" i="13"/>
  <c r="X1144" i="13" s="1"/>
  <c r="W1179" i="13"/>
  <c r="AF1179" i="13" s="1"/>
  <c r="V1179" i="13"/>
  <c r="X1179" i="13" s="1"/>
  <c r="Y1217" i="13"/>
  <c r="AH1217" i="13" s="1"/>
  <c r="AG1217" i="13"/>
  <c r="V1022" i="13"/>
  <c r="X1022" i="13" s="1"/>
  <c r="V1024" i="13"/>
  <c r="X1024" i="13" s="1"/>
  <c r="W1027" i="13"/>
  <c r="AF1027" i="13" s="1"/>
  <c r="V1040" i="13"/>
  <c r="X1040" i="13" s="1"/>
  <c r="V1042" i="13"/>
  <c r="X1042" i="13" s="1"/>
  <c r="V1052" i="13"/>
  <c r="X1052" i="13" s="1"/>
  <c r="W1057" i="13"/>
  <c r="AF1057" i="13" s="1"/>
  <c r="V1070" i="13"/>
  <c r="X1070" i="13" s="1"/>
  <c r="W1087" i="13"/>
  <c r="AF1087" i="13" s="1"/>
  <c r="V1087" i="13"/>
  <c r="X1087" i="13" s="1"/>
  <c r="W1088" i="13"/>
  <c r="AF1088" i="13" s="1"/>
  <c r="W1089" i="13"/>
  <c r="AF1089" i="13" s="1"/>
  <c r="V1089" i="13"/>
  <c r="X1089" i="13" s="1"/>
  <c r="W1090" i="13"/>
  <c r="AF1090" i="13" s="1"/>
  <c r="W1108" i="13"/>
  <c r="AF1108" i="13" s="1"/>
  <c r="V1108" i="13"/>
  <c r="X1108" i="13" s="1"/>
  <c r="Y1122" i="13"/>
  <c r="AH1122" i="13" s="1"/>
  <c r="AG1122" i="13"/>
  <c r="Y1128" i="13"/>
  <c r="AH1128" i="13" s="1"/>
  <c r="AG1137" i="13"/>
  <c r="Y1139" i="13"/>
  <c r="AH1139" i="13" s="1"/>
  <c r="AG1139" i="13"/>
  <c r="Y1164" i="13"/>
  <c r="AH1164" i="13" s="1"/>
  <c r="AG1164" i="13"/>
  <c r="V1003" i="13"/>
  <c r="X1003" i="13" s="1"/>
  <c r="V1011" i="13"/>
  <c r="X1011" i="13" s="1"/>
  <c r="V1013" i="13"/>
  <c r="X1013" i="13" s="1"/>
  <c r="V1029" i="13"/>
  <c r="X1029" i="13" s="1"/>
  <c r="V1031" i="13"/>
  <c r="X1031" i="13" s="1"/>
  <c r="AH1048" i="13"/>
  <c r="V1055" i="13"/>
  <c r="X1055" i="13" s="1"/>
  <c r="Y1059" i="13"/>
  <c r="AH1059" i="13" s="1"/>
  <c r="W1060" i="13"/>
  <c r="AF1060" i="13" s="1"/>
  <c r="AH1066" i="13"/>
  <c r="V1081" i="13"/>
  <c r="X1081" i="13" s="1"/>
  <c r="V1082" i="13"/>
  <c r="X1082" i="13" s="1"/>
  <c r="V1083" i="13"/>
  <c r="X1083" i="13" s="1"/>
  <c r="V1084" i="13"/>
  <c r="X1084" i="13" s="1"/>
  <c r="Y1086" i="13"/>
  <c r="AH1086" i="13" s="1"/>
  <c r="Y1088" i="13"/>
  <c r="AH1088" i="13" s="1"/>
  <c r="W1107" i="13"/>
  <c r="AF1107" i="13" s="1"/>
  <c r="V1107" i="13"/>
  <c r="X1107" i="13" s="1"/>
  <c r="V1110" i="13"/>
  <c r="X1110" i="13" s="1"/>
  <c r="W1110" i="13"/>
  <c r="AF1110" i="13" s="1"/>
  <c r="W1126" i="13"/>
  <c r="AF1126" i="13" s="1"/>
  <c r="V1126" i="13"/>
  <c r="X1126" i="13" s="1"/>
  <c r="W1162" i="13"/>
  <c r="AF1162" i="13" s="1"/>
  <c r="V1162" i="13"/>
  <c r="X1162" i="13" s="1"/>
  <c r="Y1044" i="13"/>
  <c r="AH1044" i="13" s="1"/>
  <c r="W1106" i="13"/>
  <c r="AF1106" i="13" s="1"/>
  <c r="V1106" i="13"/>
  <c r="X1106" i="13" s="1"/>
  <c r="Y1163" i="13"/>
  <c r="AH1163" i="13" s="1"/>
  <c r="AG1163" i="13"/>
  <c r="Y1112" i="13"/>
  <c r="AH1112" i="13" s="1"/>
  <c r="Y1148" i="13"/>
  <c r="AH1148" i="13" s="1"/>
  <c r="Y1174" i="13"/>
  <c r="AH1174" i="13" s="1"/>
  <c r="V1202" i="13"/>
  <c r="X1202" i="13" s="1"/>
  <c r="W1202" i="13"/>
  <c r="AF1202" i="13" s="1"/>
  <c r="W1215" i="13"/>
  <c r="AF1215" i="13" s="1"/>
  <c r="V1215" i="13"/>
  <c r="X1215" i="13" s="1"/>
  <c r="AG1235" i="13"/>
  <c r="W1238" i="13"/>
  <c r="AF1238" i="13" s="1"/>
  <c r="V1238" i="13"/>
  <c r="X1238" i="13" s="1"/>
  <c r="W1170" i="13"/>
  <c r="AF1170" i="13" s="1"/>
  <c r="V1170" i="13"/>
  <c r="X1170" i="13" s="1"/>
  <c r="W1173" i="13"/>
  <c r="AF1173" i="13" s="1"/>
  <c r="V1173" i="13"/>
  <c r="X1173" i="13" s="1"/>
  <c r="Y1178" i="13"/>
  <c r="AH1178" i="13" s="1"/>
  <c r="AG1178" i="13"/>
  <c r="Y1193" i="13"/>
  <c r="AH1193" i="13" s="1"/>
  <c r="AG1193" i="13"/>
  <c r="Y1229" i="13"/>
  <c r="AH1229" i="13" s="1"/>
  <c r="AG1229" i="13"/>
  <c r="Y1242" i="13"/>
  <c r="AH1242" i="13" s="1"/>
  <c r="AG1242" i="13"/>
  <c r="AG1116" i="13"/>
  <c r="AG1134" i="13"/>
  <c r="AG1152" i="13"/>
  <c r="Y1169" i="13"/>
  <c r="AH1169" i="13" s="1"/>
  <c r="AG1169" i="13"/>
  <c r="W1197" i="13"/>
  <c r="AF1197" i="13" s="1"/>
  <c r="V1197" i="13"/>
  <c r="X1197" i="13" s="1"/>
  <c r="Y1214" i="13"/>
  <c r="AH1214" i="13" s="1"/>
  <c r="AG1214" i="13"/>
  <c r="W1220" i="13"/>
  <c r="AF1220" i="13" s="1"/>
  <c r="V1220" i="13"/>
  <c r="X1220" i="13" s="1"/>
  <c r="W1249" i="13"/>
  <c r="AF1249" i="13" s="1"/>
  <c r="V1249" i="13"/>
  <c r="X1249" i="13" s="1"/>
  <c r="V1123" i="13"/>
  <c r="X1123" i="13" s="1"/>
  <c r="V1125" i="13"/>
  <c r="X1125" i="13" s="1"/>
  <c r="W1128" i="13"/>
  <c r="AF1128" i="13" s="1"/>
  <c r="W1140" i="13"/>
  <c r="AF1140" i="13" s="1"/>
  <c r="W1142" i="13"/>
  <c r="AF1142" i="13" s="1"/>
  <c r="V1155" i="13"/>
  <c r="X1155" i="13" s="1"/>
  <c r="W1158" i="13"/>
  <c r="AF1158" i="13" s="1"/>
  <c r="W1160" i="13"/>
  <c r="AF1160" i="13" s="1"/>
  <c r="Y1175" i="13"/>
  <c r="AH1175" i="13" s="1"/>
  <c r="AG1175" i="13"/>
  <c r="AG1181" i="13"/>
  <c r="V1184" i="13"/>
  <c r="X1184" i="13" s="1"/>
  <c r="W1184" i="13"/>
  <c r="AF1184" i="13" s="1"/>
  <c r="Y1142" i="13"/>
  <c r="AH1142" i="13" s="1"/>
  <c r="Y1160" i="13"/>
  <c r="AH1160" i="13" s="1"/>
  <c r="Y1196" i="13"/>
  <c r="AH1196" i="13" s="1"/>
  <c r="AG1196" i="13"/>
  <c r="AG1204" i="13"/>
  <c r="Y1204" i="13"/>
  <c r="AH1204" i="13" s="1"/>
  <c r="Y1211" i="13"/>
  <c r="AH1211" i="13" s="1"/>
  <c r="AG1211" i="13"/>
  <c r="W1239" i="13"/>
  <c r="AF1239" i="13" s="1"/>
  <c r="V1239" i="13"/>
  <c r="X1239" i="13" s="1"/>
  <c r="Y1201" i="13"/>
  <c r="AH1201" i="13" s="1"/>
  <c r="AG1260" i="13"/>
  <c r="AG1182" i="13"/>
  <c r="AG1187" i="13"/>
  <c r="AG1205" i="13"/>
  <c r="W1226" i="13"/>
  <c r="AF1226" i="13" s="1"/>
  <c r="V1226" i="13"/>
  <c r="X1226" i="13" s="1"/>
  <c r="Y1240" i="13"/>
  <c r="AH1240" i="13" s="1"/>
  <c r="AG1240" i="13"/>
  <c r="V1254" i="13"/>
  <c r="X1254" i="13" s="1"/>
  <c r="W1254" i="13"/>
  <c r="AF1254" i="13" s="1"/>
  <c r="Y1248" i="13"/>
  <c r="AH1248" i="13" s="1"/>
  <c r="AG1248" i="13"/>
  <c r="W1251" i="13"/>
  <c r="AF1251" i="13" s="1"/>
  <c r="V1251" i="13"/>
  <c r="X1251" i="13" s="1"/>
  <c r="W1175" i="13"/>
  <c r="AF1175" i="13" s="1"/>
  <c r="AH1181" i="13"/>
  <c r="V1188" i="13"/>
  <c r="X1188" i="13" s="1"/>
  <c r="W1193" i="13"/>
  <c r="AF1193" i="13" s="1"/>
  <c r="V1206" i="13"/>
  <c r="X1206" i="13" s="1"/>
  <c r="Y1228" i="13"/>
  <c r="AH1228" i="13" s="1"/>
  <c r="W1229" i="13"/>
  <c r="AF1229" i="13" s="1"/>
  <c r="W1232" i="13"/>
  <c r="AF1232" i="13" s="1"/>
  <c r="V1232" i="13"/>
  <c r="X1232" i="13" s="1"/>
  <c r="AH1235" i="13"/>
  <c r="W1245" i="13"/>
  <c r="AF1245" i="13" s="1"/>
  <c r="V1245" i="13"/>
  <c r="X1245" i="13" s="1"/>
  <c r="Y1253" i="13"/>
  <c r="AH1253" i="13" s="1"/>
  <c r="W1178" i="13"/>
  <c r="AF1178" i="13" s="1"/>
  <c r="V1191" i="13"/>
  <c r="X1191" i="13" s="1"/>
  <c r="W1196" i="13"/>
  <c r="AF1196" i="13" s="1"/>
  <c r="V1209" i="13"/>
  <c r="X1209" i="13" s="1"/>
  <c r="W1214" i="13"/>
  <c r="AF1214" i="13" s="1"/>
  <c r="V1233" i="13"/>
  <c r="X1233" i="13" s="1"/>
  <c r="W1248" i="13"/>
  <c r="AF1248" i="13" s="1"/>
  <c r="V1261" i="13"/>
  <c r="X1261" i="13" s="1"/>
  <c r="V1250" i="13"/>
  <c r="X1250" i="13" s="1"/>
  <c r="V1252" i="13"/>
  <c r="X1252" i="13" s="1"/>
  <c r="Y1256" i="13"/>
  <c r="AH1256" i="13" s="1"/>
  <c r="B52" i="22"/>
  <c r="D52" i="22"/>
  <c r="G52" i="22"/>
  <c r="B51" i="22"/>
  <c r="B53" i="22"/>
  <c r="B54" i="22"/>
  <c r="D51" i="22"/>
  <c r="D53" i="22"/>
  <c r="D54" i="22"/>
  <c r="G51" i="22"/>
  <c r="G53" i="22"/>
  <c r="G54" i="22"/>
  <c r="B47" i="22"/>
  <c r="D47" i="22"/>
  <c r="G47" i="22"/>
  <c r="B48" i="22"/>
  <c r="D48" i="22"/>
  <c r="G48" i="22"/>
  <c r="B49" i="22"/>
  <c r="D49" i="22"/>
  <c r="G49" i="22"/>
  <c r="B38" i="22"/>
  <c r="D38" i="22"/>
  <c r="G38" i="22"/>
  <c r="G29" i="22"/>
  <c r="Y1195" i="13" l="1"/>
  <c r="AH1195" i="13" s="1"/>
  <c r="AG1127" i="13"/>
  <c r="AG727" i="13"/>
  <c r="Y1073" i="13"/>
  <c r="AH1073" i="13" s="1"/>
  <c r="Y652" i="13"/>
  <c r="AH652" i="13" s="1"/>
  <c r="Y322" i="13"/>
  <c r="AH322" i="13" s="1"/>
  <c r="AG863" i="13"/>
  <c r="Y268" i="13"/>
  <c r="AH268" i="13" s="1"/>
  <c r="AG911" i="13"/>
  <c r="AG331" i="13"/>
  <c r="AG88" i="13"/>
  <c r="Y960" i="13"/>
  <c r="AH960" i="13" s="1"/>
  <c r="Y332" i="13"/>
  <c r="AH332" i="13" s="1"/>
  <c r="Y688" i="13"/>
  <c r="AH688" i="13" s="1"/>
  <c r="Y1185" i="13"/>
  <c r="AH1185" i="13" s="1"/>
  <c r="Y578" i="13"/>
  <c r="AH578" i="13" s="1"/>
  <c r="AG633" i="13"/>
  <c r="AG582" i="13"/>
  <c r="AG1255" i="13"/>
  <c r="Y1091" i="13"/>
  <c r="AH1091" i="13" s="1"/>
  <c r="AG885" i="13"/>
  <c r="AG713" i="13"/>
  <c r="Y936" i="13"/>
  <c r="AH936" i="13" s="1"/>
  <c r="AG518" i="13"/>
  <c r="Y496" i="13"/>
  <c r="AH496" i="13" s="1"/>
  <c r="Y353" i="13"/>
  <c r="AH353" i="13" s="1"/>
  <c r="AG777" i="13"/>
  <c r="AG682" i="13"/>
  <c r="AG596" i="13"/>
  <c r="Y536" i="13"/>
  <c r="AH536" i="13" s="1"/>
  <c r="AG420" i="13"/>
  <c r="Y704" i="13"/>
  <c r="AH704" i="13" s="1"/>
  <c r="Y398" i="13"/>
  <c r="AH398" i="13" s="1"/>
  <c r="AG1019" i="13"/>
  <c r="AG498" i="13"/>
  <c r="AG224" i="13"/>
  <c r="AG640" i="13"/>
  <c r="AG416" i="13"/>
  <c r="AG380" i="13"/>
  <c r="Y148" i="13"/>
  <c r="AH148" i="13" s="1"/>
  <c r="AG1145" i="13"/>
  <c r="AG921" i="13"/>
  <c r="AG343" i="13"/>
  <c r="Y1167" i="13"/>
  <c r="AH1167" i="13" s="1"/>
  <c r="Y32" i="13"/>
  <c r="AH32" i="13" s="1"/>
  <c r="AG49" i="13"/>
  <c r="AG285" i="13"/>
  <c r="AG200" i="13"/>
  <c r="AG196" i="13"/>
  <c r="AG9" i="13"/>
  <c r="Y1043" i="13"/>
  <c r="AH1043" i="13" s="1"/>
  <c r="AG428" i="13"/>
  <c r="AG160" i="13"/>
  <c r="Y963" i="13"/>
  <c r="AH963" i="13" s="1"/>
  <c r="Y59" i="13"/>
  <c r="AH59" i="13" s="1"/>
  <c r="AG1259" i="13"/>
  <c r="Y1216" i="13"/>
  <c r="AH1216" i="13" s="1"/>
  <c r="Y1146" i="13"/>
  <c r="AH1146" i="13" s="1"/>
  <c r="Y588" i="13"/>
  <c r="AH588" i="13" s="1"/>
  <c r="AG744" i="13"/>
  <c r="AG463" i="13"/>
  <c r="AG258" i="13"/>
  <c r="AG709" i="13"/>
  <c r="AG226" i="13"/>
  <c r="AG551" i="13"/>
  <c r="AG484" i="13"/>
  <c r="AG494" i="13"/>
  <c r="AG1186" i="13"/>
  <c r="AG986" i="13"/>
  <c r="Y987" i="13"/>
  <c r="AH987" i="13" s="1"/>
  <c r="Y560" i="13"/>
  <c r="AH560" i="13" s="1"/>
  <c r="Y234" i="13"/>
  <c r="AH234" i="13" s="1"/>
  <c r="Y14" i="13"/>
  <c r="AH14" i="13" s="1"/>
  <c r="AG865" i="13"/>
  <c r="Y575" i="13"/>
  <c r="AH575" i="13" s="1"/>
  <c r="AG20" i="13"/>
  <c r="Y1153" i="13"/>
  <c r="AH1153" i="13" s="1"/>
  <c r="AG1113" i="13"/>
  <c r="AG737" i="13"/>
  <c r="Y731" i="13"/>
  <c r="AH731" i="13" s="1"/>
  <c r="AG610" i="13"/>
  <c r="Y359" i="13"/>
  <c r="AH359" i="13" s="1"/>
  <c r="AG212" i="13"/>
  <c r="Y18" i="13"/>
  <c r="AH18" i="13" s="1"/>
  <c r="AG8" i="13"/>
  <c r="Y321" i="13"/>
  <c r="AH321" i="13" s="1"/>
  <c r="Y180" i="13"/>
  <c r="AH180" i="13" s="1"/>
  <c r="Y1189" i="13"/>
  <c r="AH1189" i="13" s="1"/>
  <c r="AG851" i="13"/>
  <c r="Y953" i="13"/>
  <c r="AH953" i="13" s="1"/>
  <c r="AG1246" i="13"/>
  <c r="Y948" i="13"/>
  <c r="AH948" i="13" s="1"/>
  <c r="AG915" i="13"/>
  <c r="AG935" i="13"/>
  <c r="AG628" i="13"/>
  <c r="AG557" i="13"/>
  <c r="AG563" i="13"/>
  <c r="Y384" i="13"/>
  <c r="AH384" i="13" s="1"/>
  <c r="AG38" i="13"/>
  <c r="AG606" i="13"/>
  <c r="AG576" i="13"/>
  <c r="AG240" i="13"/>
  <c r="AG930" i="13"/>
  <c r="Y127" i="13"/>
  <c r="AH127" i="13" s="1"/>
  <c r="AG626" i="13"/>
  <c r="AG1200" i="13"/>
  <c r="AG1075" i="13"/>
  <c r="Y760" i="13"/>
  <c r="AH760" i="13" s="1"/>
  <c r="AG442" i="13"/>
  <c r="AG15" i="13"/>
  <c r="AG1063" i="13"/>
  <c r="AG833" i="13"/>
  <c r="Y875" i="13"/>
  <c r="AH875" i="13" s="1"/>
  <c r="AG839" i="13"/>
  <c r="Y664" i="13"/>
  <c r="AH664" i="13" s="1"/>
  <c r="Y613" i="13"/>
  <c r="AH613" i="13" s="1"/>
  <c r="AG502" i="13"/>
  <c r="Y402" i="13"/>
  <c r="AH402" i="13" s="1"/>
  <c r="AG355" i="13"/>
  <c r="Y262" i="13"/>
  <c r="AH262" i="13" s="1"/>
  <c r="Y238" i="13"/>
  <c r="AH238" i="13" s="1"/>
  <c r="AG1223" i="13"/>
  <c r="AG1159" i="13"/>
  <c r="AG711" i="13"/>
  <c r="Y525" i="13"/>
  <c r="AH525" i="13" s="1"/>
  <c r="Y616" i="13"/>
  <c r="AH616" i="13" s="1"/>
  <c r="Y426" i="13"/>
  <c r="AH426" i="13" s="1"/>
  <c r="Y310" i="13"/>
  <c r="AH310" i="13" s="1"/>
  <c r="AG392" i="13"/>
  <c r="Y569" i="13"/>
  <c r="AH569" i="13" s="1"/>
  <c r="AG757" i="13"/>
  <c r="Y1023" i="13"/>
  <c r="AH1023" i="13" s="1"/>
  <c r="AG907" i="13"/>
  <c r="AG622" i="13"/>
  <c r="Y452" i="13"/>
  <c r="AH452" i="13" s="1"/>
  <c r="Y142" i="13"/>
  <c r="AH142" i="13" s="1"/>
  <c r="AG448" i="13"/>
  <c r="AG308" i="13"/>
  <c r="Y378" i="13"/>
  <c r="AH378" i="13" s="1"/>
  <c r="Y333" i="13"/>
  <c r="AH333" i="13" s="1"/>
  <c r="AG204" i="13"/>
  <c r="AG1257" i="13"/>
  <c r="Y1120" i="13"/>
  <c r="AH1120" i="13" s="1"/>
  <c r="AG867" i="13"/>
  <c r="Y1207" i="13"/>
  <c r="AH1207" i="13" s="1"/>
  <c r="AG715" i="13"/>
  <c r="Y1094" i="13"/>
  <c r="AH1094" i="13" s="1"/>
  <c r="AG891" i="13"/>
  <c r="AG929" i="13"/>
  <c r="Y649" i="13"/>
  <c r="AH649" i="13" s="1"/>
  <c r="AG699" i="13"/>
  <c r="Y729" i="13"/>
  <c r="AH729" i="13" s="1"/>
  <c r="AG685" i="13"/>
  <c r="AG254" i="13"/>
  <c r="AG337" i="13"/>
  <c r="Y192" i="13"/>
  <c r="AH192" i="13" s="1"/>
  <c r="Y100" i="13"/>
  <c r="AH100" i="13" s="1"/>
  <c r="AG163" i="13"/>
  <c r="AG109" i="13"/>
  <c r="Y686" i="13"/>
  <c r="AH686" i="13" s="1"/>
  <c r="Y1213" i="13"/>
  <c r="AH1213" i="13" s="1"/>
  <c r="AG897" i="13"/>
  <c r="AG735" i="13"/>
  <c r="Y524" i="13"/>
  <c r="AH524" i="13" s="1"/>
  <c r="AG44" i="13"/>
  <c r="AG278" i="13"/>
  <c r="Y354" i="13"/>
  <c r="AH354" i="13" s="1"/>
  <c r="Y106" i="13"/>
  <c r="AH106" i="13" s="1"/>
  <c r="AG94" i="13"/>
  <c r="Y21" i="13"/>
  <c r="AH21" i="13" s="1"/>
  <c r="AG42" i="13"/>
  <c r="AG1053" i="13"/>
  <c r="AG876" i="13"/>
  <c r="AG843" i="13"/>
  <c r="AG228" i="13"/>
  <c r="AG130" i="13"/>
  <c r="AG1151" i="13"/>
  <c r="AG855" i="13"/>
  <c r="AG1114" i="13"/>
  <c r="AG999" i="13"/>
  <c r="AG1157" i="13"/>
  <c r="AG504" i="13"/>
  <c r="AG434" i="13"/>
  <c r="AG300" i="13"/>
  <c r="AG811" i="13"/>
  <c r="AG242" i="13"/>
  <c r="AG1243" i="13"/>
  <c r="Y157" i="13"/>
  <c r="AH157" i="13" s="1"/>
  <c r="AG1133" i="13"/>
  <c r="AG600" i="13"/>
  <c r="AG624" i="13"/>
  <c r="AG1025" i="13"/>
  <c r="Y829" i="13"/>
  <c r="AH829" i="13" s="1"/>
  <c r="AG995" i="13"/>
  <c r="AG528" i="13"/>
  <c r="AG566" i="13"/>
  <c r="AG1071" i="13"/>
  <c r="Y1002" i="13"/>
  <c r="AH1002" i="13" s="1"/>
  <c r="AG1224" i="13"/>
  <c r="AG730" i="13"/>
  <c r="AG691" i="13"/>
  <c r="AG288" i="13"/>
  <c r="Y208" i="13"/>
  <c r="AH208" i="13" s="1"/>
  <c r="Y236" i="13"/>
  <c r="AH236" i="13" s="1"/>
  <c r="AG919" i="13"/>
  <c r="Y717" i="13"/>
  <c r="AH717" i="13" s="1"/>
  <c r="AG1097" i="13"/>
  <c r="Y899" i="13"/>
  <c r="AH899" i="13" s="1"/>
  <c r="Y564" i="13"/>
  <c r="AH564" i="13" s="1"/>
  <c r="AG614" i="13"/>
  <c r="AG166" i="13"/>
  <c r="AG762" i="13"/>
  <c r="Y748" i="13"/>
  <c r="AH748" i="13" s="1"/>
  <c r="Y646" i="13"/>
  <c r="AH646" i="13" s="1"/>
  <c r="Y292" i="13"/>
  <c r="AH292" i="13" s="1"/>
  <c r="AG1212" i="13"/>
  <c r="AG900" i="13"/>
  <c r="Y1219" i="13"/>
  <c r="AH1219" i="13" s="1"/>
  <c r="Y1156" i="13"/>
  <c r="AH1156" i="13" s="1"/>
  <c r="AG1203" i="13"/>
  <c r="AG482" i="13"/>
  <c r="AG462" i="13"/>
  <c r="AG516" i="13"/>
  <c r="AG1149" i="13"/>
  <c r="AG1077" i="13"/>
  <c r="Y765" i="13"/>
  <c r="AH765" i="13" s="1"/>
  <c r="AG775" i="13"/>
  <c r="AG314" i="13"/>
  <c r="AG373" i="13"/>
  <c r="Y304" i="13"/>
  <c r="AH304" i="13" s="1"/>
  <c r="Y776" i="13"/>
  <c r="AH776" i="13" s="1"/>
  <c r="AG1218" i="13"/>
  <c r="Y534" i="13"/>
  <c r="AH534" i="13" s="1"/>
  <c r="AG909" i="13"/>
  <c r="AG1076" i="13"/>
  <c r="Y1115" i="13"/>
  <c r="AH1115" i="13" s="1"/>
  <c r="AG324" i="13"/>
  <c r="AG1018" i="13"/>
  <c r="AG853" i="13"/>
  <c r="AG823" i="13"/>
  <c r="Y824" i="13"/>
  <c r="AH824" i="13" s="1"/>
  <c r="Y651" i="13"/>
  <c r="AH651" i="13" s="1"/>
  <c r="AG318" i="13"/>
  <c r="Y1227" i="13"/>
  <c r="AH1227" i="13" s="1"/>
  <c r="AG1001" i="13"/>
  <c r="AG887" i="13"/>
  <c r="Y371" i="13"/>
  <c r="AH371" i="13" s="1"/>
  <c r="AG58" i="13"/>
  <c r="AG903" i="13"/>
  <c r="AG465" i="13"/>
  <c r="AG325" i="13"/>
  <c r="AG26" i="13"/>
  <c r="AG320" i="13"/>
  <c r="AG719" i="13"/>
  <c r="AG1258" i="13"/>
  <c r="AG1007" i="13"/>
  <c r="AG835" i="13"/>
  <c r="AG821" i="13"/>
  <c r="AG458" i="13"/>
  <c r="AG486" i="13"/>
  <c r="AG480" i="13"/>
  <c r="AG302" i="13"/>
  <c r="AG270" i="13"/>
  <c r="AG276" i="13"/>
  <c r="AG124" i="13"/>
  <c r="Y12" i="13"/>
  <c r="AH12" i="13" s="1"/>
  <c r="AG1079" i="13"/>
  <c r="AG464" i="13"/>
  <c r="Y256" i="13"/>
  <c r="AH256" i="13" s="1"/>
  <c r="AG218" i="13"/>
  <c r="AG210" i="13"/>
  <c r="Y1020" i="13"/>
  <c r="AH1020" i="13" s="1"/>
  <c r="AG1236" i="13"/>
  <c r="Y1183" i="13"/>
  <c r="AH1183" i="13" s="1"/>
  <c r="AG801" i="13"/>
  <c r="Y396" i="13"/>
  <c r="AH396" i="13" s="1"/>
  <c r="AG466" i="13"/>
  <c r="AG1049" i="13"/>
  <c r="AG1119" i="13"/>
  <c r="AG977" i="13"/>
  <c r="AG905" i="13"/>
  <c r="AG659" i="13"/>
  <c r="Y570" i="13"/>
  <c r="AH570" i="13" s="1"/>
  <c r="Y179" i="13"/>
  <c r="AH179" i="13" s="1"/>
  <c r="AG190" i="13"/>
  <c r="Y1194" i="13"/>
  <c r="AH1194" i="13" s="1"/>
  <c r="Y661" i="13"/>
  <c r="AH661" i="13" s="1"/>
  <c r="Y631" i="13"/>
  <c r="AH631" i="13" s="1"/>
  <c r="Y515" i="13"/>
  <c r="AH515" i="13" s="1"/>
  <c r="AG788" i="13"/>
  <c r="Y1068" i="13"/>
  <c r="AH1068" i="13" s="1"/>
  <c r="AG881" i="13"/>
  <c r="AG599" i="13"/>
  <c r="Y1177" i="13"/>
  <c r="AH1177" i="13" s="1"/>
  <c r="AG803" i="13"/>
  <c r="Y1062" i="13"/>
  <c r="AH1062" i="13" s="1"/>
  <c r="AG1067" i="13"/>
  <c r="AG893" i="13"/>
  <c r="AG793" i="13"/>
  <c r="Y527" i="13"/>
  <c r="AH527" i="13" s="1"/>
  <c r="AG1132" i="13"/>
  <c r="AG1093" i="13"/>
  <c r="Y773" i="13"/>
  <c r="AH773" i="13" s="1"/>
  <c r="Y1035" i="13"/>
  <c r="AH1035" i="13" s="1"/>
  <c r="AG1056" i="13"/>
  <c r="AG460" i="13"/>
  <c r="AG136" i="13"/>
  <c r="Y1143" i="13"/>
  <c r="AH1143" i="13" s="1"/>
  <c r="Y488" i="13"/>
  <c r="AH488" i="13" s="1"/>
  <c r="Y1037" i="13"/>
  <c r="AH1037" i="13" s="1"/>
  <c r="AG994" i="13"/>
  <c r="Y989" i="13"/>
  <c r="AH989" i="13" s="1"/>
  <c r="Y734" i="13"/>
  <c r="AH734" i="13" s="1"/>
  <c r="AG632" i="13"/>
  <c r="Y62" i="13"/>
  <c r="AH62" i="13" s="1"/>
  <c r="AG1247" i="13"/>
  <c r="Y1016" i="13"/>
  <c r="AH1016" i="13" s="1"/>
  <c r="AG1036" i="13"/>
  <c r="Y1231" i="13"/>
  <c r="AH1231" i="13" s="1"/>
  <c r="AG683" i="13"/>
  <c r="Y1118" i="13"/>
  <c r="AH1118" i="13" s="1"/>
  <c r="AG1101" i="13"/>
  <c r="AG883" i="13"/>
  <c r="Y721" i="13"/>
  <c r="AH721" i="13" s="1"/>
  <c r="Y679" i="13"/>
  <c r="AH679" i="13" s="1"/>
  <c r="AG306" i="13"/>
  <c r="AG151" i="13"/>
  <c r="AG1172" i="13"/>
  <c r="AG1129" i="13"/>
  <c r="AG879" i="13"/>
  <c r="AG572" i="13"/>
  <c r="Y522" i="13"/>
  <c r="AH522" i="13" s="1"/>
  <c r="AG266" i="13"/>
  <c r="AG342" i="13"/>
  <c r="AG295" i="13"/>
  <c r="AG277" i="13"/>
  <c r="Y344" i="13"/>
  <c r="AH344" i="13" s="1"/>
  <c r="Y1138" i="13"/>
  <c r="AH1138" i="13" s="1"/>
  <c r="AG1141" i="13"/>
  <c r="Y1050" i="13"/>
  <c r="AH1050" i="13" s="1"/>
  <c r="AG1111" i="13"/>
  <c r="Y965" i="13"/>
  <c r="AH965" i="13" s="1"/>
  <c r="Y845" i="13"/>
  <c r="AH845" i="13" s="1"/>
  <c r="AG695" i="13"/>
  <c r="Y630" i="13"/>
  <c r="AH630" i="13" s="1"/>
  <c r="Y645" i="13"/>
  <c r="AH645" i="13" s="1"/>
  <c r="AG260" i="13"/>
  <c r="AG198" i="13"/>
  <c r="AG1176" i="13"/>
  <c r="AG222" i="13"/>
  <c r="Y947" i="13"/>
  <c r="AH947" i="13" s="1"/>
  <c r="AG667" i="13"/>
  <c r="Y593" i="13"/>
  <c r="AH593" i="13" s="1"/>
  <c r="Y280" i="13"/>
  <c r="AH280" i="13" s="1"/>
  <c r="Y65" i="13"/>
  <c r="AH65" i="13" s="1"/>
  <c r="Y1034" i="13"/>
  <c r="AH1034" i="13" s="1"/>
  <c r="AG145" i="13"/>
  <c r="Y1078" i="13"/>
  <c r="AH1078" i="13" s="1"/>
  <c r="AG871" i="13"/>
  <c r="Y1166" i="13"/>
  <c r="AH1166" i="13" s="1"/>
  <c r="Y1041" i="13"/>
  <c r="AH1041" i="13" s="1"/>
  <c r="AG655" i="13"/>
  <c r="Y703" i="13"/>
  <c r="AH703" i="13" s="1"/>
  <c r="Y512" i="13"/>
  <c r="AH512" i="13" s="1"/>
  <c r="Y432" i="13"/>
  <c r="AH432" i="13" s="1"/>
  <c r="AG248" i="13"/>
  <c r="AG478" i="13"/>
  <c r="Y444" i="13"/>
  <c r="AH444" i="13" s="1"/>
  <c r="Y341" i="13"/>
  <c r="AH341" i="13" s="1"/>
  <c r="AG133" i="13"/>
  <c r="Y47" i="13"/>
  <c r="AH47" i="13" s="1"/>
  <c r="AG39" i="13"/>
  <c r="AG61" i="13"/>
  <c r="AG6" i="13"/>
  <c r="Y634" i="13"/>
  <c r="AH634" i="13" s="1"/>
  <c r="AG807" i="13"/>
  <c r="Y1130" i="13"/>
  <c r="AH1130" i="13" s="1"/>
  <c r="AG1117" i="13"/>
  <c r="Y1102" i="13"/>
  <c r="AH1102" i="13" s="1"/>
  <c r="Y984" i="13"/>
  <c r="AH984" i="13" s="1"/>
  <c r="Y878" i="13"/>
  <c r="AH878" i="13" s="1"/>
  <c r="AG837" i="13"/>
  <c r="AG917" i="13"/>
  <c r="AG367" i="13"/>
  <c r="AG284" i="13"/>
  <c r="AG374" i="13"/>
  <c r="Y1047" i="13"/>
  <c r="AH1047" i="13" s="1"/>
  <c r="AG941" i="13"/>
  <c r="AG805" i="13"/>
  <c r="Y365" i="13"/>
  <c r="AH365" i="13" s="1"/>
  <c r="Y230" i="13"/>
  <c r="AH230" i="13" s="1"/>
  <c r="AG1121" i="13"/>
  <c r="AG587" i="13"/>
  <c r="Y335" i="13"/>
  <c r="AH335" i="13" s="1"/>
  <c r="Y377" i="13"/>
  <c r="AH377" i="13" s="1"/>
  <c r="Y286" i="13"/>
  <c r="AH286" i="13" s="1"/>
  <c r="Y362" i="13"/>
  <c r="AH362" i="13" s="1"/>
  <c r="AG169" i="13"/>
  <c r="AG220" i="13"/>
  <c r="AG1199" i="13"/>
  <c r="AG1161" i="13"/>
  <c r="AG983" i="13"/>
  <c r="AG847" i="13"/>
  <c r="Y644" i="13"/>
  <c r="AH644" i="13" s="1"/>
  <c r="Y739" i="13"/>
  <c r="AH739" i="13" s="1"/>
  <c r="AG584" i="13"/>
  <c r="AG272" i="13"/>
  <c r="AG188" i="13"/>
  <c r="AG841" i="13"/>
  <c r="AG1234" i="13"/>
  <c r="Y978" i="13"/>
  <c r="AH978" i="13" s="1"/>
  <c r="AG927" i="13"/>
  <c r="AG781" i="13"/>
  <c r="Y316" i="13"/>
  <c r="AH316" i="13" s="1"/>
  <c r="Y274" i="13"/>
  <c r="AH274" i="13" s="1"/>
  <c r="AG154" i="13"/>
  <c r="AG112" i="13"/>
  <c r="Y1150" i="13"/>
  <c r="AH1150" i="13" s="1"/>
  <c r="AG642" i="13"/>
  <c r="AG446" i="13"/>
  <c r="Y244" i="13"/>
  <c r="AH244" i="13" s="1"/>
  <c r="AG330" i="13"/>
  <c r="AG202" i="13"/>
  <c r="AG97" i="13"/>
  <c r="AG36" i="13"/>
  <c r="Y768" i="13"/>
  <c r="AH768" i="13" s="1"/>
  <c r="AG103" i="13"/>
  <c r="Y1237" i="13"/>
  <c r="AH1237" i="13" s="1"/>
  <c r="AG1095" i="13"/>
  <c r="AG1131" i="13"/>
  <c r="Y942" i="13"/>
  <c r="AH942" i="13" s="1"/>
  <c r="AG859" i="13"/>
  <c r="Y806" i="13"/>
  <c r="AH806" i="13" s="1"/>
  <c r="Y969" i="13"/>
  <c r="AH969" i="13" s="1"/>
  <c r="AG923" i="13"/>
  <c r="AG733" i="13"/>
  <c r="AG349" i="13"/>
  <c r="Y298" i="13"/>
  <c r="AH298" i="13" s="1"/>
  <c r="AG774" i="13"/>
  <c r="Y774" i="13"/>
  <c r="AH774" i="13" s="1"/>
  <c r="AG1198" i="13"/>
  <c r="Y1198" i="13"/>
  <c r="AH1198" i="13" s="1"/>
  <c r="AG850" i="13"/>
  <c r="Y850" i="13"/>
  <c r="AH850" i="13" s="1"/>
  <c r="AG1222" i="13"/>
  <c r="Y1136" i="13"/>
  <c r="AH1136" i="13" s="1"/>
  <c r="Y1058" i="13"/>
  <c r="AH1058" i="13" s="1"/>
  <c r="AG993" i="13"/>
  <c r="AG895" i="13"/>
  <c r="AG799" i="13"/>
  <c r="AG791" i="13"/>
  <c r="AG422" i="13"/>
  <c r="AG252" i="13"/>
  <c r="AG214" i="13"/>
  <c r="AG121" i="13"/>
  <c r="AG115" i="13"/>
  <c r="AG24" i="13"/>
  <c r="AG27" i="13"/>
  <c r="Y975" i="13"/>
  <c r="AH975" i="13" s="1"/>
  <c r="Y79" i="13"/>
  <c r="AH79" i="13" s="1"/>
  <c r="AG981" i="13"/>
  <c r="Y981" i="13"/>
  <c r="AH981" i="13" s="1"/>
  <c r="Y1171" i="13"/>
  <c r="AH1171" i="13" s="1"/>
  <c r="AG1005" i="13"/>
  <c r="Y966" i="13"/>
  <c r="AH966" i="13" s="1"/>
  <c r="AG825" i="13"/>
  <c r="AG1135" i="13"/>
  <c r="AG861" i="13"/>
  <c r="AG581" i="13"/>
  <c r="AG615" i="13"/>
  <c r="Y594" i="13"/>
  <c r="AH594" i="13" s="1"/>
  <c r="AG612" i="13"/>
  <c r="AG296" i="13"/>
  <c r="AG338" i="13"/>
  <c r="Y182" i="13"/>
  <c r="AH182" i="13" s="1"/>
  <c r="Y779" i="13"/>
  <c r="AH779" i="13" s="1"/>
  <c r="AG1210" i="13"/>
  <c r="Y1210" i="13"/>
  <c r="AH1210" i="13" s="1"/>
  <c r="AG1065" i="13"/>
  <c r="Y1065" i="13"/>
  <c r="AH1065" i="13" s="1"/>
  <c r="AG1180" i="13"/>
  <c r="Y1180" i="13"/>
  <c r="AH1180" i="13" s="1"/>
  <c r="AG817" i="13"/>
  <c r="Y676" i="13"/>
  <c r="AH676" i="13" s="1"/>
  <c r="AG290" i="13"/>
  <c r="AG139" i="13"/>
  <c r="AG91" i="13"/>
  <c r="AG30" i="13"/>
  <c r="AG945" i="13"/>
  <c r="Y945" i="13"/>
  <c r="AH945" i="13" s="1"/>
  <c r="Y347" i="13"/>
  <c r="AH347" i="13" s="1"/>
  <c r="AG884" i="13"/>
  <c r="Y884" i="13"/>
  <c r="AH884" i="13" s="1"/>
  <c r="AG1109" i="13"/>
  <c r="Y1109" i="13"/>
  <c r="AH1109" i="13" s="1"/>
  <c r="AG1085" i="13"/>
  <c r="Y1085" i="13"/>
  <c r="AH1085" i="13" s="1"/>
  <c r="AG957" i="13"/>
  <c r="Y957" i="13"/>
  <c r="AH957" i="13" s="1"/>
  <c r="Y1230" i="13"/>
  <c r="AH1230" i="13" s="1"/>
  <c r="AG1230" i="13"/>
  <c r="Y1190" i="13"/>
  <c r="AH1190" i="13" s="1"/>
  <c r="AG1190" i="13"/>
  <c r="Y1165" i="13"/>
  <c r="AH1165" i="13" s="1"/>
  <c r="AG1165" i="13"/>
  <c r="AG797" i="13"/>
  <c r="Y797" i="13"/>
  <c r="AH797" i="13" s="1"/>
  <c r="AG972" i="13"/>
  <c r="Y972" i="13"/>
  <c r="AH972" i="13" s="1"/>
  <c r="Y889" i="13"/>
  <c r="AH889" i="13" s="1"/>
  <c r="AG889" i="13"/>
  <c r="AG1096" i="13"/>
  <c r="Y1096" i="13"/>
  <c r="AH1096" i="13" s="1"/>
  <c r="AG1014" i="13"/>
  <c r="Y1014" i="13"/>
  <c r="AH1014" i="13" s="1"/>
  <c r="Y1103" i="13"/>
  <c r="AH1103" i="13" s="1"/>
  <c r="AG1103" i="13"/>
  <c r="AG681" i="13"/>
  <c r="Y681" i="13"/>
  <c r="AH681" i="13" s="1"/>
  <c r="Y970" i="13"/>
  <c r="AH970" i="13" s="1"/>
  <c r="AG970" i="13"/>
  <c r="AG896" i="13"/>
  <c r="Y896" i="13"/>
  <c r="AH896" i="13" s="1"/>
  <c r="AG763" i="13"/>
  <c r="Y763" i="13"/>
  <c r="AH763" i="13" s="1"/>
  <c r="AG838" i="13"/>
  <c r="Y838" i="13"/>
  <c r="AH838" i="13" s="1"/>
  <c r="AG67" i="13"/>
  <c r="Y67" i="13"/>
  <c r="AH67" i="13" s="1"/>
  <c r="AG1168" i="13"/>
  <c r="Y1168" i="13"/>
  <c r="AH1168" i="13" s="1"/>
  <c r="AG971" i="13"/>
  <c r="Y971" i="13"/>
  <c r="AH971" i="13" s="1"/>
  <c r="AG827" i="13"/>
  <c r="Y827" i="13"/>
  <c r="AH827" i="13" s="1"/>
  <c r="AG809" i="13"/>
  <c r="Y809" i="13"/>
  <c r="AH809" i="13" s="1"/>
  <c r="AG800" i="13"/>
  <c r="Y800" i="13"/>
  <c r="AH800" i="13" s="1"/>
  <c r="Y959" i="13"/>
  <c r="AH959" i="13" s="1"/>
  <c r="AG959" i="13"/>
  <c r="Y751" i="13"/>
  <c r="AH751" i="13" s="1"/>
  <c r="AG751" i="13"/>
  <c r="Y386" i="13"/>
  <c r="AH386" i="13" s="1"/>
  <c r="AG386" i="13"/>
  <c r="AG1099" i="13"/>
  <c r="Y1099" i="13"/>
  <c r="AH1099" i="13" s="1"/>
  <c r="AG992" i="13"/>
  <c r="Y992" i="13"/>
  <c r="AH992" i="13" s="1"/>
  <c r="Y925" i="13"/>
  <c r="AH925" i="13" s="1"/>
  <c r="AG925" i="13"/>
  <c r="Y913" i="13"/>
  <c r="AH913" i="13" s="1"/>
  <c r="AG913" i="13"/>
  <c r="Y1147" i="13"/>
  <c r="AH1147" i="13" s="1"/>
  <c r="AG1147" i="13"/>
  <c r="AG784" i="13"/>
  <c r="Y784" i="13"/>
  <c r="AH784" i="13" s="1"/>
  <c r="AG858" i="13"/>
  <c r="Y858" i="13"/>
  <c r="AH858" i="13" s="1"/>
  <c r="AG668" i="13"/>
  <c r="Y668" i="13"/>
  <c r="AH668" i="13" s="1"/>
  <c r="AG531" i="13"/>
  <c r="Y531" i="13"/>
  <c r="AH531" i="13" s="1"/>
  <c r="AG453" i="13"/>
  <c r="Y453" i="13"/>
  <c r="AH453" i="13" s="1"/>
  <c r="AG1192" i="13"/>
  <c r="Y1192" i="13"/>
  <c r="AH1192" i="13" s="1"/>
  <c r="AG990" i="13"/>
  <c r="Y990" i="13"/>
  <c r="AH990" i="13" s="1"/>
  <c r="AG815" i="13"/>
  <c r="Y815" i="13"/>
  <c r="AH815" i="13" s="1"/>
  <c r="AG1225" i="13"/>
  <c r="Y1225" i="13"/>
  <c r="AH1225" i="13" s="1"/>
  <c r="Y877" i="13"/>
  <c r="AH877" i="13" s="1"/>
  <c r="AG877" i="13"/>
  <c r="AG933" i="13"/>
  <c r="Y933" i="13"/>
  <c r="AH933" i="13" s="1"/>
  <c r="AG792" i="13"/>
  <c r="Y792" i="13"/>
  <c r="AH792" i="13" s="1"/>
  <c r="Y857" i="13"/>
  <c r="AH857" i="13" s="1"/>
  <c r="AG857" i="13"/>
  <c r="AG329" i="13"/>
  <c r="Y329" i="13"/>
  <c r="AH329" i="13" s="1"/>
  <c r="AG85" i="13"/>
  <c r="Y85" i="13"/>
  <c r="AH85" i="13" s="1"/>
  <c r="Y206" i="13"/>
  <c r="AH206" i="13" s="1"/>
  <c r="AG206" i="13"/>
  <c r="Y1061" i="13"/>
  <c r="AH1061" i="13" s="1"/>
  <c r="AG1061" i="13"/>
  <c r="AG1008" i="13"/>
  <c r="Y1008" i="13"/>
  <c r="AH1008" i="13" s="1"/>
  <c r="AG818" i="13"/>
  <c r="Y818" i="13"/>
  <c r="AH818" i="13" s="1"/>
  <c r="Y1038" i="13"/>
  <c r="AH1038" i="13" s="1"/>
  <c r="AG1038" i="13"/>
  <c r="AG786" i="13"/>
  <c r="Y786" i="13"/>
  <c r="AH786" i="13" s="1"/>
  <c r="AG56" i="13"/>
  <c r="Y56" i="13"/>
  <c r="AH56" i="13" s="1"/>
  <c r="AG399" i="13"/>
  <c r="Y399" i="13"/>
  <c r="AH399" i="13" s="1"/>
  <c r="AG1244" i="13"/>
  <c r="Y1244" i="13"/>
  <c r="AH1244" i="13" s="1"/>
  <c r="Y1026" i="13"/>
  <c r="AH1026" i="13" s="1"/>
  <c r="AG1026" i="13"/>
  <c r="AG663" i="13"/>
  <c r="Y663" i="13"/>
  <c r="AH663" i="13" s="1"/>
  <c r="Y783" i="13"/>
  <c r="AH783" i="13" s="1"/>
  <c r="AG783" i="13"/>
  <c r="Y404" i="13"/>
  <c r="AH404" i="13" s="1"/>
  <c r="AG404" i="13"/>
  <c r="AG519" i="13"/>
  <c r="Y519" i="13"/>
  <c r="AH519" i="13" s="1"/>
  <c r="Y232" i="13"/>
  <c r="AH232" i="13" s="1"/>
  <c r="AG232" i="13"/>
  <c r="AG73" i="13"/>
  <c r="Y73" i="13"/>
  <c r="AH73" i="13" s="1"/>
  <c r="Y1184" i="13"/>
  <c r="AH1184" i="13" s="1"/>
  <c r="AG1184" i="13"/>
  <c r="AG1188" i="13"/>
  <c r="Y1188" i="13"/>
  <c r="AH1188" i="13" s="1"/>
  <c r="AG1082" i="13"/>
  <c r="Y1082" i="13"/>
  <c r="AH1082" i="13" s="1"/>
  <c r="Y1179" i="13"/>
  <c r="AH1179" i="13" s="1"/>
  <c r="AG1179" i="13"/>
  <c r="AG1233" i="13"/>
  <c r="Y1233" i="13"/>
  <c r="AH1233" i="13" s="1"/>
  <c r="Y1226" i="13"/>
  <c r="AH1226" i="13" s="1"/>
  <c r="AG1226" i="13"/>
  <c r="Y1125" i="13"/>
  <c r="AH1125" i="13" s="1"/>
  <c r="AG1125" i="13"/>
  <c r="Y1081" i="13"/>
  <c r="AH1081" i="13" s="1"/>
  <c r="AG1081" i="13"/>
  <c r="Y1108" i="13"/>
  <c r="AH1108" i="13" s="1"/>
  <c r="AG1108" i="13"/>
  <c r="Y1052" i="13"/>
  <c r="AH1052" i="13" s="1"/>
  <c r="AG1052" i="13"/>
  <c r="Y1232" i="13"/>
  <c r="AH1232" i="13" s="1"/>
  <c r="AG1232" i="13"/>
  <c r="AG1123" i="13"/>
  <c r="Y1123" i="13"/>
  <c r="AH1123" i="13" s="1"/>
  <c r="Y1197" i="13"/>
  <c r="AH1197" i="13" s="1"/>
  <c r="AG1197" i="13"/>
  <c r="Y1215" i="13"/>
  <c r="AH1215" i="13" s="1"/>
  <c r="AG1215" i="13"/>
  <c r="AG1110" i="13"/>
  <c r="Y1110" i="13"/>
  <c r="AH1110" i="13" s="1"/>
  <c r="Y1003" i="13"/>
  <c r="AH1003" i="13" s="1"/>
  <c r="AG1003" i="13"/>
  <c r="Y1042" i="13"/>
  <c r="AH1042" i="13" s="1"/>
  <c r="AG1042" i="13"/>
  <c r="AG974" i="13"/>
  <c r="Y974" i="13"/>
  <c r="AH974" i="13" s="1"/>
  <c r="AG938" i="13"/>
  <c r="Y938" i="13"/>
  <c r="AH938" i="13" s="1"/>
  <c r="Y1028" i="13"/>
  <c r="AH1028" i="13" s="1"/>
  <c r="AG1028" i="13"/>
  <c r="Y985" i="13"/>
  <c r="AH985" i="13" s="1"/>
  <c r="AG985" i="13"/>
  <c r="Y932" i="13"/>
  <c r="AH932" i="13" s="1"/>
  <c r="AG932" i="13"/>
  <c r="Y1064" i="13"/>
  <c r="AH1064" i="13" s="1"/>
  <c r="AG1064" i="13"/>
  <c r="AG619" i="13"/>
  <c r="Y619" i="13"/>
  <c r="AH619" i="13" s="1"/>
  <c r="Y583" i="13"/>
  <c r="AH583" i="13" s="1"/>
  <c r="AG583" i="13"/>
  <c r="Y648" i="13"/>
  <c r="AH648" i="13" s="1"/>
  <c r="AG648" i="13"/>
  <c r="Y675" i="13"/>
  <c r="AH675" i="13" s="1"/>
  <c r="AG675" i="13"/>
  <c r="Y556" i="13"/>
  <c r="AH556" i="13" s="1"/>
  <c r="AG556" i="13"/>
  <c r="AG508" i="13"/>
  <c r="Y508" i="13"/>
  <c r="AH508" i="13" s="1"/>
  <c r="AG454" i="13"/>
  <c r="Y454" i="13"/>
  <c r="AH454" i="13" s="1"/>
  <c r="Y505" i="13"/>
  <c r="AH505" i="13" s="1"/>
  <c r="AG505" i="13"/>
  <c r="Y451" i="13"/>
  <c r="AH451" i="13" s="1"/>
  <c r="AG451" i="13"/>
  <c r="AG521" i="13"/>
  <c r="Y521" i="13"/>
  <c r="AH521" i="13" s="1"/>
  <c r="AG491" i="13"/>
  <c r="Y491" i="13"/>
  <c r="AH491" i="13" s="1"/>
  <c r="Y457" i="13"/>
  <c r="AH457" i="13" s="1"/>
  <c r="AG457" i="13"/>
  <c r="Y562" i="13"/>
  <c r="AH562" i="13" s="1"/>
  <c r="AG562" i="13"/>
  <c r="Y514" i="13"/>
  <c r="AH514" i="13" s="1"/>
  <c r="AG514" i="13"/>
  <c r="AG366" i="13"/>
  <c r="Y366" i="13"/>
  <c r="AH366" i="13" s="1"/>
  <c r="AG348" i="13"/>
  <c r="Y348" i="13"/>
  <c r="AH348" i="13" s="1"/>
  <c r="Y293" i="13"/>
  <c r="AH293" i="13" s="1"/>
  <c r="AG293" i="13"/>
  <c r="Y257" i="13"/>
  <c r="AH257" i="13" s="1"/>
  <c r="AG257" i="13"/>
  <c r="AG419" i="13"/>
  <c r="Y419" i="13"/>
  <c r="AH419" i="13" s="1"/>
  <c r="AG407" i="13"/>
  <c r="Y407" i="13"/>
  <c r="AH407" i="13" s="1"/>
  <c r="AG395" i="13"/>
  <c r="Y395" i="13"/>
  <c r="AH395" i="13" s="1"/>
  <c r="AG383" i="13"/>
  <c r="Y383" i="13"/>
  <c r="AH383" i="13" s="1"/>
  <c r="Y352" i="13"/>
  <c r="AH352" i="13" s="1"/>
  <c r="AG352" i="13"/>
  <c r="AG170" i="13"/>
  <c r="Y170" i="13"/>
  <c r="AH170" i="13" s="1"/>
  <c r="Y184" i="13"/>
  <c r="AH184" i="13" s="1"/>
  <c r="AG184" i="13"/>
  <c r="Y153" i="13"/>
  <c r="AH153" i="13" s="1"/>
  <c r="AG153" i="13"/>
  <c r="Y117" i="13"/>
  <c r="AH117" i="13" s="1"/>
  <c r="AG117" i="13"/>
  <c r="Y87" i="13"/>
  <c r="AH87" i="13" s="1"/>
  <c r="AG87" i="13"/>
  <c r="AG25" i="13"/>
  <c r="Y25" i="13"/>
  <c r="AH25" i="13" s="1"/>
  <c r="AG1191" i="13"/>
  <c r="Y1191" i="13"/>
  <c r="AH1191" i="13" s="1"/>
  <c r="AG1206" i="13"/>
  <c r="Y1206" i="13"/>
  <c r="AH1206" i="13" s="1"/>
  <c r="Y1170" i="13"/>
  <c r="AH1170" i="13" s="1"/>
  <c r="AG1170" i="13"/>
  <c r="Y1126" i="13"/>
  <c r="AH1126" i="13" s="1"/>
  <c r="AG1126" i="13"/>
  <c r="Y1107" i="13"/>
  <c r="AH1107" i="13" s="1"/>
  <c r="AG1107" i="13"/>
  <c r="Y1031" i="13"/>
  <c r="AH1031" i="13" s="1"/>
  <c r="AG1031" i="13"/>
  <c r="AG1087" i="13"/>
  <c r="Y1087" i="13"/>
  <c r="AH1087" i="13" s="1"/>
  <c r="Y1040" i="13"/>
  <c r="AH1040" i="13" s="1"/>
  <c r="AG1040" i="13"/>
  <c r="AG1221" i="13"/>
  <c r="Y1221" i="13"/>
  <c r="AH1221" i="13" s="1"/>
  <c r="Y1046" i="13"/>
  <c r="AH1046" i="13" s="1"/>
  <c r="AG1046" i="13"/>
  <c r="Y1051" i="13"/>
  <c r="AH1051" i="13" s="1"/>
  <c r="AG1051" i="13"/>
  <c r="Y944" i="13"/>
  <c r="AH944" i="13" s="1"/>
  <c r="AG944" i="13"/>
  <c r="Y916" i="13"/>
  <c r="AH916" i="13" s="1"/>
  <c r="AG916" i="13"/>
  <c r="Y892" i="13"/>
  <c r="AH892" i="13" s="1"/>
  <c r="AG892" i="13"/>
  <c r="Y967" i="13"/>
  <c r="AH967" i="13" s="1"/>
  <c r="AG967" i="13"/>
  <c r="Y934" i="13"/>
  <c r="AH934" i="13" s="1"/>
  <c r="AG934" i="13"/>
  <c r="Y898" i="13"/>
  <c r="AH898" i="13" s="1"/>
  <c r="AG898" i="13"/>
  <c r="Y1033" i="13"/>
  <c r="AH1033" i="13" s="1"/>
  <c r="AG1033" i="13"/>
  <c r="Y937" i="13"/>
  <c r="AH937" i="13" s="1"/>
  <c r="AG937" i="13"/>
  <c r="AG705" i="13"/>
  <c r="Y705" i="13"/>
  <c r="AH705" i="13" s="1"/>
  <c r="AG785" i="13"/>
  <c r="Y785" i="13"/>
  <c r="AH785" i="13" s="1"/>
  <c r="Y754" i="13"/>
  <c r="AH754" i="13" s="1"/>
  <c r="AG754" i="13"/>
  <c r="Y720" i="13"/>
  <c r="AH720" i="13" s="1"/>
  <c r="AG720" i="13"/>
  <c r="AG758" i="13"/>
  <c r="Y758" i="13"/>
  <c r="AH758" i="13" s="1"/>
  <c r="AG674" i="13"/>
  <c r="Y674" i="13"/>
  <c r="AH674" i="13" s="1"/>
  <c r="Y653" i="13"/>
  <c r="AH653" i="13" s="1"/>
  <c r="AG653" i="13"/>
  <c r="AG618" i="13"/>
  <c r="Y618" i="13"/>
  <c r="AH618" i="13" s="1"/>
  <c r="AG669" i="13"/>
  <c r="Y669" i="13"/>
  <c r="AH669" i="13" s="1"/>
  <c r="Y577" i="13"/>
  <c r="AH577" i="13" s="1"/>
  <c r="AG577" i="13"/>
  <c r="AG702" i="13"/>
  <c r="Y702" i="13"/>
  <c r="AH702" i="13" s="1"/>
  <c r="AG503" i="13"/>
  <c r="Y503" i="13"/>
  <c r="AH503" i="13" s="1"/>
  <c r="AG449" i="13"/>
  <c r="Y449" i="13"/>
  <c r="AH449" i="13" s="1"/>
  <c r="Y437" i="13"/>
  <c r="AH437" i="13" s="1"/>
  <c r="AG437" i="13"/>
  <c r="AG455" i="13"/>
  <c r="Y455" i="13"/>
  <c r="AH455" i="13" s="1"/>
  <c r="Y553" i="13"/>
  <c r="AH553" i="13" s="1"/>
  <c r="AG553" i="13"/>
  <c r="Y323" i="13"/>
  <c r="AH323" i="13" s="1"/>
  <c r="AG323" i="13"/>
  <c r="Y287" i="13"/>
  <c r="AH287" i="13" s="1"/>
  <c r="AG287" i="13"/>
  <c r="Y251" i="13"/>
  <c r="AH251" i="13" s="1"/>
  <c r="AG251" i="13"/>
  <c r="AG164" i="13"/>
  <c r="Y164" i="13"/>
  <c r="AH164" i="13" s="1"/>
  <c r="AG233" i="13"/>
  <c r="Y233" i="13"/>
  <c r="AH233" i="13" s="1"/>
  <c r="Y147" i="13"/>
  <c r="AH147" i="13" s="1"/>
  <c r="AG147" i="13"/>
  <c r="Y111" i="13"/>
  <c r="AH111" i="13" s="1"/>
  <c r="AG111" i="13"/>
  <c r="AG64" i="13"/>
  <c r="Y64" i="13"/>
  <c r="AH64" i="13" s="1"/>
  <c r="Y54" i="13"/>
  <c r="AH54" i="13" s="1"/>
  <c r="AG54" i="13"/>
  <c r="AG19" i="13"/>
  <c r="Y19" i="13"/>
  <c r="AH19" i="13" s="1"/>
  <c r="Y23" i="13"/>
  <c r="AH23" i="13" s="1"/>
  <c r="AG23" i="13"/>
  <c r="Y1254" i="13"/>
  <c r="AH1254" i="13" s="1"/>
  <c r="AG1254" i="13"/>
  <c r="AG1239" i="13"/>
  <c r="Y1239" i="13"/>
  <c r="AH1239" i="13" s="1"/>
  <c r="Y1220" i="13"/>
  <c r="AH1220" i="13" s="1"/>
  <c r="AG1220" i="13"/>
  <c r="Y1238" i="13"/>
  <c r="AH1238" i="13" s="1"/>
  <c r="AG1238" i="13"/>
  <c r="AG1106" i="13"/>
  <c r="Y1106" i="13"/>
  <c r="AH1106" i="13" s="1"/>
  <c r="AG1084" i="13"/>
  <c r="Y1084" i="13"/>
  <c r="AH1084" i="13" s="1"/>
  <c r="AG1029" i="13"/>
  <c r="Y1029" i="13"/>
  <c r="AH1029" i="13" s="1"/>
  <c r="AG1124" i="13"/>
  <c r="Y1124" i="13"/>
  <c r="AH1124" i="13" s="1"/>
  <c r="AG1092" i="13"/>
  <c r="Y1092" i="13"/>
  <c r="AH1092" i="13" s="1"/>
  <c r="AG998" i="13"/>
  <c r="Y998" i="13"/>
  <c r="AH998" i="13" s="1"/>
  <c r="Y997" i="13"/>
  <c r="AH997" i="13" s="1"/>
  <c r="AG997" i="13"/>
  <c r="AG1100" i="13"/>
  <c r="Y1100" i="13"/>
  <c r="AH1100" i="13" s="1"/>
  <c r="AG1004" i="13"/>
  <c r="Y1004" i="13"/>
  <c r="AH1004" i="13" s="1"/>
  <c r="Y968" i="13"/>
  <c r="AH968" i="13" s="1"/>
  <c r="AG968" i="13"/>
  <c r="Y991" i="13"/>
  <c r="AH991" i="13" s="1"/>
  <c r="AG991" i="13"/>
  <c r="AG868" i="13"/>
  <c r="Y868" i="13"/>
  <c r="AH868" i="13" s="1"/>
  <c r="AG812" i="13"/>
  <c r="Y812" i="13"/>
  <c r="AH812" i="13" s="1"/>
  <c r="Y962" i="13"/>
  <c r="AH962" i="13" s="1"/>
  <c r="AG962" i="13"/>
  <c r="AG753" i="13"/>
  <c r="Y753" i="13"/>
  <c r="AH753" i="13" s="1"/>
  <c r="AG718" i="13"/>
  <c r="Y718" i="13"/>
  <c r="AH718" i="13" s="1"/>
  <c r="AG790" i="13"/>
  <c r="Y790" i="13"/>
  <c r="AH790" i="13" s="1"/>
  <c r="AG687" i="13"/>
  <c r="Y687" i="13"/>
  <c r="AH687" i="13" s="1"/>
  <c r="AG700" i="13"/>
  <c r="Y700" i="13"/>
  <c r="AH700" i="13" s="1"/>
  <c r="Y639" i="13"/>
  <c r="AH639" i="13" s="1"/>
  <c r="AG639" i="13"/>
  <c r="Y603" i="13"/>
  <c r="AH603" i="13" s="1"/>
  <c r="AG603" i="13"/>
  <c r="Y571" i="13"/>
  <c r="AH571" i="13" s="1"/>
  <c r="AG571" i="13"/>
  <c r="AG684" i="13"/>
  <c r="Y684" i="13"/>
  <c r="AH684" i="13" s="1"/>
  <c r="Y657" i="13"/>
  <c r="AH657" i="13" s="1"/>
  <c r="AG657" i="13"/>
  <c r="Y550" i="13"/>
  <c r="AH550" i="13" s="1"/>
  <c r="AG550" i="13"/>
  <c r="AG490" i="13"/>
  <c r="Y490" i="13"/>
  <c r="AH490" i="13" s="1"/>
  <c r="Y469" i="13"/>
  <c r="AH469" i="13" s="1"/>
  <c r="AG469" i="13"/>
  <c r="Y431" i="13"/>
  <c r="AH431" i="13" s="1"/>
  <c r="AG431" i="13"/>
  <c r="Y532" i="13"/>
  <c r="AH532" i="13" s="1"/>
  <c r="AG532" i="13"/>
  <c r="Y511" i="13"/>
  <c r="AH511" i="13" s="1"/>
  <c r="AG511" i="13"/>
  <c r="Y475" i="13"/>
  <c r="AH475" i="13" s="1"/>
  <c r="AG475" i="13"/>
  <c r="Y317" i="13"/>
  <c r="AH317" i="13" s="1"/>
  <c r="AG317" i="13"/>
  <c r="Y281" i="13"/>
  <c r="AH281" i="13" s="1"/>
  <c r="AG281" i="13"/>
  <c r="Y245" i="13"/>
  <c r="AH245" i="13" s="1"/>
  <c r="AG245" i="13"/>
  <c r="Y334" i="13"/>
  <c r="AH334" i="13" s="1"/>
  <c r="AG334" i="13"/>
  <c r="AG158" i="13"/>
  <c r="Y158" i="13"/>
  <c r="AH158" i="13" s="1"/>
  <c r="Y176" i="13"/>
  <c r="AH176" i="13" s="1"/>
  <c r="AG176" i="13"/>
  <c r="Y141" i="13"/>
  <c r="AH141" i="13" s="1"/>
  <c r="AG141" i="13"/>
  <c r="Y105" i="13"/>
  <c r="AH105" i="13" s="1"/>
  <c r="AG105" i="13"/>
  <c r="Y81" i="13"/>
  <c r="AH81" i="13" s="1"/>
  <c r="AG81" i="13"/>
  <c r="Y52" i="13"/>
  <c r="AH52" i="13" s="1"/>
  <c r="AG52" i="13"/>
  <c r="AG13" i="13"/>
  <c r="Y13" i="13"/>
  <c r="AH13" i="13" s="1"/>
  <c r="Y17" i="13"/>
  <c r="AH17" i="13" s="1"/>
  <c r="AG17" i="13"/>
  <c r="Y1249" i="13"/>
  <c r="AH1249" i="13" s="1"/>
  <c r="AG1249" i="13"/>
  <c r="Y1202" i="13"/>
  <c r="AH1202" i="13" s="1"/>
  <c r="AG1202" i="13"/>
  <c r="Y1083" i="13"/>
  <c r="AH1083" i="13" s="1"/>
  <c r="AG1083" i="13"/>
  <c r="AG1055" i="13"/>
  <c r="Y1055" i="13"/>
  <c r="AH1055" i="13" s="1"/>
  <c r="Y1070" i="13"/>
  <c r="AH1070" i="13" s="1"/>
  <c r="AG1070" i="13"/>
  <c r="Y1024" i="13"/>
  <c r="AH1024" i="13" s="1"/>
  <c r="AG1024" i="13"/>
  <c r="AG956" i="13"/>
  <c r="Y956" i="13"/>
  <c r="AH956" i="13" s="1"/>
  <c r="AG1105" i="13"/>
  <c r="Y1105" i="13"/>
  <c r="AH1105" i="13" s="1"/>
  <c r="Y1015" i="13"/>
  <c r="AH1015" i="13" s="1"/>
  <c r="AG1015" i="13"/>
  <c r="Y922" i="13"/>
  <c r="AH922" i="13" s="1"/>
  <c r="AG922" i="13"/>
  <c r="Y886" i="13"/>
  <c r="AH886" i="13" s="1"/>
  <c r="AG886" i="13"/>
  <c r="AG741" i="13"/>
  <c r="Y741" i="13"/>
  <c r="AH741" i="13" s="1"/>
  <c r="AG782" i="13"/>
  <c r="Y782" i="13"/>
  <c r="AH782" i="13" s="1"/>
  <c r="Y743" i="13"/>
  <c r="AH743" i="13" s="1"/>
  <c r="AG743" i="13"/>
  <c r="Y746" i="13"/>
  <c r="AH746" i="13" s="1"/>
  <c r="AG746" i="13"/>
  <c r="AG794" i="13"/>
  <c r="Y794" i="13"/>
  <c r="AH794" i="13" s="1"/>
  <c r="AG747" i="13"/>
  <c r="Y747" i="13"/>
  <c r="AH747" i="13" s="1"/>
  <c r="Y671" i="13"/>
  <c r="AH671" i="13" s="1"/>
  <c r="AG671" i="13"/>
  <c r="AG637" i="13"/>
  <c r="Y637" i="13"/>
  <c r="AH637" i="13" s="1"/>
  <c r="AG601" i="13"/>
  <c r="Y601" i="13"/>
  <c r="AH601" i="13" s="1"/>
  <c r="Y565" i="13"/>
  <c r="AH565" i="13" s="1"/>
  <c r="AG565" i="13"/>
  <c r="Y693" i="13"/>
  <c r="AH693" i="13" s="1"/>
  <c r="AG693" i="13"/>
  <c r="Y538" i="13"/>
  <c r="AH538" i="13" s="1"/>
  <c r="AG538" i="13"/>
  <c r="AG467" i="13"/>
  <c r="Y467" i="13"/>
  <c r="AH467" i="13" s="1"/>
  <c r="AG509" i="13"/>
  <c r="Y509" i="13"/>
  <c r="AH509" i="13" s="1"/>
  <c r="AG473" i="13"/>
  <c r="Y473" i="13"/>
  <c r="AH473" i="13" s="1"/>
  <c r="AG545" i="13"/>
  <c r="Y545" i="13"/>
  <c r="AH545" i="13" s="1"/>
  <c r="Y382" i="13"/>
  <c r="AH382" i="13" s="1"/>
  <c r="AG382" i="13"/>
  <c r="Y376" i="13"/>
  <c r="AH376" i="13" s="1"/>
  <c r="AG376" i="13"/>
  <c r="Y358" i="13"/>
  <c r="AH358" i="13" s="1"/>
  <c r="AG358" i="13"/>
  <c r="Y340" i="13"/>
  <c r="AH340" i="13" s="1"/>
  <c r="AG340" i="13"/>
  <c r="Y311" i="13"/>
  <c r="AH311" i="13" s="1"/>
  <c r="AG311" i="13"/>
  <c r="Y275" i="13"/>
  <c r="AH275" i="13" s="1"/>
  <c r="AG275" i="13"/>
  <c r="AG425" i="13"/>
  <c r="Y425" i="13"/>
  <c r="AH425" i="13" s="1"/>
  <c r="AG413" i="13"/>
  <c r="Y413" i="13"/>
  <c r="AH413" i="13" s="1"/>
  <c r="AG401" i="13"/>
  <c r="Y401" i="13"/>
  <c r="AH401" i="13" s="1"/>
  <c r="AG389" i="13"/>
  <c r="Y389" i="13"/>
  <c r="AH389" i="13" s="1"/>
  <c r="Y265" i="13"/>
  <c r="AH265" i="13" s="1"/>
  <c r="AG265" i="13"/>
  <c r="Y241" i="13"/>
  <c r="AH241" i="13" s="1"/>
  <c r="AG241" i="13"/>
  <c r="AG152" i="13"/>
  <c r="Y152" i="13"/>
  <c r="AH152" i="13" s="1"/>
  <c r="Y171" i="13"/>
  <c r="AH171" i="13" s="1"/>
  <c r="AG171" i="13"/>
  <c r="Y135" i="13"/>
  <c r="AH135" i="13" s="1"/>
  <c r="AG135" i="13"/>
  <c r="Y99" i="13"/>
  <c r="AH99" i="13" s="1"/>
  <c r="AG99" i="13"/>
  <c r="Y72" i="13"/>
  <c r="AH72" i="13" s="1"/>
  <c r="AG72" i="13"/>
  <c r="AG46" i="13"/>
  <c r="Y46" i="13"/>
  <c r="AH46" i="13" s="1"/>
  <c r="AG43" i="13"/>
  <c r="Y43" i="13"/>
  <c r="AH43" i="13" s="1"/>
  <c r="AG7" i="13"/>
  <c r="Y7" i="13"/>
  <c r="AH7" i="13" s="1"/>
  <c r="AG11" i="13"/>
  <c r="Y11" i="13"/>
  <c r="AH11" i="13" s="1"/>
  <c r="Y1252" i="13"/>
  <c r="AH1252" i="13" s="1"/>
  <c r="AG1252" i="13"/>
  <c r="AG1209" i="13"/>
  <c r="Y1209" i="13"/>
  <c r="AH1209" i="13" s="1"/>
  <c r="Y1089" i="13"/>
  <c r="AH1089" i="13" s="1"/>
  <c r="AG1089" i="13"/>
  <c r="AG1144" i="13"/>
  <c r="Y1144" i="13"/>
  <c r="AH1144" i="13" s="1"/>
  <c r="Y1009" i="13"/>
  <c r="AH1009" i="13" s="1"/>
  <c r="AG1009" i="13"/>
  <c r="Y1074" i="13"/>
  <c r="AH1074" i="13" s="1"/>
  <c r="AG1074" i="13"/>
  <c r="Y1030" i="13"/>
  <c r="AH1030" i="13" s="1"/>
  <c r="AG1030" i="13"/>
  <c r="Y1010" i="13"/>
  <c r="AH1010" i="13" s="1"/>
  <c r="AG1010" i="13"/>
  <c r="Y928" i="13"/>
  <c r="AH928" i="13" s="1"/>
  <c r="AG928" i="13"/>
  <c r="Y904" i="13"/>
  <c r="AH904" i="13" s="1"/>
  <c r="AG904" i="13"/>
  <c r="Y880" i="13"/>
  <c r="AH880" i="13" s="1"/>
  <c r="AG880" i="13"/>
  <c r="AG830" i="13"/>
  <c r="Y830" i="13"/>
  <c r="AH830" i="13" s="1"/>
  <c r="Y980" i="13"/>
  <c r="AH980" i="13" s="1"/>
  <c r="AG980" i="13"/>
  <c r="AG780" i="13"/>
  <c r="Y780" i="13"/>
  <c r="AH780" i="13" s="1"/>
  <c r="Y738" i="13"/>
  <c r="AH738" i="13" s="1"/>
  <c r="AG738" i="13"/>
  <c r="AG764" i="13"/>
  <c r="Y764" i="13"/>
  <c r="AH764" i="13" s="1"/>
  <c r="Y752" i="13"/>
  <c r="AH752" i="13" s="1"/>
  <c r="AG752" i="13"/>
  <c r="AG772" i="13"/>
  <c r="Y772" i="13"/>
  <c r="AH772" i="13" s="1"/>
  <c r="Y595" i="13"/>
  <c r="AH595" i="13" s="1"/>
  <c r="AG595" i="13"/>
  <c r="Y559" i="13"/>
  <c r="AH559" i="13" s="1"/>
  <c r="AG559" i="13"/>
  <c r="AG666" i="13"/>
  <c r="Y666" i="13"/>
  <c r="AH666" i="13" s="1"/>
  <c r="Y544" i="13"/>
  <c r="AH544" i="13" s="1"/>
  <c r="AG544" i="13"/>
  <c r="AG472" i="13"/>
  <c r="Y472" i="13"/>
  <c r="AH472" i="13" s="1"/>
  <c r="AG533" i="13"/>
  <c r="Y533" i="13"/>
  <c r="AH533" i="13" s="1"/>
  <c r="Y487" i="13"/>
  <c r="AH487" i="13" s="1"/>
  <c r="AG487" i="13"/>
  <c r="Y526" i="13"/>
  <c r="AH526" i="13" s="1"/>
  <c r="AG526" i="13"/>
  <c r="Y439" i="13"/>
  <c r="AH439" i="13" s="1"/>
  <c r="AG439" i="13"/>
  <c r="AG364" i="13"/>
  <c r="Y364" i="13"/>
  <c r="AH364" i="13" s="1"/>
  <c r="AG346" i="13"/>
  <c r="Y346" i="13"/>
  <c r="AH346" i="13" s="1"/>
  <c r="Y305" i="13"/>
  <c r="AH305" i="13" s="1"/>
  <c r="AG305" i="13"/>
  <c r="Y269" i="13"/>
  <c r="AH269" i="13" s="1"/>
  <c r="AG269" i="13"/>
  <c r="Y370" i="13"/>
  <c r="AH370" i="13" s="1"/>
  <c r="AG370" i="13"/>
  <c r="Y328" i="13"/>
  <c r="AH328" i="13" s="1"/>
  <c r="AG328" i="13"/>
  <c r="AG185" i="13"/>
  <c r="Y185" i="13"/>
  <c r="AH185" i="13" s="1"/>
  <c r="Y165" i="13"/>
  <c r="AH165" i="13" s="1"/>
  <c r="AG165" i="13"/>
  <c r="Y129" i="13"/>
  <c r="AH129" i="13" s="1"/>
  <c r="AG129" i="13"/>
  <c r="Y93" i="13"/>
  <c r="AH93" i="13" s="1"/>
  <c r="AG93" i="13"/>
  <c r="Y178" i="13"/>
  <c r="AH178" i="13" s="1"/>
  <c r="AG178" i="13"/>
  <c r="Y69" i="13"/>
  <c r="AH69" i="13" s="1"/>
  <c r="AG69" i="13"/>
  <c r="Y75" i="13"/>
  <c r="AH75" i="13" s="1"/>
  <c r="AG75" i="13"/>
  <c r="AG37" i="13"/>
  <c r="Y37" i="13"/>
  <c r="AH37" i="13" s="1"/>
  <c r="AG1250" i="13"/>
  <c r="Y1250" i="13"/>
  <c r="AH1250" i="13" s="1"/>
  <c r="Y1245" i="13"/>
  <c r="AH1245" i="13" s="1"/>
  <c r="AG1245" i="13"/>
  <c r="Y1013" i="13"/>
  <c r="AH1013" i="13" s="1"/>
  <c r="AG1013" i="13"/>
  <c r="Y1022" i="13"/>
  <c r="AH1022" i="13" s="1"/>
  <c r="AG1022" i="13"/>
  <c r="Y1261" i="13"/>
  <c r="AH1261" i="13" s="1"/>
  <c r="AG1261" i="13"/>
  <c r="Y1251" i="13"/>
  <c r="AH1251" i="13" s="1"/>
  <c r="AG1251" i="13"/>
  <c r="Y1155" i="13"/>
  <c r="AH1155" i="13" s="1"/>
  <c r="AG1155" i="13"/>
  <c r="Y1173" i="13"/>
  <c r="AH1173" i="13" s="1"/>
  <c r="AG1173" i="13"/>
  <c r="AG1162" i="13"/>
  <c r="Y1162" i="13"/>
  <c r="AH1162" i="13" s="1"/>
  <c r="AG1011" i="13"/>
  <c r="Y1011" i="13"/>
  <c r="AH1011" i="13" s="1"/>
  <c r="Y950" i="13"/>
  <c r="AH950" i="13" s="1"/>
  <c r="AG950" i="13"/>
  <c r="Y1069" i="13"/>
  <c r="AH1069" i="13" s="1"/>
  <c r="AG1069" i="13"/>
  <c r="AG874" i="13"/>
  <c r="Y874" i="13"/>
  <c r="AH874" i="13" s="1"/>
  <c r="Y1012" i="13"/>
  <c r="AH1012" i="13" s="1"/>
  <c r="AG1012" i="13"/>
  <c r="Y949" i="13"/>
  <c r="AH949" i="13" s="1"/>
  <c r="AG949" i="13"/>
  <c r="Y910" i="13"/>
  <c r="AH910" i="13" s="1"/>
  <c r="AG910" i="13"/>
  <c r="AG723" i="13"/>
  <c r="Y723" i="13"/>
  <c r="AH723" i="13" s="1"/>
  <c r="Y787" i="13"/>
  <c r="AH787" i="13" s="1"/>
  <c r="AG787" i="13"/>
  <c r="AG759" i="13"/>
  <c r="Y759" i="13"/>
  <c r="AH759" i="13" s="1"/>
  <c r="AG736" i="13"/>
  <c r="Y736" i="13"/>
  <c r="AH736" i="13" s="1"/>
  <c r="Y769" i="13"/>
  <c r="AH769" i="13" s="1"/>
  <c r="AG769" i="13"/>
  <c r="Y689" i="13"/>
  <c r="AH689" i="13" s="1"/>
  <c r="AG689" i="13"/>
  <c r="AG656" i="13"/>
  <c r="Y656" i="13"/>
  <c r="AH656" i="13" s="1"/>
  <c r="AG636" i="13"/>
  <c r="Y636" i="13"/>
  <c r="AH636" i="13" s="1"/>
  <c r="Y621" i="13"/>
  <c r="AH621" i="13" s="1"/>
  <c r="AG621" i="13"/>
  <c r="Y589" i="13"/>
  <c r="AH589" i="13" s="1"/>
  <c r="AG589" i="13"/>
  <c r="AG539" i="13"/>
  <c r="Y539" i="13"/>
  <c r="AH539" i="13" s="1"/>
  <c r="AG485" i="13"/>
  <c r="Y485" i="13"/>
  <c r="AH485" i="13" s="1"/>
  <c r="Y493" i="13"/>
  <c r="AH493" i="13" s="1"/>
  <c r="AG493" i="13"/>
  <c r="Y433" i="13"/>
  <c r="AH433" i="13" s="1"/>
  <c r="AG433" i="13"/>
  <c r="Y520" i="13"/>
  <c r="AH520" i="13" s="1"/>
  <c r="AG520" i="13"/>
  <c r="Y299" i="13"/>
  <c r="AH299" i="13" s="1"/>
  <c r="AG299" i="13"/>
  <c r="Y263" i="13"/>
  <c r="AH263" i="13" s="1"/>
  <c r="AG263" i="13"/>
  <c r="Y259" i="13"/>
  <c r="AH259" i="13" s="1"/>
  <c r="AG259" i="13"/>
  <c r="Y239" i="13"/>
  <c r="AH239" i="13" s="1"/>
  <c r="AG239" i="13"/>
  <c r="Y159" i="13"/>
  <c r="AH159" i="13" s="1"/>
  <c r="AG159" i="13"/>
  <c r="Y123" i="13"/>
  <c r="AH123" i="13" s="1"/>
  <c r="AG123" i="13"/>
  <c r="AG31" i="13"/>
  <c r="Y31" i="13"/>
  <c r="AH31" i="13" s="1"/>
  <c r="Y66" i="13"/>
  <c r="AH66" i="13" s="1"/>
  <c r="AG66" i="13"/>
  <c r="D623" i="13"/>
  <c r="B137" i="25"/>
  <c r="B136" i="25"/>
  <c r="B135" i="25"/>
  <c r="B134" i="25"/>
  <c r="B132" i="25"/>
  <c r="B131" i="25"/>
  <c r="B130" i="25"/>
  <c r="B129" i="25"/>
  <c r="B128" i="25"/>
  <c r="B127" i="25"/>
  <c r="B125" i="25"/>
  <c r="B124" i="25"/>
  <c r="B123" i="25"/>
  <c r="B122" i="25"/>
  <c r="B121" i="25"/>
  <c r="B120" i="25"/>
  <c r="B118" i="25"/>
  <c r="B117" i="25"/>
  <c r="B116" i="25"/>
  <c r="B115" i="25"/>
  <c r="B114" i="25"/>
  <c r="B113" i="25"/>
  <c r="B111" i="25"/>
  <c r="B110" i="25"/>
  <c r="B109" i="25"/>
  <c r="B108" i="25"/>
  <c r="B107" i="25"/>
  <c r="B106" i="25"/>
  <c r="B104" i="25"/>
  <c r="B103" i="25"/>
  <c r="B102" i="25"/>
  <c r="B101" i="25"/>
  <c r="B100" i="25"/>
  <c r="B99" i="25"/>
  <c r="B97" i="25"/>
  <c r="B96" i="25"/>
  <c r="B95" i="25"/>
  <c r="B94" i="25"/>
  <c r="B93" i="25"/>
  <c r="B92" i="25"/>
  <c r="B90" i="25"/>
  <c r="B89" i="25"/>
  <c r="B88" i="25"/>
  <c r="B87" i="25"/>
  <c r="B86" i="25"/>
  <c r="B85" i="25"/>
  <c r="B83" i="25"/>
  <c r="B82" i="25"/>
  <c r="B81" i="25"/>
  <c r="B80" i="25"/>
  <c r="B79" i="25"/>
  <c r="B78" i="25"/>
  <c r="B76" i="25"/>
  <c r="B75" i="25"/>
  <c r="B74" i="25"/>
  <c r="B73" i="25"/>
  <c r="B72" i="25"/>
  <c r="B71" i="25"/>
  <c r="B69" i="25"/>
  <c r="B68" i="25"/>
  <c r="B67" i="25"/>
  <c r="B66" i="25"/>
  <c r="B65" i="25"/>
  <c r="B64" i="25"/>
  <c r="B62" i="25"/>
  <c r="B61" i="25"/>
  <c r="B60" i="25"/>
  <c r="B59" i="25"/>
  <c r="B58" i="25"/>
  <c r="B57" i="25"/>
  <c r="B55" i="25"/>
  <c r="B54" i="25"/>
  <c r="B53" i="25"/>
  <c r="B52" i="25"/>
  <c r="B51" i="25"/>
  <c r="B50" i="25"/>
  <c r="B48" i="25"/>
  <c r="B47" i="25"/>
  <c r="B46" i="25"/>
  <c r="B45" i="25"/>
  <c r="B44" i="25"/>
  <c r="B43" i="25"/>
  <c r="B41" i="25"/>
  <c r="B40" i="25"/>
  <c r="B39" i="25"/>
  <c r="B38" i="25"/>
  <c r="B37" i="25"/>
  <c r="B36" i="25"/>
  <c r="B34" i="25"/>
  <c r="B33" i="25"/>
  <c r="B32" i="25"/>
  <c r="B31" i="25"/>
  <c r="B30" i="25"/>
  <c r="B27" i="25"/>
  <c r="B26" i="25"/>
  <c r="D137" i="25"/>
  <c r="D136" i="25"/>
  <c r="D135" i="25"/>
  <c r="D134" i="25"/>
  <c r="D132" i="25"/>
  <c r="D131" i="25"/>
  <c r="D130" i="25"/>
  <c r="D129" i="25"/>
  <c r="D128" i="25"/>
  <c r="D127" i="25"/>
  <c r="D125" i="25"/>
  <c r="D124" i="25"/>
  <c r="D123" i="25"/>
  <c r="D122" i="25"/>
  <c r="D121" i="25"/>
  <c r="D120" i="25"/>
  <c r="D118" i="25"/>
  <c r="D117" i="25"/>
  <c r="D116" i="25"/>
  <c r="D115" i="25"/>
  <c r="D114" i="25"/>
  <c r="D113" i="25"/>
  <c r="D111" i="25"/>
  <c r="D110" i="25"/>
  <c r="D109" i="25"/>
  <c r="D108" i="25"/>
  <c r="D107" i="25"/>
  <c r="D106" i="25"/>
  <c r="D104" i="25"/>
  <c r="D103" i="25"/>
  <c r="D102" i="25"/>
  <c r="D101" i="25"/>
  <c r="D100" i="25"/>
  <c r="D99" i="25"/>
  <c r="D97" i="25"/>
  <c r="D96" i="25"/>
  <c r="D95" i="25"/>
  <c r="D94" i="25"/>
  <c r="D93" i="25"/>
  <c r="D92" i="25"/>
  <c r="D90" i="25"/>
  <c r="D89" i="25"/>
  <c r="D88" i="25"/>
  <c r="D87" i="25"/>
  <c r="D86" i="25"/>
  <c r="D85" i="25"/>
  <c r="D83" i="25"/>
  <c r="D82" i="25"/>
  <c r="D81" i="25"/>
  <c r="D80" i="25"/>
  <c r="D79" i="25"/>
  <c r="D78" i="25"/>
  <c r="D76" i="25"/>
  <c r="D75" i="25"/>
  <c r="D74" i="25"/>
  <c r="D73" i="25"/>
  <c r="D72" i="25"/>
  <c r="D71" i="25"/>
  <c r="D69" i="25"/>
  <c r="D68" i="25"/>
  <c r="D67" i="25"/>
  <c r="D66" i="25"/>
  <c r="D65" i="25"/>
  <c r="D64" i="25"/>
  <c r="D62" i="25"/>
  <c r="D61" i="25"/>
  <c r="D60" i="25"/>
  <c r="D59" i="25"/>
  <c r="D58" i="25"/>
  <c r="D57" i="25"/>
  <c r="D55" i="25"/>
  <c r="D54" i="25"/>
  <c r="D53" i="25"/>
  <c r="D52" i="25"/>
  <c r="D51" i="25"/>
  <c r="D50" i="25"/>
  <c r="D48" i="25"/>
  <c r="D47" i="25"/>
  <c r="D46" i="25"/>
  <c r="D45" i="25"/>
  <c r="D44" i="25"/>
  <c r="D43" i="25"/>
  <c r="D41" i="25"/>
  <c r="D40" i="25"/>
  <c r="D39" i="25"/>
  <c r="D38" i="25"/>
  <c r="D37" i="25"/>
  <c r="D36" i="25"/>
  <c r="D34" i="25"/>
  <c r="D33" i="25"/>
  <c r="D32" i="25"/>
  <c r="D31" i="25"/>
  <c r="D30" i="25"/>
  <c r="D27" i="25"/>
  <c r="D26" i="25"/>
  <c r="F25" i="25"/>
  <c r="H25" i="25" s="1"/>
  <c r="D25" i="25"/>
  <c r="B25" i="25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F20" i="25"/>
  <c r="H20" i="25" s="1"/>
  <c r="D20" i="25"/>
  <c r="B20" i="25"/>
  <c r="F19" i="25"/>
  <c r="H19" i="25" s="1"/>
  <c r="D19" i="25"/>
  <c r="B19" i="25"/>
  <c r="F26" i="25"/>
  <c r="H26" i="25" s="1"/>
  <c r="F27" i="25"/>
  <c r="H27" i="25" s="1"/>
  <c r="F30" i="25"/>
  <c r="H30" i="25" s="1"/>
  <c r="F31" i="25"/>
  <c r="H31" i="25" s="1"/>
  <c r="F32" i="25"/>
  <c r="H32" i="25" s="1"/>
  <c r="F33" i="25"/>
  <c r="H33" i="25" s="1"/>
  <c r="F34" i="25"/>
  <c r="H34" i="25" s="1"/>
  <c r="F36" i="25"/>
  <c r="H36" i="25" s="1"/>
  <c r="F37" i="25"/>
  <c r="H37" i="25" s="1"/>
  <c r="F38" i="25"/>
  <c r="H38" i="25" s="1"/>
  <c r="F39" i="25"/>
  <c r="H39" i="25" s="1"/>
  <c r="F40" i="25"/>
  <c r="H40" i="25" s="1"/>
  <c r="F41" i="25"/>
  <c r="H41" i="25" s="1"/>
  <c r="F43" i="25"/>
  <c r="H43" i="25" s="1"/>
  <c r="F44" i="25"/>
  <c r="H44" i="25" s="1"/>
  <c r="F45" i="25"/>
  <c r="H45" i="25" s="1"/>
  <c r="F46" i="25"/>
  <c r="H46" i="25" s="1"/>
  <c r="F47" i="25"/>
  <c r="H47" i="25" s="1"/>
  <c r="F48" i="25"/>
  <c r="H48" i="25" s="1"/>
  <c r="F50" i="25"/>
  <c r="H50" i="25" s="1"/>
  <c r="F51" i="25"/>
  <c r="H51" i="25" s="1"/>
  <c r="F52" i="25"/>
  <c r="H52" i="25" s="1"/>
  <c r="F53" i="25"/>
  <c r="H53" i="25" s="1"/>
  <c r="F54" i="25"/>
  <c r="H54" i="25" s="1"/>
  <c r="F55" i="25"/>
  <c r="H55" i="25" s="1"/>
  <c r="F57" i="25"/>
  <c r="H57" i="25" s="1"/>
  <c r="F58" i="25"/>
  <c r="H58" i="25" s="1"/>
  <c r="F59" i="25"/>
  <c r="H59" i="25" s="1"/>
  <c r="F60" i="25"/>
  <c r="H60" i="25" s="1"/>
  <c r="F61" i="25"/>
  <c r="H61" i="25" s="1"/>
  <c r="F62" i="25"/>
  <c r="H62" i="25" s="1"/>
  <c r="F64" i="25"/>
  <c r="H64" i="25" s="1"/>
  <c r="F65" i="25"/>
  <c r="H65" i="25" s="1"/>
  <c r="F66" i="25"/>
  <c r="H66" i="25" s="1"/>
  <c r="F67" i="25"/>
  <c r="H67" i="25" s="1"/>
  <c r="F68" i="25"/>
  <c r="H68" i="25" s="1"/>
  <c r="F69" i="25"/>
  <c r="H69" i="25" s="1"/>
  <c r="F71" i="25"/>
  <c r="H71" i="25" s="1"/>
  <c r="F72" i="25"/>
  <c r="H72" i="25" s="1"/>
  <c r="F73" i="25"/>
  <c r="H73" i="25" s="1"/>
  <c r="F74" i="25"/>
  <c r="H74" i="25" s="1"/>
  <c r="F75" i="25"/>
  <c r="H75" i="25" s="1"/>
  <c r="F76" i="25"/>
  <c r="H76" i="25" s="1"/>
  <c r="F78" i="25"/>
  <c r="H78" i="25" s="1"/>
  <c r="F79" i="25"/>
  <c r="H79" i="25" s="1"/>
  <c r="F80" i="25"/>
  <c r="H80" i="25" s="1"/>
  <c r="F81" i="25"/>
  <c r="H81" i="25" s="1"/>
  <c r="F82" i="25"/>
  <c r="H82" i="25" s="1"/>
  <c r="F83" i="25"/>
  <c r="H83" i="25" s="1"/>
  <c r="F85" i="25"/>
  <c r="H85" i="25" s="1"/>
  <c r="F86" i="25"/>
  <c r="H86" i="25" s="1"/>
  <c r="F87" i="25"/>
  <c r="H87" i="25" s="1"/>
  <c r="F88" i="25"/>
  <c r="H88" i="25" s="1"/>
  <c r="F89" i="25"/>
  <c r="H89" i="25" s="1"/>
  <c r="F90" i="25"/>
  <c r="H90" i="25" s="1"/>
  <c r="F92" i="25"/>
  <c r="H92" i="25" s="1"/>
  <c r="F93" i="25"/>
  <c r="H93" i="25" s="1"/>
  <c r="F94" i="25"/>
  <c r="H94" i="25" s="1"/>
  <c r="F95" i="25"/>
  <c r="H95" i="25" s="1"/>
  <c r="F96" i="25"/>
  <c r="H96" i="25" s="1"/>
  <c r="F97" i="25"/>
  <c r="H97" i="25" s="1"/>
  <c r="F99" i="25"/>
  <c r="H99" i="25" s="1"/>
  <c r="F100" i="25"/>
  <c r="H100" i="25" s="1"/>
  <c r="F101" i="25"/>
  <c r="H101" i="25" s="1"/>
  <c r="F102" i="25"/>
  <c r="H102" i="25" s="1"/>
  <c r="F103" i="25"/>
  <c r="H103" i="25" s="1"/>
  <c r="F104" i="25"/>
  <c r="H104" i="25" s="1"/>
  <c r="F106" i="25"/>
  <c r="H106" i="25" s="1"/>
  <c r="F107" i="25"/>
  <c r="H107" i="25" s="1"/>
  <c r="F108" i="25"/>
  <c r="H108" i="25" s="1"/>
  <c r="F109" i="25"/>
  <c r="H109" i="25" s="1"/>
  <c r="F110" i="25"/>
  <c r="H110" i="25" s="1"/>
  <c r="F111" i="25"/>
  <c r="H111" i="25" s="1"/>
  <c r="F113" i="25"/>
  <c r="H113" i="25" s="1"/>
  <c r="F114" i="25"/>
  <c r="H114" i="25" s="1"/>
  <c r="F115" i="25"/>
  <c r="H115" i="25" s="1"/>
  <c r="F116" i="25"/>
  <c r="H116" i="25" s="1"/>
  <c r="F117" i="25"/>
  <c r="H117" i="25" s="1"/>
  <c r="F118" i="25"/>
  <c r="H118" i="25" s="1"/>
  <c r="F120" i="25"/>
  <c r="H120" i="25" s="1"/>
  <c r="F121" i="25"/>
  <c r="H121" i="25" s="1"/>
  <c r="F122" i="25"/>
  <c r="H122" i="25" s="1"/>
  <c r="F123" i="25"/>
  <c r="H123" i="25" s="1"/>
  <c r="F124" i="25"/>
  <c r="H124" i="25" s="1"/>
  <c r="F125" i="25"/>
  <c r="H125" i="25" s="1"/>
  <c r="F127" i="25"/>
  <c r="H127" i="25" s="1"/>
  <c r="F128" i="25"/>
  <c r="H128" i="25" s="1"/>
  <c r="F129" i="25"/>
  <c r="H129" i="25" s="1"/>
  <c r="F130" i="25"/>
  <c r="H130" i="25" s="1"/>
  <c r="F131" i="25"/>
  <c r="H131" i="25" s="1"/>
  <c r="F132" i="25"/>
  <c r="H132" i="25" s="1"/>
  <c r="F134" i="25"/>
  <c r="H134" i="25" s="1"/>
  <c r="F135" i="25"/>
  <c r="H135" i="25" s="1"/>
  <c r="F136" i="25"/>
  <c r="H136" i="25" s="1"/>
  <c r="F137" i="25"/>
  <c r="H137" i="25" s="1"/>
  <c r="E44" i="19" l="1"/>
  <c r="E39" i="19"/>
  <c r="E37" i="19"/>
  <c r="E36" i="19"/>
  <c r="E35" i="19"/>
  <c r="E34" i="19"/>
  <c r="E33" i="19"/>
  <c r="E32" i="19"/>
  <c r="E31" i="19"/>
  <c r="E30" i="19"/>
  <c r="E29" i="19"/>
  <c r="E43" i="19"/>
  <c r="E41" i="19"/>
  <c r="E38" i="19"/>
  <c r="E42" i="19"/>
  <c r="E40" i="19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B83" i="22"/>
  <c r="B84" i="22"/>
  <c r="B85" i="22"/>
  <c r="B86" i="22"/>
  <c r="D83" i="22"/>
  <c r="D84" i="22"/>
  <c r="D85" i="22"/>
  <c r="D86" i="22"/>
  <c r="G83" i="22"/>
  <c r="G84" i="22"/>
  <c r="G85" i="22"/>
  <c r="G86" i="22"/>
  <c r="B87" i="22"/>
  <c r="B88" i="22"/>
  <c r="B89" i="22"/>
  <c r="B90" i="22"/>
  <c r="B91" i="22"/>
  <c r="B92" i="22"/>
  <c r="B93" i="22"/>
  <c r="B94" i="22"/>
  <c r="D87" i="22"/>
  <c r="D88" i="22"/>
  <c r="D89" i="22"/>
  <c r="D90" i="22"/>
  <c r="D91" i="22"/>
  <c r="D92" i="22"/>
  <c r="D93" i="22"/>
  <c r="D94" i="22"/>
  <c r="G87" i="22"/>
  <c r="G88" i="22"/>
  <c r="G89" i="22"/>
  <c r="G90" i="22"/>
  <c r="G91" i="22"/>
  <c r="G92" i="22"/>
  <c r="G93" i="22"/>
  <c r="G94" i="22"/>
  <c r="B95" i="22"/>
  <c r="B96" i="22"/>
  <c r="B97" i="22"/>
  <c r="B98" i="22"/>
  <c r="B99" i="22"/>
  <c r="D95" i="22"/>
  <c r="D96" i="22"/>
  <c r="D97" i="22"/>
  <c r="D98" i="22"/>
  <c r="D99" i="22"/>
  <c r="G95" i="22"/>
  <c r="G96" i="22"/>
  <c r="G97" i="22"/>
  <c r="G98" i="22"/>
  <c r="G99" i="22"/>
  <c r="D23" i="22"/>
  <c r="D24" i="22"/>
  <c r="D25" i="22"/>
  <c r="D26" i="22"/>
  <c r="B23" i="22"/>
  <c r="B24" i="22"/>
  <c r="B25" i="22"/>
  <c r="B26" i="22"/>
  <c r="G23" i="22"/>
  <c r="G24" i="22"/>
  <c r="G25" i="22"/>
  <c r="G26" i="22"/>
  <c r="B27" i="22"/>
  <c r="B28" i="22"/>
  <c r="B29" i="22"/>
  <c r="B30" i="22"/>
  <c r="B31" i="22"/>
  <c r="B32" i="22"/>
  <c r="B33" i="22"/>
  <c r="B34" i="22"/>
  <c r="B35" i="22"/>
  <c r="B36" i="22"/>
  <c r="B37" i="22"/>
  <c r="B39" i="22"/>
  <c r="D27" i="22"/>
  <c r="D28" i="22"/>
  <c r="D29" i="22"/>
  <c r="D30" i="22"/>
  <c r="D31" i="22"/>
  <c r="D32" i="22"/>
  <c r="D33" i="22"/>
  <c r="D34" i="22"/>
  <c r="D35" i="22"/>
  <c r="D36" i="22"/>
  <c r="D37" i="22"/>
  <c r="D39" i="22"/>
  <c r="G27" i="22"/>
  <c r="G28" i="22"/>
  <c r="G30" i="22"/>
  <c r="G31" i="22"/>
  <c r="G32" i="22"/>
  <c r="G33" i="22"/>
  <c r="G34" i="22"/>
  <c r="G35" i="22"/>
  <c r="G36" i="22"/>
  <c r="G37" i="22"/>
  <c r="G39" i="22"/>
  <c r="B40" i="22"/>
  <c r="B41" i="22"/>
  <c r="B42" i="22"/>
  <c r="B43" i="22"/>
  <c r="B44" i="22"/>
  <c r="B45" i="22"/>
  <c r="B46" i="22"/>
  <c r="B50" i="22"/>
  <c r="D40" i="22"/>
  <c r="D41" i="22"/>
  <c r="D42" i="22"/>
  <c r="D43" i="22"/>
  <c r="D44" i="22"/>
  <c r="D45" i="22"/>
  <c r="D46" i="22"/>
  <c r="D50" i="22"/>
  <c r="G40" i="22"/>
  <c r="G41" i="22"/>
  <c r="G42" i="22"/>
  <c r="G43" i="22"/>
  <c r="G44" i="22"/>
  <c r="G45" i="22"/>
  <c r="G46" i="22"/>
  <c r="G50" i="22"/>
  <c r="B1261" i="13"/>
  <c r="B1260" i="13"/>
  <c r="B1259" i="13"/>
  <c r="B1258" i="13"/>
  <c r="B1257" i="13"/>
  <c r="B1256" i="13"/>
  <c r="B1255" i="13"/>
  <c r="B1254" i="13"/>
  <c r="B1253" i="13"/>
  <c r="B1252" i="13"/>
  <c r="B1251" i="13"/>
  <c r="B1250" i="13"/>
  <c r="B1249" i="13"/>
  <c r="B1248" i="13"/>
  <c r="B1247" i="13"/>
  <c r="B1246" i="13"/>
  <c r="B1245" i="13"/>
  <c r="B1244" i="13"/>
  <c r="B1243" i="13"/>
  <c r="B1242" i="13"/>
  <c r="B1241" i="13"/>
  <c r="B1240" i="13"/>
  <c r="B1239" i="13"/>
  <c r="B1238" i="13"/>
  <c r="B1237" i="13"/>
  <c r="B1236" i="13"/>
  <c r="B1235" i="13"/>
  <c r="B1234" i="13"/>
  <c r="B1233" i="13"/>
  <c r="B1232" i="13"/>
  <c r="B1231" i="13"/>
  <c r="B1230" i="13"/>
  <c r="B1229" i="13"/>
  <c r="B1228" i="13"/>
  <c r="B1227" i="13"/>
  <c r="B1226" i="13"/>
  <c r="B1225" i="13"/>
  <c r="B1224" i="13"/>
  <c r="B1223" i="13"/>
  <c r="B1222" i="13"/>
  <c r="B1221" i="13"/>
  <c r="B1220" i="13"/>
  <c r="B1219" i="13"/>
  <c r="B1218" i="13"/>
  <c r="B1217" i="13"/>
  <c r="B1216" i="13"/>
  <c r="B1215" i="13"/>
  <c r="B1214" i="13"/>
  <c r="B1213" i="13"/>
  <c r="B1212" i="13"/>
  <c r="B1211" i="13"/>
  <c r="B1210" i="13"/>
  <c r="B1209" i="13"/>
  <c r="B1208" i="13"/>
  <c r="B1207" i="13"/>
  <c r="B1206" i="13"/>
  <c r="B1205" i="13"/>
  <c r="B1204" i="13"/>
  <c r="B1203" i="13"/>
  <c r="B1202" i="13"/>
  <c r="B1201" i="13"/>
  <c r="B1200" i="13"/>
  <c r="B1199" i="13"/>
  <c r="B1198" i="13"/>
  <c r="B1197" i="13"/>
  <c r="B1196" i="13"/>
  <c r="B1195" i="13"/>
  <c r="B1194" i="13"/>
  <c r="B1193" i="13"/>
  <c r="C1194" i="13"/>
  <c r="C1195" i="13"/>
  <c r="C1196" i="13"/>
  <c r="C1197" i="13"/>
  <c r="C1198" i="13"/>
  <c r="C1199" i="13"/>
  <c r="C1200" i="13"/>
  <c r="C1201" i="13"/>
  <c r="C1202" i="13"/>
  <c r="C1203" i="13"/>
  <c r="C1204" i="13"/>
  <c r="C1205" i="13"/>
  <c r="C1206" i="13"/>
  <c r="C1207" i="13"/>
  <c r="C1208" i="13"/>
  <c r="C1209" i="13"/>
  <c r="C1210" i="13"/>
  <c r="C1211" i="13"/>
  <c r="C1212" i="13"/>
  <c r="C1213" i="13"/>
  <c r="C1214" i="13"/>
  <c r="C1215" i="13"/>
  <c r="C1216" i="13"/>
  <c r="C1217" i="13"/>
  <c r="C1218" i="13"/>
  <c r="C1219" i="13"/>
  <c r="C1220" i="13"/>
  <c r="C1221" i="13"/>
  <c r="C1222" i="13"/>
  <c r="C1223" i="13"/>
  <c r="C1224" i="13"/>
  <c r="C1225" i="13"/>
  <c r="C1226" i="13"/>
  <c r="C1227" i="13"/>
  <c r="C1228" i="13"/>
  <c r="C1229" i="13"/>
  <c r="C1230" i="13"/>
  <c r="C1231" i="13"/>
  <c r="C1232" i="13"/>
  <c r="C1233" i="13"/>
  <c r="C1234" i="13"/>
  <c r="C1235" i="13"/>
  <c r="C1236" i="13"/>
  <c r="C1237" i="13"/>
  <c r="C1238" i="13"/>
  <c r="C1239" i="13"/>
  <c r="C1240" i="13"/>
  <c r="C1241" i="13"/>
  <c r="C1242" i="13"/>
  <c r="C1243" i="13"/>
  <c r="C1244" i="13"/>
  <c r="C1245" i="13"/>
  <c r="C1246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E1194" i="13"/>
  <c r="E1195" i="13"/>
  <c r="E1196" i="13"/>
  <c r="E1197" i="13"/>
  <c r="E1198" i="13"/>
  <c r="E1199" i="13"/>
  <c r="E1200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E1227" i="13"/>
  <c r="E1228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L1194" i="13"/>
  <c r="L1195" i="13"/>
  <c r="L1196" i="13"/>
  <c r="L1197" i="13"/>
  <c r="L1198" i="13"/>
  <c r="L1199" i="13"/>
  <c r="L1200" i="13"/>
  <c r="L1201" i="13"/>
  <c r="L1202" i="13"/>
  <c r="L1203" i="13"/>
  <c r="L1204" i="13"/>
  <c r="L1205" i="13"/>
  <c r="L1206" i="13"/>
  <c r="L1207" i="13"/>
  <c r="L1208" i="13"/>
  <c r="L1209" i="13"/>
  <c r="L1210" i="13"/>
  <c r="L1211" i="13"/>
  <c r="L1212" i="13"/>
  <c r="L1213" i="13"/>
  <c r="L1214" i="13"/>
  <c r="L1215" i="13"/>
  <c r="L1216" i="13"/>
  <c r="L1217" i="13"/>
  <c r="L1218" i="13"/>
  <c r="L1219" i="13"/>
  <c r="L1220" i="13"/>
  <c r="L1221" i="13"/>
  <c r="L1222" i="13"/>
  <c r="L1223" i="13"/>
  <c r="L1224" i="13"/>
  <c r="L1225" i="13"/>
  <c r="L1226" i="13"/>
  <c r="L1227" i="13"/>
  <c r="L1228" i="13"/>
  <c r="L1229" i="13"/>
  <c r="L1230" i="13"/>
  <c r="L1231" i="13"/>
  <c r="L1232" i="13"/>
  <c r="L1233" i="13"/>
  <c r="L1234" i="13"/>
  <c r="L1235" i="13"/>
  <c r="L1236" i="13"/>
  <c r="L1237" i="13"/>
  <c r="L1238" i="13"/>
  <c r="L1239" i="13"/>
  <c r="L1240" i="13"/>
  <c r="L1241" i="13"/>
  <c r="L1242" i="13"/>
  <c r="L1243" i="13"/>
  <c r="L1244" i="13"/>
  <c r="L1245" i="13"/>
  <c r="L1246" i="13"/>
  <c r="Q1194" i="13"/>
  <c r="Q1195" i="13"/>
  <c r="Q1196" i="13"/>
  <c r="Q1197" i="13"/>
  <c r="Q1198" i="13"/>
  <c r="Q1199" i="13"/>
  <c r="Q1200" i="13"/>
  <c r="Q1201" i="13"/>
  <c r="Q1202" i="13"/>
  <c r="Q1203" i="13"/>
  <c r="Q1204" i="13"/>
  <c r="Q1205" i="13"/>
  <c r="Q1206" i="13"/>
  <c r="Q1207" i="13"/>
  <c r="Q1208" i="13"/>
  <c r="Q1209" i="13"/>
  <c r="Q1210" i="13"/>
  <c r="Q1211" i="13"/>
  <c r="Q1212" i="13"/>
  <c r="Q1213" i="13"/>
  <c r="Q1214" i="13"/>
  <c r="Q1215" i="13"/>
  <c r="Q1216" i="13"/>
  <c r="Q1217" i="13"/>
  <c r="Q1218" i="13"/>
  <c r="Q1219" i="13"/>
  <c r="Q1220" i="13"/>
  <c r="Q1221" i="13"/>
  <c r="Q1222" i="13"/>
  <c r="Q1223" i="13"/>
  <c r="Q1224" i="13"/>
  <c r="Q1225" i="13"/>
  <c r="Q1226" i="13"/>
  <c r="Q1227" i="13"/>
  <c r="Q1228" i="13"/>
  <c r="Q1229" i="13"/>
  <c r="Q1230" i="13"/>
  <c r="Q1231" i="13"/>
  <c r="Q1232" i="13"/>
  <c r="Q1233" i="13"/>
  <c r="Q1234" i="13"/>
  <c r="Q1235" i="13"/>
  <c r="Q1236" i="13"/>
  <c r="Q1237" i="13"/>
  <c r="Q1238" i="13"/>
  <c r="Q1239" i="13"/>
  <c r="Q1240" i="13"/>
  <c r="Q1241" i="13"/>
  <c r="Q1242" i="13"/>
  <c r="Q1243" i="13"/>
  <c r="Q1244" i="13"/>
  <c r="Q1245" i="13"/>
  <c r="Q1246" i="13"/>
  <c r="C1247" i="13"/>
  <c r="C1248" i="13"/>
  <c r="C1249" i="13"/>
  <c r="C1250" i="13"/>
  <c r="C1251" i="13"/>
  <c r="C1252" i="13"/>
  <c r="C1253" i="13"/>
  <c r="C1254" i="13"/>
  <c r="C1255" i="13"/>
  <c r="C1256" i="13"/>
  <c r="C1257" i="13"/>
  <c r="C1258" i="13"/>
  <c r="C1259" i="13"/>
  <c r="C1260" i="13"/>
  <c r="C1261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L1247" i="13"/>
  <c r="L1248" i="13"/>
  <c r="L1249" i="13"/>
  <c r="L1250" i="13"/>
  <c r="L1251" i="13"/>
  <c r="L1252" i="13"/>
  <c r="L1253" i="13"/>
  <c r="L1254" i="13"/>
  <c r="L1255" i="13"/>
  <c r="L1256" i="13"/>
  <c r="L1257" i="13"/>
  <c r="L1258" i="13"/>
  <c r="L1259" i="13"/>
  <c r="L1260" i="13"/>
  <c r="L1261" i="13"/>
  <c r="Q1247" i="13"/>
  <c r="Q1248" i="13"/>
  <c r="Q1249" i="13"/>
  <c r="Q1250" i="13"/>
  <c r="Q1251" i="13"/>
  <c r="Q1252" i="13"/>
  <c r="Q1253" i="13"/>
  <c r="Q1254" i="13"/>
  <c r="Q1255" i="13"/>
  <c r="Q1256" i="13"/>
  <c r="Q1257" i="13"/>
  <c r="Q1258" i="13"/>
  <c r="Q1259" i="13"/>
  <c r="Q1260" i="13"/>
  <c r="Q1261" i="13"/>
  <c r="B1192" i="13"/>
  <c r="B1191" i="13"/>
  <c r="B1190" i="13"/>
  <c r="B1189" i="13"/>
  <c r="B1188" i="13"/>
  <c r="B1187" i="13"/>
  <c r="B1186" i="13"/>
  <c r="B1185" i="13"/>
  <c r="B1184" i="13"/>
  <c r="B1183" i="13"/>
  <c r="B1182" i="13"/>
  <c r="B1181" i="13"/>
  <c r="B1180" i="13"/>
  <c r="B1179" i="13"/>
  <c r="B1178" i="13"/>
  <c r="B1177" i="13"/>
  <c r="B1176" i="13"/>
  <c r="B1175" i="13"/>
  <c r="B1174" i="13"/>
  <c r="B1173" i="13"/>
  <c r="B1172" i="13"/>
  <c r="B1171" i="13"/>
  <c r="B1170" i="13"/>
  <c r="B1169" i="13"/>
  <c r="B1168" i="13"/>
  <c r="B1167" i="13"/>
  <c r="B1166" i="13"/>
  <c r="B1165" i="13"/>
  <c r="B1164" i="13"/>
  <c r="B1163" i="13"/>
  <c r="B1162" i="13"/>
  <c r="B1161" i="13"/>
  <c r="B1160" i="13"/>
  <c r="B1159" i="13"/>
  <c r="B1158" i="13"/>
  <c r="B1157" i="13"/>
  <c r="B1156" i="13"/>
  <c r="B1155" i="13"/>
  <c r="B1154" i="13"/>
  <c r="B1153" i="13"/>
  <c r="B1152" i="13"/>
  <c r="B1151" i="13"/>
  <c r="B1150" i="13"/>
  <c r="B1149" i="13"/>
  <c r="B1148" i="13"/>
  <c r="B1147" i="13"/>
  <c r="B1146" i="13"/>
  <c r="B1145" i="13"/>
  <c r="B1144" i="13"/>
  <c r="B1143" i="13"/>
  <c r="B1142" i="13"/>
  <c r="B1141" i="13"/>
  <c r="B1140" i="13"/>
  <c r="B1139" i="13"/>
  <c r="B1138" i="13"/>
  <c r="B1137" i="13"/>
  <c r="B1136" i="13"/>
  <c r="B1135" i="13"/>
  <c r="B1134" i="13"/>
  <c r="B1133" i="13"/>
  <c r="B1132" i="13"/>
  <c r="B1131" i="13"/>
  <c r="B1130" i="13"/>
  <c r="B1129" i="13"/>
  <c r="B1128" i="13"/>
  <c r="B1127" i="13"/>
  <c r="B1126" i="13"/>
  <c r="B1125" i="13"/>
  <c r="B1124" i="13"/>
  <c r="B1123" i="13"/>
  <c r="B1122" i="13"/>
  <c r="B1121" i="13"/>
  <c r="B1120" i="13"/>
  <c r="B1119" i="13"/>
  <c r="B1118" i="13"/>
  <c r="B1117" i="13"/>
  <c r="B1116" i="13"/>
  <c r="B1115" i="13"/>
  <c r="B1114" i="13"/>
  <c r="B1113" i="13"/>
  <c r="B1112" i="13"/>
  <c r="B1111" i="13"/>
  <c r="B1110" i="13"/>
  <c r="B1109" i="13"/>
  <c r="B1108" i="13"/>
  <c r="B1107" i="13"/>
  <c r="B1106" i="13"/>
  <c r="B1105" i="13"/>
  <c r="B1104" i="13"/>
  <c r="B1103" i="13"/>
  <c r="B1102" i="13"/>
  <c r="B1101" i="13"/>
  <c r="B1100" i="13"/>
  <c r="B1099" i="13"/>
  <c r="B1098" i="13"/>
  <c r="B1097" i="13"/>
  <c r="B1096" i="13"/>
  <c r="B1095" i="13"/>
  <c r="B1094" i="13"/>
  <c r="B1093" i="13"/>
  <c r="B1092" i="13"/>
  <c r="B1091" i="13"/>
  <c r="B1090" i="13"/>
  <c r="B1089" i="13"/>
  <c r="B1088" i="13"/>
  <c r="B1087" i="13"/>
  <c r="B1086" i="13"/>
  <c r="B1085" i="13"/>
  <c r="B1084" i="13"/>
  <c r="B1083" i="13"/>
  <c r="B1082" i="13"/>
  <c r="B1081" i="13"/>
  <c r="B1080" i="13"/>
  <c r="B1079" i="13"/>
  <c r="B1078" i="13"/>
  <c r="B1077" i="13"/>
  <c r="B1076" i="13"/>
  <c r="B1075" i="13"/>
  <c r="B1074" i="13"/>
  <c r="B1073" i="13"/>
  <c r="B1072" i="13"/>
  <c r="B1071" i="13"/>
  <c r="B1070" i="13"/>
  <c r="B1069" i="13"/>
  <c r="B1068" i="13"/>
  <c r="B1067" i="13"/>
  <c r="B1066" i="13"/>
  <c r="B1065" i="13"/>
  <c r="B1064" i="13"/>
  <c r="B1063" i="13"/>
  <c r="B1062" i="13"/>
  <c r="B1061" i="13"/>
  <c r="B1060" i="13"/>
  <c r="B1059" i="13"/>
  <c r="B1058" i="13"/>
  <c r="B1057" i="13"/>
  <c r="B1056" i="13"/>
  <c r="B1055" i="13"/>
  <c r="B1054" i="13"/>
  <c r="B1053" i="13"/>
  <c r="B1052" i="13"/>
  <c r="B1051" i="13"/>
  <c r="B1050" i="13"/>
  <c r="B1049" i="13"/>
  <c r="B1048" i="13"/>
  <c r="B1047" i="13"/>
  <c r="B1046" i="13"/>
  <c r="B1045" i="13"/>
  <c r="B1044" i="13"/>
  <c r="B1043" i="13"/>
  <c r="B1042" i="13"/>
  <c r="B1041" i="13"/>
  <c r="B1040" i="13"/>
  <c r="B1039" i="13"/>
  <c r="B1038" i="13"/>
  <c r="B1037" i="13"/>
  <c r="B1036" i="13"/>
  <c r="B1035" i="13"/>
  <c r="B1034" i="13"/>
  <c r="B1033" i="13"/>
  <c r="B1032" i="13"/>
  <c r="B1031" i="13"/>
  <c r="B1030" i="13"/>
  <c r="B1029" i="13"/>
  <c r="B1028" i="13"/>
  <c r="B1027" i="13"/>
  <c r="B1026" i="13"/>
  <c r="B1025" i="13"/>
  <c r="B1024" i="13"/>
  <c r="B1023" i="13"/>
  <c r="B1022" i="13"/>
  <c r="B1021" i="13"/>
  <c r="B1020" i="13"/>
  <c r="B1019" i="13"/>
  <c r="B1018" i="13"/>
  <c r="B1017" i="13"/>
  <c r="B1016" i="13"/>
  <c r="B1015" i="13"/>
  <c r="B1014" i="13"/>
  <c r="B1013" i="13"/>
  <c r="B1012" i="13"/>
  <c r="B1011" i="13"/>
  <c r="B1010" i="13"/>
  <c r="B1009" i="13"/>
  <c r="B1008" i="13"/>
  <c r="B1007" i="13"/>
  <c r="B1006" i="13"/>
  <c r="B1005" i="13"/>
  <c r="B1004" i="13"/>
  <c r="B1003" i="13"/>
  <c r="B1002" i="13"/>
  <c r="B1001" i="13"/>
  <c r="B1000" i="13"/>
  <c r="B999" i="13"/>
  <c r="B998" i="13"/>
  <c r="B997" i="13"/>
  <c r="B996" i="13"/>
  <c r="B995" i="13"/>
  <c r="B994" i="13"/>
  <c r="B993" i="13"/>
  <c r="B992" i="13"/>
  <c r="B991" i="13"/>
  <c r="B990" i="13"/>
  <c r="B989" i="13"/>
  <c r="B988" i="13"/>
  <c r="B987" i="13"/>
  <c r="B986" i="13"/>
  <c r="B985" i="13"/>
  <c r="B984" i="13"/>
  <c r="B983" i="13"/>
  <c r="B982" i="13"/>
  <c r="B981" i="13"/>
  <c r="B980" i="13"/>
  <c r="B979" i="13"/>
  <c r="B978" i="13"/>
  <c r="B977" i="13"/>
  <c r="B976" i="13"/>
  <c r="B975" i="13"/>
  <c r="B974" i="13"/>
  <c r="B973" i="13"/>
  <c r="B972" i="13"/>
  <c r="B971" i="13"/>
  <c r="B970" i="13"/>
  <c r="B969" i="13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B951" i="13"/>
  <c r="B950" i="13"/>
  <c r="B949" i="13"/>
  <c r="B948" i="13"/>
  <c r="B947" i="13"/>
  <c r="B946" i="13"/>
  <c r="B945" i="13"/>
  <c r="B944" i="13"/>
  <c r="B943" i="13"/>
  <c r="B942" i="13"/>
  <c r="B941" i="13"/>
  <c r="B940" i="13"/>
  <c r="C949" i="13"/>
  <c r="C950" i="13"/>
  <c r="C951" i="13"/>
  <c r="C952" i="13"/>
  <c r="C953" i="13"/>
  <c r="C954" i="13"/>
  <c r="C955" i="13"/>
  <c r="C956" i="13"/>
  <c r="C957" i="13"/>
  <c r="C958" i="13"/>
  <c r="C959" i="13"/>
  <c r="C960" i="13"/>
  <c r="C961" i="13"/>
  <c r="C962" i="13"/>
  <c r="C963" i="13"/>
  <c r="C964" i="13"/>
  <c r="C965" i="13"/>
  <c r="C966" i="13"/>
  <c r="C967" i="13"/>
  <c r="C968" i="13"/>
  <c r="C969" i="13"/>
  <c r="C970" i="13"/>
  <c r="C971" i="13"/>
  <c r="C972" i="13"/>
  <c r="C973" i="13"/>
  <c r="C974" i="13"/>
  <c r="C975" i="13"/>
  <c r="C976" i="13"/>
  <c r="C977" i="13"/>
  <c r="C978" i="13"/>
  <c r="C979" i="13"/>
  <c r="C980" i="13"/>
  <c r="C981" i="13"/>
  <c r="C982" i="13"/>
  <c r="C983" i="13"/>
  <c r="C984" i="13"/>
  <c r="C985" i="13"/>
  <c r="C986" i="13"/>
  <c r="C987" i="13"/>
  <c r="C988" i="13"/>
  <c r="C989" i="13"/>
  <c r="C990" i="13"/>
  <c r="C991" i="13"/>
  <c r="C992" i="13"/>
  <c r="C993" i="13"/>
  <c r="C994" i="13"/>
  <c r="C995" i="13"/>
  <c r="C996" i="13"/>
  <c r="C997" i="13"/>
  <c r="C998" i="13"/>
  <c r="C999" i="13"/>
  <c r="C1000" i="13"/>
  <c r="C1001" i="13"/>
  <c r="C1002" i="13"/>
  <c r="C1003" i="13"/>
  <c r="C1004" i="13"/>
  <c r="C1005" i="13"/>
  <c r="C1006" i="13"/>
  <c r="C1007" i="13"/>
  <c r="C1008" i="13"/>
  <c r="C1009" i="13"/>
  <c r="C1010" i="13"/>
  <c r="C1011" i="13"/>
  <c r="C1012" i="13"/>
  <c r="C1013" i="13"/>
  <c r="C1014" i="13"/>
  <c r="C1015" i="13"/>
  <c r="C1016" i="13"/>
  <c r="C1017" i="13"/>
  <c r="C1018" i="13"/>
  <c r="C1019" i="13"/>
  <c r="C1020" i="13"/>
  <c r="C1021" i="13"/>
  <c r="C1022" i="13"/>
  <c r="C1023" i="13"/>
  <c r="C1024" i="13"/>
  <c r="C1025" i="13"/>
  <c r="C1026" i="13"/>
  <c r="C1027" i="13"/>
  <c r="C1028" i="13"/>
  <c r="C1029" i="13"/>
  <c r="C1030" i="13"/>
  <c r="C1031" i="13"/>
  <c r="C1032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L949" i="13"/>
  <c r="L950" i="13"/>
  <c r="L951" i="13"/>
  <c r="L952" i="13"/>
  <c r="L953" i="13"/>
  <c r="L954" i="13"/>
  <c r="L955" i="13"/>
  <c r="L956" i="13"/>
  <c r="L957" i="13"/>
  <c r="L958" i="13"/>
  <c r="L959" i="13"/>
  <c r="L960" i="13"/>
  <c r="L961" i="13"/>
  <c r="L962" i="13"/>
  <c r="L963" i="13"/>
  <c r="L964" i="13"/>
  <c r="L965" i="13"/>
  <c r="L966" i="13"/>
  <c r="L967" i="13"/>
  <c r="L968" i="13"/>
  <c r="L969" i="13"/>
  <c r="L970" i="13"/>
  <c r="L971" i="13"/>
  <c r="L972" i="13"/>
  <c r="L973" i="13"/>
  <c r="L974" i="13"/>
  <c r="L975" i="13"/>
  <c r="L976" i="13"/>
  <c r="L977" i="13"/>
  <c r="L978" i="13"/>
  <c r="L979" i="13"/>
  <c r="L980" i="13"/>
  <c r="L981" i="13"/>
  <c r="L982" i="13"/>
  <c r="L983" i="13"/>
  <c r="L984" i="13"/>
  <c r="L985" i="13"/>
  <c r="L986" i="13"/>
  <c r="L987" i="13"/>
  <c r="L988" i="13"/>
  <c r="L989" i="13"/>
  <c r="L990" i="13"/>
  <c r="L991" i="13"/>
  <c r="L992" i="13"/>
  <c r="L993" i="13"/>
  <c r="L994" i="13"/>
  <c r="L995" i="13"/>
  <c r="L996" i="13"/>
  <c r="L997" i="13"/>
  <c r="L998" i="13"/>
  <c r="L999" i="13"/>
  <c r="L1000" i="13"/>
  <c r="L1001" i="13"/>
  <c r="L1002" i="13"/>
  <c r="L1003" i="13"/>
  <c r="L1004" i="13"/>
  <c r="L1005" i="13"/>
  <c r="L1006" i="13"/>
  <c r="L1007" i="13"/>
  <c r="L1008" i="13"/>
  <c r="L1009" i="13"/>
  <c r="L1010" i="13"/>
  <c r="L1011" i="13"/>
  <c r="L1012" i="13"/>
  <c r="L1013" i="13"/>
  <c r="L1014" i="13"/>
  <c r="L1015" i="13"/>
  <c r="L1016" i="13"/>
  <c r="L1017" i="13"/>
  <c r="L1018" i="13"/>
  <c r="L1019" i="13"/>
  <c r="L1020" i="13"/>
  <c r="L1021" i="13"/>
  <c r="L1022" i="13"/>
  <c r="L1023" i="13"/>
  <c r="L1024" i="13"/>
  <c r="L1025" i="13"/>
  <c r="L1026" i="13"/>
  <c r="L1027" i="13"/>
  <c r="L1028" i="13"/>
  <c r="L1029" i="13"/>
  <c r="L1030" i="13"/>
  <c r="L1031" i="13"/>
  <c r="L1032" i="13"/>
  <c r="Q949" i="13"/>
  <c r="Q950" i="13"/>
  <c r="Q951" i="13"/>
  <c r="Q952" i="13"/>
  <c r="Q953" i="13"/>
  <c r="Q954" i="13"/>
  <c r="Q955" i="13"/>
  <c r="Q956" i="13"/>
  <c r="Q957" i="13"/>
  <c r="Q958" i="13"/>
  <c r="Q959" i="13"/>
  <c r="Q960" i="13"/>
  <c r="Q961" i="13"/>
  <c r="Q962" i="13"/>
  <c r="Q963" i="13"/>
  <c r="Q964" i="13"/>
  <c r="Q965" i="13"/>
  <c r="Q966" i="13"/>
  <c r="Q967" i="13"/>
  <c r="Q968" i="13"/>
  <c r="Q969" i="13"/>
  <c r="Q970" i="13"/>
  <c r="Q971" i="13"/>
  <c r="Q972" i="13"/>
  <c r="Q973" i="13"/>
  <c r="Q974" i="13"/>
  <c r="Q975" i="13"/>
  <c r="Q976" i="13"/>
  <c r="Q977" i="13"/>
  <c r="Q978" i="13"/>
  <c r="Q979" i="13"/>
  <c r="Q980" i="13"/>
  <c r="Q981" i="13"/>
  <c r="Q982" i="13"/>
  <c r="Q983" i="13"/>
  <c r="Q984" i="13"/>
  <c r="Q985" i="13"/>
  <c r="Q986" i="13"/>
  <c r="Q987" i="13"/>
  <c r="Q988" i="13"/>
  <c r="Q989" i="13"/>
  <c r="Q990" i="13"/>
  <c r="Q991" i="13"/>
  <c r="Q992" i="13"/>
  <c r="Q993" i="13"/>
  <c r="Q994" i="13"/>
  <c r="Q995" i="13"/>
  <c r="Q996" i="13"/>
  <c r="Q997" i="13"/>
  <c r="Q998" i="13"/>
  <c r="Q999" i="13"/>
  <c r="Q1000" i="13"/>
  <c r="Q1001" i="13"/>
  <c r="Q1002" i="13"/>
  <c r="Q1003" i="13"/>
  <c r="Q1004" i="13"/>
  <c r="Q1005" i="13"/>
  <c r="Q1006" i="13"/>
  <c r="Q1007" i="13"/>
  <c r="Q1008" i="13"/>
  <c r="Q1009" i="13"/>
  <c r="Q1010" i="13"/>
  <c r="Q1011" i="13"/>
  <c r="Q1012" i="13"/>
  <c r="Q1013" i="13"/>
  <c r="Q1014" i="13"/>
  <c r="Q1015" i="13"/>
  <c r="Q1016" i="13"/>
  <c r="Q1017" i="13"/>
  <c r="Q1018" i="13"/>
  <c r="Q1019" i="13"/>
  <c r="Q1020" i="13"/>
  <c r="Q1021" i="13"/>
  <c r="Q1022" i="13"/>
  <c r="Q1023" i="13"/>
  <c r="Q1024" i="13"/>
  <c r="Q1025" i="13"/>
  <c r="Q1026" i="13"/>
  <c r="Q1027" i="13"/>
  <c r="Q1028" i="13"/>
  <c r="Q1029" i="13"/>
  <c r="Q1030" i="13"/>
  <c r="Q1031" i="13"/>
  <c r="Q1032" i="13"/>
  <c r="C1033" i="13"/>
  <c r="C1034" i="13"/>
  <c r="C1035" i="13"/>
  <c r="C1036" i="13"/>
  <c r="C1037" i="13"/>
  <c r="C1038" i="13"/>
  <c r="C1039" i="13"/>
  <c r="C1040" i="13"/>
  <c r="C1041" i="13"/>
  <c r="C1042" i="13"/>
  <c r="C1043" i="13"/>
  <c r="C1044" i="13"/>
  <c r="C1045" i="13"/>
  <c r="C1046" i="13"/>
  <c r="C1047" i="13"/>
  <c r="C1048" i="13"/>
  <c r="C1049" i="13"/>
  <c r="C1050" i="13"/>
  <c r="C1051" i="13"/>
  <c r="C1052" i="13"/>
  <c r="C1053" i="13"/>
  <c r="C1054" i="13"/>
  <c r="C1055" i="13"/>
  <c r="C1056" i="13"/>
  <c r="C1057" i="13"/>
  <c r="C1058" i="13"/>
  <c r="C1059" i="13"/>
  <c r="C1060" i="13"/>
  <c r="C1061" i="13"/>
  <c r="C1062" i="13"/>
  <c r="C1063" i="13"/>
  <c r="C1064" i="13"/>
  <c r="C1065" i="13"/>
  <c r="C1066" i="13"/>
  <c r="C1067" i="13"/>
  <c r="C1068" i="13"/>
  <c r="C1069" i="13"/>
  <c r="C1070" i="13"/>
  <c r="C1071" i="13"/>
  <c r="C1072" i="13"/>
  <c r="C1073" i="13"/>
  <c r="C1074" i="13"/>
  <c r="C1075" i="13"/>
  <c r="C1076" i="13"/>
  <c r="C1077" i="13"/>
  <c r="C1078" i="13"/>
  <c r="C1079" i="13"/>
  <c r="C1080" i="13"/>
  <c r="C1081" i="13"/>
  <c r="C1082" i="13"/>
  <c r="C1083" i="13"/>
  <c r="C1084" i="13"/>
  <c r="C1085" i="13"/>
  <c r="C1086" i="13"/>
  <c r="C1087" i="13"/>
  <c r="C1088" i="13"/>
  <c r="C1089" i="13"/>
  <c r="C1090" i="13"/>
  <c r="C1091" i="13"/>
  <c r="C1092" i="13"/>
  <c r="C1093" i="13"/>
  <c r="C1094" i="13"/>
  <c r="C1095" i="13"/>
  <c r="C1096" i="13"/>
  <c r="C1097" i="13"/>
  <c r="C1098" i="13"/>
  <c r="C1099" i="13"/>
  <c r="C1100" i="13"/>
  <c r="C1101" i="13"/>
  <c r="C1102" i="13"/>
  <c r="C1103" i="13"/>
  <c r="C1104" i="13"/>
  <c r="C1105" i="13"/>
  <c r="C1106" i="13"/>
  <c r="C1107" i="13"/>
  <c r="C1108" i="13"/>
  <c r="C1109" i="13"/>
  <c r="C1110" i="13"/>
  <c r="C1111" i="13"/>
  <c r="C1112" i="13"/>
  <c r="C1113" i="13"/>
  <c r="C1114" i="13"/>
  <c r="C1115" i="13"/>
  <c r="C1116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L1033" i="13"/>
  <c r="L1034" i="13"/>
  <c r="L1035" i="13"/>
  <c r="L1036" i="13"/>
  <c r="L1037" i="13"/>
  <c r="L1038" i="13"/>
  <c r="L1039" i="13"/>
  <c r="L1040" i="13"/>
  <c r="L1041" i="13"/>
  <c r="L1042" i="13"/>
  <c r="L1043" i="13"/>
  <c r="L1044" i="13"/>
  <c r="L1045" i="13"/>
  <c r="L1046" i="13"/>
  <c r="L1047" i="13"/>
  <c r="L1048" i="13"/>
  <c r="L1049" i="13"/>
  <c r="L1050" i="13"/>
  <c r="L1051" i="13"/>
  <c r="L1052" i="13"/>
  <c r="L1053" i="13"/>
  <c r="L1054" i="13"/>
  <c r="L1055" i="13"/>
  <c r="L1056" i="13"/>
  <c r="L1057" i="13"/>
  <c r="L1058" i="13"/>
  <c r="L1059" i="13"/>
  <c r="L1060" i="13"/>
  <c r="L1061" i="13"/>
  <c r="L1062" i="13"/>
  <c r="L1063" i="13"/>
  <c r="L1064" i="13"/>
  <c r="L1065" i="13"/>
  <c r="L1066" i="13"/>
  <c r="L1067" i="13"/>
  <c r="L1068" i="13"/>
  <c r="L1069" i="13"/>
  <c r="L1070" i="13"/>
  <c r="L1071" i="13"/>
  <c r="L1072" i="13"/>
  <c r="L1073" i="13"/>
  <c r="L1074" i="13"/>
  <c r="L1075" i="13"/>
  <c r="L1076" i="13"/>
  <c r="L1077" i="13"/>
  <c r="L1078" i="13"/>
  <c r="L1079" i="13"/>
  <c r="L1080" i="13"/>
  <c r="L1081" i="13"/>
  <c r="L1082" i="13"/>
  <c r="L1083" i="13"/>
  <c r="L1084" i="13"/>
  <c r="L1085" i="13"/>
  <c r="L1086" i="13"/>
  <c r="L1087" i="13"/>
  <c r="L1088" i="13"/>
  <c r="L1089" i="13"/>
  <c r="L1090" i="13"/>
  <c r="L1091" i="13"/>
  <c r="L1092" i="13"/>
  <c r="L1093" i="13"/>
  <c r="L1094" i="13"/>
  <c r="L1095" i="13"/>
  <c r="L1096" i="13"/>
  <c r="L1097" i="13"/>
  <c r="L1098" i="13"/>
  <c r="L1099" i="13"/>
  <c r="L1100" i="13"/>
  <c r="L1101" i="13"/>
  <c r="L1102" i="13"/>
  <c r="L1103" i="13"/>
  <c r="L1104" i="13"/>
  <c r="L1105" i="13"/>
  <c r="L1106" i="13"/>
  <c r="L1107" i="13"/>
  <c r="L1108" i="13"/>
  <c r="L1109" i="13"/>
  <c r="L1110" i="13"/>
  <c r="L1111" i="13"/>
  <c r="L1112" i="13"/>
  <c r="L1113" i="13"/>
  <c r="L1114" i="13"/>
  <c r="L1115" i="13"/>
  <c r="L1116" i="13"/>
  <c r="Q1033" i="13"/>
  <c r="Q1034" i="13"/>
  <c r="Q1035" i="13"/>
  <c r="Q1036" i="13"/>
  <c r="Q1037" i="13"/>
  <c r="Q1038" i="13"/>
  <c r="Q1039" i="13"/>
  <c r="Q1040" i="13"/>
  <c r="Q1041" i="13"/>
  <c r="Q1042" i="13"/>
  <c r="Q1043" i="13"/>
  <c r="Q1044" i="13"/>
  <c r="Q1045" i="13"/>
  <c r="Q1046" i="13"/>
  <c r="Q1047" i="13"/>
  <c r="Q1048" i="13"/>
  <c r="Q1049" i="13"/>
  <c r="Q1050" i="13"/>
  <c r="Q1051" i="13"/>
  <c r="Q1052" i="13"/>
  <c r="Q1053" i="13"/>
  <c r="Q1054" i="13"/>
  <c r="Q1055" i="13"/>
  <c r="Q1056" i="13"/>
  <c r="Q1057" i="13"/>
  <c r="Q1058" i="13"/>
  <c r="Q1059" i="13"/>
  <c r="Q1060" i="13"/>
  <c r="Q1061" i="13"/>
  <c r="Q1062" i="13"/>
  <c r="Q1063" i="13"/>
  <c r="Q1064" i="13"/>
  <c r="Q1065" i="13"/>
  <c r="Q1066" i="13"/>
  <c r="Q1067" i="13"/>
  <c r="Q1068" i="13"/>
  <c r="Q1069" i="13"/>
  <c r="Q1070" i="13"/>
  <c r="Q1071" i="13"/>
  <c r="Q1072" i="13"/>
  <c r="Q1073" i="13"/>
  <c r="Q1074" i="13"/>
  <c r="Q1075" i="13"/>
  <c r="Q1076" i="13"/>
  <c r="Q1077" i="13"/>
  <c r="Q1078" i="13"/>
  <c r="Q1079" i="13"/>
  <c r="Q1080" i="13"/>
  <c r="Q1081" i="13"/>
  <c r="Q1082" i="13"/>
  <c r="Q1083" i="13"/>
  <c r="Q1084" i="13"/>
  <c r="Q1085" i="13"/>
  <c r="Q1086" i="13"/>
  <c r="Q1087" i="13"/>
  <c r="Q1088" i="13"/>
  <c r="Q1089" i="13"/>
  <c r="Q1090" i="13"/>
  <c r="Q1091" i="13"/>
  <c r="Q1092" i="13"/>
  <c r="Q1093" i="13"/>
  <c r="Q1094" i="13"/>
  <c r="Q1095" i="13"/>
  <c r="Q1096" i="13"/>
  <c r="Q1097" i="13"/>
  <c r="Q1098" i="13"/>
  <c r="Q1099" i="13"/>
  <c r="Q1100" i="13"/>
  <c r="Q1101" i="13"/>
  <c r="Q1102" i="13"/>
  <c r="Q1103" i="13"/>
  <c r="Q1104" i="13"/>
  <c r="Q1105" i="13"/>
  <c r="Q1106" i="13"/>
  <c r="Q1107" i="13"/>
  <c r="Q1108" i="13"/>
  <c r="Q1109" i="13"/>
  <c r="Q1110" i="13"/>
  <c r="Q1111" i="13"/>
  <c r="Q1112" i="13"/>
  <c r="Q1113" i="13"/>
  <c r="Q1114" i="13"/>
  <c r="Q1115" i="13"/>
  <c r="Q1116" i="13"/>
  <c r="C1117" i="13"/>
  <c r="C1118" i="13"/>
  <c r="C1119" i="13"/>
  <c r="C1120" i="13"/>
  <c r="C1121" i="13"/>
  <c r="C1122" i="13"/>
  <c r="C1123" i="13"/>
  <c r="C1124" i="13"/>
  <c r="C1125" i="13"/>
  <c r="C1126" i="13"/>
  <c r="C1127" i="13"/>
  <c r="C1128" i="13"/>
  <c r="C1129" i="13"/>
  <c r="C1130" i="13"/>
  <c r="C1131" i="13"/>
  <c r="C1132" i="13"/>
  <c r="C1133" i="13"/>
  <c r="C1134" i="13"/>
  <c r="C1135" i="13"/>
  <c r="C1136" i="13"/>
  <c r="C1137" i="13"/>
  <c r="C1138" i="13"/>
  <c r="C1139" i="13"/>
  <c r="C1140" i="13"/>
  <c r="C1141" i="13"/>
  <c r="C1142" i="13"/>
  <c r="C1143" i="13"/>
  <c r="C1144" i="13"/>
  <c r="C1145" i="13"/>
  <c r="C1146" i="13"/>
  <c r="C1147" i="13"/>
  <c r="C1148" i="13"/>
  <c r="C1149" i="13"/>
  <c r="C1150" i="13"/>
  <c r="C1151" i="13"/>
  <c r="C1152" i="13"/>
  <c r="C1153" i="13"/>
  <c r="C1154" i="13"/>
  <c r="C1155" i="13"/>
  <c r="C1156" i="13"/>
  <c r="C1157" i="13"/>
  <c r="C1158" i="13"/>
  <c r="C1159" i="13"/>
  <c r="C1160" i="13"/>
  <c r="C1161" i="13"/>
  <c r="C1162" i="13"/>
  <c r="C1163" i="13"/>
  <c r="C1164" i="13"/>
  <c r="C1165" i="13"/>
  <c r="C1166" i="13"/>
  <c r="C1167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L1117" i="13"/>
  <c r="L1118" i="13"/>
  <c r="L1119" i="13"/>
  <c r="L1120" i="13"/>
  <c r="L1121" i="13"/>
  <c r="L1122" i="13"/>
  <c r="L1123" i="13"/>
  <c r="L1124" i="13"/>
  <c r="L1125" i="13"/>
  <c r="L1126" i="13"/>
  <c r="L1127" i="13"/>
  <c r="L1128" i="13"/>
  <c r="L1129" i="13"/>
  <c r="L1130" i="13"/>
  <c r="L1131" i="13"/>
  <c r="L1132" i="13"/>
  <c r="L1133" i="13"/>
  <c r="L1134" i="13"/>
  <c r="L1135" i="13"/>
  <c r="L1136" i="13"/>
  <c r="L1137" i="13"/>
  <c r="L1138" i="13"/>
  <c r="L1139" i="13"/>
  <c r="L1140" i="13"/>
  <c r="L1141" i="13"/>
  <c r="L1142" i="13"/>
  <c r="L1143" i="13"/>
  <c r="L1144" i="13"/>
  <c r="L1145" i="13"/>
  <c r="L1146" i="13"/>
  <c r="L1147" i="13"/>
  <c r="L1148" i="13"/>
  <c r="L1149" i="13"/>
  <c r="L1150" i="13"/>
  <c r="L1151" i="13"/>
  <c r="L1152" i="13"/>
  <c r="L1153" i="13"/>
  <c r="L1154" i="13"/>
  <c r="L1155" i="13"/>
  <c r="L1156" i="13"/>
  <c r="L1157" i="13"/>
  <c r="L1158" i="13"/>
  <c r="L1159" i="13"/>
  <c r="L1160" i="13"/>
  <c r="L1161" i="13"/>
  <c r="L1162" i="13"/>
  <c r="L1163" i="13"/>
  <c r="L1164" i="13"/>
  <c r="L1165" i="13"/>
  <c r="L1166" i="13"/>
  <c r="L1167" i="13"/>
  <c r="Q1117" i="13"/>
  <c r="Q1118" i="13"/>
  <c r="Q1119" i="13"/>
  <c r="Q1120" i="13"/>
  <c r="Q1121" i="13"/>
  <c r="Q1122" i="13"/>
  <c r="Q1123" i="13"/>
  <c r="Q1124" i="13"/>
  <c r="Q1125" i="13"/>
  <c r="Q1126" i="13"/>
  <c r="Q1127" i="13"/>
  <c r="Q1128" i="13"/>
  <c r="Q1129" i="13"/>
  <c r="Q1130" i="13"/>
  <c r="Q1131" i="13"/>
  <c r="Q1132" i="13"/>
  <c r="Q1133" i="13"/>
  <c r="Q1134" i="13"/>
  <c r="Q1135" i="13"/>
  <c r="Q1136" i="13"/>
  <c r="Q1137" i="13"/>
  <c r="Q1138" i="13"/>
  <c r="Q1139" i="13"/>
  <c r="Q1140" i="13"/>
  <c r="Q1141" i="13"/>
  <c r="Q1142" i="13"/>
  <c r="Q1143" i="13"/>
  <c r="Q1144" i="13"/>
  <c r="Q1145" i="13"/>
  <c r="Q1146" i="13"/>
  <c r="Q1147" i="13"/>
  <c r="Q1148" i="13"/>
  <c r="Q1149" i="13"/>
  <c r="Q1150" i="13"/>
  <c r="Q1151" i="13"/>
  <c r="Q1152" i="13"/>
  <c r="Q1153" i="13"/>
  <c r="Q1154" i="13"/>
  <c r="Q1155" i="13"/>
  <c r="Q1156" i="13"/>
  <c r="Q1157" i="13"/>
  <c r="Q1158" i="13"/>
  <c r="Q1159" i="13"/>
  <c r="Q1160" i="13"/>
  <c r="Q1161" i="13"/>
  <c r="Q1162" i="13"/>
  <c r="Q1163" i="13"/>
  <c r="Q1164" i="13"/>
  <c r="Q1165" i="13"/>
  <c r="Q1166" i="13"/>
  <c r="Q1167" i="13"/>
  <c r="C1168" i="13"/>
  <c r="C1169" i="13"/>
  <c r="C1170" i="13"/>
  <c r="C1171" i="13"/>
  <c r="C1172" i="13"/>
  <c r="C1173" i="13"/>
  <c r="C1174" i="13"/>
  <c r="C1175" i="13"/>
  <c r="C1176" i="13"/>
  <c r="C1177" i="13"/>
  <c r="C1178" i="13"/>
  <c r="C1179" i="13"/>
  <c r="C1180" i="13"/>
  <c r="C1181" i="13"/>
  <c r="C1182" i="13"/>
  <c r="C1183" i="13"/>
  <c r="C1184" i="13"/>
  <c r="C1185" i="13"/>
  <c r="C1186" i="13"/>
  <c r="C1187" i="13"/>
  <c r="C1188" i="13"/>
  <c r="C1189" i="13"/>
  <c r="C1190" i="13"/>
  <c r="C1191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L1168" i="13"/>
  <c r="L1169" i="13"/>
  <c r="L1170" i="13"/>
  <c r="L1171" i="13"/>
  <c r="L1172" i="13"/>
  <c r="L1173" i="13"/>
  <c r="L1174" i="13"/>
  <c r="L1175" i="13"/>
  <c r="L1176" i="13"/>
  <c r="L1177" i="13"/>
  <c r="L1178" i="13"/>
  <c r="L1179" i="13"/>
  <c r="L1180" i="13"/>
  <c r="L1181" i="13"/>
  <c r="L1182" i="13"/>
  <c r="L1183" i="13"/>
  <c r="L1184" i="13"/>
  <c r="L1185" i="13"/>
  <c r="L1186" i="13"/>
  <c r="L1187" i="13"/>
  <c r="L1188" i="13"/>
  <c r="L1189" i="13"/>
  <c r="L1190" i="13"/>
  <c r="L1191" i="13"/>
  <c r="Q1168" i="13"/>
  <c r="Q1169" i="13"/>
  <c r="Q1170" i="13"/>
  <c r="Q1171" i="13"/>
  <c r="Q1172" i="13"/>
  <c r="Q1173" i="13"/>
  <c r="Q1174" i="13"/>
  <c r="Q1175" i="13"/>
  <c r="Q1176" i="13"/>
  <c r="Q1177" i="13"/>
  <c r="Q1178" i="13"/>
  <c r="Q1179" i="13"/>
  <c r="Q1180" i="13"/>
  <c r="Q1181" i="13"/>
  <c r="Q1182" i="13"/>
  <c r="Q1183" i="13"/>
  <c r="Q1184" i="13"/>
  <c r="Q1185" i="13"/>
  <c r="Q1186" i="13"/>
  <c r="Q1187" i="13"/>
  <c r="Q1188" i="13"/>
  <c r="Q1189" i="13"/>
  <c r="Q1190" i="13"/>
  <c r="Q1191" i="13"/>
  <c r="D20" i="19"/>
  <c r="C1192" i="13"/>
  <c r="C1193" i="13"/>
  <c r="D1192" i="13"/>
  <c r="D1193" i="13"/>
  <c r="E1192" i="13"/>
  <c r="E1193" i="13"/>
  <c r="L1192" i="13"/>
  <c r="L1193" i="13"/>
  <c r="Q1192" i="13"/>
  <c r="Q1193" i="13"/>
  <c r="C941" i="13"/>
  <c r="C942" i="13"/>
  <c r="C943" i="13"/>
  <c r="C944" i="13"/>
  <c r="C945" i="13"/>
  <c r="C946" i="13"/>
  <c r="C947" i="13"/>
  <c r="C948" i="13"/>
  <c r="D941" i="13"/>
  <c r="D942" i="13"/>
  <c r="D943" i="13"/>
  <c r="D944" i="13"/>
  <c r="D945" i="13"/>
  <c r="D946" i="13"/>
  <c r="D947" i="13"/>
  <c r="D948" i="13"/>
  <c r="E941" i="13"/>
  <c r="E942" i="13"/>
  <c r="E943" i="13"/>
  <c r="E944" i="13"/>
  <c r="E945" i="13"/>
  <c r="E946" i="13"/>
  <c r="E947" i="13"/>
  <c r="E948" i="13"/>
  <c r="L941" i="13"/>
  <c r="L942" i="13"/>
  <c r="L943" i="13"/>
  <c r="L944" i="13"/>
  <c r="L945" i="13"/>
  <c r="L946" i="13"/>
  <c r="L947" i="13"/>
  <c r="L948" i="13"/>
  <c r="Q941" i="13"/>
  <c r="Q942" i="13"/>
  <c r="Q943" i="13"/>
  <c r="Q944" i="13"/>
  <c r="Q945" i="13"/>
  <c r="Q946" i="13"/>
  <c r="Q947" i="13"/>
  <c r="Q948" i="13"/>
  <c r="D40" i="19" l="1"/>
  <c r="D37" i="19"/>
  <c r="D33" i="19"/>
  <c r="D42" i="19"/>
  <c r="D34" i="19"/>
  <c r="D30" i="19"/>
  <c r="D31" i="19"/>
  <c r="D43" i="19"/>
  <c r="D32" i="19"/>
  <c r="D38" i="19"/>
  <c r="D35" i="19"/>
  <c r="D29" i="19"/>
  <c r="D44" i="19"/>
  <c r="D41" i="19"/>
  <c r="D39" i="19"/>
  <c r="D36" i="19"/>
  <c r="D23" i="19"/>
  <c r="D21" i="19"/>
  <c r="D22" i="19"/>
  <c r="E20" i="19"/>
  <c r="E23" i="19" l="1"/>
  <c r="C43" i="19"/>
  <c r="F22" i="19"/>
  <c r="C44" i="19"/>
  <c r="F23" i="19"/>
  <c r="F21" i="19"/>
  <c r="C42" i="19"/>
  <c r="E21" i="19"/>
  <c r="F20" i="19"/>
  <c r="C41" i="19"/>
  <c r="E22" i="19"/>
  <c r="B934" i="13"/>
  <c r="B933" i="13"/>
  <c r="B932" i="13"/>
  <c r="B931" i="13"/>
  <c r="B930" i="13"/>
  <c r="B929" i="13"/>
  <c r="B928" i="13"/>
  <c r="B927" i="13"/>
  <c r="B926" i="13"/>
  <c r="B925" i="13"/>
  <c r="B924" i="13"/>
  <c r="B923" i="13"/>
  <c r="B922" i="13"/>
  <c r="B921" i="13"/>
  <c r="B920" i="13"/>
  <c r="B919" i="13"/>
  <c r="B918" i="13"/>
  <c r="B917" i="13"/>
  <c r="B916" i="13"/>
  <c r="B915" i="13"/>
  <c r="B914" i="13"/>
  <c r="B913" i="13"/>
  <c r="B912" i="13"/>
  <c r="B911" i="13"/>
  <c r="B910" i="13"/>
  <c r="B909" i="13"/>
  <c r="B908" i="13"/>
  <c r="B907" i="13"/>
  <c r="B906" i="13"/>
  <c r="B905" i="13"/>
  <c r="B904" i="13"/>
  <c r="B903" i="13"/>
  <c r="B902" i="13"/>
  <c r="B901" i="13"/>
  <c r="B900" i="13"/>
  <c r="B899" i="13"/>
  <c r="B898" i="13"/>
  <c r="B897" i="13"/>
  <c r="B896" i="13"/>
  <c r="B895" i="13"/>
  <c r="B894" i="13"/>
  <c r="B893" i="13"/>
  <c r="B892" i="13"/>
  <c r="B891" i="13"/>
  <c r="B890" i="13"/>
  <c r="B889" i="13"/>
  <c r="B888" i="13"/>
  <c r="B887" i="13"/>
  <c r="B886" i="13"/>
  <c r="B885" i="13"/>
  <c r="B884" i="13"/>
  <c r="B883" i="13"/>
  <c r="B882" i="13"/>
  <c r="B881" i="13"/>
  <c r="B880" i="13"/>
  <c r="B879" i="13"/>
  <c r="B878" i="13"/>
  <c r="B877" i="13"/>
  <c r="B876" i="13"/>
  <c r="B875" i="13"/>
  <c r="B874" i="13"/>
  <c r="B873" i="13"/>
  <c r="B872" i="13"/>
  <c r="B871" i="13"/>
  <c r="B870" i="13"/>
  <c r="B869" i="13"/>
  <c r="B868" i="13"/>
  <c r="B867" i="13"/>
  <c r="B866" i="13"/>
  <c r="B865" i="13"/>
  <c r="B864" i="13"/>
  <c r="B863" i="13"/>
  <c r="B862" i="13"/>
  <c r="B861" i="13"/>
  <c r="B860" i="13"/>
  <c r="B859" i="13"/>
  <c r="B858" i="13"/>
  <c r="B857" i="13"/>
  <c r="B856" i="13"/>
  <c r="B855" i="13"/>
  <c r="B854" i="13"/>
  <c r="B853" i="13"/>
  <c r="B852" i="13"/>
  <c r="B851" i="13"/>
  <c r="B850" i="13"/>
  <c r="B849" i="13"/>
  <c r="B848" i="13"/>
  <c r="B847" i="13"/>
  <c r="B846" i="13"/>
  <c r="B845" i="13"/>
  <c r="B844" i="13"/>
  <c r="B843" i="13"/>
  <c r="B842" i="13"/>
  <c r="B841" i="13"/>
  <c r="B840" i="13"/>
  <c r="B839" i="13"/>
  <c r="B838" i="13"/>
  <c r="B837" i="13"/>
  <c r="B836" i="13"/>
  <c r="B835" i="13"/>
  <c r="B834" i="13"/>
  <c r="B833" i="13"/>
  <c r="B832" i="13"/>
  <c r="B831" i="13"/>
  <c r="B830" i="13"/>
  <c r="B829" i="13"/>
  <c r="B828" i="13"/>
  <c r="B827" i="13"/>
  <c r="B826" i="13"/>
  <c r="B825" i="13"/>
  <c r="B824" i="13"/>
  <c r="B823" i="13"/>
  <c r="B822" i="13"/>
  <c r="B821" i="13"/>
  <c r="B820" i="13"/>
  <c r="B819" i="13"/>
  <c r="B818" i="13"/>
  <c r="B817" i="13"/>
  <c r="B816" i="13"/>
  <c r="B815" i="13"/>
  <c r="B814" i="13"/>
  <c r="B813" i="13"/>
  <c r="B812" i="13"/>
  <c r="B811" i="13"/>
  <c r="B810" i="13"/>
  <c r="B809" i="13"/>
  <c r="B808" i="13"/>
  <c r="B807" i="13"/>
  <c r="B806" i="13"/>
  <c r="B805" i="13"/>
  <c r="B804" i="13"/>
  <c r="B803" i="13"/>
  <c r="B802" i="13"/>
  <c r="B801" i="13"/>
  <c r="B800" i="13"/>
  <c r="B799" i="13"/>
  <c r="B798" i="13"/>
  <c r="B797" i="13"/>
  <c r="B796" i="13"/>
  <c r="B795" i="13"/>
  <c r="B794" i="13"/>
  <c r="B793" i="13"/>
  <c r="B792" i="13"/>
  <c r="B791" i="13"/>
  <c r="B790" i="13"/>
  <c r="B789" i="13"/>
  <c r="B788" i="13"/>
  <c r="B787" i="13"/>
  <c r="B786" i="13"/>
  <c r="B785" i="13"/>
  <c r="B784" i="13"/>
  <c r="B783" i="13"/>
  <c r="B782" i="13"/>
  <c r="B781" i="13"/>
  <c r="B780" i="13"/>
  <c r="B779" i="13"/>
  <c r="B778" i="13"/>
  <c r="B777" i="13"/>
  <c r="B776" i="13"/>
  <c r="B775" i="13"/>
  <c r="B774" i="13"/>
  <c r="B773" i="13"/>
  <c r="B772" i="13"/>
  <c r="B771" i="13"/>
  <c r="B770" i="13"/>
  <c r="B769" i="13"/>
  <c r="B768" i="13"/>
  <c r="B767" i="13"/>
  <c r="B766" i="13"/>
  <c r="B765" i="13"/>
  <c r="B764" i="13"/>
  <c r="B763" i="13"/>
  <c r="B762" i="13"/>
  <c r="B761" i="13"/>
  <c r="B760" i="13"/>
  <c r="B759" i="13"/>
  <c r="B758" i="13"/>
  <c r="B757" i="13"/>
  <c r="B756" i="13"/>
  <c r="B755" i="13"/>
  <c r="B754" i="13"/>
  <c r="B753" i="13"/>
  <c r="B752" i="13"/>
  <c r="B751" i="13"/>
  <c r="B750" i="13"/>
  <c r="B749" i="13"/>
  <c r="B748" i="13"/>
  <c r="B747" i="13"/>
  <c r="B746" i="13"/>
  <c r="B745" i="13"/>
  <c r="B744" i="13"/>
  <c r="B743" i="13"/>
  <c r="B742" i="13"/>
  <c r="B741" i="13"/>
  <c r="B740" i="13"/>
  <c r="B739" i="13"/>
  <c r="B738" i="13"/>
  <c r="B737" i="13"/>
  <c r="B736" i="13"/>
  <c r="B735" i="13"/>
  <c r="B734" i="13"/>
  <c r="B733" i="13"/>
  <c r="B732" i="13"/>
  <c r="B731" i="13"/>
  <c r="B730" i="13"/>
  <c r="B729" i="13"/>
  <c r="B728" i="13"/>
  <c r="B727" i="13"/>
  <c r="B726" i="13"/>
  <c r="B725" i="13"/>
  <c r="B724" i="13"/>
  <c r="B723" i="13"/>
  <c r="B722" i="13"/>
  <c r="B721" i="13"/>
  <c r="B720" i="13"/>
  <c r="B719" i="13"/>
  <c r="B718" i="13"/>
  <c r="B717" i="13"/>
  <c r="B716" i="13"/>
  <c r="B715" i="13"/>
  <c r="B714" i="13"/>
  <c r="B713" i="13"/>
  <c r="B712" i="13"/>
  <c r="B711" i="13"/>
  <c r="B710" i="13"/>
  <c r="B709" i="13"/>
  <c r="B708" i="13"/>
  <c r="B707" i="13"/>
  <c r="B706" i="13"/>
  <c r="B705" i="13"/>
  <c r="B704" i="13"/>
  <c r="B703" i="13"/>
  <c r="B702" i="13"/>
  <c r="B701" i="13"/>
  <c r="B700" i="13"/>
  <c r="B699" i="13"/>
  <c r="B698" i="13"/>
  <c r="B697" i="13"/>
  <c r="B696" i="13"/>
  <c r="B695" i="13"/>
  <c r="B694" i="13"/>
  <c r="B693" i="13"/>
  <c r="B692" i="13"/>
  <c r="B691" i="13"/>
  <c r="B690" i="13"/>
  <c r="B689" i="13"/>
  <c r="B688" i="13"/>
  <c r="B687" i="13"/>
  <c r="B686" i="13"/>
  <c r="B685" i="13"/>
  <c r="B684" i="13"/>
  <c r="B683" i="13"/>
  <c r="B682" i="13"/>
  <c r="B681" i="13"/>
  <c r="B680" i="13"/>
  <c r="B679" i="13"/>
  <c r="B678" i="13"/>
  <c r="B677" i="13"/>
  <c r="B676" i="13"/>
  <c r="B675" i="13"/>
  <c r="B674" i="13"/>
  <c r="B673" i="13"/>
  <c r="B672" i="13"/>
  <c r="B671" i="13"/>
  <c r="B670" i="13"/>
  <c r="B669" i="13"/>
  <c r="B668" i="13"/>
  <c r="B667" i="13"/>
  <c r="B666" i="13"/>
  <c r="B665" i="13"/>
  <c r="B664" i="13"/>
  <c r="B663" i="13"/>
  <c r="B662" i="13"/>
  <c r="B661" i="13"/>
  <c r="B660" i="13"/>
  <c r="B659" i="13"/>
  <c r="B658" i="13"/>
  <c r="B657" i="13"/>
  <c r="B656" i="13"/>
  <c r="B655" i="13"/>
  <c r="B654" i="13"/>
  <c r="B653" i="13"/>
  <c r="B652" i="13"/>
  <c r="B651" i="13"/>
  <c r="B650" i="13"/>
  <c r="B649" i="13"/>
  <c r="B648" i="13"/>
  <c r="B647" i="13"/>
  <c r="B646" i="13"/>
  <c r="B645" i="13"/>
  <c r="B644" i="13"/>
  <c r="B643" i="13"/>
  <c r="B642" i="13"/>
  <c r="B641" i="13"/>
  <c r="B640" i="13"/>
  <c r="B639" i="13"/>
  <c r="B638" i="13"/>
  <c r="B637" i="13"/>
  <c r="B636" i="13"/>
  <c r="B635" i="13"/>
  <c r="B634" i="13"/>
  <c r="B633" i="13"/>
  <c r="B632" i="13"/>
  <c r="B631" i="13"/>
  <c r="B630" i="13"/>
  <c r="B629" i="13"/>
  <c r="B628" i="13"/>
  <c r="B627" i="13"/>
  <c r="B626" i="13"/>
  <c r="B625" i="13"/>
  <c r="B624" i="13"/>
  <c r="B623" i="13"/>
  <c r="B622" i="13"/>
  <c r="B621" i="13"/>
  <c r="B620" i="13"/>
  <c r="B619" i="13"/>
  <c r="B618" i="13"/>
  <c r="B617" i="13"/>
  <c r="B616" i="13"/>
  <c r="B615" i="13"/>
  <c r="B614" i="13"/>
  <c r="B613" i="13"/>
  <c r="B612" i="13"/>
  <c r="B611" i="13"/>
  <c r="B610" i="13"/>
  <c r="B609" i="13"/>
  <c r="B608" i="13"/>
  <c r="B607" i="13"/>
  <c r="B606" i="13"/>
  <c r="B605" i="13"/>
  <c r="B604" i="13"/>
  <c r="B603" i="13"/>
  <c r="B602" i="13"/>
  <c r="B601" i="13"/>
  <c r="B600" i="13"/>
  <c r="B599" i="13"/>
  <c r="B598" i="13"/>
  <c r="B597" i="13"/>
  <c r="B596" i="13"/>
  <c r="B595" i="13"/>
  <c r="B594" i="13"/>
  <c r="B593" i="13"/>
  <c r="B592" i="13"/>
  <c r="B591" i="13"/>
  <c r="B590" i="13"/>
  <c r="B589" i="13"/>
  <c r="B588" i="13"/>
  <c r="B587" i="13"/>
  <c r="B586" i="13"/>
  <c r="B585" i="13"/>
  <c r="B584" i="13"/>
  <c r="B583" i="13"/>
  <c r="B582" i="13"/>
  <c r="B581" i="13"/>
  <c r="B580" i="13"/>
  <c r="B579" i="13"/>
  <c r="B578" i="13"/>
  <c r="B577" i="13"/>
  <c r="B576" i="13"/>
  <c r="B575" i="13"/>
  <c r="B574" i="13"/>
  <c r="B573" i="13"/>
  <c r="B572" i="13"/>
  <c r="B571" i="13"/>
  <c r="B570" i="13"/>
  <c r="B569" i="13"/>
  <c r="B568" i="13"/>
  <c r="B567" i="13"/>
  <c r="B566" i="13"/>
  <c r="B565" i="13"/>
  <c r="B564" i="13"/>
  <c r="B563" i="13"/>
  <c r="B562" i="13"/>
  <c r="B561" i="13"/>
  <c r="B560" i="13"/>
  <c r="B559" i="13"/>
  <c r="B558" i="13"/>
  <c r="B557" i="13"/>
  <c r="B556" i="13"/>
  <c r="B555" i="13"/>
  <c r="B554" i="13"/>
  <c r="B553" i="13"/>
  <c r="B552" i="13"/>
  <c r="B551" i="13"/>
  <c r="B550" i="13"/>
  <c r="B549" i="13"/>
  <c r="B548" i="13"/>
  <c r="B547" i="13"/>
  <c r="B546" i="13"/>
  <c r="B545" i="13"/>
  <c r="B544" i="13"/>
  <c r="B543" i="13"/>
  <c r="B542" i="13"/>
  <c r="B541" i="13"/>
  <c r="B540" i="13"/>
  <c r="B539" i="13"/>
  <c r="B538" i="13"/>
  <c r="B537" i="13"/>
  <c r="B536" i="13"/>
  <c r="B535" i="13"/>
  <c r="B534" i="13"/>
  <c r="B533" i="13"/>
  <c r="B532" i="13"/>
  <c r="B531" i="13"/>
  <c r="B530" i="13"/>
  <c r="B529" i="13"/>
  <c r="B528" i="13"/>
  <c r="B527" i="13"/>
  <c r="B526" i="13"/>
  <c r="B525" i="13"/>
  <c r="B524" i="13"/>
  <c r="B523" i="13"/>
  <c r="B522" i="13"/>
  <c r="B521" i="13"/>
  <c r="B520" i="13"/>
  <c r="B519" i="13"/>
  <c r="B518" i="13"/>
  <c r="B517" i="13"/>
  <c r="B516" i="13"/>
  <c r="B515" i="13"/>
  <c r="B514" i="13"/>
  <c r="B513" i="13"/>
  <c r="B512" i="13"/>
  <c r="B511" i="13"/>
  <c r="B510" i="13"/>
  <c r="B509" i="13"/>
  <c r="B508" i="13"/>
  <c r="B507" i="13"/>
  <c r="B506" i="13"/>
  <c r="B505" i="13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1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4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7" i="13"/>
  <c r="Q368" i="13"/>
  <c r="Q369" i="13"/>
  <c r="Q370" i="13"/>
  <c r="Q371" i="13"/>
  <c r="Q372" i="13"/>
  <c r="Q373" i="13"/>
  <c r="Q374" i="13"/>
  <c r="Q375" i="13"/>
  <c r="Q376" i="13"/>
  <c r="Q377" i="13"/>
  <c r="Q378" i="13"/>
  <c r="Q379" i="13"/>
  <c r="Q380" i="13"/>
  <c r="Q381" i="13"/>
  <c r="Q382" i="13"/>
  <c r="Q383" i="13"/>
  <c r="Q384" i="13"/>
  <c r="Q385" i="13"/>
  <c r="Q386" i="13"/>
  <c r="Q387" i="13"/>
  <c r="Q388" i="13"/>
  <c r="Q389" i="13"/>
  <c r="Q390" i="13"/>
  <c r="Q391" i="13"/>
  <c r="Q392" i="13"/>
  <c r="Q393" i="13"/>
  <c r="Q394" i="13"/>
  <c r="Q395" i="13"/>
  <c r="Q396" i="13"/>
  <c r="Q397" i="13"/>
  <c r="Q398" i="13"/>
  <c r="Q399" i="13"/>
  <c r="Q400" i="13"/>
  <c r="Q401" i="13"/>
  <c r="Q402" i="13"/>
  <c r="Q403" i="13"/>
  <c r="Q404" i="13"/>
  <c r="Q405" i="13"/>
  <c r="Q406" i="13"/>
  <c r="Q407" i="13"/>
  <c r="Q408" i="13"/>
  <c r="Q409" i="13"/>
  <c r="Q410" i="13"/>
  <c r="Q411" i="13"/>
  <c r="Q412" i="13"/>
  <c r="Q413" i="13"/>
  <c r="Q414" i="13"/>
  <c r="Q415" i="13"/>
  <c r="Q416" i="13"/>
  <c r="Q417" i="13"/>
  <c r="Q418" i="13"/>
  <c r="Q419" i="13"/>
  <c r="Q420" i="13"/>
  <c r="Q421" i="13"/>
  <c r="Q422" i="13"/>
  <c r="Q423" i="13"/>
  <c r="Q424" i="13"/>
  <c r="Q425" i="13"/>
  <c r="Q426" i="13"/>
  <c r="Q427" i="13"/>
  <c r="Q428" i="13"/>
  <c r="Q429" i="13"/>
  <c r="Q430" i="13"/>
  <c r="Q431" i="13"/>
  <c r="Q432" i="13"/>
  <c r="Q433" i="13"/>
  <c r="Q434" i="13"/>
  <c r="Q435" i="13"/>
  <c r="Q436" i="13"/>
  <c r="Q437" i="13"/>
  <c r="Q438" i="13"/>
  <c r="Q439" i="13"/>
  <c r="Q440" i="13"/>
  <c r="Q441" i="13"/>
  <c r="Q442" i="13"/>
  <c r="Q443" i="13"/>
  <c r="Q444" i="13"/>
  <c r="Q445" i="13"/>
  <c r="Q446" i="13"/>
  <c r="Q447" i="13"/>
  <c r="Q448" i="13"/>
  <c r="Q449" i="13"/>
  <c r="Q450" i="13"/>
  <c r="Q451" i="13"/>
  <c r="Q452" i="13"/>
  <c r="Q453" i="13"/>
  <c r="Q454" i="13"/>
  <c r="Q455" i="13"/>
  <c r="Q456" i="13"/>
  <c r="Q457" i="13"/>
  <c r="Q458" i="13"/>
  <c r="Q459" i="13"/>
  <c r="Q460" i="13"/>
  <c r="Q461" i="13"/>
  <c r="Q462" i="13"/>
  <c r="Q463" i="13"/>
  <c r="Q464" i="13"/>
  <c r="Q465" i="13"/>
  <c r="Q466" i="13"/>
  <c r="Q467" i="13"/>
  <c r="Q468" i="13"/>
  <c r="Q469" i="13"/>
  <c r="Q470" i="13"/>
  <c r="Q471" i="13"/>
  <c r="Q472" i="13"/>
  <c r="Q473" i="13"/>
  <c r="Q474" i="13"/>
  <c r="Q475" i="13"/>
  <c r="Q476" i="13"/>
  <c r="Q477" i="13"/>
  <c r="Q478" i="13"/>
  <c r="Q479" i="13"/>
  <c r="Q480" i="13"/>
  <c r="Q481" i="13"/>
  <c r="Q482" i="13"/>
  <c r="Q483" i="13"/>
  <c r="Q484" i="13"/>
  <c r="Q485" i="13"/>
  <c r="Q486" i="13"/>
  <c r="Q487" i="13"/>
  <c r="Q488" i="13"/>
  <c r="Q489" i="13"/>
  <c r="Q490" i="13"/>
  <c r="Q491" i="13"/>
  <c r="Q492" i="13"/>
  <c r="Q493" i="13"/>
  <c r="Q494" i="13"/>
  <c r="Q495" i="13"/>
  <c r="Q496" i="13"/>
  <c r="D9" i="19"/>
  <c r="D11" i="19"/>
  <c r="C497" i="13"/>
  <c r="C498" i="13"/>
  <c r="C499" i="13"/>
  <c r="C500" i="13"/>
  <c r="C501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C534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C555" i="13"/>
  <c r="C556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C598" i="13"/>
  <c r="C599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C638" i="13"/>
  <c r="C639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C664" i="13"/>
  <c r="C665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C688" i="13"/>
  <c r="C689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C714" i="13"/>
  <c r="C715" i="13"/>
  <c r="C716" i="13"/>
  <c r="C717" i="13"/>
  <c r="C718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L651" i="13"/>
  <c r="L652" i="13"/>
  <c r="L653" i="13"/>
  <c r="L654" i="13"/>
  <c r="L655" i="13"/>
  <c r="L656" i="13"/>
  <c r="L657" i="13"/>
  <c r="L658" i="13"/>
  <c r="L659" i="13"/>
  <c r="L660" i="13"/>
  <c r="L661" i="13"/>
  <c r="L662" i="13"/>
  <c r="L663" i="13"/>
  <c r="L664" i="13"/>
  <c r="L665" i="13"/>
  <c r="L666" i="13"/>
  <c r="L667" i="13"/>
  <c r="L668" i="13"/>
  <c r="L669" i="13"/>
  <c r="L670" i="13"/>
  <c r="L671" i="13"/>
  <c r="L672" i="13"/>
  <c r="L673" i="13"/>
  <c r="L674" i="13"/>
  <c r="L675" i="13"/>
  <c r="L676" i="13"/>
  <c r="L677" i="13"/>
  <c r="L678" i="13"/>
  <c r="L679" i="13"/>
  <c r="L680" i="13"/>
  <c r="L681" i="13"/>
  <c r="L682" i="13"/>
  <c r="L683" i="13"/>
  <c r="L684" i="13"/>
  <c r="L685" i="13"/>
  <c r="L686" i="13"/>
  <c r="L687" i="13"/>
  <c r="L688" i="13"/>
  <c r="L689" i="13"/>
  <c r="L690" i="13"/>
  <c r="L691" i="13"/>
  <c r="L692" i="13"/>
  <c r="L693" i="13"/>
  <c r="L694" i="13"/>
  <c r="L695" i="13"/>
  <c r="L696" i="13"/>
  <c r="L697" i="13"/>
  <c r="L698" i="13"/>
  <c r="L699" i="13"/>
  <c r="L700" i="13"/>
  <c r="L701" i="13"/>
  <c r="L702" i="13"/>
  <c r="L703" i="13"/>
  <c r="L704" i="13"/>
  <c r="L705" i="13"/>
  <c r="L706" i="13"/>
  <c r="L707" i="13"/>
  <c r="L708" i="13"/>
  <c r="L709" i="13"/>
  <c r="L710" i="13"/>
  <c r="L711" i="13"/>
  <c r="L712" i="13"/>
  <c r="L713" i="13"/>
  <c r="L714" i="13"/>
  <c r="L715" i="13"/>
  <c r="L716" i="13"/>
  <c r="L717" i="13"/>
  <c r="L718" i="13"/>
  <c r="Q497" i="13"/>
  <c r="Q498" i="13"/>
  <c r="Q499" i="13"/>
  <c r="Q500" i="13"/>
  <c r="Q501" i="13"/>
  <c r="Q502" i="13"/>
  <c r="Q503" i="13"/>
  <c r="Q504" i="13"/>
  <c r="Q505" i="13"/>
  <c r="Q506" i="13"/>
  <c r="Q507" i="13"/>
  <c r="Q508" i="13"/>
  <c r="Q509" i="13"/>
  <c r="Q510" i="13"/>
  <c r="Q511" i="13"/>
  <c r="Q512" i="13"/>
  <c r="Q513" i="13"/>
  <c r="Q514" i="13"/>
  <c r="Q515" i="13"/>
  <c r="Q516" i="13"/>
  <c r="Q517" i="13"/>
  <c r="Q518" i="13"/>
  <c r="Q519" i="13"/>
  <c r="Q520" i="13"/>
  <c r="Q521" i="13"/>
  <c r="Q522" i="13"/>
  <c r="Q523" i="13"/>
  <c r="Q524" i="13"/>
  <c r="Q525" i="13"/>
  <c r="Q526" i="13"/>
  <c r="Q527" i="13"/>
  <c r="Q528" i="13"/>
  <c r="Q529" i="13"/>
  <c r="Q530" i="13"/>
  <c r="Q531" i="13"/>
  <c r="Q532" i="13"/>
  <c r="Q533" i="13"/>
  <c r="Q534" i="13"/>
  <c r="Q535" i="13"/>
  <c r="Q536" i="13"/>
  <c r="Q537" i="13"/>
  <c r="Q538" i="13"/>
  <c r="Q539" i="13"/>
  <c r="Q540" i="13"/>
  <c r="Q541" i="13"/>
  <c r="Q542" i="13"/>
  <c r="Q543" i="13"/>
  <c r="Q544" i="13"/>
  <c r="Q545" i="13"/>
  <c r="Q546" i="13"/>
  <c r="Q547" i="13"/>
  <c r="Q548" i="13"/>
  <c r="Q549" i="13"/>
  <c r="Q550" i="13"/>
  <c r="Q551" i="13"/>
  <c r="Q552" i="13"/>
  <c r="Q553" i="13"/>
  <c r="Q554" i="13"/>
  <c r="Q555" i="13"/>
  <c r="Q556" i="13"/>
  <c r="Q557" i="13"/>
  <c r="Q558" i="13"/>
  <c r="Q559" i="13"/>
  <c r="Q560" i="13"/>
  <c r="Q561" i="13"/>
  <c r="Q562" i="13"/>
  <c r="Q563" i="13"/>
  <c r="Q564" i="13"/>
  <c r="Q565" i="13"/>
  <c r="Q566" i="13"/>
  <c r="Q567" i="13"/>
  <c r="Q568" i="13"/>
  <c r="Q569" i="13"/>
  <c r="Q570" i="13"/>
  <c r="Q571" i="13"/>
  <c r="Q572" i="13"/>
  <c r="Q573" i="13"/>
  <c r="Q574" i="13"/>
  <c r="Q575" i="13"/>
  <c r="Q576" i="13"/>
  <c r="Q577" i="13"/>
  <c r="Q578" i="13"/>
  <c r="Q579" i="13"/>
  <c r="Q580" i="13"/>
  <c r="Q581" i="13"/>
  <c r="Q582" i="13"/>
  <c r="Q583" i="13"/>
  <c r="Q584" i="13"/>
  <c r="Q585" i="13"/>
  <c r="Q586" i="13"/>
  <c r="Q587" i="13"/>
  <c r="Q588" i="13"/>
  <c r="Q589" i="13"/>
  <c r="Q590" i="13"/>
  <c r="Q591" i="13"/>
  <c r="Q592" i="13"/>
  <c r="Q593" i="13"/>
  <c r="Q594" i="13"/>
  <c r="Q595" i="13"/>
  <c r="Q596" i="13"/>
  <c r="Q597" i="13"/>
  <c r="Q598" i="13"/>
  <c r="Q599" i="13"/>
  <c r="Q600" i="13"/>
  <c r="Q601" i="13"/>
  <c r="Q602" i="13"/>
  <c r="Q603" i="13"/>
  <c r="Q604" i="13"/>
  <c r="Q605" i="13"/>
  <c r="Q606" i="13"/>
  <c r="Q607" i="13"/>
  <c r="Q608" i="13"/>
  <c r="Q609" i="13"/>
  <c r="Q610" i="13"/>
  <c r="Q611" i="13"/>
  <c r="Q612" i="13"/>
  <c r="Q613" i="13"/>
  <c r="Q614" i="13"/>
  <c r="Q615" i="13"/>
  <c r="Q616" i="13"/>
  <c r="Q617" i="13"/>
  <c r="Q618" i="13"/>
  <c r="Q619" i="13"/>
  <c r="Q620" i="13"/>
  <c r="Q621" i="13"/>
  <c r="Q622" i="13"/>
  <c r="Q623" i="13"/>
  <c r="Q624" i="13"/>
  <c r="Q625" i="13"/>
  <c r="Q626" i="13"/>
  <c r="Q627" i="13"/>
  <c r="Q628" i="13"/>
  <c r="Q629" i="13"/>
  <c r="Q630" i="13"/>
  <c r="Q631" i="13"/>
  <c r="Q632" i="13"/>
  <c r="Q633" i="13"/>
  <c r="Q634" i="13"/>
  <c r="Q635" i="13"/>
  <c r="Q636" i="13"/>
  <c r="Q637" i="13"/>
  <c r="Q638" i="13"/>
  <c r="Q639" i="13"/>
  <c r="Q640" i="13"/>
  <c r="Q641" i="13"/>
  <c r="Q642" i="13"/>
  <c r="Q643" i="13"/>
  <c r="Q644" i="13"/>
  <c r="Q645" i="13"/>
  <c r="Q646" i="13"/>
  <c r="Q647" i="13"/>
  <c r="Q648" i="13"/>
  <c r="Q649" i="13"/>
  <c r="Q650" i="13"/>
  <c r="Q651" i="13"/>
  <c r="Q652" i="13"/>
  <c r="Q653" i="13"/>
  <c r="Q654" i="13"/>
  <c r="Q655" i="13"/>
  <c r="Q656" i="13"/>
  <c r="Q657" i="13"/>
  <c r="Q658" i="13"/>
  <c r="Q659" i="13"/>
  <c r="Q660" i="13"/>
  <c r="Q661" i="13"/>
  <c r="Q662" i="13"/>
  <c r="Q663" i="13"/>
  <c r="Q664" i="13"/>
  <c r="Q665" i="13"/>
  <c r="Q666" i="13"/>
  <c r="Q667" i="13"/>
  <c r="Q668" i="13"/>
  <c r="Q669" i="13"/>
  <c r="Q670" i="13"/>
  <c r="Q671" i="13"/>
  <c r="Q672" i="13"/>
  <c r="Q673" i="13"/>
  <c r="Q674" i="13"/>
  <c r="Q675" i="13"/>
  <c r="Q676" i="13"/>
  <c r="Q677" i="13"/>
  <c r="Q678" i="13"/>
  <c r="Q679" i="13"/>
  <c r="Q680" i="13"/>
  <c r="Q681" i="13"/>
  <c r="Q682" i="13"/>
  <c r="Q683" i="13"/>
  <c r="Q684" i="13"/>
  <c r="Q685" i="13"/>
  <c r="Q686" i="13"/>
  <c r="Q687" i="13"/>
  <c r="Q688" i="13"/>
  <c r="Q689" i="13"/>
  <c r="Q690" i="13"/>
  <c r="Q691" i="13"/>
  <c r="Q692" i="13"/>
  <c r="Q693" i="13"/>
  <c r="Q694" i="13"/>
  <c r="Q695" i="13"/>
  <c r="Q696" i="13"/>
  <c r="Q697" i="13"/>
  <c r="Q698" i="13"/>
  <c r="Q699" i="13"/>
  <c r="Q700" i="13"/>
  <c r="Q701" i="13"/>
  <c r="Q702" i="13"/>
  <c r="Q703" i="13"/>
  <c r="Q704" i="13"/>
  <c r="Q705" i="13"/>
  <c r="Q706" i="13"/>
  <c r="Q707" i="13"/>
  <c r="Q708" i="13"/>
  <c r="Q709" i="13"/>
  <c r="Q710" i="13"/>
  <c r="Q711" i="13"/>
  <c r="Q712" i="13"/>
  <c r="Q713" i="13"/>
  <c r="Q714" i="13"/>
  <c r="Q715" i="13"/>
  <c r="Q716" i="13"/>
  <c r="Q717" i="13"/>
  <c r="Q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C732" i="13"/>
  <c r="C733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C759" i="13"/>
  <c r="C760" i="13"/>
  <c r="C761" i="13"/>
  <c r="C762" i="13"/>
  <c r="C763" i="13"/>
  <c r="C764" i="13"/>
  <c r="C765" i="13"/>
  <c r="C766" i="13"/>
  <c r="C767" i="13"/>
  <c r="C768" i="13"/>
  <c r="C769" i="13"/>
  <c r="C770" i="13"/>
  <c r="C771" i="13"/>
  <c r="C772" i="13"/>
  <c r="C773" i="13"/>
  <c r="C774" i="13"/>
  <c r="C775" i="13"/>
  <c r="C776" i="13"/>
  <c r="C777" i="13"/>
  <c r="C778" i="13"/>
  <c r="C779" i="13"/>
  <c r="C780" i="13"/>
  <c r="C781" i="13"/>
  <c r="C782" i="13"/>
  <c r="C783" i="13"/>
  <c r="C784" i="13"/>
  <c r="C785" i="13"/>
  <c r="C786" i="13"/>
  <c r="C787" i="13"/>
  <c r="C788" i="13"/>
  <c r="C789" i="13"/>
  <c r="C790" i="13"/>
  <c r="C791" i="13"/>
  <c r="C792" i="13"/>
  <c r="C793" i="13"/>
  <c r="C794" i="13"/>
  <c r="C795" i="13"/>
  <c r="C796" i="13"/>
  <c r="C797" i="13"/>
  <c r="C798" i="13"/>
  <c r="C799" i="13"/>
  <c r="C800" i="13"/>
  <c r="C801" i="13"/>
  <c r="C802" i="13"/>
  <c r="C803" i="13"/>
  <c r="C804" i="13"/>
  <c r="C805" i="13"/>
  <c r="C806" i="13"/>
  <c r="C807" i="13"/>
  <c r="C808" i="13"/>
  <c r="C809" i="13"/>
  <c r="C810" i="13"/>
  <c r="C811" i="13"/>
  <c r="C812" i="13"/>
  <c r="C813" i="13"/>
  <c r="C814" i="13"/>
  <c r="C815" i="13"/>
  <c r="C816" i="13"/>
  <c r="C817" i="13"/>
  <c r="C818" i="13"/>
  <c r="C819" i="13"/>
  <c r="C820" i="13"/>
  <c r="C821" i="13"/>
  <c r="C822" i="13"/>
  <c r="C823" i="13"/>
  <c r="C824" i="13"/>
  <c r="C825" i="13"/>
  <c r="C826" i="13"/>
  <c r="C827" i="13"/>
  <c r="C828" i="13"/>
  <c r="C829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L719" i="13"/>
  <c r="L720" i="13"/>
  <c r="L721" i="13"/>
  <c r="L722" i="13"/>
  <c r="L723" i="13"/>
  <c r="L724" i="13"/>
  <c r="L725" i="13"/>
  <c r="L726" i="13"/>
  <c r="L727" i="13"/>
  <c r="L728" i="13"/>
  <c r="L729" i="13"/>
  <c r="L730" i="13"/>
  <c r="L731" i="13"/>
  <c r="L732" i="13"/>
  <c r="L733" i="13"/>
  <c r="L734" i="13"/>
  <c r="L735" i="13"/>
  <c r="L736" i="13"/>
  <c r="L737" i="13"/>
  <c r="L738" i="13"/>
  <c r="L739" i="13"/>
  <c r="L740" i="13"/>
  <c r="L741" i="13"/>
  <c r="L742" i="13"/>
  <c r="L743" i="13"/>
  <c r="L744" i="13"/>
  <c r="L745" i="13"/>
  <c r="L746" i="13"/>
  <c r="L747" i="13"/>
  <c r="L748" i="13"/>
  <c r="L749" i="13"/>
  <c r="L750" i="13"/>
  <c r="L751" i="13"/>
  <c r="L752" i="13"/>
  <c r="L753" i="13"/>
  <c r="L754" i="13"/>
  <c r="L755" i="13"/>
  <c r="L756" i="13"/>
  <c r="L757" i="13"/>
  <c r="L758" i="13"/>
  <c r="L759" i="13"/>
  <c r="L760" i="13"/>
  <c r="L761" i="13"/>
  <c r="L762" i="13"/>
  <c r="L763" i="13"/>
  <c r="L764" i="13"/>
  <c r="L765" i="13"/>
  <c r="L766" i="13"/>
  <c r="L767" i="13"/>
  <c r="L768" i="13"/>
  <c r="L769" i="13"/>
  <c r="L770" i="13"/>
  <c r="L771" i="13"/>
  <c r="L772" i="13"/>
  <c r="L773" i="13"/>
  <c r="L774" i="13"/>
  <c r="L775" i="13"/>
  <c r="L776" i="13"/>
  <c r="L777" i="13"/>
  <c r="L778" i="13"/>
  <c r="L779" i="13"/>
  <c r="L780" i="13"/>
  <c r="L781" i="13"/>
  <c r="L782" i="13"/>
  <c r="L783" i="13"/>
  <c r="L784" i="13"/>
  <c r="L785" i="13"/>
  <c r="L786" i="13"/>
  <c r="L787" i="13"/>
  <c r="L788" i="13"/>
  <c r="L789" i="13"/>
  <c r="L790" i="13"/>
  <c r="L791" i="13"/>
  <c r="L792" i="13"/>
  <c r="L793" i="13"/>
  <c r="L794" i="13"/>
  <c r="L795" i="13"/>
  <c r="L796" i="13"/>
  <c r="L797" i="13"/>
  <c r="L798" i="13"/>
  <c r="L799" i="13"/>
  <c r="L800" i="13"/>
  <c r="L801" i="13"/>
  <c r="L802" i="13"/>
  <c r="L803" i="13"/>
  <c r="L804" i="13"/>
  <c r="L805" i="13"/>
  <c r="L806" i="13"/>
  <c r="L807" i="13"/>
  <c r="L808" i="13"/>
  <c r="L809" i="13"/>
  <c r="L810" i="13"/>
  <c r="L811" i="13"/>
  <c r="L812" i="13"/>
  <c r="L813" i="13"/>
  <c r="L814" i="13"/>
  <c r="L815" i="13"/>
  <c r="L816" i="13"/>
  <c r="L817" i="13"/>
  <c r="L818" i="13"/>
  <c r="L819" i="13"/>
  <c r="L820" i="13"/>
  <c r="L821" i="13"/>
  <c r="L822" i="13"/>
  <c r="L823" i="13"/>
  <c r="L824" i="13"/>
  <c r="L825" i="13"/>
  <c r="L826" i="13"/>
  <c r="L827" i="13"/>
  <c r="L828" i="13"/>
  <c r="L829" i="13"/>
  <c r="Q719" i="13"/>
  <c r="Q720" i="13"/>
  <c r="Q721" i="13"/>
  <c r="Q722" i="13"/>
  <c r="Q723" i="13"/>
  <c r="Q724" i="13"/>
  <c r="Q725" i="13"/>
  <c r="Q726" i="13"/>
  <c r="Q727" i="13"/>
  <c r="Q728" i="13"/>
  <c r="Q729" i="13"/>
  <c r="Q730" i="13"/>
  <c r="Q731" i="13"/>
  <c r="Q732" i="13"/>
  <c r="Q733" i="13"/>
  <c r="Q734" i="13"/>
  <c r="Q735" i="13"/>
  <c r="Q736" i="13"/>
  <c r="Q737" i="13"/>
  <c r="Q738" i="13"/>
  <c r="Q739" i="13"/>
  <c r="Q740" i="13"/>
  <c r="Q741" i="13"/>
  <c r="Q742" i="13"/>
  <c r="Q743" i="13"/>
  <c r="Q744" i="13"/>
  <c r="Q745" i="13"/>
  <c r="Q746" i="13"/>
  <c r="Q747" i="13"/>
  <c r="Q748" i="13"/>
  <c r="Q749" i="13"/>
  <c r="Q750" i="13"/>
  <c r="Q751" i="13"/>
  <c r="Q752" i="13"/>
  <c r="Q753" i="13"/>
  <c r="Q754" i="13"/>
  <c r="Q755" i="13"/>
  <c r="Q756" i="13"/>
  <c r="Q757" i="13"/>
  <c r="Q758" i="13"/>
  <c r="Q759" i="13"/>
  <c r="Q760" i="13"/>
  <c r="Q761" i="13"/>
  <c r="Q762" i="13"/>
  <c r="Q763" i="13"/>
  <c r="Q764" i="13"/>
  <c r="Q765" i="13"/>
  <c r="Q766" i="13"/>
  <c r="Q767" i="13"/>
  <c r="Q768" i="13"/>
  <c r="Q769" i="13"/>
  <c r="Q770" i="13"/>
  <c r="Q771" i="13"/>
  <c r="Q772" i="13"/>
  <c r="Q773" i="13"/>
  <c r="Q774" i="13"/>
  <c r="Q775" i="13"/>
  <c r="Q776" i="13"/>
  <c r="Q777" i="13"/>
  <c r="Q778" i="13"/>
  <c r="Q779" i="13"/>
  <c r="Q780" i="13"/>
  <c r="Q781" i="13"/>
  <c r="Q782" i="13"/>
  <c r="Q783" i="13"/>
  <c r="Q784" i="13"/>
  <c r="Q785" i="13"/>
  <c r="Q786" i="13"/>
  <c r="Q787" i="13"/>
  <c r="Q788" i="13"/>
  <c r="Q789" i="13"/>
  <c r="Q790" i="13"/>
  <c r="Q791" i="13"/>
  <c r="Q792" i="13"/>
  <c r="Q793" i="13"/>
  <c r="Q794" i="13"/>
  <c r="Q795" i="13"/>
  <c r="Q796" i="13"/>
  <c r="Q797" i="13"/>
  <c r="Q798" i="13"/>
  <c r="Q799" i="13"/>
  <c r="Q800" i="13"/>
  <c r="Q801" i="13"/>
  <c r="Q802" i="13"/>
  <c r="Q803" i="13"/>
  <c r="Q804" i="13"/>
  <c r="Q805" i="13"/>
  <c r="Q806" i="13"/>
  <c r="Q807" i="13"/>
  <c r="Q808" i="13"/>
  <c r="Q809" i="13"/>
  <c r="Q810" i="13"/>
  <c r="Q811" i="13"/>
  <c r="Q812" i="13"/>
  <c r="Q813" i="13"/>
  <c r="Q814" i="13"/>
  <c r="Q815" i="13"/>
  <c r="Q816" i="13"/>
  <c r="Q817" i="13"/>
  <c r="Q818" i="13"/>
  <c r="Q819" i="13"/>
  <c r="Q820" i="13"/>
  <c r="Q821" i="13"/>
  <c r="Q822" i="13"/>
  <c r="Q823" i="13"/>
  <c r="Q824" i="13"/>
  <c r="Q825" i="13"/>
  <c r="Q826" i="13"/>
  <c r="Q827" i="13"/>
  <c r="Q828" i="13"/>
  <c r="Q829" i="13"/>
  <c r="C830" i="13"/>
  <c r="C831" i="13"/>
  <c r="C832" i="13"/>
  <c r="C833" i="13"/>
  <c r="C834" i="13"/>
  <c r="C835" i="13"/>
  <c r="C836" i="13"/>
  <c r="C837" i="13"/>
  <c r="C838" i="13"/>
  <c r="C839" i="13"/>
  <c r="C840" i="13"/>
  <c r="C841" i="13"/>
  <c r="C842" i="13"/>
  <c r="C843" i="13"/>
  <c r="C844" i="13"/>
  <c r="C845" i="13"/>
  <c r="C846" i="13"/>
  <c r="C847" i="13"/>
  <c r="C848" i="13"/>
  <c r="C849" i="13"/>
  <c r="C850" i="13"/>
  <c r="C851" i="13"/>
  <c r="C852" i="13"/>
  <c r="C853" i="13"/>
  <c r="C854" i="13"/>
  <c r="C855" i="13"/>
  <c r="C856" i="13"/>
  <c r="C857" i="13"/>
  <c r="C858" i="13"/>
  <c r="C859" i="13"/>
  <c r="C860" i="13"/>
  <c r="C861" i="13"/>
  <c r="C862" i="13"/>
  <c r="C863" i="13"/>
  <c r="C864" i="13"/>
  <c r="C865" i="13"/>
  <c r="C866" i="13"/>
  <c r="C867" i="13"/>
  <c r="C868" i="13"/>
  <c r="C869" i="13"/>
  <c r="C870" i="13"/>
  <c r="C871" i="13"/>
  <c r="C872" i="13"/>
  <c r="C873" i="13"/>
  <c r="C874" i="13"/>
  <c r="C875" i="13"/>
  <c r="C876" i="13"/>
  <c r="C877" i="13"/>
  <c r="C878" i="13"/>
  <c r="C879" i="13"/>
  <c r="C880" i="13"/>
  <c r="C881" i="13"/>
  <c r="C882" i="13"/>
  <c r="C883" i="13"/>
  <c r="C884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L830" i="13"/>
  <c r="L831" i="13"/>
  <c r="L832" i="13"/>
  <c r="L833" i="13"/>
  <c r="L834" i="13"/>
  <c r="L835" i="13"/>
  <c r="L836" i="13"/>
  <c r="L837" i="13"/>
  <c r="L838" i="13"/>
  <c r="L839" i="13"/>
  <c r="L840" i="13"/>
  <c r="L841" i="13"/>
  <c r="L842" i="13"/>
  <c r="L843" i="13"/>
  <c r="L844" i="13"/>
  <c r="L845" i="13"/>
  <c r="L846" i="13"/>
  <c r="L847" i="13"/>
  <c r="L848" i="13"/>
  <c r="L849" i="13"/>
  <c r="L850" i="13"/>
  <c r="L851" i="13"/>
  <c r="L852" i="13"/>
  <c r="L853" i="13"/>
  <c r="L854" i="13"/>
  <c r="L855" i="13"/>
  <c r="L856" i="13"/>
  <c r="L857" i="13"/>
  <c r="L858" i="13"/>
  <c r="L859" i="13"/>
  <c r="L860" i="13"/>
  <c r="L861" i="13"/>
  <c r="L862" i="13"/>
  <c r="L863" i="13"/>
  <c r="L864" i="13"/>
  <c r="L865" i="13"/>
  <c r="L866" i="13"/>
  <c r="L867" i="13"/>
  <c r="L868" i="13"/>
  <c r="L869" i="13"/>
  <c r="L870" i="13"/>
  <c r="L871" i="13"/>
  <c r="L872" i="13"/>
  <c r="L873" i="13"/>
  <c r="L874" i="13"/>
  <c r="L875" i="13"/>
  <c r="L876" i="13"/>
  <c r="L877" i="13"/>
  <c r="L878" i="13"/>
  <c r="L879" i="13"/>
  <c r="L880" i="13"/>
  <c r="L881" i="13"/>
  <c r="L882" i="13"/>
  <c r="L883" i="13"/>
  <c r="L884" i="13"/>
  <c r="Q830" i="13"/>
  <c r="Q831" i="13"/>
  <c r="Q832" i="13"/>
  <c r="Q833" i="13"/>
  <c r="Q834" i="13"/>
  <c r="Q835" i="13"/>
  <c r="Q836" i="13"/>
  <c r="Q837" i="13"/>
  <c r="Q838" i="13"/>
  <c r="Q839" i="13"/>
  <c r="Q840" i="13"/>
  <c r="Q841" i="13"/>
  <c r="Q842" i="13"/>
  <c r="Q843" i="13"/>
  <c r="Q844" i="13"/>
  <c r="Q845" i="13"/>
  <c r="Q846" i="13"/>
  <c r="Q847" i="13"/>
  <c r="Q848" i="13"/>
  <c r="Q849" i="13"/>
  <c r="Q850" i="13"/>
  <c r="Q851" i="13"/>
  <c r="Q852" i="13"/>
  <c r="Q853" i="13"/>
  <c r="Q854" i="13"/>
  <c r="Q855" i="13"/>
  <c r="Q856" i="13"/>
  <c r="Q857" i="13"/>
  <c r="Q858" i="13"/>
  <c r="Q859" i="13"/>
  <c r="Q860" i="13"/>
  <c r="Q861" i="13"/>
  <c r="Q862" i="13"/>
  <c r="Q863" i="13"/>
  <c r="Q864" i="13"/>
  <c r="Q865" i="13"/>
  <c r="Q866" i="13"/>
  <c r="Q867" i="13"/>
  <c r="Q868" i="13"/>
  <c r="Q869" i="13"/>
  <c r="Q870" i="13"/>
  <c r="Q871" i="13"/>
  <c r="Q872" i="13"/>
  <c r="Q873" i="13"/>
  <c r="Q874" i="13"/>
  <c r="Q875" i="13"/>
  <c r="Q876" i="13"/>
  <c r="Q877" i="13"/>
  <c r="Q878" i="13"/>
  <c r="Q879" i="13"/>
  <c r="Q880" i="13"/>
  <c r="Q881" i="13"/>
  <c r="Q882" i="13"/>
  <c r="Q883" i="13"/>
  <c r="Q884" i="13"/>
  <c r="C885" i="13"/>
  <c r="C886" i="13"/>
  <c r="C887" i="13"/>
  <c r="C888" i="13"/>
  <c r="C889" i="13"/>
  <c r="C890" i="13"/>
  <c r="C891" i="13"/>
  <c r="C892" i="13"/>
  <c r="C893" i="13"/>
  <c r="C894" i="13"/>
  <c r="C895" i="13"/>
  <c r="C896" i="13"/>
  <c r="C897" i="13"/>
  <c r="C898" i="13"/>
  <c r="C899" i="13"/>
  <c r="C900" i="13"/>
  <c r="C901" i="13"/>
  <c r="C902" i="13"/>
  <c r="C903" i="13"/>
  <c r="C904" i="13"/>
  <c r="C905" i="13"/>
  <c r="C906" i="13"/>
  <c r="C907" i="13"/>
  <c r="C908" i="13"/>
  <c r="C909" i="13"/>
  <c r="C910" i="13"/>
  <c r="C911" i="13"/>
  <c r="C912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L885" i="13"/>
  <c r="L886" i="13"/>
  <c r="L887" i="13"/>
  <c r="L888" i="13"/>
  <c r="L889" i="13"/>
  <c r="L890" i="13"/>
  <c r="L891" i="13"/>
  <c r="L892" i="13"/>
  <c r="L893" i="13"/>
  <c r="L894" i="13"/>
  <c r="L895" i="13"/>
  <c r="L896" i="13"/>
  <c r="L897" i="13"/>
  <c r="L898" i="13"/>
  <c r="L899" i="13"/>
  <c r="L900" i="13"/>
  <c r="L901" i="13"/>
  <c r="L902" i="13"/>
  <c r="L903" i="13"/>
  <c r="L904" i="13"/>
  <c r="L905" i="13"/>
  <c r="L906" i="13"/>
  <c r="L907" i="13"/>
  <c r="L908" i="13"/>
  <c r="L909" i="13"/>
  <c r="L910" i="13"/>
  <c r="L911" i="13"/>
  <c r="L912" i="13"/>
  <c r="Q885" i="13"/>
  <c r="Q886" i="13"/>
  <c r="Q887" i="13"/>
  <c r="Q888" i="13"/>
  <c r="Q889" i="13"/>
  <c r="Q890" i="13"/>
  <c r="Q891" i="13"/>
  <c r="Q892" i="13"/>
  <c r="Q893" i="13"/>
  <c r="Q894" i="13"/>
  <c r="Q895" i="13"/>
  <c r="Q896" i="13"/>
  <c r="Q897" i="13"/>
  <c r="Q898" i="13"/>
  <c r="Q899" i="13"/>
  <c r="Q900" i="13"/>
  <c r="Q901" i="13"/>
  <c r="Q902" i="13"/>
  <c r="Q903" i="13"/>
  <c r="Q904" i="13"/>
  <c r="Q905" i="13"/>
  <c r="Q906" i="13"/>
  <c r="Q907" i="13"/>
  <c r="Q908" i="13"/>
  <c r="Q909" i="13"/>
  <c r="Q910" i="13"/>
  <c r="Q911" i="13"/>
  <c r="Q912" i="13"/>
  <c r="C913" i="13"/>
  <c r="C914" i="13"/>
  <c r="C915" i="13"/>
  <c r="C916" i="13"/>
  <c r="C917" i="13"/>
  <c r="C918" i="13"/>
  <c r="C919" i="13"/>
  <c r="C920" i="13"/>
  <c r="C921" i="13"/>
  <c r="C922" i="13"/>
  <c r="C923" i="13"/>
  <c r="C924" i="13"/>
  <c r="C925" i="13"/>
  <c r="C926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L913" i="13"/>
  <c r="L914" i="13"/>
  <c r="L915" i="13"/>
  <c r="L916" i="13"/>
  <c r="L917" i="13"/>
  <c r="L918" i="13"/>
  <c r="L919" i="13"/>
  <c r="L920" i="13"/>
  <c r="L921" i="13"/>
  <c r="L922" i="13"/>
  <c r="L923" i="13"/>
  <c r="L924" i="13"/>
  <c r="L925" i="13"/>
  <c r="L926" i="13"/>
  <c r="Q913" i="13"/>
  <c r="Q914" i="13"/>
  <c r="Q915" i="13"/>
  <c r="Q916" i="13"/>
  <c r="Q917" i="13"/>
  <c r="Q918" i="13"/>
  <c r="Q919" i="13"/>
  <c r="Q920" i="13"/>
  <c r="Q921" i="13"/>
  <c r="Q922" i="13"/>
  <c r="Q923" i="13"/>
  <c r="Q924" i="13"/>
  <c r="Q925" i="13"/>
  <c r="Q926" i="13"/>
  <c r="C927" i="13"/>
  <c r="C928" i="13"/>
  <c r="C929" i="13"/>
  <c r="C930" i="13"/>
  <c r="C931" i="13"/>
  <c r="C932" i="13"/>
  <c r="C933" i="13"/>
  <c r="D927" i="13"/>
  <c r="D928" i="13"/>
  <c r="D929" i="13"/>
  <c r="D930" i="13"/>
  <c r="D931" i="13"/>
  <c r="D932" i="13"/>
  <c r="D933" i="13"/>
  <c r="E927" i="13"/>
  <c r="E928" i="13"/>
  <c r="E929" i="13"/>
  <c r="E930" i="13"/>
  <c r="E931" i="13"/>
  <c r="E932" i="13"/>
  <c r="E933" i="13"/>
  <c r="L927" i="13"/>
  <c r="L928" i="13"/>
  <c r="L929" i="13"/>
  <c r="L930" i="13"/>
  <c r="L931" i="13"/>
  <c r="L932" i="13"/>
  <c r="L933" i="13"/>
  <c r="Q927" i="13"/>
  <c r="Q928" i="13"/>
  <c r="Q929" i="13"/>
  <c r="Q930" i="13"/>
  <c r="Q931" i="13"/>
  <c r="Q932" i="13"/>
  <c r="Q933" i="13"/>
  <c r="AE5" i="13"/>
  <c r="AA5" i="13"/>
  <c r="AB5" i="13" s="1"/>
  <c r="U5" i="13"/>
  <c r="W5" i="13" s="1"/>
  <c r="AF5" i="13" s="1"/>
  <c r="D10" i="19" l="1"/>
  <c r="D15" i="19"/>
  <c r="D19" i="19"/>
  <c r="D17" i="19"/>
  <c r="D13" i="19"/>
  <c r="D12" i="19"/>
  <c r="D16" i="19"/>
  <c r="D14" i="19"/>
  <c r="V5" i="13"/>
  <c r="X5" i="13" s="1"/>
  <c r="E11" i="19" l="1"/>
  <c r="E19" i="19"/>
  <c r="E14" i="19"/>
  <c r="E15" i="19"/>
  <c r="F15" i="19"/>
  <c r="C36" i="19"/>
  <c r="F10" i="19"/>
  <c r="C31" i="19"/>
  <c r="E17" i="19"/>
  <c r="E9" i="19"/>
  <c r="F17" i="19"/>
  <c r="C38" i="19"/>
  <c r="F19" i="19"/>
  <c r="C40" i="19"/>
  <c r="E10" i="19"/>
  <c r="C34" i="19"/>
  <c r="F13" i="19"/>
  <c r="C37" i="19"/>
  <c r="F16" i="19"/>
  <c r="E12" i="19"/>
  <c r="F9" i="19"/>
  <c r="C30" i="19"/>
  <c r="C33" i="19"/>
  <c r="F12" i="19"/>
  <c r="E16" i="19"/>
  <c r="C32" i="19"/>
  <c r="F11" i="19"/>
  <c r="E13" i="19"/>
  <c r="C35" i="19"/>
  <c r="F14" i="19"/>
  <c r="Y5" i="13"/>
  <c r="AH5" i="13" s="1"/>
  <c r="AG5" i="13"/>
  <c r="G16" i="32"/>
  <c r="G15" i="32"/>
  <c r="E10" i="32"/>
  <c r="F10" i="32" s="1"/>
  <c r="G10" i="32" s="1"/>
  <c r="H10" i="32" s="1"/>
  <c r="I10" i="32" s="1"/>
  <c r="B14" i="13" l="1"/>
  <c r="B13" i="13"/>
  <c r="B12" i="13"/>
  <c r="B11" i="13"/>
  <c r="B10" i="13"/>
  <c r="B9" i="13"/>
  <c r="B8" i="13"/>
  <c r="B7" i="13"/>
  <c r="B6" i="13"/>
  <c r="B5" i="13"/>
  <c r="C5" i="13"/>
  <c r="C6" i="13"/>
  <c r="C7" i="13"/>
  <c r="C8" i="13"/>
  <c r="C9" i="13"/>
  <c r="C10" i="13"/>
  <c r="C11" i="13"/>
  <c r="C12" i="13"/>
  <c r="C13" i="13"/>
  <c r="C14" i="13"/>
  <c r="D5" i="13"/>
  <c r="D6" i="13"/>
  <c r="D7" i="13"/>
  <c r="D8" i="13"/>
  <c r="D9" i="13"/>
  <c r="D10" i="13"/>
  <c r="D11" i="13"/>
  <c r="D12" i="13"/>
  <c r="D13" i="13"/>
  <c r="D14" i="13"/>
  <c r="E5" i="13"/>
  <c r="E6" i="13"/>
  <c r="E7" i="13"/>
  <c r="E8" i="13"/>
  <c r="E9" i="13"/>
  <c r="E10" i="13"/>
  <c r="E11" i="13"/>
  <c r="E12" i="13"/>
  <c r="E13" i="13"/>
  <c r="E14" i="13"/>
  <c r="L5" i="13"/>
  <c r="L6" i="13"/>
  <c r="L7" i="13"/>
  <c r="L8" i="13"/>
  <c r="L9" i="13"/>
  <c r="L10" i="13"/>
  <c r="L11" i="13"/>
  <c r="L12" i="13"/>
  <c r="L13" i="13"/>
  <c r="L14" i="13"/>
  <c r="Q5" i="13"/>
  <c r="Q6" i="13"/>
  <c r="Q7" i="13"/>
  <c r="Q8" i="13"/>
  <c r="Q9" i="13"/>
  <c r="Q10" i="13"/>
  <c r="Q11" i="13"/>
  <c r="Q12" i="13"/>
  <c r="Q13" i="13"/>
  <c r="Q14" i="13"/>
  <c r="D15" i="32" l="1"/>
  <c r="B15" i="32"/>
  <c r="E11" i="32"/>
  <c r="F11" i="32" s="1"/>
  <c r="G11" i="32" s="1"/>
  <c r="H11" i="32" s="1"/>
  <c r="I11" i="32" s="1"/>
  <c r="D16" i="32"/>
  <c r="B16" i="32"/>
  <c r="D14" i="32" l="1"/>
  <c r="G14" i="32"/>
  <c r="E9" i="32"/>
  <c r="F9" i="32" s="1"/>
  <c r="G9" i="32" s="1"/>
  <c r="H9" i="32" s="1"/>
  <c r="I9" i="32" s="1"/>
  <c r="B14" i="32"/>
  <c r="F45" i="19" s="1"/>
  <c r="H45" i="19" s="1"/>
  <c r="F36" i="19" l="1"/>
  <c r="H36" i="19" s="1"/>
  <c r="F31" i="19"/>
  <c r="H31" i="19" s="1"/>
  <c r="F41" i="19"/>
  <c r="H41" i="19" s="1"/>
  <c r="F42" i="19"/>
  <c r="H42" i="19" s="1"/>
  <c r="F32" i="19"/>
  <c r="H32" i="19" s="1"/>
  <c r="F33" i="19"/>
  <c r="H33" i="19" s="1"/>
  <c r="F30" i="19"/>
  <c r="H30" i="19" s="1"/>
  <c r="F44" i="19"/>
  <c r="H44" i="19" s="1"/>
  <c r="F40" i="19"/>
  <c r="H40" i="19" s="1"/>
  <c r="F39" i="19"/>
  <c r="F34" i="19"/>
  <c r="H34" i="19" s="1"/>
  <c r="F37" i="19"/>
  <c r="H37" i="19" s="1"/>
  <c r="F29" i="19"/>
  <c r="F35" i="19"/>
  <c r="H35" i="19" s="1"/>
  <c r="F38" i="19"/>
  <c r="H38" i="19" s="1"/>
  <c r="F43" i="19"/>
  <c r="H43" i="19" s="1"/>
  <c r="F28" i="19"/>
  <c r="G65" i="32"/>
  <c r="F46" i="19" l="1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934" i="13"/>
  <c r="L935" i="13"/>
  <c r="L936" i="13"/>
  <c r="L937" i="13"/>
  <c r="L938" i="13"/>
  <c r="L939" i="13"/>
  <c r="L940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934" i="13"/>
  <c r="Q935" i="13"/>
  <c r="Q936" i="13"/>
  <c r="Q937" i="13"/>
  <c r="Q938" i="13"/>
  <c r="Q939" i="13"/>
  <c r="Q940" i="13"/>
  <c r="D18" i="19" l="1"/>
  <c r="D8" i="19"/>
  <c r="C940" i="13" l="1"/>
  <c r="C939" i="13"/>
  <c r="B939" i="13"/>
  <c r="C938" i="13"/>
  <c r="B938" i="13"/>
  <c r="C937" i="13"/>
  <c r="B937" i="13"/>
  <c r="C936" i="13"/>
  <c r="B936" i="13"/>
  <c r="C935" i="13"/>
  <c r="B935" i="13"/>
  <c r="C934" i="13"/>
  <c r="C146" i="13"/>
  <c r="B146" i="13"/>
  <c r="C145" i="13"/>
  <c r="B145" i="13"/>
  <c r="C144" i="13"/>
  <c r="B144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5" i="13"/>
  <c r="B15" i="13"/>
  <c r="E16" i="25"/>
  <c r="F16" i="25" s="1"/>
  <c r="G16" i="25" s="1"/>
  <c r="H16" i="25" s="1"/>
  <c r="I16" i="25" s="1"/>
  <c r="E15" i="25"/>
  <c r="F15" i="25" s="1"/>
  <c r="G15" i="25" s="1"/>
  <c r="H15" i="25" s="1"/>
  <c r="I15" i="25" s="1"/>
  <c r="E14" i="25"/>
  <c r="F14" i="25" s="1"/>
  <c r="G14" i="25" s="1"/>
  <c r="H14" i="25" s="1"/>
  <c r="I14" i="25" s="1"/>
  <c r="E13" i="25"/>
  <c r="F13" i="25" s="1"/>
  <c r="G13" i="25" s="1"/>
  <c r="H13" i="25" s="1"/>
  <c r="I13" i="25" s="1"/>
  <c r="E12" i="25"/>
  <c r="F12" i="25" s="1"/>
  <c r="G12" i="25" s="1"/>
  <c r="H12" i="25" s="1"/>
  <c r="I12" i="25" s="1"/>
  <c r="E11" i="25"/>
  <c r="F11" i="25" s="1"/>
  <c r="G11" i="25" s="1"/>
  <c r="H11" i="25" s="1"/>
  <c r="I11" i="25" s="1"/>
  <c r="E10" i="25"/>
  <c r="F10" i="25" s="1"/>
  <c r="G10" i="25" s="1"/>
  <c r="H10" i="25" s="1"/>
  <c r="I10" i="25" s="1"/>
  <c r="E9" i="25"/>
  <c r="F9" i="25" s="1"/>
  <c r="G9" i="25" s="1"/>
  <c r="H9" i="25" s="1"/>
  <c r="I9" i="25" s="1"/>
  <c r="E18" i="19" l="1"/>
  <c r="E8" i="19"/>
  <c r="C29" i="19"/>
  <c r="H29" i="19" s="1"/>
  <c r="F8" i="19"/>
  <c r="F18" i="19"/>
  <c r="C39" i="19"/>
  <c r="H39" i="19" s="1"/>
  <c r="B7" i="19" l="1"/>
  <c r="D39" i="13" l="1"/>
  <c r="E39" i="13"/>
  <c r="D40" i="13"/>
  <c r="E40" i="13"/>
  <c r="B28" i="19" l="1"/>
  <c r="C7" i="19"/>
  <c r="E28" i="19" l="1"/>
  <c r="D28" i="19"/>
  <c r="E22" i="13"/>
  <c r="E5" i="31" l="1"/>
  <c r="E6" i="31"/>
  <c r="E7" i="31"/>
  <c r="E8" i="31"/>
  <c r="D9" i="31"/>
  <c r="I21" i="31"/>
  <c r="K21" i="31" s="1"/>
  <c r="M21" i="31" s="1"/>
  <c r="O21" i="31" s="1"/>
  <c r="I22" i="31"/>
  <c r="K22" i="31" s="1"/>
  <c r="M22" i="31" s="1"/>
  <c r="O22" i="31" s="1"/>
  <c r="Q22" i="31" s="1"/>
  <c r="I23" i="31"/>
  <c r="K23" i="31" s="1"/>
  <c r="M23" i="31" s="1"/>
  <c r="O23" i="31" s="1"/>
  <c r="Q23" i="31" s="1"/>
  <c r="I25" i="31"/>
  <c r="K25" i="31" s="1"/>
  <c r="M25" i="31" s="1"/>
  <c r="O25" i="31" s="1"/>
  <c r="Q25" i="31" s="1"/>
  <c r="I30" i="31"/>
  <c r="K30" i="31" s="1"/>
  <c r="M30" i="31" s="1"/>
  <c r="O30" i="31" s="1"/>
  <c r="Q30" i="31" s="1"/>
  <c r="I31" i="31"/>
  <c r="K31" i="31" s="1"/>
  <c r="M31" i="31" s="1"/>
  <c r="O31" i="31" s="1"/>
  <c r="Q31" i="31" s="1"/>
  <c r="I32" i="31"/>
  <c r="K32" i="31" s="1"/>
  <c r="M32" i="31" s="1"/>
  <c r="O32" i="31" s="1"/>
  <c r="Q32" i="31" s="1"/>
  <c r="E9" i="31" l="1"/>
  <c r="E10" i="31" s="1"/>
  <c r="E13" i="31" s="1"/>
  <c r="I13" i="31" s="1"/>
  <c r="Q21" i="31"/>
  <c r="E16" i="31" l="1"/>
  <c r="I16" i="31" s="1"/>
  <c r="K16" i="31" s="1"/>
  <c r="M16" i="31" s="1"/>
  <c r="O16" i="31" s="1"/>
  <c r="Q16" i="31" s="1"/>
  <c r="E14" i="31"/>
  <c r="I14" i="31" s="1"/>
  <c r="K14" i="31" s="1"/>
  <c r="M14" i="31" s="1"/>
  <c r="O14" i="31" s="1"/>
  <c r="Q14" i="31" s="1"/>
  <c r="E24" i="31"/>
  <c r="I24" i="31" s="1"/>
  <c r="E15" i="31"/>
  <c r="I15" i="31" s="1"/>
  <c r="K15" i="31" s="1"/>
  <c r="M15" i="31" s="1"/>
  <c r="O15" i="31" s="1"/>
  <c r="Q15" i="31" s="1"/>
  <c r="I10" i="31"/>
  <c r="K10" i="31" s="1"/>
  <c r="M10" i="31" s="1"/>
  <c r="O10" i="31" s="1"/>
  <c r="Q10" i="31" s="1"/>
  <c r="E17" i="31"/>
  <c r="I17" i="31" s="1"/>
  <c r="K17" i="31" s="1"/>
  <c r="M17" i="31" s="1"/>
  <c r="O17" i="31" s="1"/>
  <c r="Q17" i="31" s="1"/>
  <c r="K13" i="31"/>
  <c r="I18" i="31" l="1"/>
  <c r="E18" i="31"/>
  <c r="E29" i="31" s="1"/>
  <c r="E26" i="31"/>
  <c r="K24" i="31"/>
  <c r="I26" i="31"/>
  <c r="K18" i="31"/>
  <c r="M13" i="31"/>
  <c r="M24" i="31" l="1"/>
  <c r="K26" i="31"/>
  <c r="E33" i="31"/>
  <c r="I29" i="31"/>
  <c r="O13" i="31"/>
  <c r="M18" i="31"/>
  <c r="O24" i="31" l="1"/>
  <c r="M26" i="31"/>
  <c r="O18" i="31"/>
  <c r="Q13" i="31"/>
  <c r="Q18" i="31" s="1"/>
  <c r="I33" i="31"/>
  <c r="I35" i="31" s="1"/>
  <c r="K29" i="31"/>
  <c r="E35" i="31"/>
  <c r="D38" i="31"/>
  <c r="D39" i="31"/>
  <c r="D41" i="31"/>
  <c r="D40" i="31"/>
  <c r="D21" i="31" l="1"/>
  <c r="D22" i="31"/>
  <c r="D23" i="31"/>
  <c r="I37" i="31"/>
  <c r="Q24" i="31"/>
  <c r="Q26" i="31" s="1"/>
  <c r="O26" i="31"/>
  <c r="K33" i="31"/>
  <c r="K35" i="31" s="1"/>
  <c r="K37" i="31" s="1"/>
  <c r="M29" i="31"/>
  <c r="E39" i="31"/>
  <c r="E38" i="31"/>
  <c r="E41" i="31"/>
  <c r="E40" i="31"/>
  <c r="D25" i="31"/>
  <c r="D31" i="31"/>
  <c r="D30" i="31"/>
  <c r="D32" i="31"/>
  <c r="I39" i="31" l="1"/>
  <c r="I41" i="31"/>
  <c r="K41" i="31" s="1"/>
  <c r="I38" i="31"/>
  <c r="K38" i="31" s="1"/>
  <c r="I40" i="31"/>
  <c r="K40" i="31" s="1"/>
  <c r="E36" i="24"/>
  <c r="F36" i="24" s="1"/>
  <c r="E32" i="24"/>
  <c r="F32" i="24" s="1"/>
  <c r="E28" i="24"/>
  <c r="F28" i="24" s="1"/>
  <c r="E24" i="24"/>
  <c r="F24" i="24" s="1"/>
  <c r="E20" i="24"/>
  <c r="F20" i="24" s="1"/>
  <c r="E16" i="24"/>
  <c r="F16" i="24" s="1"/>
  <c r="E12" i="24"/>
  <c r="F12" i="24" s="1"/>
  <c r="E25" i="24"/>
  <c r="F25" i="24" s="1"/>
  <c r="E17" i="24"/>
  <c r="F17" i="24" s="1"/>
  <c r="E35" i="24"/>
  <c r="F35" i="24" s="1"/>
  <c r="E31" i="24"/>
  <c r="F31" i="24" s="1"/>
  <c r="E27" i="24"/>
  <c r="F27" i="24" s="1"/>
  <c r="E23" i="24"/>
  <c r="F23" i="24" s="1"/>
  <c r="E19" i="24"/>
  <c r="F19" i="24" s="1"/>
  <c r="E15" i="24"/>
  <c r="F15" i="24" s="1"/>
  <c r="E11" i="24"/>
  <c r="F11" i="24" s="1"/>
  <c r="E33" i="24"/>
  <c r="F33" i="24" s="1"/>
  <c r="E13" i="24"/>
  <c r="F13" i="24" s="1"/>
  <c r="E34" i="24"/>
  <c r="F34" i="24" s="1"/>
  <c r="E30" i="24"/>
  <c r="F30" i="24" s="1"/>
  <c r="E26" i="24"/>
  <c r="F26" i="24" s="1"/>
  <c r="E22" i="24"/>
  <c r="F22" i="24" s="1"/>
  <c r="E18" i="24"/>
  <c r="F18" i="24" s="1"/>
  <c r="E14" i="24"/>
  <c r="F14" i="24" s="1"/>
  <c r="E29" i="24"/>
  <c r="E21" i="24"/>
  <c r="F21" i="24" s="1"/>
  <c r="E10" i="24"/>
  <c r="F10" i="24" s="1"/>
  <c r="E9" i="24"/>
  <c r="F9" i="24" s="1"/>
  <c r="F29" i="24"/>
  <c r="K39" i="31"/>
  <c r="O29" i="31"/>
  <c r="M33" i="31"/>
  <c r="M35" i="31" s="1"/>
  <c r="M37" i="31" s="1"/>
  <c r="G15" i="24" l="1"/>
  <c r="G13" i="24"/>
  <c r="G29" i="24"/>
  <c r="G11" i="24"/>
  <c r="G16" i="24"/>
  <c r="G32" i="24"/>
  <c r="G31" i="24"/>
  <c r="G18" i="24"/>
  <c r="G34" i="24"/>
  <c r="G23" i="24"/>
  <c r="G20" i="24"/>
  <c r="G36" i="24"/>
  <c r="G27" i="24"/>
  <c r="G17" i="24"/>
  <c r="G33" i="24"/>
  <c r="G22" i="24"/>
  <c r="G9" i="24"/>
  <c r="G21" i="24"/>
  <c r="G26" i="24"/>
  <c r="G35" i="24"/>
  <c r="G24" i="24"/>
  <c r="G12" i="24"/>
  <c r="G28" i="24"/>
  <c r="G10" i="24"/>
  <c r="G25" i="24"/>
  <c r="G19" i="24"/>
  <c r="G14" i="24"/>
  <c r="G30" i="24"/>
  <c r="M38" i="31"/>
  <c r="M41" i="31"/>
  <c r="M40" i="31"/>
  <c r="M39" i="31"/>
  <c r="O33" i="31"/>
  <c r="O35" i="31" s="1"/>
  <c r="O37" i="31" s="1"/>
  <c r="Q29" i="31"/>
  <c r="Q33" i="31" s="1"/>
  <c r="Q35" i="31" s="1"/>
  <c r="Q37" i="31" l="1"/>
  <c r="H30" i="24"/>
  <c r="H25" i="24"/>
  <c r="H28" i="24"/>
  <c r="H35" i="24"/>
  <c r="H26" i="24"/>
  <c r="H21" i="24"/>
  <c r="H9" i="24"/>
  <c r="H16" i="24"/>
  <c r="H19" i="24"/>
  <c r="H33" i="24"/>
  <c r="H36" i="24"/>
  <c r="H24" i="24"/>
  <c r="H11" i="24"/>
  <c r="H29" i="24"/>
  <c r="H22" i="24"/>
  <c r="H17" i="24"/>
  <c r="H20" i="24"/>
  <c r="H34" i="24"/>
  <c r="H13" i="24"/>
  <c r="H32" i="24"/>
  <c r="H27" i="24"/>
  <c r="H18" i="24"/>
  <c r="H14" i="24"/>
  <c r="H10" i="24"/>
  <c r="H12" i="24"/>
  <c r="H15" i="24"/>
  <c r="H23" i="24"/>
  <c r="H31" i="24"/>
  <c r="O40" i="31"/>
  <c r="O41" i="31"/>
  <c r="O39" i="31"/>
  <c r="O38" i="31"/>
  <c r="I34" i="24" l="1"/>
  <c r="I32" i="24"/>
  <c r="Q39" i="31"/>
  <c r="I23" i="24"/>
  <c r="I10" i="24"/>
  <c r="I21" i="24"/>
  <c r="I14" i="24"/>
  <c r="I20" i="24"/>
  <c r="I11" i="24"/>
  <c r="I19" i="24"/>
  <c r="Q40" i="31"/>
  <c r="I18" i="24"/>
  <c r="I17" i="24"/>
  <c r="I24" i="24"/>
  <c r="I36" i="24"/>
  <c r="Q41" i="31"/>
  <c r="I31" i="24"/>
  <c r="I35" i="24"/>
  <c r="I22" i="24"/>
  <c r="I33" i="24"/>
  <c r="I16" i="24"/>
  <c r="I28" i="24"/>
  <c r="I15" i="24"/>
  <c r="I27" i="24"/>
  <c r="I30" i="24"/>
  <c r="I29" i="24"/>
  <c r="Q38" i="31"/>
  <c r="I12" i="24"/>
  <c r="I13" i="24"/>
  <c r="I9" i="24"/>
  <c r="I25" i="24"/>
  <c r="I26" i="24"/>
  <c r="D63" i="13" l="1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D83" i="13"/>
  <c r="E83" i="13"/>
  <c r="D84" i="13"/>
  <c r="E84" i="13"/>
  <c r="D85" i="13"/>
  <c r="E85" i="13"/>
  <c r="D86" i="13"/>
  <c r="E86" i="13"/>
  <c r="D87" i="13"/>
  <c r="E87" i="13"/>
  <c r="D88" i="13"/>
  <c r="E88" i="13"/>
  <c r="D89" i="13"/>
  <c r="E89" i="13"/>
  <c r="D90" i="13"/>
  <c r="E90" i="13"/>
  <c r="D91" i="13"/>
  <c r="E91" i="13"/>
  <c r="D92" i="13"/>
  <c r="E92" i="13"/>
  <c r="D93" i="13"/>
  <c r="E93" i="13"/>
  <c r="D94" i="13"/>
  <c r="E94" i="13"/>
  <c r="D95" i="13"/>
  <c r="E95" i="13"/>
  <c r="D96" i="13"/>
  <c r="E96" i="13"/>
  <c r="D97" i="13"/>
  <c r="E97" i="13"/>
  <c r="D98" i="13"/>
  <c r="E98" i="13"/>
  <c r="D99" i="13"/>
  <c r="E99" i="13"/>
  <c r="D100" i="13"/>
  <c r="E100" i="13"/>
  <c r="D101" i="13"/>
  <c r="E101" i="13"/>
  <c r="D102" i="13"/>
  <c r="E102" i="13"/>
  <c r="D103" i="13"/>
  <c r="E103" i="13"/>
  <c r="D104" i="13"/>
  <c r="E104" i="13"/>
  <c r="D105" i="13"/>
  <c r="E105" i="13"/>
  <c r="D106" i="13"/>
  <c r="E106" i="13"/>
  <c r="D107" i="13"/>
  <c r="E107" i="13"/>
  <c r="D108" i="13"/>
  <c r="E108" i="13"/>
  <c r="D109" i="13"/>
  <c r="E109" i="13"/>
  <c r="D110" i="13"/>
  <c r="E110" i="13"/>
  <c r="D111" i="13"/>
  <c r="E111" i="13"/>
  <c r="D112" i="13"/>
  <c r="E112" i="13"/>
  <c r="D113" i="13"/>
  <c r="E113" i="13"/>
  <c r="D114" i="13"/>
  <c r="E114" i="13"/>
  <c r="D115" i="13"/>
  <c r="E115" i="13"/>
  <c r="D116" i="13"/>
  <c r="E116" i="13"/>
  <c r="D117" i="13"/>
  <c r="E117" i="13"/>
  <c r="D118" i="13"/>
  <c r="E118" i="13"/>
  <c r="D119" i="13"/>
  <c r="E119" i="13"/>
  <c r="D120" i="13"/>
  <c r="E120" i="13"/>
  <c r="D121" i="13"/>
  <c r="E121" i="13"/>
  <c r="D122" i="13"/>
  <c r="E122" i="13"/>
  <c r="D123" i="13"/>
  <c r="E123" i="13"/>
  <c r="D124" i="13"/>
  <c r="E124" i="13"/>
  <c r="D125" i="13"/>
  <c r="E125" i="13"/>
  <c r="D126" i="13"/>
  <c r="E126" i="13"/>
  <c r="D127" i="13"/>
  <c r="E127" i="13"/>
  <c r="D128" i="13"/>
  <c r="E128" i="13"/>
  <c r="D129" i="13"/>
  <c r="E129" i="13"/>
  <c r="D130" i="13"/>
  <c r="E130" i="13"/>
  <c r="D131" i="13"/>
  <c r="E131" i="13"/>
  <c r="D132" i="13"/>
  <c r="E132" i="13"/>
  <c r="D133" i="13"/>
  <c r="E133" i="13"/>
  <c r="D134" i="13"/>
  <c r="E134" i="13"/>
  <c r="D135" i="13"/>
  <c r="E135" i="13"/>
  <c r="D136" i="13"/>
  <c r="E136" i="13"/>
  <c r="D137" i="13"/>
  <c r="E137" i="13"/>
  <c r="D138" i="13"/>
  <c r="E138" i="13"/>
  <c r="D139" i="13"/>
  <c r="E139" i="13"/>
  <c r="D140" i="13"/>
  <c r="E140" i="13"/>
  <c r="D141" i="13"/>
  <c r="E141" i="13"/>
  <c r="D142" i="13"/>
  <c r="E142" i="13"/>
  <c r="B143" i="13"/>
  <c r="C143" i="13"/>
  <c r="D143" i="13"/>
  <c r="E143" i="13"/>
  <c r="D144" i="13"/>
  <c r="E144" i="13"/>
  <c r="D145" i="13"/>
  <c r="E145" i="13"/>
  <c r="D146" i="13"/>
  <c r="E146" i="13"/>
  <c r="D934" i="13"/>
  <c r="E934" i="13"/>
  <c r="D935" i="13"/>
  <c r="E935" i="13"/>
  <c r="D936" i="13"/>
  <c r="E936" i="13"/>
  <c r="D937" i="13"/>
  <c r="E937" i="13"/>
  <c r="D938" i="13"/>
  <c r="E938" i="13"/>
  <c r="D939" i="13"/>
  <c r="E939" i="13"/>
  <c r="D940" i="13"/>
  <c r="E940" i="13"/>
  <c r="D15" i="13"/>
  <c r="E15" i="13"/>
  <c r="D26" i="13"/>
  <c r="E26" i="13"/>
  <c r="B16" i="13"/>
  <c r="C16" i="13"/>
  <c r="D16" i="13"/>
  <c r="E16" i="13"/>
  <c r="D7" i="19" l="1"/>
  <c r="E7" i="19" l="1"/>
  <c r="E46" i="13"/>
  <c r="E45" i="13"/>
  <c r="D45" i="13"/>
  <c r="D46" i="13"/>
  <c r="C24" i="19" l="1"/>
  <c r="D22" i="13" l="1"/>
  <c r="D30" i="13" l="1"/>
  <c r="D61" i="13"/>
  <c r="D44" i="13"/>
  <c r="D43" i="13"/>
  <c r="D29" i="13"/>
  <c r="D31" i="13"/>
  <c r="D33" i="13"/>
  <c r="D41" i="13"/>
  <c r="D42" i="13"/>
  <c r="D25" i="13"/>
  <c r="D27" i="13"/>
  <c r="D18" i="13"/>
  <c r="D20" i="13"/>
  <c r="D28" i="13"/>
  <c r="D62" i="13"/>
  <c r="D23" i="13"/>
  <c r="D24" i="13"/>
  <c r="D21" i="13"/>
  <c r="E30" i="13"/>
  <c r="E61" i="13"/>
  <c r="E44" i="13"/>
  <c r="E43" i="13"/>
  <c r="E29" i="13"/>
  <c r="E31" i="13"/>
  <c r="E33" i="13"/>
  <c r="E41" i="13"/>
  <c r="E42" i="13"/>
  <c r="E25" i="13"/>
  <c r="E27" i="13"/>
  <c r="E18" i="13"/>
  <c r="E20" i="13"/>
  <c r="E28" i="13"/>
  <c r="E62" i="13"/>
  <c r="E23" i="13"/>
  <c r="E24" i="13"/>
  <c r="E21" i="13"/>
  <c r="E38" i="13"/>
  <c r="D38" i="13"/>
  <c r="E37" i="13"/>
  <c r="D37" i="13"/>
  <c r="E36" i="13"/>
  <c r="D36" i="13"/>
  <c r="E35" i="13"/>
  <c r="D35" i="13"/>
  <c r="E34" i="13"/>
  <c r="D34" i="13"/>
  <c r="E32" i="13"/>
  <c r="D32" i="13"/>
  <c r="E60" i="13"/>
  <c r="D60" i="13"/>
  <c r="E59" i="13"/>
  <c r="D59" i="13"/>
  <c r="E58" i="13"/>
  <c r="D58" i="13"/>
  <c r="E57" i="13"/>
  <c r="D57" i="13"/>
  <c r="E19" i="13"/>
  <c r="D19" i="13"/>
  <c r="E17" i="13"/>
  <c r="D1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G100" i="22" l="1"/>
  <c r="H138" i="25" l="1"/>
  <c r="E46" i="19" l="1"/>
  <c r="D46" i="19" l="1"/>
  <c r="F7" i="19" l="1"/>
  <c r="C28" i="19"/>
  <c r="H28" i="19" l="1"/>
  <c r="H46" i="19" s="1"/>
  <c r="D24" i="19"/>
  <c r="E24" i="19" l="1"/>
  <c r="F24" i="19"/>
  <c r="C46" i="19" l="1"/>
</calcChain>
</file>

<file path=xl/sharedStrings.xml><?xml version="1.0" encoding="utf-8"?>
<sst xmlns="http://schemas.openxmlformats.org/spreadsheetml/2006/main" count="9890" uniqueCount="1290">
  <si>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</si>
  <si>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</si>
  <si>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</si>
  <si>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</si>
  <si>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</si>
  <si>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</si>
  <si>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</si>
  <si>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</si>
  <si>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</si>
  <si>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</si>
  <si>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</si>
  <si>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</si>
  <si>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</si>
  <si>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</si>
  <si>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</si>
  <si>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</si>
  <si>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</si>
  <si>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</si>
  <si>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</si>
  <si>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</si>
  <si>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</si>
  <si>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</si>
  <si>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</si>
  <si>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</si>
  <si>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</si>
  <si>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</si>
  <si>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</si>
  <si>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</si>
  <si>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</si>
  <si>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</si>
  <si>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</si>
  <si>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</si>
  <si>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</si>
  <si>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</si>
  <si>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</si>
  <si>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</si>
  <si>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</si>
  <si>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</si>
  <si>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</si>
  <si>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</si>
  <si>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</si>
  <si>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</si>
  <si>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</si>
  <si>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</si>
  <si>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</si>
  <si>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</si>
  <si>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</si>
  <si>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</si>
  <si>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</si>
  <si>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</si>
  <si>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</si>
  <si>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</si>
  <si>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</si>
  <si>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</si>
  <si>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</si>
  <si>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</si>
  <si>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</si>
  <si>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</si>
  <si>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</si>
  <si>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</si>
  <si>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</si>
  <si>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</si>
  <si>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</si>
  <si>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</si>
  <si>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</si>
  <si>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</si>
  <si>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</si>
  <si>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</si>
  <si>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</si>
  <si>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Inspectie categorie</t>
  </si>
  <si>
    <t>Schoonmaakmedewerker</t>
  </si>
  <si>
    <t>Specialist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</si>
  <si>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</si>
  <si>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</si>
  <si>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</si>
  <si>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</si>
  <si>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</si>
  <si>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</si>
  <si>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</si>
  <si>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</si>
  <si>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</si>
  <si>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</si>
  <si>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</si>
  <si>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</si>
  <si>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</si>
  <si>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</si>
  <si>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</si>
  <si>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</si>
  <si>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</si>
  <si>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</si>
  <si>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</si>
  <si>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</si>
  <si>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</si>
  <si>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</si>
  <si>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</si>
  <si>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</si>
  <si>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</si>
  <si>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</si>
  <si>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</si>
  <si>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</si>
  <si>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</si>
  <si>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</si>
  <si>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</si>
  <si>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</si>
  <si>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</si>
  <si>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</si>
  <si>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</si>
  <si>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</si>
  <si>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</si>
  <si>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</si>
  <si>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</si>
  <si>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</si>
  <si>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</si>
  <si>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</si>
  <si>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</si>
  <si>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</si>
  <si>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</si>
  <si>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</si>
  <si>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</si>
  <si>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</si>
  <si>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</si>
  <si>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</si>
  <si>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Ruimtesoort</t>
  </si>
  <si>
    <t>Vloer code</t>
  </si>
  <si>
    <t>Frequentie weekend</t>
  </si>
  <si>
    <t>Aantal weken/jr</t>
  </si>
  <si>
    <t>Frequentie</t>
  </si>
  <si>
    <t>Prest. (m2 /jaar)</t>
  </si>
  <si>
    <t>Steen</t>
  </si>
  <si>
    <t>PVC</t>
  </si>
  <si>
    <t>Pantry</t>
  </si>
  <si>
    <t>Naam</t>
  </si>
  <si>
    <t>Lino</t>
  </si>
  <si>
    <t>Oppervlakte n.i.o.</t>
  </si>
  <si>
    <t>Uitvoeringen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</si>
  <si>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</si>
  <si>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</si>
  <si>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</si>
  <si>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</si>
  <si>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</si>
  <si>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</si>
  <si>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</si>
  <si>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</si>
  <si>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</si>
  <si>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</si>
  <si>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</si>
  <si>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Glassoort/voorziening</t>
  </si>
  <si>
    <t>Kosten/jaar excl. BTW</t>
  </si>
  <si>
    <t>Gevelglas buitenzijde</t>
  </si>
  <si>
    <t>Prijs per m2 per beurt</t>
  </si>
  <si>
    <t>Separatieglas (enkel gemeten, dubbel te wassen)</t>
  </si>
  <si>
    <t>Eenheid</t>
  </si>
  <si>
    <t>Prijs</t>
  </si>
  <si>
    <t>Hoogwerker buiten max 12 meter</t>
  </si>
  <si>
    <t>Hoogwerker buiten max 16 meter</t>
  </si>
  <si>
    <t>Hoogwerker buiten max 20 meter</t>
  </si>
  <si>
    <t>Oppervlakte of dagen</t>
  </si>
  <si>
    <t>H1</t>
  </si>
  <si>
    <t>H2</t>
  </si>
  <si>
    <t>H3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</si>
  <si>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</si>
  <si>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</si>
  <si>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</si>
  <si>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</si>
  <si>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</si>
  <si>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</si>
  <si>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</si>
  <si>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</si>
  <si>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</si>
  <si>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</si>
  <si>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</si>
  <si>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</si>
  <si>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</si>
  <si>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Glasbewassing
Kosten / jaar</t>
  </si>
  <si>
    <t>Vloeronderhoud
Kosten / jaar</t>
  </si>
  <si>
    <t>Totalisatie (excl. BTW)</t>
  </si>
  <si>
    <t>Kolom1</t>
  </si>
  <si>
    <t>Schoonmaakonderhoud
Kosten / jaar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</si>
  <si>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</si>
  <si>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</si>
  <si>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</si>
  <si>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</si>
  <si>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</si>
  <si>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</si>
  <si>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</si>
  <si>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</si>
  <si>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</si>
  <si>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</si>
  <si>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</si>
  <si>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</si>
  <si>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</si>
  <si>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</si>
  <si>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</si>
  <si>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</si>
  <si>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</si>
  <si>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</si>
  <si>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</si>
  <si>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</si>
  <si>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</si>
  <si>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</si>
  <si>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</si>
  <si>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</si>
  <si>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</si>
  <si>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</si>
  <si>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</si>
  <si>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</si>
  <si>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Kolom2</t>
  </si>
  <si>
    <t>Inspectiecategorie</t>
  </si>
  <si>
    <t>Gemiddeld brutoloon</t>
  </si>
  <si>
    <t>Code Locatie</t>
  </si>
  <si>
    <t>Code Taak</t>
  </si>
  <si>
    <t>Code taak</t>
  </si>
  <si>
    <t>Omschrijving2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</si>
  <si>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</si>
  <si>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</si>
  <si>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</si>
  <si>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</si>
  <si>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</si>
  <si>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</si>
  <si>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</si>
  <si>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</si>
  <si>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</si>
  <si>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</si>
  <si>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</si>
  <si>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</si>
  <si>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</si>
  <si>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</si>
  <si>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</si>
  <si>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</si>
  <si>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</si>
  <si>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Lichtkoepels (enkel gemeten, dubbel te wassen)</t>
  </si>
  <si>
    <t>Gevelglas binnenzijde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</si>
  <si>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</si>
  <si>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</si>
  <si>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</si>
  <si>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</si>
  <si>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</si>
  <si>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</si>
  <si>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</si>
  <si>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</si>
  <si>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</si>
  <si>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</si>
  <si>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</si>
  <si>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</si>
  <si>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</si>
  <si>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</si>
  <si>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</si>
  <si>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</si>
  <si>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</si>
  <si>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Vloersoort / toelichting</t>
  </si>
  <si>
    <t>Garderobe</t>
  </si>
  <si>
    <t>Prijs per strekkende meter, incl materialen en middelen</t>
  </si>
  <si>
    <t>H4</t>
  </si>
  <si>
    <t>Spinhoogwerker</t>
  </si>
  <si>
    <t>Opmerking 1</t>
  </si>
  <si>
    <t>Vliesgevel/boeiboord/damwand</t>
  </si>
  <si>
    <t>Geboorte- datum</t>
  </si>
  <si>
    <t>Branche datum</t>
  </si>
  <si>
    <t>Soort  contract</t>
  </si>
  <si>
    <t>Aantal uur op object</t>
  </si>
  <si>
    <t>Functiecode</t>
  </si>
  <si>
    <t>Loongroep</t>
  </si>
  <si>
    <t>Basis-uurloon</t>
  </si>
  <si>
    <t>In het bezit van basisvak-diploma? Ja/Nee</t>
  </si>
  <si>
    <t>Lift</t>
  </si>
  <si>
    <t>Linoleum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</si>
  <si>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</si>
  <si>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</si>
  <si>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</si>
  <si>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</si>
  <si>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</si>
  <si>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</si>
  <si>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</si>
  <si>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</si>
  <si>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</si>
  <si>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</si>
  <si>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</si>
  <si>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</si>
  <si>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</si>
  <si>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</si>
  <si>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</si>
  <si>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</si>
  <si>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</si>
  <si>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</si>
  <si>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</si>
  <si>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</si>
  <si>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</si>
  <si>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</si>
  <si>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</si>
  <si>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</si>
  <si>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</si>
  <si>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</si>
  <si>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</si>
  <si>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</si>
  <si>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</si>
  <si>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</si>
  <si>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</si>
  <si>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</si>
  <si>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</si>
  <si>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</si>
  <si>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</si>
  <si>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</si>
  <si>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</si>
  <si>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</si>
  <si>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</si>
  <si>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</si>
  <si>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</si>
  <si>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</si>
  <si>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</si>
  <si>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</si>
  <si>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</si>
  <si>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</si>
  <si>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</si>
  <si>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</si>
  <si>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</si>
  <si>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</si>
  <si>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</si>
  <si>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</si>
  <si>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</si>
  <si>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</si>
  <si>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</si>
  <si>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</si>
  <si>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Enkele vinger tasten of kleine zichtbare vlekken max. 7 tot 10 stuks, enkele schopstrepen max. 1 tot 3 st.</t>
  </si>
  <si>
    <t>Glas binnenzijde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</si>
  <si>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</si>
  <si>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</si>
  <si>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</si>
  <si>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</si>
  <si>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</si>
  <si>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</si>
  <si>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</si>
  <si>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</si>
  <si>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</si>
  <si>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</si>
  <si>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</si>
  <si>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</si>
  <si>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</si>
  <si>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</si>
  <si>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</si>
  <si>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</si>
  <si>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</si>
  <si>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</si>
  <si>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</si>
  <si>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</si>
  <si>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</si>
  <si>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</si>
  <si>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</si>
  <si>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</si>
  <si>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</si>
  <si>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</si>
  <si>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</si>
  <si>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</si>
  <si>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</si>
  <si>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</si>
  <si>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</si>
  <si>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</si>
  <si>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</si>
  <si>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</si>
  <si>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</si>
  <si>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</si>
  <si>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</si>
  <si>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</si>
  <si>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</si>
  <si>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</si>
  <si>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</si>
  <si>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</si>
  <si>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</si>
  <si>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</si>
  <si>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</si>
  <si>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</si>
  <si>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</si>
  <si>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Geen losliggend en/of zichtbaar vuil en enkele zichtbare vlekken max 8 st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</si>
  <si>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</si>
  <si>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</si>
  <si>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</si>
  <si>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</si>
  <si>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</si>
  <si>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Grofvuil-, stof-, vlekvrij</t>
  </si>
  <si>
    <t>Handeling</t>
  </si>
  <si>
    <t>vochtig afnemen</t>
  </si>
  <si>
    <t>Verlichtingsarmatuur en buizen &gt; 2.00 m</t>
  </si>
  <si>
    <t>periodiek vloeronderhoud conform afspraak</t>
  </si>
  <si>
    <t>Harde vloeren zonder extra behandeling, zoals steen, beton e.d.</t>
  </si>
  <si>
    <t>Vergader/spreekkamers</t>
  </si>
  <si>
    <t>Personeelsruimte</t>
  </si>
  <si>
    <t>Lokaal</t>
  </si>
  <si>
    <t>Gemiddelde
indexering</t>
  </si>
  <si>
    <t>CBS index</t>
  </si>
  <si>
    <t>CAO</t>
  </si>
  <si>
    <t>Tarief excl btw</t>
  </si>
  <si>
    <t>Percentage</t>
  </si>
  <si>
    <t>Soort indexatie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</si>
  <si>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</si>
  <si>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</si>
  <si>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</si>
  <si>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</si>
  <si>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</si>
  <si>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</si>
  <si>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</si>
  <si>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</si>
  <si>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</si>
  <si>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</si>
  <si>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</si>
  <si>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</si>
  <si>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</si>
  <si>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</si>
  <si>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</si>
  <si>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Diepreiniging volgens programma</t>
  </si>
  <si>
    <t>Sanitaire ruimte</t>
  </si>
  <si>
    <t>Datum in dienst</t>
  </si>
  <si>
    <t>De gehele vloer en alle wanden reinigen met fantomat</t>
  </si>
  <si>
    <t>Sport ruimten</t>
  </si>
  <si>
    <t>Opmerking</t>
  </si>
  <si>
    <t>Handelingen dieptereiniging 2 x per jaar</t>
  </si>
  <si>
    <t>Opleverstaat schoonmaak periodiek (tijdens vakanties uitvoeren) 2 x per jaar</t>
  </si>
  <si>
    <t>……………………………………………………</t>
  </si>
  <si>
    <t>Ruimte- 
nummer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</si>
  <si>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</si>
  <si>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2023</t>
  </si>
  <si>
    <t>2024</t>
  </si>
  <si>
    <t>2025</t>
  </si>
  <si>
    <t>2026</t>
  </si>
  <si>
    <t>Praktijklokaal</t>
  </si>
  <si>
    <t>Kabinet</t>
  </si>
  <si>
    <t>2027</t>
  </si>
  <si>
    <t>Extra werkzaamheden</t>
  </si>
  <si>
    <t>Extra werkzaamheden
Kosten / jaar</t>
  </si>
  <si>
    <t>Sprayen</t>
  </si>
  <si>
    <t>Omschrijving</t>
  </si>
  <si>
    <t>Toelichting</t>
  </si>
  <si>
    <t>aantal uur per keer/meter</t>
  </si>
  <si>
    <t>Ingangsdatum werkzaam op object</t>
  </si>
  <si>
    <t>Reiskosten op basis van CAO</t>
  </si>
  <si>
    <t>Nr.</t>
  </si>
  <si>
    <t>Ruimte gebruiks-intentie</t>
  </si>
  <si>
    <t>Planning in overleg met opdrachtgever</t>
  </si>
  <si>
    <t>ruimte-nummer plattegrond</t>
  </si>
  <si>
    <t>Daklicht (enkel gemeten, dubbel te wassen)</t>
  </si>
  <si>
    <t>Hout</t>
  </si>
  <si>
    <t>H</t>
  </si>
  <si>
    <t>Vloeren zonder beschermlaag, die wel behandeling nodig hebben</t>
  </si>
  <si>
    <t>Dieptereiniging afzuigkappen binnenzijde</t>
  </si>
  <si>
    <t>Prijs per dieptereiniging</t>
  </si>
  <si>
    <t>De Meander</t>
  </si>
  <si>
    <t>Gymzaal Lijsterstraat</t>
  </si>
  <si>
    <t>Stafbureau Attendiz</t>
  </si>
  <si>
    <t>0.01</t>
  </si>
  <si>
    <t>0.02</t>
  </si>
  <si>
    <t>0.03</t>
  </si>
  <si>
    <t>0.04</t>
  </si>
  <si>
    <t>0.05</t>
  </si>
  <si>
    <t>0.06</t>
  </si>
  <si>
    <t>0.07</t>
  </si>
  <si>
    <t>0.08</t>
  </si>
  <si>
    <t>0.09</t>
  </si>
  <si>
    <t>0.10</t>
  </si>
  <si>
    <t>0.11</t>
  </si>
  <si>
    <t>0.12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</si>
  <si>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</si>
  <si>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</si>
  <si>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</si>
  <si>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</si>
  <si>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</si>
  <si>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</si>
  <si>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</si>
  <si>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</si>
  <si>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</si>
  <si>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</si>
  <si>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</si>
  <si>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</si>
  <si>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</si>
  <si>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</si>
  <si>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</si>
  <si>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</si>
  <si>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</si>
  <si>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</si>
  <si>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0.31</t>
  </si>
  <si>
    <t>0.32</t>
  </si>
  <si>
    <t>0.33</t>
  </si>
  <si>
    <t>0.34</t>
  </si>
  <si>
    <t>0.35</t>
  </si>
  <si>
    <t>0.36</t>
  </si>
  <si>
    <t>0.37</t>
  </si>
  <si>
    <t>0.38</t>
  </si>
  <si>
    <t>0.39</t>
  </si>
  <si>
    <t>0.40</t>
  </si>
  <si>
    <t>0.41</t>
  </si>
  <si>
    <t>0.42</t>
  </si>
  <si>
    <t>0.43</t>
  </si>
  <si>
    <t>0.44</t>
  </si>
  <si>
    <t>0.45</t>
  </si>
  <si>
    <t>0.46</t>
  </si>
  <si>
    <t>0.47</t>
  </si>
  <si>
    <t>0.48</t>
  </si>
  <si>
    <t>0.49</t>
  </si>
  <si>
    <t>0.50</t>
  </si>
  <si>
    <t>0.51</t>
  </si>
  <si>
    <t>0.52</t>
  </si>
  <si>
    <t>0.53</t>
  </si>
  <si>
    <t>0.54</t>
  </si>
  <si>
    <t>0.55</t>
  </si>
  <si>
    <t>0.56</t>
  </si>
  <si>
    <t>0.57</t>
  </si>
  <si>
    <t>0.58</t>
  </si>
  <si>
    <t>0.59</t>
  </si>
  <si>
    <t>0.60</t>
  </si>
  <si>
    <t>0.61</t>
  </si>
  <si>
    <t>0.62</t>
  </si>
  <si>
    <t>0.63</t>
  </si>
  <si>
    <t>0.64</t>
  </si>
  <si>
    <t>0.65</t>
  </si>
  <si>
    <t>0.66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</si>
  <si>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</si>
  <si>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</si>
  <si>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</si>
  <si>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</si>
  <si>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</si>
  <si>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</si>
  <si>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</si>
  <si>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</si>
  <si>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</si>
  <si>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</si>
  <si>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</si>
  <si>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</si>
  <si>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</si>
  <si>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</si>
  <si>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</si>
  <si>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</si>
  <si>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</si>
  <si>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</si>
  <si>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</si>
  <si>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</si>
  <si>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</si>
  <si>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</si>
  <si>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</si>
  <si>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</si>
  <si>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</si>
  <si>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</si>
  <si>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</si>
  <si>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</si>
  <si>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</si>
  <si>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</si>
  <si>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</si>
  <si>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</si>
  <si>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</si>
  <si>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</si>
  <si>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</si>
  <si>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</si>
  <si>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</si>
  <si>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</si>
  <si>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</si>
  <si>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1.39a</t>
  </si>
  <si>
    <t>1.39b</t>
  </si>
  <si>
    <t>1.39c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</si>
  <si>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</si>
  <si>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</si>
  <si>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</si>
  <si>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</si>
  <si>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</si>
  <si>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</si>
  <si>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</si>
  <si>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</si>
  <si>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</si>
  <si>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bg</t>
  </si>
  <si>
    <t>1e</t>
  </si>
  <si>
    <t>Koeling</t>
  </si>
  <si>
    <t>Magazijn keuken</t>
  </si>
  <si>
    <t>Time-out ruimte</t>
  </si>
  <si>
    <t>Portaal</t>
  </si>
  <si>
    <t>Toilet</t>
  </si>
  <si>
    <t>Therapie / vergaderkamer</t>
  </si>
  <si>
    <t>Kantoor</t>
  </si>
  <si>
    <t>IB-ruimte</t>
  </si>
  <si>
    <t>Buitenberging</t>
  </si>
  <si>
    <t>Gang</t>
  </si>
  <si>
    <t>Personeelskamer</t>
  </si>
  <si>
    <t>Leslokaal</t>
  </si>
  <si>
    <t>werkkast</t>
  </si>
  <si>
    <t>Leermiddelen</t>
  </si>
  <si>
    <t>Toestelberging</t>
  </si>
  <si>
    <t>Gymzaal</t>
  </si>
  <si>
    <t>Kleedkamer</t>
  </si>
  <si>
    <t>Kleedkamer docent</t>
  </si>
  <si>
    <t>Technische ruimte</t>
  </si>
  <si>
    <t xml:space="preserve">Praktijklokaal  </t>
  </si>
  <si>
    <t>Berging</t>
  </si>
  <si>
    <t>Magazijn</t>
  </si>
  <si>
    <t>Hal</t>
  </si>
  <si>
    <t>gang</t>
  </si>
  <si>
    <t>pantry</t>
  </si>
  <si>
    <t>kantoor</t>
  </si>
  <si>
    <t>Vergaderruimte</t>
  </si>
  <si>
    <t>Muzieklokaal / speellokaal</t>
  </si>
  <si>
    <t>Kooklokaal</t>
  </si>
  <si>
    <t>Schoonloopmat</t>
  </si>
  <si>
    <t>Coating</t>
  </si>
  <si>
    <t>Sportvloer</t>
  </si>
  <si>
    <t>t</t>
  </si>
  <si>
    <t>l</t>
  </si>
  <si>
    <t>Kantine</t>
  </si>
  <si>
    <t>Keuken</t>
  </si>
  <si>
    <t>Kleedruimte</t>
  </si>
  <si>
    <t>Doucheruimte</t>
  </si>
  <si>
    <t>Stilteruimte</t>
  </si>
  <si>
    <t>Inloopmat</t>
  </si>
  <si>
    <t>Tegels</t>
  </si>
  <si>
    <t>Gietvloer</t>
  </si>
  <si>
    <t>0.14A</t>
  </si>
  <si>
    <t>0.14B</t>
  </si>
  <si>
    <t>0.18A</t>
  </si>
  <si>
    <t>0.18B</t>
  </si>
  <si>
    <t>3A</t>
  </si>
  <si>
    <t>Dames toilet</t>
  </si>
  <si>
    <t>Heren toilet</t>
  </si>
  <si>
    <t>Voorruimte herentoilet</t>
  </si>
  <si>
    <t>Centrale hal</t>
  </si>
  <si>
    <t>Overleg</t>
  </si>
  <si>
    <t>Werkplek/Opslag</t>
  </si>
  <si>
    <t>Werkplaats</t>
  </si>
  <si>
    <t>Opslag</t>
  </si>
  <si>
    <t>Auto garage werkplaats</t>
  </si>
  <si>
    <t>Kantoor/vergader</t>
  </si>
  <si>
    <t>Fietsenopslag</t>
  </si>
  <si>
    <t>Werkkast</t>
  </si>
  <si>
    <t>Strijk/was ruimte</t>
  </si>
  <si>
    <t>Zeil</t>
  </si>
  <si>
    <t>Beton</t>
  </si>
  <si>
    <t>Gecoat Beton</t>
  </si>
  <si>
    <t>Krabbenbosweg</t>
  </si>
  <si>
    <t>Krabbenbosweg / Noodgebouw Jarino</t>
  </si>
  <si>
    <t>Krabbenbosweg / Noodgebouw voorkant</t>
  </si>
  <si>
    <t>01 + 01a</t>
  </si>
  <si>
    <t>02</t>
  </si>
  <si>
    <t>07</t>
  </si>
  <si>
    <t>010</t>
  </si>
  <si>
    <t>08</t>
  </si>
  <si>
    <t>09</t>
  </si>
  <si>
    <t>03</t>
  </si>
  <si>
    <t>04</t>
  </si>
  <si>
    <t>05</t>
  </si>
  <si>
    <t>55a</t>
  </si>
  <si>
    <t>06</t>
  </si>
  <si>
    <t>61a</t>
  </si>
  <si>
    <t>63a</t>
  </si>
  <si>
    <t>60a</t>
  </si>
  <si>
    <t>01</t>
  </si>
  <si>
    <t>Entree + gang</t>
  </si>
  <si>
    <t>Gemeenschapelijke ruimte</t>
  </si>
  <si>
    <t>Concierge</t>
  </si>
  <si>
    <t>Uitgifte balie</t>
  </si>
  <si>
    <t>CV Ruimte</t>
  </si>
  <si>
    <t>Kast</t>
  </si>
  <si>
    <t>Sluis</t>
  </si>
  <si>
    <t>Miva</t>
  </si>
  <si>
    <t>Meterkast</t>
  </si>
  <si>
    <t>Praktijklokaal metaal</t>
  </si>
  <si>
    <t>Kantoor arts</t>
  </si>
  <si>
    <t>Kantoor directie</t>
  </si>
  <si>
    <t>Bijkeuken</t>
  </si>
  <si>
    <t>Bijkeuken catering</t>
  </si>
  <si>
    <t>Douche</t>
  </si>
  <si>
    <t>Spelberging</t>
  </si>
  <si>
    <t>Praktijkruimte / restaurant</t>
  </si>
  <si>
    <t>Machinaal Houtbewerking</t>
  </si>
  <si>
    <t>Mothok</t>
  </si>
  <si>
    <t>Houtbewerking</t>
  </si>
  <si>
    <t>Handvaardigheid</t>
  </si>
  <si>
    <t>Vrijetijdsruimte</t>
  </si>
  <si>
    <t>Voorruimte</t>
  </si>
  <si>
    <t>Time out</t>
  </si>
  <si>
    <t>Werkast</t>
  </si>
  <si>
    <t>Spelruimte</t>
  </si>
  <si>
    <t>Computerruimte</t>
  </si>
  <si>
    <t>Pauzeruimte</t>
  </si>
  <si>
    <t>Spel-o-theek</t>
  </si>
  <si>
    <t>Speelruimte</t>
  </si>
  <si>
    <t>B.01</t>
  </si>
  <si>
    <t>B.02</t>
  </si>
  <si>
    <t>0.03a</t>
  </si>
  <si>
    <t>0.03b</t>
  </si>
  <si>
    <t>0.03c</t>
  </si>
  <si>
    <t>0.03d</t>
  </si>
  <si>
    <t>Persoonskamer</t>
  </si>
  <si>
    <t>Toiletgroep</t>
  </si>
  <si>
    <t>0.32a+b</t>
  </si>
  <si>
    <t>Houtlokaal</t>
  </si>
  <si>
    <t>Serverruimte</t>
  </si>
  <si>
    <t>Therapie</t>
  </si>
  <si>
    <t>0.39a</t>
  </si>
  <si>
    <t>Spreekkamer</t>
  </si>
  <si>
    <t>Doucheruimte / werkkast</t>
  </si>
  <si>
    <t>Logopedie</t>
  </si>
  <si>
    <t>Speellokaal</t>
  </si>
  <si>
    <t>Fietsenstalling</t>
  </si>
  <si>
    <t>Miva toilet</t>
  </si>
  <si>
    <t>Trap</t>
  </si>
  <si>
    <t>0.001</t>
  </si>
  <si>
    <t>0.002</t>
  </si>
  <si>
    <t>0.003</t>
  </si>
  <si>
    <t>0.004</t>
  </si>
  <si>
    <t>0.005</t>
  </si>
  <si>
    <t>Gas</t>
  </si>
  <si>
    <t>0.006</t>
  </si>
  <si>
    <t>0.007</t>
  </si>
  <si>
    <t>Wasruimte</t>
  </si>
  <si>
    <t>0.008</t>
  </si>
  <si>
    <t>0.009</t>
  </si>
  <si>
    <t>0.010</t>
  </si>
  <si>
    <t>0.011</t>
  </si>
  <si>
    <t>Leraar</t>
  </si>
  <si>
    <t>0.012</t>
  </si>
  <si>
    <t>WC</t>
  </si>
  <si>
    <t>0.014</t>
  </si>
  <si>
    <t>Gymlokaal</t>
  </si>
  <si>
    <t>0.015</t>
  </si>
  <si>
    <t>0.016</t>
  </si>
  <si>
    <t>CV ruimte</t>
  </si>
  <si>
    <t>Entree straatzijde</t>
  </si>
  <si>
    <t>Entree pleinzijde</t>
  </si>
  <si>
    <t>Receptie</t>
  </si>
  <si>
    <t>0.04a</t>
  </si>
  <si>
    <t>0.04b</t>
  </si>
  <si>
    <t>Toiletgroep meisjes</t>
  </si>
  <si>
    <t>Toiletgroep jongens</t>
  </si>
  <si>
    <t>Mediatheek</t>
  </si>
  <si>
    <t>B01</t>
  </si>
  <si>
    <t>Entree zijkant</t>
  </si>
  <si>
    <t>B02</t>
  </si>
  <si>
    <t>CV-ruimte</t>
  </si>
  <si>
    <t>B03</t>
  </si>
  <si>
    <t>B04</t>
  </si>
  <si>
    <t>B05</t>
  </si>
  <si>
    <t>B06</t>
  </si>
  <si>
    <t>B07</t>
  </si>
  <si>
    <t>B08</t>
  </si>
  <si>
    <t>Snoezelruimte</t>
  </si>
  <si>
    <t>B10</t>
  </si>
  <si>
    <t>B10a</t>
  </si>
  <si>
    <t>B10b</t>
  </si>
  <si>
    <t>B15</t>
  </si>
  <si>
    <t>Basmeter</t>
  </si>
  <si>
    <t>B16</t>
  </si>
  <si>
    <t>B16a</t>
  </si>
  <si>
    <t>B16b</t>
  </si>
  <si>
    <t>Patchkast</t>
  </si>
  <si>
    <t>B17</t>
  </si>
  <si>
    <t>B18</t>
  </si>
  <si>
    <t>B18a</t>
  </si>
  <si>
    <t>Bijruimte</t>
  </si>
  <si>
    <t>B19</t>
  </si>
  <si>
    <t>B20</t>
  </si>
  <si>
    <t>B22</t>
  </si>
  <si>
    <t>B22a</t>
  </si>
  <si>
    <t>B23</t>
  </si>
  <si>
    <t>B23a</t>
  </si>
  <si>
    <t>B24</t>
  </si>
  <si>
    <t>B25</t>
  </si>
  <si>
    <t>B26</t>
  </si>
  <si>
    <t>Kantoor / ortho</t>
  </si>
  <si>
    <t>B26a</t>
  </si>
  <si>
    <t>B27</t>
  </si>
  <si>
    <t>B27a</t>
  </si>
  <si>
    <t>B30</t>
  </si>
  <si>
    <t>Verdeelkast</t>
  </si>
  <si>
    <t>B31</t>
  </si>
  <si>
    <t>B32</t>
  </si>
  <si>
    <t>B33</t>
  </si>
  <si>
    <t>B34</t>
  </si>
  <si>
    <t>Toiletgroep personeel</t>
  </si>
  <si>
    <t>B35</t>
  </si>
  <si>
    <t>Verzorgingsruimte</t>
  </si>
  <si>
    <t>B36</t>
  </si>
  <si>
    <t>B37</t>
  </si>
  <si>
    <t>B38</t>
  </si>
  <si>
    <t>B40</t>
  </si>
  <si>
    <t>B41</t>
  </si>
  <si>
    <t>Pvc</t>
  </si>
  <si>
    <t>0.14a</t>
  </si>
  <si>
    <t>0.17a</t>
  </si>
  <si>
    <t>Fysio</t>
  </si>
  <si>
    <t>1.06a</t>
  </si>
  <si>
    <t>Praktijklokaal keuken</t>
  </si>
  <si>
    <t>Praktijklokaal groen</t>
  </si>
  <si>
    <t xml:space="preserve">Trap </t>
  </si>
  <si>
    <t>Handvaardigheidlokaal</t>
  </si>
  <si>
    <t>Praktijklokaal techniek</t>
  </si>
  <si>
    <t>0.49a</t>
  </si>
  <si>
    <t>parket</t>
  </si>
  <si>
    <t>4a</t>
  </si>
  <si>
    <t>11a</t>
  </si>
  <si>
    <t>14a</t>
  </si>
  <si>
    <t>14b</t>
  </si>
  <si>
    <t>14c</t>
  </si>
  <si>
    <t>Wachtruimte</t>
  </si>
  <si>
    <t>15a</t>
  </si>
  <si>
    <t>18a</t>
  </si>
  <si>
    <t>Trapkast</t>
  </si>
  <si>
    <t>18b</t>
  </si>
  <si>
    <t>Entree zolder</t>
  </si>
  <si>
    <t>Eetruimte</t>
  </si>
  <si>
    <t>Keukenmagazijn</t>
  </si>
  <si>
    <t>20a</t>
  </si>
  <si>
    <t>22a</t>
  </si>
  <si>
    <t>Computerlokaal</t>
  </si>
  <si>
    <t>28a</t>
  </si>
  <si>
    <t>Bouwlokaal</t>
  </si>
  <si>
    <t>32a</t>
  </si>
  <si>
    <t>32a/b</t>
  </si>
  <si>
    <t>Flotex</t>
  </si>
  <si>
    <t>Tarkett</t>
  </si>
  <si>
    <t>Trappenhuis</t>
  </si>
  <si>
    <t>Patchruimte</t>
  </si>
  <si>
    <t>Personeelstoilet</t>
  </si>
  <si>
    <t>Unit</t>
  </si>
  <si>
    <t>H1.01</t>
  </si>
  <si>
    <t>T1.01</t>
  </si>
  <si>
    <t>Behandelkamer</t>
  </si>
  <si>
    <t>H0.01</t>
  </si>
  <si>
    <t>G02</t>
  </si>
  <si>
    <t>H003</t>
  </si>
  <si>
    <t>G001</t>
  </si>
  <si>
    <t>Kluis</t>
  </si>
  <si>
    <t>opslag</t>
  </si>
  <si>
    <t>H0.02</t>
  </si>
  <si>
    <t>Lokaal A</t>
  </si>
  <si>
    <t>Douche ( afgesloten )</t>
  </si>
  <si>
    <t>T001</t>
  </si>
  <si>
    <t>G003</t>
  </si>
  <si>
    <t>G04</t>
  </si>
  <si>
    <t>Wateraansluiting</t>
  </si>
  <si>
    <t>H004</t>
  </si>
  <si>
    <t>G005</t>
  </si>
  <si>
    <t>G006</t>
  </si>
  <si>
    <t>G007</t>
  </si>
  <si>
    <t>Berging Handvaardigheid</t>
  </si>
  <si>
    <t>Berging sport</t>
  </si>
  <si>
    <t>Toiletten + voorruimte</t>
  </si>
  <si>
    <t>G0.1</t>
  </si>
  <si>
    <t>G0.2</t>
  </si>
  <si>
    <t>toilet</t>
  </si>
  <si>
    <t>G0.3</t>
  </si>
  <si>
    <t>G0.4</t>
  </si>
  <si>
    <t>G0.5</t>
  </si>
  <si>
    <t>staflokaal</t>
  </si>
  <si>
    <t>kleedkamer meisjes</t>
  </si>
  <si>
    <t>wasruimte meisjes</t>
  </si>
  <si>
    <t>kleedkamer jongens</t>
  </si>
  <si>
    <t>wasruimte jongens</t>
  </si>
  <si>
    <t>G0.6</t>
  </si>
  <si>
    <t>G0.7</t>
  </si>
  <si>
    <t>G0.8</t>
  </si>
  <si>
    <t>berging</t>
  </si>
  <si>
    <t>kleedkamer</t>
  </si>
  <si>
    <t>techniekruimte</t>
  </si>
  <si>
    <t>gymzaal</t>
  </si>
  <si>
    <t>tegels</t>
  </si>
  <si>
    <t>Leerlingentoilet</t>
  </si>
  <si>
    <t>2e</t>
  </si>
  <si>
    <t>6a</t>
  </si>
  <si>
    <t>6b</t>
  </si>
  <si>
    <t>Zijgang</t>
  </si>
  <si>
    <t>16a</t>
  </si>
  <si>
    <t>16b</t>
  </si>
  <si>
    <t>17a</t>
  </si>
  <si>
    <t>17b</t>
  </si>
  <si>
    <t>Berging boeken</t>
  </si>
  <si>
    <t>Berging praktijklokaal</t>
  </si>
  <si>
    <t>25a</t>
  </si>
  <si>
    <t>25b</t>
  </si>
  <si>
    <t>Entree leerlingen</t>
  </si>
  <si>
    <t>29a</t>
  </si>
  <si>
    <t>29b</t>
  </si>
  <si>
    <t>29c</t>
  </si>
  <si>
    <t>29d</t>
  </si>
  <si>
    <t>30a</t>
  </si>
  <si>
    <t>30b</t>
  </si>
  <si>
    <t>30c</t>
  </si>
  <si>
    <t>30d</t>
  </si>
  <si>
    <t>32b</t>
  </si>
  <si>
    <t>32c</t>
  </si>
  <si>
    <t>35a</t>
  </si>
  <si>
    <t>36a</t>
  </si>
  <si>
    <t>36b</t>
  </si>
  <si>
    <t>36c</t>
  </si>
  <si>
    <t>101a</t>
  </si>
  <si>
    <t>101b</t>
  </si>
  <si>
    <t>107a</t>
  </si>
  <si>
    <t>107b</t>
  </si>
  <si>
    <t>112a</t>
  </si>
  <si>
    <t>112b</t>
  </si>
  <si>
    <t>115a</t>
  </si>
  <si>
    <t>115b</t>
  </si>
  <si>
    <t>Leeg</t>
  </si>
  <si>
    <t>120 a</t>
  </si>
  <si>
    <t>201a</t>
  </si>
  <si>
    <t>215a</t>
  </si>
  <si>
    <t>215b</t>
  </si>
  <si>
    <t>216a</t>
  </si>
  <si>
    <t>261b</t>
  </si>
  <si>
    <t>216c</t>
  </si>
  <si>
    <t>Marmoleum</t>
  </si>
  <si>
    <t>G.011</t>
  </si>
  <si>
    <t>G.012</t>
  </si>
  <si>
    <t>0.175</t>
  </si>
  <si>
    <t>0.177</t>
  </si>
  <si>
    <t>0.180</t>
  </si>
  <si>
    <t>0.178</t>
  </si>
  <si>
    <t>0.174</t>
  </si>
  <si>
    <t>0.172</t>
  </si>
  <si>
    <t>0.152</t>
  </si>
  <si>
    <t>0.150</t>
  </si>
  <si>
    <t>Technieklokaal</t>
  </si>
  <si>
    <t>0.146</t>
  </si>
  <si>
    <t>Leslokaal ha</t>
  </si>
  <si>
    <t>0.142/0.144</t>
  </si>
  <si>
    <t>0.140</t>
  </si>
  <si>
    <t>0.138</t>
  </si>
  <si>
    <t>0.136</t>
  </si>
  <si>
    <t>0.134</t>
  </si>
  <si>
    <t>0.137</t>
  </si>
  <si>
    <t>0.147</t>
  </si>
  <si>
    <t>0.149</t>
  </si>
  <si>
    <t>0.151</t>
  </si>
  <si>
    <t>0.153</t>
  </si>
  <si>
    <t>0.170</t>
  </si>
  <si>
    <t>0.171</t>
  </si>
  <si>
    <t>0.157</t>
  </si>
  <si>
    <t>T.004</t>
  </si>
  <si>
    <t>T.004a</t>
  </si>
  <si>
    <t>T.004b</t>
  </si>
  <si>
    <t>G.110</t>
  </si>
  <si>
    <t>G1.109</t>
  </si>
  <si>
    <t>Directie</t>
  </si>
  <si>
    <t>T1.07</t>
  </si>
  <si>
    <t>Restaurant</t>
  </si>
  <si>
    <t>beton</t>
  </si>
  <si>
    <t>Voorruimte Leslokaal</t>
  </si>
  <si>
    <t>0.02a</t>
  </si>
  <si>
    <t>0.05a</t>
  </si>
  <si>
    <t>0.22a</t>
  </si>
  <si>
    <t>0.42a</t>
  </si>
  <si>
    <t>Werkplek</t>
  </si>
  <si>
    <t>0.45a</t>
  </si>
  <si>
    <t>0.45b</t>
  </si>
  <si>
    <t>0.62a</t>
  </si>
  <si>
    <t>0.65a</t>
  </si>
  <si>
    <t>Podium</t>
  </si>
  <si>
    <t>0.67</t>
  </si>
  <si>
    <t>0.68</t>
  </si>
  <si>
    <t>0.81</t>
  </si>
  <si>
    <t>0.82</t>
  </si>
  <si>
    <t>0.83</t>
  </si>
  <si>
    <t>0.84</t>
  </si>
  <si>
    <t>0.84a</t>
  </si>
  <si>
    <t>0.85</t>
  </si>
  <si>
    <t>0.86</t>
  </si>
  <si>
    <t>0.87</t>
  </si>
  <si>
    <t>0.88</t>
  </si>
  <si>
    <t>0.89</t>
  </si>
  <si>
    <t>0.90</t>
  </si>
  <si>
    <t>0.90a</t>
  </si>
  <si>
    <t>0.91</t>
  </si>
  <si>
    <t>0.92</t>
  </si>
  <si>
    <t>0.92a</t>
  </si>
  <si>
    <t>Wachttruimte</t>
  </si>
  <si>
    <t>0.93</t>
  </si>
  <si>
    <t>0.101</t>
  </si>
  <si>
    <t>0.102</t>
  </si>
  <si>
    <t>0.102a</t>
  </si>
  <si>
    <t>0.103</t>
  </si>
  <si>
    <t>0.104</t>
  </si>
  <si>
    <t>0.105</t>
  </si>
  <si>
    <t>0.105a</t>
  </si>
  <si>
    <t>0.105b</t>
  </si>
  <si>
    <t>0.106</t>
  </si>
  <si>
    <t>Bibliotheek</t>
  </si>
  <si>
    <t>0.107</t>
  </si>
  <si>
    <t>Rustruimte</t>
  </si>
  <si>
    <t>0.108</t>
  </si>
  <si>
    <t>0.108a</t>
  </si>
  <si>
    <t>0.109/0.110</t>
  </si>
  <si>
    <t>0.111</t>
  </si>
  <si>
    <t>0.111a</t>
  </si>
  <si>
    <t>0.112</t>
  </si>
  <si>
    <t>0.113</t>
  </si>
  <si>
    <t>0.114</t>
  </si>
  <si>
    <t>0.121</t>
  </si>
  <si>
    <t>0.122</t>
  </si>
  <si>
    <t>0.122a</t>
  </si>
  <si>
    <t>0.123</t>
  </si>
  <si>
    <t>0.124</t>
  </si>
  <si>
    <t>0.125</t>
  </si>
  <si>
    <t>0.125a</t>
  </si>
  <si>
    <t>0.125b</t>
  </si>
  <si>
    <t>0.126</t>
  </si>
  <si>
    <t>0.127</t>
  </si>
  <si>
    <t>0.128</t>
  </si>
  <si>
    <t>0.129</t>
  </si>
  <si>
    <t>0.130</t>
  </si>
  <si>
    <t>0.131</t>
  </si>
  <si>
    <t>0.132</t>
  </si>
  <si>
    <t>0.133</t>
  </si>
  <si>
    <t>0.141</t>
  </si>
  <si>
    <t>0.142</t>
  </si>
  <si>
    <t>0.142a/0.144</t>
  </si>
  <si>
    <t>0.143</t>
  </si>
  <si>
    <t>0.145/0.150</t>
  </si>
  <si>
    <t>0.148</t>
  </si>
  <si>
    <t>0.161</t>
  </si>
  <si>
    <t>0.162</t>
  </si>
  <si>
    <t>0.163</t>
  </si>
  <si>
    <t>0.164</t>
  </si>
  <si>
    <t>0.164a</t>
  </si>
  <si>
    <t>0.165</t>
  </si>
  <si>
    <t>0.166</t>
  </si>
  <si>
    <t>0.167</t>
  </si>
  <si>
    <t>0.181</t>
  </si>
  <si>
    <t>0.182</t>
  </si>
  <si>
    <t>0.183</t>
  </si>
  <si>
    <t>0.184</t>
  </si>
  <si>
    <t>Technische dienst</t>
  </si>
  <si>
    <t>0.185</t>
  </si>
  <si>
    <t>0.186/0.188</t>
  </si>
  <si>
    <t>0.187</t>
  </si>
  <si>
    <t>0.188a</t>
  </si>
  <si>
    <t>0.189</t>
  </si>
  <si>
    <t>0.190</t>
  </si>
  <si>
    <t>0.191</t>
  </si>
  <si>
    <t>0.192</t>
  </si>
  <si>
    <t>0.193</t>
  </si>
  <si>
    <t>0.194</t>
  </si>
  <si>
    <t>103a</t>
  </si>
  <si>
    <t>Ruimte Roessingh</t>
  </si>
  <si>
    <t>122a</t>
  </si>
  <si>
    <t>Archief</t>
  </si>
  <si>
    <t>142a</t>
  </si>
  <si>
    <t>164a</t>
  </si>
  <si>
    <t>182a</t>
  </si>
  <si>
    <t>182b</t>
  </si>
  <si>
    <t>185a</t>
  </si>
  <si>
    <t>190b</t>
  </si>
  <si>
    <t>190a</t>
  </si>
  <si>
    <t>1102a</t>
  </si>
  <si>
    <t>1107a</t>
  </si>
  <si>
    <t>1107b</t>
  </si>
  <si>
    <t>1108a</t>
  </si>
  <si>
    <t>1122a</t>
  </si>
  <si>
    <t>1125a</t>
  </si>
  <si>
    <t>Aluhal</t>
  </si>
  <si>
    <t>T1</t>
  </si>
  <si>
    <t xml:space="preserve">Sanitair </t>
  </si>
  <si>
    <t>T2</t>
  </si>
  <si>
    <t>Miva/Dames sanitair</t>
  </si>
  <si>
    <t>T3</t>
  </si>
  <si>
    <t>Sanitair heren</t>
  </si>
  <si>
    <t>1127a</t>
  </si>
  <si>
    <t>Muzieklokaal</t>
  </si>
  <si>
    <t>1196/1197</t>
  </si>
  <si>
    <t>2104a</t>
  </si>
  <si>
    <t>2105a</t>
  </si>
  <si>
    <t>Flexplek</t>
  </si>
  <si>
    <t>Scheikundelokaal</t>
  </si>
  <si>
    <t>2194a</t>
  </si>
  <si>
    <t>lino</t>
  </si>
  <si>
    <t>Rubber</t>
  </si>
  <si>
    <t>3e</t>
  </si>
  <si>
    <t>1.00</t>
  </si>
  <si>
    <t>2.01</t>
  </si>
  <si>
    <t>2.02</t>
  </si>
  <si>
    <t>2.03a</t>
  </si>
  <si>
    <t>2.03b</t>
  </si>
  <si>
    <t>2.04</t>
  </si>
  <si>
    <t>2.05</t>
  </si>
  <si>
    <t>2.06a</t>
  </si>
  <si>
    <t>2.06b</t>
  </si>
  <si>
    <t>2.07</t>
  </si>
  <si>
    <t>2.08</t>
  </si>
  <si>
    <t>2.09</t>
  </si>
  <si>
    <t>2.10</t>
  </si>
  <si>
    <t>3.01</t>
  </si>
  <si>
    <t>3.02</t>
  </si>
  <si>
    <t>3.03</t>
  </si>
  <si>
    <t>3.04</t>
  </si>
  <si>
    <t>3.05a</t>
  </si>
  <si>
    <t>3.05b</t>
  </si>
  <si>
    <t>3.06a</t>
  </si>
  <si>
    <t>3.06b</t>
  </si>
  <si>
    <t>3.06c</t>
  </si>
  <si>
    <t>3.06d</t>
  </si>
  <si>
    <t>3.07</t>
  </si>
  <si>
    <t>3.08</t>
  </si>
  <si>
    <t>3.09</t>
  </si>
  <si>
    <t>3.10</t>
  </si>
  <si>
    <t>4.01</t>
  </si>
  <si>
    <t>4.02</t>
  </si>
  <si>
    <t>4.04</t>
  </si>
  <si>
    <t>4.05</t>
  </si>
  <si>
    <t>4.06</t>
  </si>
  <si>
    <t>4.07</t>
  </si>
  <si>
    <t>4.08</t>
  </si>
  <si>
    <t>4.09</t>
  </si>
  <si>
    <t>4.09a</t>
  </si>
  <si>
    <t>4.10</t>
  </si>
  <si>
    <t>4.11</t>
  </si>
  <si>
    <t>4.12</t>
  </si>
  <si>
    <t>Marmer</t>
  </si>
  <si>
    <t>Garderobes</t>
  </si>
  <si>
    <t>Praktijklokalen</t>
  </si>
  <si>
    <t>glazen bouwstenen</t>
  </si>
  <si>
    <t>noodgebouw Jarino</t>
  </si>
  <si>
    <t>Noodgebouw voorzijde</t>
  </si>
  <si>
    <t>Gevelglas</t>
  </si>
  <si>
    <t>niet in onderhoud</t>
  </si>
  <si>
    <t>Mota</t>
  </si>
  <si>
    <t>Het Mozaiek VSO</t>
  </si>
  <si>
    <t>unit</t>
  </si>
  <si>
    <t>Lijsterstraat 117</t>
  </si>
  <si>
    <t>7523ES</t>
  </si>
  <si>
    <t>Enschede</t>
  </si>
  <si>
    <t>Mr. P.J. Troelstrastraat 9</t>
  </si>
  <si>
    <t xml:space="preserve">7522 BD </t>
  </si>
  <si>
    <t>Min. De Savornin Lohmanlaan 58</t>
  </si>
  <si>
    <t>7512DL</t>
  </si>
  <si>
    <t>Welbergweg 20</t>
  </si>
  <si>
    <t>7556 PE</t>
  </si>
  <si>
    <t>Hengelo</t>
  </si>
  <si>
    <t>Cesar Franckstaat 3</t>
  </si>
  <si>
    <t>7604JE</t>
  </si>
  <si>
    <t>Almelo</t>
  </si>
  <si>
    <t>Floraparkstraat 390</t>
  </si>
  <si>
    <t>7531HX</t>
  </si>
  <si>
    <t>Krabbenbosweg 91</t>
  </si>
  <si>
    <t>7555ED</t>
  </si>
  <si>
    <t>Beverdamlaan 11</t>
  </si>
  <si>
    <t>7602 XR</t>
  </si>
  <si>
    <t>Coornhertstraat 3</t>
  </si>
  <si>
    <t>7552 MT</t>
  </si>
  <si>
    <t>7532JR</t>
  </si>
  <si>
    <t>Anna Reynvaanweg 50</t>
  </si>
  <si>
    <t>7555SG</t>
  </si>
  <si>
    <t>Roessinghsbleekweg 35</t>
  </si>
  <si>
    <t>7522 AH</t>
  </si>
  <si>
    <t>Sportlaan Driene 8-10</t>
  </si>
  <si>
    <t>7552 Ha</t>
  </si>
  <si>
    <t>Oldenzaalsestraat 134</t>
  </si>
  <si>
    <t>7581 KL</t>
  </si>
  <si>
    <t>Losser</t>
  </si>
  <si>
    <t xml:space="preserve">7523 ES </t>
  </si>
  <si>
    <t>Hassinkweg 3/3A</t>
  </si>
  <si>
    <t>7556 BV</t>
  </si>
  <si>
    <t>Plesmanweg 31</t>
  </si>
  <si>
    <t>7602 PD</t>
  </si>
  <si>
    <t xml:space="preserve">Het Meerik </t>
  </si>
  <si>
    <t>Neon College – Enschede</t>
  </si>
  <si>
    <t xml:space="preserve">Panta Rhei College </t>
  </si>
  <si>
    <t>VSO Het Mozaïek Almelo</t>
  </si>
  <si>
    <t>Het Reliëf</t>
  </si>
  <si>
    <t>De Kapstok AGL</t>
  </si>
  <si>
    <t>Het Mozaïek</t>
  </si>
  <si>
    <t>De Stapsteen (2 gebouwen)</t>
  </si>
  <si>
    <t>J. Perkstraat 5-11</t>
  </si>
  <si>
    <t>Neon College – Hengelo</t>
  </si>
  <si>
    <t>Hassinkweg</t>
  </si>
  <si>
    <t>Onderwijscentrum Het Roessingh &amp; De Huifkar</t>
  </si>
  <si>
    <t>De Bouwsteen / Het Fundament</t>
  </si>
  <si>
    <t>De Stapsteen (De Zevensprong)</t>
  </si>
  <si>
    <t>Objectnaam</t>
  </si>
  <si>
    <t>Activiteitsbeschrijving</t>
  </si>
  <si>
    <t>Jaren</t>
  </si>
  <si>
    <t>De Bouwsteen VSO/SO-Anna Reynvaanweg gymzaal</t>
  </si>
  <si>
    <t>jan</t>
  </si>
  <si>
    <t>Waterslagen aluminium gemoffeld conserveren</t>
  </si>
  <si>
    <t>Waterslagen aluminium gemoffeld reinigen</t>
  </si>
  <si>
    <t>feb</t>
  </si>
  <si>
    <t>Kanalen luchtbehandeling algemeen reinigen</t>
  </si>
  <si>
    <t>jul</t>
  </si>
  <si>
    <t>De Bouwsteen VSO/SO-Anna Reynvaanweg school</t>
  </si>
  <si>
    <t>Goot/gootbekleding algemeen reinigen</t>
  </si>
  <si>
    <t>Vliesgevel aluminium conserveren</t>
  </si>
  <si>
    <t>mei</t>
  </si>
  <si>
    <t>Boeiboord kunststof reinigen</t>
  </si>
  <si>
    <t>Dakoverstek kunststof reinigen</t>
  </si>
  <si>
    <t>Gevelbekleding diverse reinigen</t>
  </si>
  <si>
    <t>Gevelbekleding kunststof reinigen</t>
  </si>
  <si>
    <t>Opstallen schuur reinigen</t>
  </si>
  <si>
    <t>Plafondbekleding kunststof reinigen</t>
  </si>
  <si>
    <t>Vliesgevel aluminium reinigen</t>
  </si>
  <si>
    <t>Kozijnwerk diverse conserveren</t>
  </si>
  <si>
    <t>Kozijnwerk diverse reinigen</t>
  </si>
  <si>
    <t>Vloerbekleding linoleum deepstrippen</t>
  </si>
  <si>
    <t>De Kapstok - Krabbenbosweg gymzaal</t>
  </si>
  <si>
    <t>De Kapstok- Krabbenbosweg school</t>
  </si>
  <si>
    <t>Gevelbekleding staal reinigen</t>
  </si>
  <si>
    <t>Gevelbekleding vezelcement reinigen</t>
  </si>
  <si>
    <t>Opstallen diverse reinigen</t>
  </si>
  <si>
    <t>De Kapstok locatie Hassinkweg</t>
  </si>
  <si>
    <t>Kozijnwerk aluminium conserveren</t>
  </si>
  <si>
    <t>Kozijnwerk aluminium reinigen</t>
  </si>
  <si>
    <t>De Kapstok/Tuindorp-Tuindorpstraat</t>
  </si>
  <si>
    <t>Balkon hout reinigen</t>
  </si>
  <si>
    <t>Balustrade staal reinigen</t>
  </si>
  <si>
    <t>Gevelafwerklaag pleisterwerk reinigen</t>
  </si>
  <si>
    <t>sep</t>
  </si>
  <si>
    <t>De Meander/De Punt</t>
  </si>
  <si>
    <t>De Stapsteen SO - Jacques Perkstraat 5-7</t>
  </si>
  <si>
    <t>De Stapsteen SO - Jacques Perkstraat 9-11</t>
  </si>
  <si>
    <t>De Zevensprong-Coornhertstraat gymzaal</t>
  </si>
  <si>
    <t>De Zevensprong-Coornhertstraat school</t>
  </si>
  <si>
    <t>Het Corylus College VSO - Troelstrastraat School</t>
  </si>
  <si>
    <t>Het Corylus College VSO -Troelstrastraat gymzaal</t>
  </si>
  <si>
    <t>Het Meerik VSO - Lijsterstraat</t>
  </si>
  <si>
    <t>Gevelbekleding aluminium reinigen</t>
  </si>
  <si>
    <t>Plafondbekleding aluminium reinigen</t>
  </si>
  <si>
    <t>Het Mozaiek SO (Beverdamlaan) midden- en bovenbouw</t>
  </si>
  <si>
    <t>Boeiboord aluminium reinigen</t>
  </si>
  <si>
    <t>Het Mozaiek VSO-Cesar Franckstraat gymzaal</t>
  </si>
  <si>
    <t>Het Mozaiek VSO-Cesar Franckstraat installaties</t>
  </si>
  <si>
    <t>Het Mozaiek VSO-Cesar Franckstraat school</t>
  </si>
  <si>
    <t>Het Onderwijscentrum-Roesssinghsbleekweg gymzaal</t>
  </si>
  <si>
    <t>Sportvloer polyurethaan deepstrippen</t>
  </si>
  <si>
    <t>Het Onderwijscentrum-Roesssinghsbleekweg school</t>
  </si>
  <si>
    <t>Doorvalbeveiliging staal reinigen</t>
  </si>
  <si>
    <t>Systeemgevel staal reinigen</t>
  </si>
  <si>
    <t>Koelmachine schroef 150-200kW reinigen/coaten</t>
  </si>
  <si>
    <t>Het Reliëf - Floraparkstraat school</t>
  </si>
  <si>
    <t>Opstallen rijwielberging reinigen</t>
  </si>
  <si>
    <t>Het Reliëf Floraparkstraat gymzaal</t>
  </si>
  <si>
    <t>Kantoor Attendiz-Welbergweg</t>
  </si>
  <si>
    <t>Boeiboord vezelcement reinigen</t>
  </si>
  <si>
    <t>Spouwwand metselwerk (hoge druk) reinigen</t>
  </si>
  <si>
    <t>MOTA (Kapstok) locatie Plesmanweg</t>
  </si>
  <si>
    <t>Boeiboord staal reinigen</t>
  </si>
  <si>
    <t>Kozijnwerk kunststof conserveren</t>
  </si>
  <si>
    <t>Panta Rhei College Minister de Savornin Lohmanlaan</t>
  </si>
  <si>
    <t>Meeteenheid</t>
  </si>
  <si>
    <t>code</t>
  </si>
  <si>
    <t>Prijs per strekkende meter</t>
  </si>
  <si>
    <t>Prijs per vierkante meter</t>
  </si>
  <si>
    <t>Oppervlakte/Stuks</t>
  </si>
  <si>
    <t>M1</t>
  </si>
  <si>
    <t>BVO</t>
  </si>
  <si>
    <t>m2</t>
  </si>
  <si>
    <t>POST</t>
  </si>
  <si>
    <t>STK</t>
  </si>
  <si>
    <t>Diepstrippen, sealen en conserveren (MJOP)</t>
  </si>
  <si>
    <t>Juli 2025, 2026, 2027, 2028</t>
  </si>
  <si>
    <t>MJOP</t>
  </si>
  <si>
    <t>Meegenomen in tabblad vloeronderhoud</t>
  </si>
  <si>
    <t>Start maand uitvoeren</t>
  </si>
  <si>
    <t>ONBEPAALDE TIJD</t>
  </si>
  <si>
    <t>1e CONTRACT</t>
  </si>
  <si>
    <t>Medew. Alg. Schoonmaakonderh. I</t>
  </si>
  <si>
    <t>Loongroep 1</t>
  </si>
  <si>
    <t>Loongroep 3</t>
  </si>
  <si>
    <t>Vrij uurloon</t>
  </si>
  <si>
    <t>WML</t>
  </si>
  <si>
    <t>&gt; 1,5 jaar</t>
  </si>
  <si>
    <t>&lt; 1,5 jaar</t>
  </si>
  <si>
    <t>ja</t>
  </si>
  <si>
    <t>456801-Attendiz - Stafbureau</t>
  </si>
  <si>
    <t>456803-Attendiz - Het Mozaïek SO</t>
  </si>
  <si>
    <t>456804-Attendiz - De Stapsteen</t>
  </si>
  <si>
    <t>456805-Attendiz - NEON College loc. Enschede</t>
  </si>
  <si>
    <t>456806-Attendiz - Het Mozaïek VSO Almelo</t>
  </si>
  <si>
    <t>456807-Attendiz - NEON College loc. Hengelo</t>
  </si>
  <si>
    <t>456808-Attendiz - Het Meerik VSO</t>
  </si>
  <si>
    <t>456809-Attendiz - De Bouwsteen SO/VSO</t>
  </si>
  <si>
    <t>456810-Attendiz - De Stapsteen / De Zevensprong SO</t>
  </si>
  <si>
    <t>456811-Attendiz - De Kapstok Leerwerktrajecten</t>
  </si>
  <si>
    <t>456815-Attendiz - Het Panta Rhei College VSO</t>
  </si>
  <si>
    <t>456816-Attendiz - OCR SO / VSO</t>
  </si>
  <si>
    <t>456822-Attendiz - Het Reliëf / Het Sloepje</t>
  </si>
  <si>
    <t>456824-Attendiz - De Meander</t>
  </si>
  <si>
    <t>456825-Attendiz - Gymzaal Lijsterstraat</t>
  </si>
  <si>
    <t>456827-Attendiz - De Kapstok Hassinkweg</t>
  </si>
  <si>
    <t>456828-Attendiz - MOTA Leerwerktraject</t>
  </si>
  <si>
    <t>-</t>
  </si>
  <si>
    <t>Uitblazen Ventilatieroosters</t>
  </si>
  <si>
    <t>Opleverschoonmaak</t>
  </si>
  <si>
    <t>Op afroep</t>
  </si>
  <si>
    <t>Deur/deurglas (inclusief deurbeslag)</t>
  </si>
  <si>
    <t>Tuindorpstraat 132</t>
  </si>
  <si>
    <t>7555 CS</t>
  </si>
  <si>
    <t>De Kapstok/Tuindorp</t>
  </si>
  <si>
    <t>Juli 2023, 2028</t>
  </si>
  <si>
    <t>Juli 2024, 2029</t>
  </si>
  <si>
    <t>Juli 2022, 2027</t>
  </si>
  <si>
    <t>Juli 2021, 2026</t>
  </si>
  <si>
    <t xml:space="preserve"> € -   </t>
  </si>
  <si>
    <t>Apart gebouw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</si>
</sst>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#,##0.0"/>
    <numFmt numFmtId="180" formatCode="#,##0_ ;\-#,##0\ "/>
    <numFmt numFmtId="181" formatCode="#,##0.0_ ;\-#,##0.0\ "/>
    <numFmt numFmtId="182" formatCode="_ [$€-2]\ * #,##0.00_ ;_ [$€-2]\ * \-#,##0.00_ ;_ [$€-2]\ * &quot;-&quot;??_ ;_ @_ "/>
    <numFmt numFmtId="183" formatCode="&quot;€&quot;\ #,##0.00"/>
    <numFmt numFmtId="184" formatCode="_(* #,##0_);_(* \(#,##0\);_(* &quot;-&quot;??_);_(@_)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10"/>
      <color indexed="8"/>
      <name val="Arial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9">
    <xf numFmtId="0" fontId="0" fillId="0" borderId="0"/>
    <xf numFmtId="0" fontId="13" fillId="0" borderId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4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2" fillId="0" borderId="0"/>
    <xf numFmtId="0" fontId="5" fillId="0" borderId="0"/>
    <xf numFmtId="167" fontId="5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9" fillId="2" borderId="1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43" fillId="0" borderId="0" applyFont="0" applyFill="0" applyBorder="0" applyAlignment="0" applyProtection="0"/>
    <xf numFmtId="0" fontId="46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380">
    <xf numFmtId="0" fontId="0" fillId="0" borderId="0" xfId="0"/>
    <xf numFmtId="0" fontId="25" fillId="0" borderId="0" xfId="0" applyFont="1" applyAlignment="1">
      <alignment horizontal="center"/>
    </xf>
    <xf numFmtId="0" fontId="25" fillId="0" borderId="0" xfId="0" applyFont="1"/>
    <xf numFmtId="0" fontId="31" fillId="0" borderId="0" xfId="29" applyFont="1"/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169" fontId="25" fillId="0" borderId="0" xfId="0" applyNumberFormat="1" applyFont="1"/>
    <xf numFmtId="2" fontId="25" fillId="0" borderId="0" xfId="0" applyNumberFormat="1" applyFont="1"/>
    <xf numFmtId="0" fontId="25" fillId="0" borderId="0" xfId="0" applyFont="1" applyAlignment="1">
      <alignment vertical="center" wrapText="1"/>
    </xf>
    <xf numFmtId="0" fontId="25" fillId="0" borderId="0" xfId="30" applyFont="1" applyAlignment="1">
      <alignment vertical="center"/>
    </xf>
    <xf numFmtId="164" fontId="25" fillId="5" borderId="9" xfId="0" applyNumberFormat="1" applyFont="1" applyFill="1" applyBorder="1" applyAlignment="1">
      <alignment horizontal="left" vertical="center"/>
    </xf>
    <xf numFmtId="10" fontId="25" fillId="5" borderId="9" xfId="0" applyNumberFormat="1" applyFont="1" applyFill="1" applyBorder="1" applyAlignment="1">
      <alignment horizontal="center" vertical="center"/>
    </xf>
    <xf numFmtId="173" fontId="25" fillId="0" borderId="9" xfId="0" applyNumberFormat="1" applyFont="1" applyBorder="1" applyAlignment="1">
      <alignment vertical="center"/>
    </xf>
    <xf numFmtId="10" fontId="25" fillId="0" borderId="9" xfId="0" applyNumberFormat="1" applyFont="1" applyBorder="1" applyAlignment="1">
      <alignment horizontal="center" vertical="center"/>
    </xf>
    <xf numFmtId="171" fontId="25" fillId="0" borderId="9" xfId="2" applyFont="1" applyBorder="1" applyAlignment="1" applyProtection="1">
      <alignment horizontal="left" vertical="center"/>
      <protection locked="0"/>
    </xf>
    <xf numFmtId="172" fontId="25" fillId="0" borderId="9" xfId="31" applyNumberFormat="1" applyFont="1" applyBorder="1" applyAlignment="1" applyProtection="1">
      <alignment horizontal="left" vertical="center"/>
      <protection hidden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70" fontId="25" fillId="0" borderId="0" xfId="0" applyNumberFormat="1" applyFont="1" applyAlignment="1">
      <alignment vertical="center"/>
    </xf>
    <xf numFmtId="170" fontId="25" fillId="0" borderId="0" xfId="0" applyNumberFormat="1" applyFont="1" applyAlignment="1" applyProtection="1">
      <alignment horizontal="center" vertical="center"/>
      <protection locked="0"/>
    </xf>
    <xf numFmtId="166" fontId="2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2" fontId="25" fillId="0" borderId="0" xfId="31" applyNumberFormat="1" applyFont="1" applyAlignment="1" applyProtection="1">
      <alignment horizontal="left" vertical="center"/>
      <protection hidden="1"/>
    </xf>
    <xf numFmtId="171" fontId="25" fillId="0" borderId="0" xfId="2" applyFont="1" applyAlignment="1" applyProtection="1">
      <alignment horizontal="left" vertical="center"/>
      <protection locked="0"/>
    </xf>
    <xf numFmtId="9" fontId="25" fillId="0" borderId="9" xfId="0" applyNumberFormat="1" applyFont="1" applyBorder="1" applyAlignment="1">
      <alignment horizontal="center" vertical="center"/>
    </xf>
    <xf numFmtId="173" fontId="25" fillId="0" borderId="9" xfId="0" applyNumberFormat="1" applyFont="1" applyBorder="1" applyAlignment="1" applyProtection="1">
      <alignment vertical="center"/>
      <protection locked="0"/>
    </xf>
    <xf numFmtId="173" fontId="25" fillId="0" borderId="9" xfId="2" applyNumberFormat="1" applyFont="1" applyBorder="1" applyAlignment="1" applyProtection="1">
      <alignment horizontal="left" vertical="center"/>
      <protection hidden="1"/>
    </xf>
    <xf numFmtId="173" fontId="25" fillId="0" borderId="0" xfId="0" applyNumberFormat="1" applyFont="1" applyAlignment="1">
      <alignment vertical="center"/>
    </xf>
    <xf numFmtId="0" fontId="25" fillId="0" borderId="0" xfId="30" applyFont="1" applyAlignment="1">
      <alignment vertical="center" wrapText="1"/>
    </xf>
    <xf numFmtId="0" fontId="25" fillId="0" borderId="0" xfId="30" applyFont="1" applyAlignment="1">
      <alignment horizontal="center" vertical="center"/>
    </xf>
    <xf numFmtId="0" fontId="25" fillId="0" borderId="0" xfId="0" applyFont="1" applyAlignment="1">
      <alignment wrapText="1"/>
    </xf>
    <xf numFmtId="2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164" fontId="25" fillId="0" borderId="0" xfId="8" applyFont="1" applyAlignment="1">
      <alignment vertical="center"/>
    </xf>
    <xf numFmtId="0" fontId="27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left" vertical="center"/>
    </xf>
    <xf numFmtId="164" fontId="25" fillId="6" borderId="0" xfId="0" applyNumberFormat="1" applyFont="1" applyFill="1" applyAlignment="1">
      <alignment horizontal="center" vertical="center"/>
    </xf>
    <xf numFmtId="3" fontId="25" fillId="0" borderId="0" xfId="8" applyNumberFormat="1" applyFont="1" applyAlignment="1">
      <alignment vertical="center"/>
    </xf>
    <xf numFmtId="0" fontId="25" fillId="0" borderId="5" xfId="30" applyFont="1" applyBorder="1" applyAlignment="1">
      <alignment vertical="center"/>
    </xf>
    <xf numFmtId="0" fontId="25" fillId="0" borderId="10" xfId="30" applyFont="1" applyBorder="1" applyAlignment="1">
      <alignment vertical="center"/>
    </xf>
    <xf numFmtId="0" fontId="32" fillId="0" borderId="0" xfId="29" applyFont="1"/>
    <xf numFmtId="0" fontId="31" fillId="0" borderId="0" xfId="29" applyFont="1" applyAlignment="1">
      <alignment horizontal="center" vertical="center"/>
    </xf>
    <xf numFmtId="1" fontId="36" fillId="8" borderId="0" xfId="30" applyNumberFormat="1" applyFont="1" applyFill="1" applyAlignment="1">
      <alignment horizontal="center" vertical="center"/>
    </xf>
    <xf numFmtId="0" fontId="36" fillId="8" borderId="0" xfId="30" applyFont="1" applyFill="1" applyAlignment="1">
      <alignment horizontal="left" vertical="center"/>
    </xf>
    <xf numFmtId="1" fontId="36" fillId="7" borderId="0" xfId="30" applyNumberFormat="1" applyFont="1" applyFill="1" applyAlignment="1">
      <alignment horizontal="center" vertical="center"/>
    </xf>
    <xf numFmtId="0" fontId="36" fillId="7" borderId="0" xfId="30" applyFont="1" applyFill="1" applyAlignment="1">
      <alignment horizontal="left" vertical="center"/>
    </xf>
    <xf numFmtId="0" fontId="35" fillId="9" borderId="0" xfId="0" applyFont="1" applyFill="1" applyAlignment="1">
      <alignment horizontal="center" vertical="center" wrapText="1"/>
    </xf>
    <xf numFmtId="0" fontId="35" fillId="9" borderId="0" xfId="0" applyFont="1" applyFill="1" applyAlignment="1">
      <alignment vertical="center" wrapText="1"/>
    </xf>
    <xf numFmtId="164" fontId="35" fillId="9" borderId="0" xfId="0" applyNumberFormat="1" applyFont="1" applyFill="1" applyAlignment="1">
      <alignment horizontal="center" vertical="center" wrapText="1"/>
    </xf>
    <xf numFmtId="0" fontId="36" fillId="8" borderId="0" xfId="0" applyFont="1" applyFill="1" applyAlignment="1">
      <alignment horizontal="center" vertical="center"/>
    </xf>
    <xf numFmtId="0" fontId="36" fillId="8" borderId="0" xfId="0" applyFont="1" applyFill="1" applyAlignment="1">
      <alignment vertical="center"/>
    </xf>
    <xf numFmtId="164" fontId="36" fillId="5" borderId="0" xfId="0" applyNumberFormat="1" applyFont="1" applyFill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6" fillId="7" borderId="0" xfId="0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4" fontId="36" fillId="7" borderId="0" xfId="0" applyNumberFormat="1" applyFont="1" applyFill="1" applyAlignment="1">
      <alignment horizontal="left" vertical="center"/>
    </xf>
    <xf numFmtId="0" fontId="36" fillId="7" borderId="0" xfId="0" applyFont="1" applyFill="1" applyAlignment="1">
      <alignment horizontal="left" vertical="center"/>
    </xf>
    <xf numFmtId="4" fontId="35" fillId="9" borderId="0" xfId="0" applyNumberFormat="1" applyFont="1" applyFill="1" applyAlignment="1">
      <alignment horizontal="center" vertical="center" wrapText="1"/>
    </xf>
    <xf numFmtId="164" fontId="35" fillId="9" borderId="0" xfId="8" applyFont="1" applyFill="1" applyAlignment="1">
      <alignment horizontal="center" vertical="center" wrapText="1"/>
    </xf>
    <xf numFmtId="0" fontId="25" fillId="6" borderId="0" xfId="0" applyFont="1" applyFill="1"/>
    <xf numFmtId="0" fontId="25" fillId="6" borderId="0" xfId="0" applyFont="1" applyFill="1" applyAlignment="1">
      <alignment horizontal="center"/>
    </xf>
    <xf numFmtId="0" fontId="25" fillId="6" borderId="0" xfId="0" applyFont="1" applyFill="1" applyAlignment="1">
      <alignment wrapText="1"/>
    </xf>
    <xf numFmtId="0" fontId="27" fillId="0" borderId="0" xfId="0" applyFont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4" fontId="34" fillId="9" borderId="0" xfId="0" applyNumberFormat="1" applyFont="1" applyFill="1" applyAlignment="1">
      <alignment horizontal="center" vertical="center" wrapText="1"/>
    </xf>
    <xf numFmtId="164" fontId="34" fillId="9" borderId="0" xfId="8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textRotation="90"/>
    </xf>
    <xf numFmtId="0" fontId="25" fillId="0" borderId="9" xfId="0" applyFont="1" applyBorder="1" applyAlignment="1">
      <alignment horizontal="center" vertical="center" textRotation="90"/>
    </xf>
    <xf numFmtId="0" fontId="33" fillId="0" borderId="0" xfId="3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 wrapText="1"/>
    </xf>
    <xf numFmtId="173" fontId="25" fillId="5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center" vertical="center" textRotation="90"/>
    </xf>
    <xf numFmtId="0" fontId="25" fillId="6" borderId="0" xfId="0" applyFont="1" applyFill="1" applyAlignment="1">
      <alignment vertical="center"/>
    </xf>
    <xf numFmtId="168" fontId="25" fillId="0" borderId="0" xfId="19" applyFont="1" applyAlignment="1">
      <alignment horizontal="center" vertical="center" wrapText="1"/>
    </xf>
    <xf numFmtId="173" fontId="25" fillId="0" borderId="0" xfId="0" applyNumberFormat="1" applyFont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25" fillId="6" borderId="0" xfId="0" applyFont="1" applyFill="1" applyAlignment="1">
      <alignment vertical="center" wrapText="1"/>
    </xf>
    <xf numFmtId="2" fontId="25" fillId="6" borderId="0" xfId="0" applyNumberFormat="1" applyFont="1" applyFill="1"/>
    <xf numFmtId="169" fontId="25" fillId="6" borderId="0" xfId="0" applyNumberFormat="1" applyFont="1" applyFill="1"/>
    <xf numFmtId="17" fontId="25" fillId="6" borderId="0" xfId="0" applyNumberFormat="1" applyFont="1" applyFill="1" applyAlignment="1">
      <alignment horizontal="center"/>
    </xf>
    <xf numFmtId="2" fontId="27" fillId="6" borderId="0" xfId="0" applyNumberFormat="1" applyFont="1" applyFill="1" applyAlignment="1">
      <alignment vertical="center"/>
    </xf>
    <xf numFmtId="169" fontId="25" fillId="6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center" vertical="center"/>
    </xf>
    <xf numFmtId="169" fontId="25" fillId="6" borderId="0" xfId="0" applyNumberFormat="1" applyFont="1" applyFill="1" applyAlignment="1">
      <alignment wrapText="1"/>
    </xf>
    <xf numFmtId="0" fontId="35" fillId="10" borderId="9" xfId="0" applyFont="1" applyFill="1" applyBorder="1" applyAlignment="1">
      <alignment horizontal="center" vertical="center" wrapText="1"/>
    </xf>
    <xf numFmtId="170" fontId="35" fillId="10" borderId="9" xfId="0" applyNumberFormat="1" applyFont="1" applyFill="1" applyBorder="1" applyAlignment="1">
      <alignment horizontal="center" vertical="center" wrapText="1"/>
    </xf>
    <xf numFmtId="0" fontId="34" fillId="10" borderId="7" xfId="0" applyFont="1" applyFill="1" applyBorder="1" applyAlignment="1">
      <alignment vertical="center" wrapText="1"/>
    </xf>
    <xf numFmtId="0" fontId="34" fillId="10" borderId="4" xfId="0" applyFont="1" applyFill="1" applyBorder="1" applyAlignment="1">
      <alignment vertical="center" wrapText="1"/>
    </xf>
    <xf numFmtId="0" fontId="25" fillId="0" borderId="0" xfId="30" applyFont="1" applyAlignment="1">
      <alignment horizontal="center" vertical="center" wrapText="1"/>
    </xf>
    <xf numFmtId="0" fontId="27" fillId="6" borderId="0" xfId="0" applyFont="1" applyFill="1" applyAlignment="1">
      <alignment horizontal="left" vertical="center"/>
    </xf>
    <xf numFmtId="2" fontId="27" fillId="5" borderId="0" xfId="0" applyNumberFormat="1" applyFont="1" applyFill="1" applyAlignment="1">
      <alignment horizontal="center" vertical="center"/>
    </xf>
    <xf numFmtId="0" fontId="26" fillId="0" borderId="0" xfId="30" applyFont="1" applyAlignment="1">
      <alignment horizontal="center" vertical="center"/>
    </xf>
    <xf numFmtId="9" fontId="27" fillId="5" borderId="0" xfId="38" applyFont="1" applyFill="1" applyAlignment="1">
      <alignment horizontal="center" vertical="center"/>
    </xf>
    <xf numFmtId="2" fontId="25" fillId="6" borderId="0" xfId="0" applyNumberFormat="1" applyFont="1" applyFill="1" applyAlignment="1">
      <alignment vertical="center"/>
    </xf>
    <xf numFmtId="17" fontId="25" fillId="6" borderId="0" xfId="0" applyNumberFormat="1" applyFont="1" applyFill="1" applyAlignment="1">
      <alignment horizontal="center" vertical="center"/>
    </xf>
    <xf numFmtId="177" fontId="25" fillId="6" borderId="0" xfId="0" applyNumberFormat="1" applyFont="1" applyFill="1" applyAlignment="1">
      <alignment vertical="center"/>
    </xf>
    <xf numFmtId="177" fontId="25" fillId="6" borderId="0" xfId="0" applyNumberFormat="1" applyFont="1" applyFill="1" applyAlignment="1">
      <alignment horizontal="center" vertical="center"/>
    </xf>
    <xf numFmtId="2" fontId="25" fillId="6" borderId="0" xfId="0" applyNumberFormat="1" applyFont="1" applyFill="1" applyAlignment="1" applyProtection="1">
      <alignment vertical="center"/>
      <protection hidden="1"/>
    </xf>
    <xf numFmtId="177" fontId="25" fillId="0" borderId="0" xfId="0" applyNumberFormat="1" applyFont="1" applyAlignment="1">
      <alignment vertical="center"/>
    </xf>
    <xf numFmtId="177" fontId="25" fillId="0" borderId="0" xfId="0" applyNumberFormat="1" applyFont="1" applyAlignment="1">
      <alignment horizontal="center" vertical="center"/>
    </xf>
    <xf numFmtId="0" fontId="25" fillId="0" borderId="0" xfId="0" applyFont="1" applyAlignment="1" applyProtection="1">
      <alignment vertical="center"/>
      <protection hidden="1"/>
    </xf>
    <xf numFmtId="169" fontId="25" fillId="0" borderId="0" xfId="0" applyNumberFormat="1" applyFont="1" applyAlignment="1" applyProtection="1">
      <alignment vertical="center"/>
      <protection hidden="1"/>
    </xf>
    <xf numFmtId="2" fontId="25" fillId="0" borderId="0" xfId="0" applyNumberFormat="1" applyFont="1" applyAlignment="1" applyProtection="1">
      <alignment vertical="center"/>
      <protection hidden="1"/>
    </xf>
    <xf numFmtId="168" fontId="25" fillId="0" borderId="0" xfId="19" applyFont="1" applyAlignment="1">
      <alignment vertical="center"/>
    </xf>
    <xf numFmtId="0" fontId="34" fillId="9" borderId="17" xfId="0" applyFont="1" applyFill="1" applyBorder="1" applyAlignment="1">
      <alignment horizontal="center" vertical="center" wrapText="1"/>
    </xf>
    <xf numFmtId="9" fontId="39" fillId="5" borderId="19" xfId="38" applyFont="1" applyFill="1" applyBorder="1" applyAlignment="1">
      <alignment horizontal="center" vertical="center"/>
    </xf>
    <xf numFmtId="2" fontId="34" fillId="0" borderId="15" xfId="0" applyNumberFormat="1" applyFont="1" applyBorder="1" applyAlignment="1">
      <alignment vertical="center" wrapText="1"/>
    </xf>
    <xf numFmtId="2" fontId="34" fillId="0" borderId="16" xfId="0" applyNumberFormat="1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169" fontId="25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0" fontId="25" fillId="5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wrapText="1"/>
    </xf>
    <xf numFmtId="17" fontId="27" fillId="6" borderId="0" xfId="0" applyNumberFormat="1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5" fillId="9" borderId="9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left" vertical="center" wrapText="1"/>
    </xf>
    <xf numFmtId="168" fontId="35" fillId="9" borderId="9" xfId="19" applyFont="1" applyFill="1" applyBorder="1" applyAlignment="1">
      <alignment horizontal="center" vertical="center" wrapText="1"/>
    </xf>
    <xf numFmtId="173" fontId="35" fillId="9" borderId="9" xfId="0" applyNumberFormat="1" applyFont="1" applyFill="1" applyBorder="1" applyAlignment="1">
      <alignment horizontal="center" vertical="center" wrapText="1"/>
    </xf>
    <xf numFmtId="0" fontId="31" fillId="0" borderId="0" xfId="29" applyFont="1" applyAlignment="1">
      <alignment horizontal="center"/>
    </xf>
    <xf numFmtId="0" fontId="36" fillId="7" borderId="9" xfId="0" applyFont="1" applyFill="1" applyBorder="1" applyAlignment="1">
      <alignment horizontal="left" vertical="center"/>
    </xf>
    <xf numFmtId="0" fontId="36" fillId="8" borderId="9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 textRotation="90"/>
    </xf>
    <xf numFmtId="0" fontId="36" fillId="13" borderId="0" xfId="0" applyFont="1" applyFill="1" applyAlignment="1">
      <alignment horizontal="left" vertical="center" wrapText="1"/>
    </xf>
    <xf numFmtId="0" fontId="36" fillId="0" borderId="0" xfId="0" applyFont="1"/>
    <xf numFmtId="173" fontId="39" fillId="13" borderId="9" xfId="0" applyNumberFormat="1" applyFont="1" applyFill="1" applyBorder="1" applyAlignment="1">
      <alignment vertical="center"/>
    </xf>
    <xf numFmtId="170" fontId="36" fillId="13" borderId="9" xfId="0" applyNumberFormat="1" applyFont="1" applyFill="1" applyBorder="1" applyAlignment="1">
      <alignment horizontal="center" vertical="center"/>
    </xf>
    <xf numFmtId="171" fontId="36" fillId="13" borderId="9" xfId="2" applyFont="1" applyFill="1" applyBorder="1" applyAlignment="1" applyProtection="1">
      <alignment horizontal="left" vertical="center"/>
      <protection locked="0"/>
    </xf>
    <xf numFmtId="172" fontId="36" fillId="13" borderId="9" xfId="31" applyNumberFormat="1" applyFont="1" applyFill="1" applyBorder="1" applyAlignment="1" applyProtection="1">
      <alignment horizontal="left" vertical="center"/>
      <protection hidden="1"/>
    </xf>
    <xf numFmtId="170" fontId="36" fillId="13" borderId="9" xfId="0" applyNumberFormat="1" applyFont="1" applyFill="1" applyBorder="1" applyAlignment="1" applyProtection="1">
      <alignment horizontal="center" vertical="center"/>
      <protection locked="0"/>
    </xf>
    <xf numFmtId="172" fontId="36" fillId="13" borderId="9" xfId="2" applyNumberFormat="1" applyFont="1" applyFill="1" applyBorder="1" applyAlignment="1" applyProtection="1">
      <alignment horizontal="left" vertical="center"/>
      <protection hidden="1"/>
    </xf>
    <xf numFmtId="0" fontId="41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" fontId="25" fillId="0" borderId="0" xfId="38" applyNumberFormat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25" fillId="0" borderId="0" xfId="8" applyFont="1" applyAlignment="1">
      <alignment horizontal="right" vertical="center"/>
    </xf>
    <xf numFmtId="2" fontId="28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5" fillId="9" borderId="0" xfId="0" applyNumberFormat="1" applyFont="1" applyFill="1" applyAlignment="1">
      <alignment horizontal="right" vertical="center" wrapText="1"/>
    </xf>
    <xf numFmtId="0" fontId="36" fillId="11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vertical="center"/>
    </xf>
    <xf numFmtId="173" fontId="36" fillId="11" borderId="0" xfId="0" applyNumberFormat="1" applyFont="1" applyFill="1" applyAlignment="1">
      <alignment horizontal="center" vertical="center"/>
    </xf>
    <xf numFmtId="49" fontId="25" fillId="6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0" fontId="36" fillId="12" borderId="0" xfId="0" applyFont="1" applyFill="1" applyAlignment="1">
      <alignment horizontal="center" vertical="center"/>
    </xf>
    <xf numFmtId="0" fontId="36" fillId="12" borderId="0" xfId="0" applyFont="1" applyFill="1" applyAlignment="1">
      <alignment horizontal="left" vertical="center"/>
    </xf>
    <xf numFmtId="0" fontId="36" fillId="12" borderId="0" xfId="0" applyFont="1" applyFill="1" applyAlignment="1">
      <alignment vertical="center"/>
    </xf>
    <xf numFmtId="0" fontId="36" fillId="12" borderId="0" xfId="0" applyFont="1" applyFill="1" applyAlignment="1">
      <alignment horizontal="right" vertical="center"/>
    </xf>
    <xf numFmtId="173" fontId="36" fillId="12" borderId="0" xfId="0" applyNumberFormat="1" applyFont="1" applyFill="1" applyAlignment="1">
      <alignment horizontal="center" vertical="center"/>
    </xf>
    <xf numFmtId="0" fontId="42" fillId="13" borderId="9" xfId="0" applyFont="1" applyFill="1" applyBorder="1" applyAlignment="1">
      <alignment horizontal="center" vertical="center"/>
    </xf>
    <xf numFmtId="0" fontId="42" fillId="13" borderId="9" xfId="0" applyFont="1" applyFill="1" applyBorder="1" applyAlignment="1">
      <alignment vertical="center"/>
    </xf>
    <xf numFmtId="180" fontId="42" fillId="13" borderId="9" xfId="0" applyNumberFormat="1" applyFont="1" applyFill="1" applyBorder="1" applyAlignment="1">
      <alignment vertical="center"/>
    </xf>
    <xf numFmtId="181" fontId="42" fillId="13" borderId="9" xfId="0" applyNumberFormat="1" applyFont="1" applyFill="1" applyBorder="1" applyAlignment="1">
      <alignment vertical="center"/>
    </xf>
    <xf numFmtId="173" fontId="42" fillId="13" borderId="9" xfId="0" applyNumberFormat="1" applyFont="1" applyFill="1" applyBorder="1" applyAlignment="1">
      <alignment vertical="center"/>
    </xf>
    <xf numFmtId="0" fontId="36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2" fontId="25" fillId="16" borderId="0" xfId="0" applyNumberFormat="1" applyFont="1" applyFill="1" applyAlignment="1" applyProtection="1">
      <alignment vertical="center"/>
      <protection hidden="1"/>
    </xf>
    <xf numFmtId="0" fontId="25" fillId="16" borderId="0" xfId="0" applyFont="1" applyFill="1" applyAlignment="1">
      <alignment vertical="center"/>
    </xf>
    <xf numFmtId="0" fontId="25" fillId="6" borderId="5" xfId="3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178" fontId="25" fillId="0" borderId="0" xfId="0" applyNumberFormat="1" applyFont="1" applyFill="1" applyAlignment="1">
      <alignment vertical="center"/>
    </xf>
    <xf numFmtId="0" fontId="5" fillId="0" borderId="0" xfId="42" applyAlignment="1">
      <alignment wrapText="1"/>
    </xf>
    <xf numFmtId="0" fontId="5" fillId="0" borderId="9" xfId="55" applyFont="1" applyBorder="1" applyAlignment="1">
      <alignment horizontal="left" vertical="center" wrapText="1"/>
    </xf>
    <xf numFmtId="49" fontId="47" fillId="0" borderId="9" xfId="55" applyNumberFormat="1" applyFont="1" applyBorder="1" applyAlignment="1" applyProtection="1">
      <alignment horizontal="left" vertical="center" wrapText="1"/>
      <protection hidden="1"/>
    </xf>
    <xf numFmtId="0" fontId="5" fillId="6" borderId="9" xfId="55" applyFont="1" applyFill="1" applyBorder="1" applyAlignment="1">
      <alignment horizontal="left" vertical="center" wrapText="1"/>
    </xf>
    <xf numFmtId="49" fontId="47" fillId="6" borderId="9" xfId="55" applyNumberFormat="1" applyFont="1" applyFill="1" applyBorder="1" applyAlignment="1" applyProtection="1">
      <alignment horizontal="left" vertical="center" wrapText="1"/>
      <protection hidden="1"/>
    </xf>
    <xf numFmtId="0" fontId="47" fillId="0" borderId="9" xfId="55" applyFont="1" applyBorder="1" applyAlignment="1">
      <alignment horizontal="left" vertical="center" wrapText="1"/>
    </xf>
    <xf numFmtId="0" fontId="5" fillId="0" borderId="0" xfId="42" applyAlignment="1">
      <alignment horizontal="left" vertical="center" wrapText="1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8" fillId="0" borderId="0" xfId="0" applyNumberFormat="1" applyFont="1" applyFill="1" applyAlignment="1">
      <alignment vertical="center"/>
    </xf>
    <xf numFmtId="178" fontId="36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70" fontId="25" fillId="5" borderId="9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10" fontId="35" fillId="10" borderId="9" xfId="0" applyNumberFormat="1" applyFont="1" applyFill="1" applyBorder="1" applyAlignment="1">
      <alignment horizontal="center" vertical="center" wrapText="1"/>
    </xf>
    <xf numFmtId="182" fontId="25" fillId="0" borderId="9" xfId="0" applyNumberFormat="1" applyFont="1" applyBorder="1" applyAlignment="1">
      <alignment vertical="center"/>
    </xf>
    <xf numFmtId="9" fontId="25" fillId="0" borderId="9" xfId="44" applyFont="1" applyBorder="1" applyAlignment="1">
      <alignment vertical="center"/>
    </xf>
    <xf numFmtId="171" fontId="25" fillId="0" borderId="9" xfId="0" applyNumberFormat="1" applyFont="1" applyBorder="1" applyAlignment="1">
      <alignment vertical="center"/>
    </xf>
    <xf numFmtId="44" fontId="25" fillId="5" borderId="9" xfId="48" applyFont="1" applyFill="1" applyBorder="1" applyAlignment="1">
      <alignment horizontal="center" vertical="center"/>
    </xf>
    <xf numFmtId="170" fontId="25" fillId="0" borderId="9" xfId="44" applyNumberFormat="1" applyFont="1" applyFill="1" applyBorder="1" applyAlignment="1">
      <alignment horizontal="center" vertical="center"/>
    </xf>
    <xf numFmtId="9" fontId="25" fillId="0" borderId="9" xfId="0" applyNumberFormat="1" applyFont="1" applyBorder="1" applyAlignment="1">
      <alignment vertical="center"/>
    </xf>
    <xf numFmtId="170" fontId="25" fillId="0" borderId="9" xfId="0" applyNumberFormat="1" applyFont="1" applyBorder="1" applyAlignment="1">
      <alignment horizontal="center" vertical="center"/>
    </xf>
    <xf numFmtId="0" fontId="34" fillId="10" borderId="9" xfId="0" applyFont="1" applyFill="1" applyBorder="1" applyAlignment="1">
      <alignment vertical="center" wrapText="1"/>
    </xf>
    <xf numFmtId="44" fontId="36" fillId="8" borderId="19" xfId="54" applyFont="1" applyFill="1" applyBorder="1" applyAlignment="1">
      <alignment horizontal="left" vertical="center"/>
    </xf>
    <xf numFmtId="44" fontId="36" fillId="7" borderId="19" xfId="54" applyFont="1" applyFill="1" applyBorder="1" applyAlignment="1">
      <alignment horizontal="left" vertical="center"/>
    </xf>
    <xf numFmtId="44" fontId="36" fillId="8" borderId="19" xfId="0" applyNumberFormat="1" applyFont="1" applyFill="1" applyBorder="1" applyAlignment="1">
      <alignment horizontal="left" vertical="center"/>
    </xf>
    <xf numFmtId="0" fontId="39" fillId="13" borderId="22" xfId="0" applyFont="1" applyFill="1" applyBorder="1" applyAlignment="1">
      <alignment horizontal="left" vertical="center" wrapText="1"/>
    </xf>
    <xf numFmtId="173" fontId="36" fillId="8" borderId="18" xfId="0" applyNumberFormat="1" applyFont="1" applyFill="1" applyBorder="1" applyAlignment="1">
      <alignment horizontal="left" vertical="center" wrapText="1"/>
    </xf>
    <xf numFmtId="44" fontId="36" fillId="7" borderId="18" xfId="54" applyFont="1" applyFill="1" applyBorder="1" applyAlignment="1">
      <alignment horizontal="left" vertical="center" wrapText="1"/>
    </xf>
    <xf numFmtId="44" fontId="36" fillId="8" borderId="18" xfId="54" applyFont="1" applyFill="1" applyBorder="1" applyAlignment="1">
      <alignment horizontal="left" vertical="center" wrapText="1"/>
    </xf>
    <xf numFmtId="0" fontId="25" fillId="0" borderId="9" xfId="0" applyFont="1" applyBorder="1" applyAlignment="1">
      <alignment vertical="center"/>
    </xf>
    <xf numFmtId="168" fontId="25" fillId="6" borderId="0" xfId="19" applyFont="1" applyFill="1" applyAlignment="1">
      <alignment vertical="center"/>
    </xf>
    <xf numFmtId="168" fontId="25" fillId="0" borderId="0" xfId="19" applyFont="1" applyAlignment="1" applyProtection="1">
      <alignment vertical="center"/>
      <protection hidden="1"/>
    </xf>
    <xf numFmtId="44" fontId="25" fillId="6" borderId="0" xfId="54" applyFont="1" applyFill="1" applyAlignment="1">
      <alignment vertical="center"/>
    </xf>
    <xf numFmtId="44" fontId="25" fillId="0" borderId="0" xfId="54" applyFont="1" applyAlignment="1">
      <alignment horizontal="center" vertical="center" wrapText="1"/>
    </xf>
    <xf numFmtId="44" fontId="27" fillId="0" borderId="0" xfId="54" applyFont="1" applyAlignment="1">
      <alignment horizontal="center" vertical="center"/>
    </xf>
    <xf numFmtId="0" fontId="36" fillId="5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0" fillId="12" borderId="0" xfId="0" applyFill="1"/>
    <xf numFmtId="14" fontId="36" fillId="0" borderId="9" xfId="0" applyNumberFormat="1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9" xfId="0" applyFont="1" applyBorder="1" applyAlignment="1">
      <alignment horizontal="left" vertical="center"/>
    </xf>
    <xf numFmtId="173" fontId="35" fillId="9" borderId="14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168" fontId="25" fillId="0" borderId="0" xfId="19" applyFont="1" applyFill="1" applyAlignment="1">
      <alignment horizontal="center" vertical="center" wrapText="1"/>
    </xf>
    <xf numFmtId="44" fontId="25" fillId="0" borderId="0" xfId="54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left" vertical="center"/>
    </xf>
    <xf numFmtId="0" fontId="2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Fill="1" applyAlignment="1">
      <alignment horizontal="left"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4" fontId="36" fillId="0" borderId="0" xfId="0" applyNumberFormat="1" applyFont="1" applyFill="1" applyAlignment="1">
      <alignment vertical="center"/>
    </xf>
    <xf numFmtId="4" fontId="36" fillId="0" borderId="0" xfId="0" applyNumberFormat="1" applyFont="1" applyFill="1" applyAlignment="1">
      <alignment horizontal="center" vertical="center"/>
    </xf>
    <xf numFmtId="173" fontId="36" fillId="0" borderId="0" xfId="0" applyNumberFormat="1" applyFont="1" applyFill="1" applyAlignment="1">
      <alignment horizontal="center" vertical="center"/>
    </xf>
    <xf numFmtId="164" fontId="25" fillId="0" borderId="0" xfId="40" applyFont="1" applyAlignment="1">
      <alignment horizontal="right" vertical="center"/>
    </xf>
    <xf numFmtId="164" fontId="25" fillId="0" borderId="0" xfId="40" applyFont="1" applyAlignment="1">
      <alignment vertical="center"/>
    </xf>
    <xf numFmtId="164" fontId="35" fillId="9" borderId="0" xfId="40" applyFont="1" applyFill="1" applyAlignment="1">
      <alignment horizontal="center" vertical="center" wrapText="1"/>
    </xf>
    <xf numFmtId="3" fontId="25" fillId="0" borderId="0" xfId="40" applyNumberFormat="1" applyFont="1" applyAlignment="1">
      <alignment vertical="center"/>
    </xf>
    <xf numFmtId="44" fontId="36" fillId="0" borderId="19" xfId="48" applyFont="1" applyFill="1" applyBorder="1" applyAlignment="1">
      <alignment horizontal="left" vertical="center"/>
    </xf>
    <xf numFmtId="44" fontId="36" fillId="0" borderId="19" xfId="0" applyNumberFormat="1" applyFont="1" applyFill="1" applyBorder="1" applyAlignment="1">
      <alignment horizontal="left" vertical="center"/>
    </xf>
    <xf numFmtId="0" fontId="36" fillId="0" borderId="0" xfId="0" applyFont="1" applyFill="1" applyAlignment="1">
      <alignment vertical="center" wrapText="1"/>
    </xf>
    <xf numFmtId="4" fontId="36" fillId="0" borderId="0" xfId="0" applyNumberFormat="1" applyFont="1" applyFill="1" applyAlignment="1">
      <alignment vertical="center" wrapText="1"/>
    </xf>
    <xf numFmtId="3" fontId="36" fillId="0" borderId="0" xfId="0" applyNumberFormat="1" applyFont="1" applyFill="1" applyAlignment="1">
      <alignment horizontal="center" vertical="center"/>
    </xf>
    <xf numFmtId="44" fontId="36" fillId="0" borderId="0" xfId="54" applyFont="1" applyFill="1" applyAlignment="1">
      <alignment vertical="center"/>
    </xf>
    <xf numFmtId="0" fontId="49" fillId="15" borderId="9" xfId="0" applyFont="1" applyFill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center" vertical="center" wrapText="1"/>
    </xf>
    <xf numFmtId="0" fontId="49" fillId="15" borderId="9" xfId="0" applyFont="1" applyFill="1" applyBorder="1" applyAlignment="1">
      <alignment horizontal="left" vertical="center" wrapText="1"/>
    </xf>
    <xf numFmtId="0" fontId="27" fillId="0" borderId="9" xfId="30" applyFont="1" applyBorder="1" applyAlignment="1">
      <alignment horizontal="center" vertical="center" wrapText="1"/>
    </xf>
    <xf numFmtId="4" fontId="36" fillId="8" borderId="18" xfId="0" applyNumberFormat="1" applyFont="1" applyFill="1" applyBorder="1" applyAlignment="1">
      <alignment horizontal="center" vertical="center"/>
    </xf>
    <xf numFmtId="178" fontId="50" fillId="0" borderId="0" xfId="0" applyNumberFormat="1" applyFont="1" applyFill="1" applyAlignment="1">
      <alignment vertical="center"/>
    </xf>
    <xf numFmtId="0" fontId="36" fillId="0" borderId="9" xfId="0" applyFont="1" applyBorder="1" applyAlignment="1">
      <alignment horizontal="right" vertical="center"/>
    </xf>
    <xf numFmtId="168" fontId="36" fillId="0" borderId="9" xfId="20" applyFont="1" applyBorder="1" applyAlignment="1">
      <alignment horizontal="right" vertical="center"/>
    </xf>
    <xf numFmtId="183" fontId="36" fillId="0" borderId="9" xfId="48" applyNumberFormat="1" applyFont="1" applyBorder="1" applyAlignment="1">
      <alignment horizontal="center" vertical="center"/>
    </xf>
    <xf numFmtId="4" fontId="36" fillId="0" borderId="0" xfId="0" applyNumberFormat="1" applyFont="1" applyFill="1" applyAlignment="1">
      <alignment horizontal="right" vertical="center"/>
    </xf>
    <xf numFmtId="2" fontId="51" fillId="0" borderId="24" xfId="0" applyNumberFormat="1" applyFont="1" applyFill="1" applyBorder="1" applyAlignment="1">
      <alignment vertical="center"/>
    </xf>
    <xf numFmtId="0" fontId="36" fillId="0" borderId="18" xfId="30" applyFont="1" applyFill="1" applyBorder="1" applyAlignment="1">
      <alignment vertical="center"/>
    </xf>
    <xf numFmtId="0" fontId="51" fillId="0" borderId="0" xfId="0" applyNumberFormat="1" applyFont="1" applyFill="1" applyAlignment="1">
      <alignment vertical="center"/>
    </xf>
    <xf numFmtId="1" fontId="51" fillId="0" borderId="23" xfId="0" applyNumberFormat="1" applyFont="1" applyFill="1" applyBorder="1" applyAlignment="1">
      <alignment horizontal="center" vertical="center"/>
    </xf>
    <xf numFmtId="2" fontId="52" fillId="7" borderId="18" xfId="0" applyNumberFormat="1" applyFont="1" applyFill="1" applyBorder="1" applyAlignment="1">
      <alignment vertical="center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51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left" vertical="center"/>
    </xf>
    <xf numFmtId="0" fontId="51" fillId="0" borderId="0" xfId="0" applyNumberFormat="1" applyFont="1" applyFill="1" applyAlignment="1">
      <alignment horizontal="left" vertical="center"/>
    </xf>
    <xf numFmtId="178" fontId="51" fillId="0" borderId="0" xfId="0" applyNumberFormat="1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4" fontId="36" fillId="8" borderId="0" xfId="0" applyNumberFormat="1" applyFont="1" applyFill="1" applyBorder="1" applyAlignment="1">
      <alignment horizontal="center" vertical="center"/>
    </xf>
    <xf numFmtId="173" fontId="36" fillId="0" borderId="0" xfId="8" applyNumberFormat="1" applyFont="1" applyFill="1" applyAlignment="1">
      <alignment horizontal="center" vertical="center"/>
    </xf>
    <xf numFmtId="0" fontId="36" fillId="7" borderId="0" xfId="0" applyNumberFormat="1" applyFont="1" applyFill="1" applyAlignment="1">
      <alignment horizontal="center" vertical="center"/>
    </xf>
    <xf numFmtId="4" fontId="34" fillId="9" borderId="5" xfId="0" applyNumberFormat="1" applyFont="1" applyFill="1" applyBorder="1" applyAlignment="1">
      <alignment horizontal="center" vertical="center" wrapText="1"/>
    </xf>
    <xf numFmtId="184" fontId="36" fillId="0" borderId="0" xfId="19" applyNumberFormat="1" applyFont="1" applyFill="1" applyAlignment="1">
      <alignment horizontal="center" vertical="center"/>
    </xf>
    <xf numFmtId="184" fontId="35" fillId="9" borderId="0" xfId="19" applyNumberFormat="1" applyFont="1" applyFill="1" applyAlignment="1">
      <alignment horizontal="center" vertical="center" wrapText="1"/>
    </xf>
    <xf numFmtId="184" fontId="36" fillId="8" borderId="0" xfId="19" applyNumberFormat="1" applyFont="1" applyFill="1" applyAlignment="1">
      <alignment horizontal="center" vertical="center"/>
    </xf>
    <xf numFmtId="184" fontId="36" fillId="7" borderId="0" xfId="19" applyNumberFormat="1" applyFont="1" applyFill="1" applyAlignment="1">
      <alignment horizontal="center" vertical="center"/>
    </xf>
    <xf numFmtId="184" fontId="25" fillId="0" borderId="0" xfId="19" applyNumberFormat="1" applyFont="1" applyAlignment="1">
      <alignment horizontal="center" vertical="center"/>
    </xf>
    <xf numFmtId="184" fontId="27" fillId="0" borderId="0" xfId="19" applyNumberFormat="1" applyFont="1" applyAlignment="1">
      <alignment horizontal="center" vertical="center"/>
    </xf>
    <xf numFmtId="4" fontId="36" fillId="7" borderId="0" xfId="0" applyNumberFormat="1" applyFont="1" applyFill="1" applyAlignment="1">
      <alignment horizontal="center" vertical="center"/>
    </xf>
    <xf numFmtId="4" fontId="53" fillId="9" borderId="5" xfId="0" applyNumberFormat="1" applyFont="1" applyFill="1" applyBorder="1" applyAlignment="1">
      <alignment horizontal="center" vertical="center" wrapText="1"/>
    </xf>
    <xf numFmtId="184" fontId="36" fillId="12" borderId="0" xfId="0" applyNumberFormat="1" applyFont="1" applyFill="1" applyAlignment="1">
      <alignment horizontal="center" vertical="center"/>
    </xf>
    <xf numFmtId="184" fontId="36" fillId="0" borderId="9" xfId="19" applyNumberFormat="1" applyFont="1" applyFill="1" applyBorder="1" applyAlignment="1">
      <alignment horizontal="left" vertical="center"/>
    </xf>
    <xf numFmtId="0" fontId="36" fillId="0" borderId="9" xfId="0" applyFont="1" applyFill="1" applyBorder="1" applyAlignment="1">
      <alignment vertical="center"/>
    </xf>
    <xf numFmtId="173" fontId="36" fillId="0" borderId="9" xfId="0" applyNumberFormat="1" applyFont="1" applyFill="1" applyBorder="1" applyAlignment="1">
      <alignment vertical="center"/>
    </xf>
    <xf numFmtId="173" fontId="0" fillId="0" borderId="9" xfId="0" applyNumberFormat="1" applyFill="1" applyBorder="1" applyAlignment="1">
      <alignment vertical="center"/>
    </xf>
    <xf numFmtId="173" fontId="0" fillId="0" borderId="9" xfId="0" applyNumberFormat="1" applyFont="1" applyFill="1" applyBorder="1" applyAlignment="1">
      <alignment vertical="center"/>
    </xf>
    <xf numFmtId="0" fontId="54" fillId="0" borderId="9" xfId="0" applyNumberFormat="1" applyFont="1" applyFill="1" applyBorder="1" applyAlignment="1">
      <alignment vertical="center"/>
    </xf>
    <xf numFmtId="173" fontId="54" fillId="0" borderId="9" xfId="0" applyNumberFormat="1" applyFont="1" applyFill="1" applyBorder="1" applyAlignment="1">
      <alignment vertical="center"/>
    </xf>
    <xf numFmtId="0" fontId="36" fillId="0" borderId="9" xfId="0" applyFont="1" applyFill="1" applyBorder="1" applyAlignment="1">
      <alignment horizontal="center" vertical="center"/>
    </xf>
    <xf numFmtId="3" fontId="36" fillId="0" borderId="9" xfId="0" applyNumberFormat="1" applyFont="1" applyFill="1" applyBorder="1" applyAlignment="1">
      <alignment vertical="center"/>
    </xf>
    <xf numFmtId="179" fontId="36" fillId="0" borderId="9" xfId="0" applyNumberFormat="1" applyFont="1" applyFill="1" applyBorder="1" applyAlignment="1">
      <alignment vertical="center"/>
    </xf>
    <xf numFmtId="0" fontId="54" fillId="0" borderId="9" xfId="0" applyFont="1" applyFill="1" applyBorder="1" applyAlignment="1">
      <alignment horizontal="center" vertical="center"/>
    </xf>
    <xf numFmtId="184" fontId="25" fillId="0" borderId="0" xfId="19" applyNumberFormat="1" applyFont="1" applyAlignment="1">
      <alignment horizontal="left" vertical="center"/>
    </xf>
    <xf numFmtId="2" fontId="25" fillId="0" borderId="24" xfId="0" applyNumberFormat="1" applyFont="1" applyFill="1" applyBorder="1" applyAlignment="1">
      <alignment vertical="center"/>
    </xf>
    <xf numFmtId="0" fontId="25" fillId="16" borderId="0" xfId="0" applyFont="1" applyFill="1" applyAlignment="1">
      <alignment horizontal="center" vertical="center"/>
    </xf>
    <xf numFmtId="0" fontId="5" fillId="0" borderId="0" xfId="0" applyFont="1"/>
    <xf numFmtId="0" fontId="36" fillId="0" borderId="0" xfId="0" applyNumberFormat="1" applyFont="1" applyFill="1" applyAlignment="1">
      <alignment horizontal="center" vertical="center"/>
    </xf>
    <xf numFmtId="44" fontId="36" fillId="0" borderId="19" xfId="48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 wrapText="1"/>
    </xf>
    <xf numFmtId="44" fontId="36" fillId="0" borderId="25" xfId="48" applyNumberFormat="1" applyFont="1" applyFill="1" applyBorder="1" applyAlignment="1">
      <alignment horizontal="left" vertical="center"/>
    </xf>
    <xf numFmtId="4" fontId="27" fillId="0" borderId="16" xfId="0" applyNumberFormat="1" applyFont="1" applyFill="1" applyBorder="1" applyAlignment="1">
      <alignment horizontal="center" vertical="center" wrapText="1"/>
    </xf>
    <xf numFmtId="164" fontId="27" fillId="0" borderId="16" xfId="40" applyNumberFormat="1" applyFont="1" applyFill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44" fontId="0" fillId="0" borderId="0" xfId="54" applyFont="1"/>
    <xf numFmtId="164" fontId="36" fillId="0" borderId="0" xfId="0" applyNumberFormat="1" applyFont="1" applyFill="1" applyAlignment="1">
      <alignment horizontal="center" vertical="center"/>
    </xf>
    <xf numFmtId="14" fontId="36" fillId="0" borderId="9" xfId="58" applyNumberFormat="1" applyFont="1" applyBorder="1" applyAlignment="1">
      <alignment horizontal="left"/>
    </xf>
    <xf numFmtId="44" fontId="36" fillId="0" borderId="9" xfId="57" quotePrefix="1" applyFont="1" applyBorder="1" applyAlignment="1">
      <alignment horizontal="center" vertical="center"/>
    </xf>
    <xf numFmtId="0" fontId="0" fillId="0" borderId="0" xfId="0" applyNumberFormat="1"/>
    <xf numFmtId="0" fontId="5" fillId="0" borderId="9" xfId="55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vertical="center" wrapText="1"/>
    </xf>
    <xf numFmtId="0" fontId="54" fillId="0" borderId="9" xfId="0" applyNumberFormat="1" applyFont="1" applyFill="1" applyBorder="1" applyAlignment="1">
      <alignment vertical="center" wrapText="1"/>
    </xf>
    <xf numFmtId="0" fontId="0" fillId="0" borderId="0" xfId="0" applyFill="1"/>
    <xf numFmtId="44" fontId="5" fillId="0" borderId="0" xfId="0" applyNumberFormat="1" applyFont="1"/>
    <xf numFmtId="164" fontId="36" fillId="0" borderId="0" xfId="0" applyNumberFormat="1" applyFont="1" applyFill="1" applyAlignment="1">
      <alignment horizontal="left" vertical="center"/>
    </xf>
    <xf numFmtId="0" fontId="34" fillId="10" borderId="7" xfId="0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0" fontId="34" fillId="10" borderId="14" xfId="0" applyFont="1" applyFill="1" applyBorder="1" applyAlignment="1">
      <alignment horizontal="center" vertical="center" wrapText="1"/>
    </xf>
    <xf numFmtId="0" fontId="38" fillId="10" borderId="8" xfId="30" applyFont="1" applyFill="1" applyBorder="1" applyAlignment="1">
      <alignment horizontal="center" vertical="center" wrapText="1"/>
    </xf>
    <xf numFmtId="0" fontId="38" fillId="10" borderId="11" xfId="30" applyFont="1" applyFill="1" applyBorder="1" applyAlignment="1">
      <alignment horizontal="center" vertical="center" wrapText="1"/>
    </xf>
    <xf numFmtId="0" fontId="33" fillId="0" borderId="0" xfId="30" applyFont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170" fontId="25" fillId="5" borderId="9" xfId="0" applyNumberFormat="1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left" vertical="center" wrapText="1"/>
    </xf>
    <xf numFmtId="0" fontId="34" fillId="10" borderId="14" xfId="0" applyFont="1" applyFill="1" applyBorder="1" applyAlignment="1">
      <alignment horizontal="left" vertical="center" wrapText="1"/>
    </xf>
    <xf numFmtId="0" fontId="34" fillId="10" borderId="4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vertical="center"/>
    </xf>
    <xf numFmtId="9" fontId="25" fillId="0" borderId="7" xfId="0" applyNumberFormat="1" applyFont="1" applyBorder="1" applyAlignment="1">
      <alignment horizontal="left" vertical="center" wrapText="1"/>
    </xf>
    <xf numFmtId="9" fontId="25" fillId="0" borderId="14" xfId="0" applyNumberFormat="1" applyFont="1" applyBorder="1" applyAlignment="1">
      <alignment horizontal="left" vertical="center" wrapText="1"/>
    </xf>
    <xf numFmtId="9" fontId="25" fillId="0" borderId="7" xfId="0" applyNumberFormat="1" applyFont="1" applyBorder="1" applyAlignment="1">
      <alignment horizontal="left" vertical="center"/>
    </xf>
    <xf numFmtId="9" fontId="25" fillId="0" borderId="4" xfId="0" applyNumberFormat="1" applyFont="1" applyBorder="1" applyAlignment="1">
      <alignment horizontal="left" vertical="center"/>
    </xf>
    <xf numFmtId="9" fontId="25" fillId="0" borderId="14" xfId="0" applyNumberFormat="1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7" fillId="0" borderId="9" xfId="3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 wrapText="1"/>
    </xf>
    <xf numFmtId="0" fontId="34" fillId="10" borderId="10" xfId="0" applyFont="1" applyFill="1" applyBorder="1" applyAlignment="1">
      <alignment horizontal="center" vertical="center" wrapText="1"/>
    </xf>
    <xf numFmtId="0" fontId="39" fillId="13" borderId="7" xfId="0" applyFont="1" applyFill="1" applyBorder="1" applyAlignment="1">
      <alignment horizontal="left" vertical="center"/>
    </xf>
    <xf numFmtId="0" fontId="39" fillId="13" borderId="4" xfId="0" applyFont="1" applyFill="1" applyBorder="1" applyAlignment="1">
      <alignment horizontal="left" vertical="center"/>
    </xf>
    <xf numFmtId="0" fontId="39" fillId="13" borderId="14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10" fontId="25" fillId="5" borderId="7" xfId="0" applyNumberFormat="1" applyFont="1" applyFill="1" applyBorder="1" applyAlignment="1">
      <alignment horizontal="left" vertical="center"/>
    </xf>
    <xf numFmtId="10" fontId="25" fillId="5" borderId="4" xfId="0" applyNumberFormat="1" applyFont="1" applyFill="1" applyBorder="1" applyAlignment="1">
      <alignment horizontal="left" vertical="center"/>
    </xf>
    <xf numFmtId="10" fontId="25" fillId="5" borderId="14" xfId="0" applyNumberFormat="1" applyFont="1" applyFill="1" applyBorder="1" applyAlignment="1">
      <alignment horizontal="left" vertical="center"/>
    </xf>
    <xf numFmtId="170" fontId="27" fillId="5" borderId="7" xfId="0" applyNumberFormat="1" applyFont="1" applyFill="1" applyBorder="1" applyAlignment="1">
      <alignment horizontal="center" vertical="center"/>
    </xf>
    <xf numFmtId="170" fontId="25" fillId="5" borderId="4" xfId="0" applyNumberFormat="1" applyFont="1" applyFill="1" applyBorder="1" applyAlignment="1">
      <alignment horizontal="center" vertical="center"/>
    </xf>
    <xf numFmtId="0" fontId="33" fillId="0" borderId="6" xfId="30" applyFont="1" applyBorder="1" applyAlignment="1">
      <alignment horizontal="center" vertical="center"/>
    </xf>
    <xf numFmtId="0" fontId="33" fillId="0" borderId="0" xfId="30" applyFont="1" applyAlignment="1">
      <alignment horizontal="left" vertical="center"/>
    </xf>
    <xf numFmtId="0" fontId="27" fillId="13" borderId="7" xfId="0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4" borderId="8" xfId="0" applyFont="1" applyFill="1" applyBorder="1" applyAlignment="1">
      <alignment horizontal="center" vertical="center"/>
    </xf>
    <xf numFmtId="0" fontId="27" fillId="14" borderId="20" xfId="0" applyFont="1" applyFill="1" applyBorder="1" applyAlignment="1">
      <alignment horizontal="center" vertical="center"/>
    </xf>
    <xf numFmtId="0" fontId="27" fillId="14" borderId="21" xfId="0" applyFont="1" applyFill="1" applyBorder="1" applyAlignment="1">
      <alignment horizontal="center" vertical="center"/>
    </xf>
    <xf numFmtId="0" fontId="27" fillId="13" borderId="8" xfId="0" applyFont="1" applyFill="1" applyBorder="1" applyAlignment="1">
      <alignment horizontal="center" vertical="center"/>
    </xf>
    <xf numFmtId="0" fontId="27" fillId="13" borderId="20" xfId="0" applyFont="1" applyFill="1" applyBorder="1" applyAlignment="1">
      <alignment horizontal="center" vertical="center"/>
    </xf>
    <xf numFmtId="0" fontId="27" fillId="13" borderId="21" xfId="0" applyFont="1" applyFill="1" applyBorder="1" applyAlignment="1">
      <alignment horizontal="center" vertical="center"/>
    </xf>
    <xf numFmtId="170" fontId="27" fillId="5" borderId="9" xfId="0" applyNumberFormat="1" applyFont="1" applyFill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0" fontId="33" fillId="0" borderId="0" xfId="30" applyFont="1" applyBorder="1" applyAlignment="1">
      <alignment horizontal="center" vertical="center"/>
    </xf>
    <xf numFmtId="170" fontId="25" fillId="5" borderId="7" xfId="0" applyNumberFormat="1" applyFont="1" applyFill="1" applyBorder="1" applyAlignment="1">
      <alignment horizontal="center" vertical="center"/>
    </xf>
    <xf numFmtId="170" fontId="25" fillId="5" borderId="1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/>
    </xf>
    <xf numFmtId="0" fontId="25" fillId="0" borderId="11" xfId="0" applyFont="1" applyBorder="1" applyAlignment="1">
      <alignment horizontal="center" vertical="center" textRotation="90"/>
    </xf>
    <xf numFmtId="0" fontId="25" fillId="0" borderId="12" xfId="0" applyFont="1" applyBorder="1" applyAlignment="1">
      <alignment horizontal="center" vertical="center" textRotation="90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textRotation="90" wrapText="1"/>
    </xf>
    <xf numFmtId="0" fontId="25" fillId="8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2" fontId="34" fillId="10" borderId="7" xfId="0" applyNumberFormat="1" applyFont="1" applyFill="1" applyBorder="1" applyAlignment="1">
      <alignment horizontal="left" vertical="center"/>
    </xf>
    <xf numFmtId="2" fontId="34" fillId="10" borderId="4" xfId="0" applyNumberFormat="1" applyFont="1" applyFill="1" applyBorder="1" applyAlignment="1">
      <alignment horizontal="left" vertical="center"/>
    </xf>
    <xf numFmtId="49" fontId="34" fillId="10" borderId="4" xfId="29" applyNumberFormat="1" applyFont="1" applyFill="1" applyBorder="1" applyAlignment="1">
      <alignment horizontal="left" vertical="center"/>
    </xf>
    <xf numFmtId="49" fontId="34" fillId="10" borderId="14" xfId="29" applyNumberFormat="1" applyFont="1" applyFill="1" applyBorder="1" applyAlignment="1">
      <alignment horizontal="left" vertical="center"/>
    </xf>
    <xf numFmtId="49" fontId="25" fillId="7" borderId="7" xfId="0" applyNumberFormat="1" applyFont="1" applyFill="1" applyBorder="1" applyAlignment="1">
      <alignment horizontal="center" vertical="center"/>
    </xf>
    <xf numFmtId="49" fontId="25" fillId="7" borderId="14" xfId="0" applyNumberFormat="1" applyFont="1" applyFill="1" applyBorder="1" applyAlignment="1">
      <alignment horizontal="center" vertical="center"/>
    </xf>
    <xf numFmtId="49" fontId="25" fillId="8" borderId="7" xfId="0" applyNumberFormat="1" applyFont="1" applyFill="1" applyBorder="1" applyAlignment="1">
      <alignment horizontal="center" vertical="center"/>
    </xf>
    <xf numFmtId="49" fontId="25" fillId="8" borderId="14" xfId="0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center" vertical="center"/>
    </xf>
    <xf numFmtId="49" fontId="25" fillId="8" borderId="4" xfId="0" applyNumberFormat="1" applyFont="1" applyFill="1" applyBorder="1" applyAlignment="1">
      <alignment horizontal="center" vertical="center"/>
    </xf>
    <xf numFmtId="44" fontId="36" fillId="0" borderId="19" xfId="54" applyFont="1" applyFill="1" applyBorder="1" applyAlignment="1">
      <alignment horizontal="left" vertical="center"/>
    </xf>
    <xf numFmtId="0" fontId="36" fillId="0" borderId="19" xfId="54" applyNumberFormat="1" applyFont="1" applyFill="1" applyBorder="1" applyAlignment="1">
      <alignment horizontal="left" vertical="center"/>
    </xf>
    <xf numFmtId="44" fontId="36" fillId="0" borderId="19" xfId="54" applyNumberFormat="1" applyFont="1" applyFill="1" applyBorder="1" applyAlignment="1">
      <alignment horizontal="left" vertical="center"/>
    </xf>
  </cellXfs>
  <cellStyles count="59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mma 4" xfId="56" xr:uid="{919DEB51-BFC8-47F3-8C42-1E0AE3D3F518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Normal 2" xfId="58" xr:uid="{16B6F791-0E35-4E81-BB10-C7CC3FD2C3C5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3 2 2" xfId="51" xr:uid="{00000000-0005-0000-0000-000027000000}"/>
    <cellStyle name="Standaard 3 2 3" xfId="47" xr:uid="{00000000-0005-0000-0000-000028000000}"/>
    <cellStyle name="Standaard 3 3" xfId="49" xr:uid="{00000000-0005-0000-0000-000029000000}"/>
    <cellStyle name="Standaard 3 3 2" xfId="52" xr:uid="{00000000-0005-0000-0000-00002A000000}"/>
    <cellStyle name="Standaard 3 4" xfId="50" xr:uid="{00000000-0005-0000-0000-00002B000000}"/>
    <cellStyle name="Standaard 3 5" xfId="45" xr:uid="{00000000-0005-0000-0000-00002C000000}"/>
    <cellStyle name="Standaard 3 6" xfId="53" xr:uid="{00000000-0005-0000-0000-00002D000000}"/>
    <cellStyle name="Standaard 4" xfId="30" xr:uid="{00000000-0005-0000-0000-00002E000000}"/>
    <cellStyle name="Standaard 5" xfId="34" xr:uid="{00000000-0005-0000-0000-00002F000000}"/>
    <cellStyle name="Standaard 6" xfId="55" xr:uid="{E455430A-9DF4-46E1-A18E-520926441726}"/>
    <cellStyle name="Valuta" xfId="54" builtinId="4"/>
    <cellStyle name="Valuta 2" xfId="31" xr:uid="{00000000-0005-0000-0000-000031000000}"/>
    <cellStyle name="Valuta 3" xfId="36" xr:uid="{00000000-0005-0000-0000-000032000000}"/>
    <cellStyle name="Valuta 4" xfId="48" xr:uid="{00000000-0005-0000-0000-000033000000}"/>
    <cellStyle name="Valuta 5" xfId="46" xr:uid="{00000000-0005-0000-0000-000034000000}"/>
    <cellStyle name="Valuta 6" xfId="57" xr:uid="{2F6036FC-E1D4-4DD3-A240-4ECECFEECB7D}"/>
    <cellStyle name="Währung [0]_Aufmaß" xfId="32" xr:uid="{00000000-0005-0000-0000-000035000000}"/>
    <cellStyle name="Währung_Aufmaß" xfId="33" xr:uid="{00000000-0005-0000-0000-000036000000}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4" formatCode="_(* #,##0_);_(* \(#,##0\);_(* &quot;-&quot;??_);_(@_)"/>
      <fill>
        <patternFill patternType="none">
          <fgColor theme="4" tint="0.59999389629810485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9" formatCode="#,##0.0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59999389629810485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sz val="9"/>
        <color theme="1"/>
        <name val="Verdana"/>
        <family val="2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84" formatCode="_(* #,##0_);_(* \(#,##0\);_(* &quot;-&quot;??_);_(@_)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27:D47" totalsRowShown="0" headerRowDxfId="208" dataDxfId="207" headerRowCellStyle="Standaard 4">
  <autoFilter ref="A27:D47" xr:uid="{00000000-0009-0000-0100-000006000000}"/>
  <tableColumns count="4">
    <tableColumn id="1" xr3:uid="{00000000-0010-0000-0000-000001000000}" name="Code" dataDxfId="206" dataCellStyle="Standaard 4"/>
    <tableColumn id="2" xr3:uid="{00000000-0010-0000-0000-000002000000}" name="Ruimte omschrijving" dataDxfId="205" dataCellStyle="Standaard 4"/>
    <tableColumn id="3" xr3:uid="{00000000-0010-0000-0000-000003000000}" name="Norm (5w)" dataDxfId="204"/>
    <tableColumn id="4" xr3:uid="{00000000-0010-0000-0000-000004000000}" name="Inspectiecategorie" dataDxfId="20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086965-2FC3-4E1C-A98B-A5AB725918B5}" name="InvulExtraW" displayName="InvulExtraW" ref="A8:I11" totalsRowShown="0" headerRowDxfId="91">
  <autoFilter ref="A8:I11" xr:uid="{599340E2-C622-43D7-823A-8E9F50F36A05}"/>
  <tableColumns count="9">
    <tableColumn id="1" xr3:uid="{6E9BA7EF-1A99-41EC-A990-2D5B7009DAB3}" name="Code Taak" dataDxfId="90"/>
    <tableColumn id="2" xr3:uid="{0C17A39C-2493-46E3-8819-8BDC4EB9D05C}" name="Werkzaamheden" dataDxfId="89"/>
    <tableColumn id="3" xr3:uid="{D5799FE8-F593-4612-8E44-30E29ADA22A6}" name="Prijs" dataDxfId="88"/>
    <tableColumn id="4" xr3:uid="{3A2325AE-B398-4BDE-AFB7-DBCD94EA1A1B}" name="Omschrijving" dataDxfId="87"/>
    <tableColumn id="5" xr3:uid="{0BF87C77-C8A9-473E-9F86-825C3507A7B2}" name="2023" dataDxfId="86" dataCellStyle="Valuta">
      <calculatedColumnFormula>(InvulExtraW[[#This Row],[Prijs]]*Tariefsopbouw!$I$37)+InvulExtraW[[#This Row],[Prijs]]</calculatedColumnFormula>
    </tableColumn>
    <tableColumn id="6" xr3:uid="{6A1EDD8E-D8DA-4578-9BF3-E0BFCDA3A740}" name="2024" dataDxfId="85" dataCellStyle="Valuta">
      <calculatedColumnFormula>E9*Tariefsopbouw!$K$37+E9</calculatedColumnFormula>
    </tableColumn>
    <tableColumn id="7" xr3:uid="{C7892319-8797-4115-B8ED-2713BA7258FD}" name="2025" dataDxfId="84" dataCellStyle="Valuta">
      <calculatedColumnFormula>F9*Tariefsopbouw!$M$37+F9</calculatedColumnFormula>
    </tableColumn>
    <tableColumn id="8" xr3:uid="{928DE52A-6E77-4345-91E1-267B6B81379F}" name="2026" dataDxfId="83" dataCellStyle="Valuta">
      <calculatedColumnFormula>G9*Tariefsopbouw!$O$37+InvulExtraW[[#This Row],[2025]]</calculatedColumnFormula>
    </tableColumn>
    <tableColumn id="9" xr3:uid="{C36ACBFB-1F6A-45E5-B921-709FEBF1EA39}" name="2027" dataDxfId="82" dataCellStyle="Valuta">
      <calculatedColumnFormula>H9*Tariefsopbouw!$Q$37+InvulExtraW[[#This Row],[2026]]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464BE89-A4B0-4871-8E0F-AE8F5775992C}" name="OverzichtExtraW" displayName="OverzichtExtraW" ref="A13:H65" totalsRowCount="1" headerRowDxfId="81" dataDxfId="80" totalsRowDxfId="79">
  <autoFilter ref="A13:H64" xr:uid="{0A6D65ED-4BF1-4C22-92EC-B4BAE9E4FC64}"/>
  <tableColumns count="8">
    <tableColumn id="11" xr3:uid="{859F61E6-DC69-4199-AC60-43925381063A}" name="Code Locatie" dataDxfId="78" totalsRowDxfId="77"/>
    <tableColumn id="1" xr3:uid="{8939FC97-6F60-4694-8E6D-280BBAE3A71F}" name="Locatie" totalsRowLabel="Totaal" dataDxfId="76" totalsRowDxfId="75">
      <calculatedColumnFormula>VLOOKUP(OverzichtExtraW[[#This Row],[Code Locatie]],Locaties[[Code]:[Locatie]],2,0)</calculatedColumnFormula>
    </tableColumn>
    <tableColumn id="3" xr3:uid="{3A2A1425-1C8F-49B2-9AB9-64C169B317C8}" name="Code Taak" dataDxfId="74" totalsRowDxfId="73"/>
    <tableColumn id="4" xr3:uid="{1B8BFBAE-C92C-479F-A8F5-C26C91021403}" name="Toelichting" dataDxfId="72" totalsRowDxfId="71">
      <calculatedColumnFormula>IF(OverzichtExtraW[[#This Row],[Code Taak]],VLOOKUP(OverzichtExtraW[[#This Row],[Code Taak]],InvulExtraW[[#All],[Code Taak]:[Werkzaamheden]],2,FALSE),"")</calculatedColumnFormula>
    </tableColumn>
    <tableColumn id="5" xr3:uid="{085B05C5-087A-4EBD-A6DF-2BE02C3BB7D2}" name="aantal uur per keer/meter" dataDxfId="70" totalsRowDxfId="69"/>
    <tableColumn id="8" xr3:uid="{072DDB37-F4A0-42FC-95D3-4CF09C01375E}" name="Frequentie (uitv./jaar)" dataDxfId="68" totalsRowDxfId="67"/>
    <tableColumn id="9" xr3:uid="{C53DBF15-09CA-45E2-87DC-AA883F7D3A3D}" name="Kosten/jaar excl. BTW" totalsRowFunction="sum" dataDxfId="66" totalsRowDxfId="65"/>
    <tableColumn id="2" xr3:uid="{F83A5791-6C2B-418B-ACDF-19F201BF5A40}" name="Opmerking" dataDxfId="64" totalsRowDxfId="6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AAFC09-E83B-4B3F-BB09-01C4696A4E2F}" name="InvulMJOP" displayName="InvulMJOP" ref="A8:I43" totalsRowShown="0" headerRowDxfId="62" dataDxfId="61" dataCellStyle="Valuta 4">
  <autoFilter ref="A8:I43" xr:uid="{3AAAFC09-E83B-4B3F-BB09-01C4696A4E2F}"/>
  <tableColumns count="9">
    <tableColumn id="1" xr3:uid="{AE8D0D2A-2FE0-48B5-9587-4013AAAE8FBC}" name="Code Taak" dataDxfId="60"/>
    <tableColumn id="2" xr3:uid="{8EBD989F-2646-406A-87A6-2697559FA104}" name="Werkzaamheden" dataDxfId="59"/>
    <tableColumn id="3" xr3:uid="{59A64ECD-258A-44F3-89B1-CE117D1BFD8E}" name="Prijs" dataDxfId="58"/>
    <tableColumn id="4" xr3:uid="{E1617ADE-DBE0-42F9-AF20-FFF99A7B2BA0}" name="Omschrijving" dataDxfId="57"/>
    <tableColumn id="5" xr3:uid="{CA1645AE-AC0A-483A-98F4-3074EC4F7FE3}" name="2023" dataDxfId="56" dataCellStyle="Valuta 4">
      <calculatedColumnFormula>(InvulMJOP[[#This Row],[Prijs]]*Tariefsopbouw!$I$37)+InvulMJOP[[#This Row],[Prijs]]</calculatedColumnFormula>
    </tableColumn>
    <tableColumn id="6" xr3:uid="{47834E94-85C6-4BE4-91F6-E068AC3067B0}" name="2024" dataDxfId="55" dataCellStyle="Valuta 4">
      <calculatedColumnFormula>E9*Tariefsopbouw!$K$37+E9</calculatedColumnFormula>
    </tableColumn>
    <tableColumn id="7" xr3:uid="{D1CFA7E0-3D4A-4831-B570-BB2003B7D07F}" name="2025" dataDxfId="54" dataCellStyle="Valuta 4">
      <calculatedColumnFormula>F9*Tariefsopbouw!$M$37+F9</calculatedColumnFormula>
    </tableColumn>
    <tableColumn id="8" xr3:uid="{1AFE5CD8-84BE-4539-81CC-E884D06748A4}" name="2026" dataDxfId="53" dataCellStyle="Valuta 4">
      <calculatedColumnFormula>G9*Tariefsopbouw!$O$37+InvulMJOP[[#This Row],[2025]]</calculatedColumnFormula>
    </tableColumn>
    <tableColumn id="9" xr3:uid="{5BBDF788-A3CD-4D58-BDF9-36567A93A87E}" name="2027" dataDxfId="52" dataCellStyle="Valuta 4">
      <calculatedColumnFormula>H9*Tariefsopbouw!$Q$37+InvulMJOP[[#This Row],[2026]]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CA11DF-5587-4C51-A979-C2C2931790DF}" name="Tabel16" displayName="Tabel16" ref="A46:L374" totalsRowCount="1">
  <autoFilter ref="A46:L373" xr:uid="{0ACA11DF-5587-4C51-A979-C2C2931790DF}"/>
  <tableColumns count="12">
    <tableColumn id="1" xr3:uid="{A9CB216E-8AE8-4FC8-A809-4BD0C87F8F14}" name="code"/>
    <tableColumn id="2" xr3:uid="{AB7E1F39-758C-4236-8DA7-E7D274915314}" name="Locatie">
      <calculatedColumnFormula>VLOOKUP(A47,Locaties[[#All],[Code]:[Locatie]],2,FALSE)</calculatedColumnFormula>
    </tableColumn>
    <tableColumn id="3" xr3:uid="{993ADB14-4D9C-4411-BDDF-B4BF296F0830}" name="Objectnaam"/>
    <tableColumn id="4" xr3:uid="{69067A1A-04A4-48CC-9EB4-BCFEFC86EB00}" name="Start maand uitvoeren" totalsRowLabel="Totaal"/>
    <tableColumn id="12" xr3:uid="{EA0022D2-E5FB-4D06-BFF8-95D9949994AD}" name="Code taak"/>
    <tableColumn id="5" xr3:uid="{924CFC21-5EBE-479F-AA25-B8F78192BED3}" name="Activiteitsbeschrijving"/>
    <tableColumn id="6" xr3:uid="{2A5387DD-4C3B-4CB8-8A83-004ACCF3FCE7}" name="Jaren"/>
    <tableColumn id="7" xr3:uid="{45E96EE8-9BCC-4393-9C8F-CD9D4365129D}" name="Oppervlakte/Stuks"/>
    <tableColumn id="8" xr3:uid="{A663F64D-20E0-4FCD-AF8E-2F0B8372C6F0}" name="Meeteenheid"/>
    <tableColumn id="9" xr3:uid="{FE79D6FA-CC68-44E3-9394-0F7B1919E9FD}" name="Frequentie (uitv./jaar)"/>
    <tableColumn id="10" xr3:uid="{0D204711-F585-4A67-BDFE-FF014B920DEB}" name="Kosten/jaar excl. BTW" totalsRowFunction="sum" totalsRowDxfId="51" dataCellStyle="Valuta">
      <calculatedColumnFormula>VLOOKUP(Tabel16[[#This Row],[Code taak]],InvulMJOP[],3,FALSE)*Tabel16[[#This Row],[Oppervlakte/Stuks]]*Tabel16[[#This Row],[Frequentie (uitv./jaar)]]</calculatedColumnFormula>
    </tableColumn>
    <tableColumn id="11" xr3:uid="{8DDB7228-0A10-4CA4-B913-4ACF52707B37}" name="Opmerking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50" dataDxfId="49" totalsRowDxfId="48">
  <autoFilter ref="B8:D36" xr:uid="{00000000-0009-0000-0100-00000B000000}"/>
  <tableColumns count="3">
    <tableColumn id="1" xr3:uid="{00000000-0010-0000-0B00-000001000000}" name="Werkzaamheid" totalsRowLabel="Totaal" totalsRowDxfId="47"/>
    <tableColumn id="2" xr3:uid="{00000000-0010-0000-0B00-000002000000}" name="Eenheid" totalsRowDxfId="46"/>
    <tableColumn id="3" xr3:uid="{00000000-0010-0000-0B00-000003000000}" name="Prijs excl. BTW" dataDxfId="45" totalsRowDxfId="4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F24" totalsRowCount="1" headerRowDxfId="43" dataDxfId="41" totalsRowDxfId="39" headerRowBorderDxfId="42" tableBorderDxfId="40">
  <autoFilter ref="A6:F23" xr:uid="{00000000-0009-0000-0100-00000E000000}"/>
  <tableColumns count="6">
    <tableColumn id="8" xr3:uid="{00000000-0010-0000-0C00-000008000000}" name="Code Locatie" dataDxfId="38" totalsRowDxfId="37"/>
    <tableColumn id="1" xr3:uid="{00000000-0010-0000-0C00-000001000000}" name="Locatie" totalsRowLabel="Totaal" dataDxfId="36" totalsRowDxfId="35"/>
    <tableColumn id="2" xr3:uid="{00000000-0010-0000-0C00-000002000000}" name="Oppervlakte i/o" totalsRowFunction="sum" dataDxfId="34" totalsRowDxfId="33"/>
    <tableColumn id="3" xr3:uid="{00000000-0010-0000-0C00-000003000000}" name="Prest. (m2 /jaar)" totalsRowFunction="sum" dataDxfId="32" totalsRowDxfId="31"/>
    <tableColumn id="4" xr3:uid="{00000000-0010-0000-0C00-000004000000}" name="Uren / jaar" totalsRowFunction="sum" dataDxfId="30" totalsRowDxfId="29"/>
    <tableColumn id="6" xr3:uid="{00000000-0010-0000-0C00-000006000000}" name="Kosten / jaar" totalsRowFunction="sum" dataDxfId="28" totalsRowDxfId="27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27:H46" totalsRowCount="1" headerRowDxfId="26" dataDxfId="24" totalsRowDxfId="22" headerRowBorderDxfId="25" tableBorderDxfId="23">
  <autoFilter ref="A27:H45" xr:uid="{00000000-0009-0000-0100-00000F000000}"/>
  <tableColumns count="8">
    <tableColumn id="8" xr3:uid="{00000000-0010-0000-0D00-000008000000}" name="Code Locatie" dataDxfId="21" totalsRowDxfId="20" dataCellStyle="Komma"/>
    <tableColumn id="1" xr3:uid="{00000000-0010-0000-0D00-000001000000}" name="Locaties" totalsRowLabel="Totaal" dataDxfId="19" totalsRowDxfId="18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17" totalsRowDxfId="16">
      <calculatedColumnFormula>SUMIF('Ruimtestaat'!A:A,Totalisatie[[#This Row],[Code Locatie]],'Ruimtestaat'!AH:AH)</calculatedColumnFormula>
    </tableColumn>
    <tableColumn id="6" xr3:uid="{00000000-0010-0000-0D00-000006000000}" name="Glasbewassing_x000a_Kosten / jaar" totalsRowFunction="sum" dataDxfId="15" totalsRowDxfId="14">
      <calculatedColumnFormula>SUMIF(Glasbewassing!$A$22:$A$99,Totalisatie[[#This Row],[Code Locatie]],Glasbewassing!$G$22:$G$99)</calculatedColumnFormula>
    </tableColumn>
    <tableColumn id="2" xr3:uid="{00000000-0010-0000-0D00-000002000000}" name="Vloeronderhoud_x000a_Kosten / jaar" totalsRowFunction="sum" dataDxfId="13" totalsRowDxfId="12">
      <calculatedColumnFormula>SUMIF(Vloeronderhoud!$A$19:$A$138,Totalisatie[[#This Row],[Code Locatie]],Vloeronderhoud!$H$19:$H$138)</calculatedColumnFormula>
    </tableColumn>
    <tableColumn id="3" xr3:uid="{8FB851B9-D9F8-43D4-9890-F0A63473C934}" name="Extra werkzaamheden_x000a_Kosten / jaar" totalsRowFunction="sum" dataDxfId="2" totalsRowDxfId="11">
      <calculatedColumnFormula>SUMIF(OverzichtExtraW[],Totalisatie[[#This Row],[Code Locatie]],OverzichtExtraW[Kosten/jaar excl. BTW])</calculatedColumnFormula>
    </tableColumn>
    <tableColumn id="7" xr3:uid="{E782B655-AD4E-4A09-B540-66A21CB0D095}" name="MJOP" totalsRowLabel=" € -   " dataDxfId="0" totalsRowDxfId="10">
      <calculatedColumnFormula>SUMIF(Tabel16[#All],Totalisatie[[#This Row],[Code Locatie]],Tabel16[Kosten/jaar excl. BTW])</calculatedColumnFormula>
    </tableColumn>
    <tableColumn id="5" xr3:uid="{2A8C3CF1-513F-4CAD-A439-3F5FCA3E0363}" name="Totaalprijs_x000a_Kosten / jaar" totalsRowFunction="sum" dataDxfId="1" totalsRowDxfId="9">
      <calculatedColumnFormula>SUM(Totalisatie[[#This Row],[Schoonmaakonderhoud
Kosten / jaar]:[MJOP]])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50:F55" totalsRowShown="0" headerRowDxfId="202" dataDxfId="201">
  <autoFilter ref="A50:F55" xr:uid="{00000000-0009-0000-0100-000007000000}"/>
  <tableColumns count="6">
    <tableColumn id="1" xr3:uid="{00000000-0010-0000-0100-000001000000}" name="Code" dataDxfId="200"/>
    <tableColumn id="4" xr3:uid="{00000000-0010-0000-0100-000004000000}" name="Naam" dataDxfId="199"/>
    <tableColumn id="5" xr3:uid="{00000000-0010-0000-0100-000005000000}" name="Aanpassing norm" dataDxfId="198" dataCellStyle="Procent"/>
    <tableColumn id="2" xr3:uid="{00000000-0010-0000-0100-000002000000}" name="Vloersoort omschrijving" dataDxfId="197" dataCellStyle="Standaard 4"/>
    <tableColumn id="7" xr3:uid="{00000000-0010-0000-0100-000007000000}" name="Kolom2" dataDxfId="196" dataCellStyle="Standaard 4"/>
    <tableColumn id="6" xr3:uid="{00000000-0010-0000-0100-000006000000}" name="Kolom1" dataDxfId="195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58:D68" totalsRowShown="0" headerRowDxfId="194" dataDxfId="193">
  <autoFilter ref="A58:D68" xr:uid="{00000000-0009-0000-0100-000008000000}"/>
  <tableColumns count="4">
    <tableColumn id="1" xr3:uid="{00000000-0010-0000-0200-000001000000}" name="Code" dataDxfId="192" dataCellStyle="Standaard 4"/>
    <tableColumn id="2" xr3:uid="{00000000-0010-0000-0200-000002000000}" name="Frequentie omschrijving" dataDxfId="191" dataCellStyle="Standaard 4"/>
    <tableColumn id="3" xr3:uid="{00000000-0010-0000-0200-000003000000}" name="Aanpassing norm" dataDxfId="190" dataCellStyle="Procent"/>
    <tableColumn id="4" xr3:uid="{00000000-0010-0000-0200-000004000000}" name="Uitvoeringen" dataDxfId="189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24" totalsRowShown="0" dataDxfId="188">
  <autoFilter ref="A6:F24" xr:uid="{00000000-0009-0000-0100-00000D000000}"/>
  <tableColumns count="6">
    <tableColumn id="1" xr3:uid="{00000000-0010-0000-0300-000001000000}" name="Code" dataDxfId="187"/>
    <tableColumn id="2" xr3:uid="{00000000-0010-0000-0300-000002000000}" name="Locatie" dataDxfId="186"/>
    <tableColumn id="7" xr3:uid="{00000000-0010-0000-0300-000007000000}" name="Aanpassing norm" dataDxfId="185"/>
    <tableColumn id="3" xr3:uid="{00000000-0010-0000-0300-000003000000}" name="Adres" dataDxfId="184" dataCellStyle="Standaard 4"/>
    <tableColumn id="4" xr3:uid="{00000000-0010-0000-0300-000004000000}" name="Postcode" dataDxfId="183"/>
    <tableColumn id="5" xr3:uid="{00000000-0010-0000-0300-000005000000}" name="Plaats" dataDxfId="18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H1261" totalsRowShown="0" headerRowDxfId="181" dataDxfId="180">
  <autoFilter ref="A4:AH1261" xr:uid="{B78C5E8C-24C7-4A23-AB0F-63FB43A90518}"/>
  <tableColumns count="34">
    <tableColumn id="32" xr3:uid="{00000000-0010-0000-0400-000020000000}" name="Code" dataDxfId="179"/>
    <tableColumn id="1" xr3:uid="{00000000-0010-0000-0400-000001000000}" name="Locatie" dataDxfId="178"/>
    <tableColumn id="3" xr3:uid="{00000000-0010-0000-0400-000003000000}" name="Adres" dataDxfId="177">
      <calculatedColumnFormula>VLOOKUP(Ruimtestaat[[#This Row],[Code]],Locaties[#All],4,FALSE)</calculatedColumnFormula>
    </tableColumn>
    <tableColumn id="4" xr3:uid="{00000000-0010-0000-0400-000004000000}" name="Postcode" dataDxfId="176">
      <calculatedColumnFormula>VLOOKUP(Ruimtestaat[[#This Row],[Code]],Locaties[#All],5,FALSE)</calculatedColumnFormula>
    </tableColumn>
    <tableColumn id="5" xr3:uid="{00000000-0010-0000-0400-000005000000}" name="Plaats" dataDxfId="175">
      <calculatedColumnFormula>VLOOKUP(Ruimtestaat[[#This Row],[Code]],Locaties[#All],6,FALSE)</calculatedColumnFormula>
    </tableColumn>
    <tableColumn id="2" xr3:uid="{00000000-0010-0000-0400-000002000000}" name="Gebouw gedeelte" dataDxfId="174"/>
    <tableColumn id="6" xr3:uid="{00000000-0010-0000-0400-000006000000}" name="Etage" dataDxfId="173"/>
    <tableColumn id="33" xr3:uid="{FF77F39E-BD37-4ACB-A3C8-4C504E330035}" name="ruimte-nummer plattegrond" dataDxfId="172"/>
    <tableColumn id="7" xr3:uid="{00000000-0010-0000-0400-000007000000}" name="Ruimte- _x000a_nummer" dataDxfId="171"/>
    <tableColumn id="8" xr3:uid="{00000000-0010-0000-0400-000008000000}" name="Ruimte omschrijving" dataDxfId="170"/>
    <tableColumn id="9" xr3:uid="{00000000-0010-0000-0400-000009000000}" name="Ruimte code" dataDxfId="169"/>
    <tableColumn id="10" xr3:uid="{00000000-0010-0000-0400-00000A000000}" name="Ruimtesoort" dataDxfId="168">
      <calculatedColumnFormula>VLOOKUP(Ruimtestaat[[#This Row],[Ruimte code]],Ruimtegroepen[#All],2,FALSE)</calculatedColumnFormula>
    </tableColumn>
    <tableColumn id="11" xr3:uid="{00000000-0010-0000-0400-00000B000000}" name="Vloer code" dataDxfId="167"/>
    <tableColumn id="12" xr3:uid="{00000000-0010-0000-0400-00000C000000}" name="Vloer afwerking" dataDxfId="166"/>
    <tableColumn id="13" xr3:uid="{00000000-0010-0000-0400-00000D000000}" name="Oppervlak (netto)" dataDxfId="165"/>
    <tableColumn id="14" xr3:uid="{00000000-0010-0000-0400-00000E000000}" name="Oppervlakte n.i.o." dataDxfId="164"/>
    <tableColumn id="15" xr3:uid="{00000000-0010-0000-0400-00000F000000}" name="Inspectie categorie" dataDxfId="163">
      <calculatedColumnFormula>VLOOKUP(Ruimtestaat[[#This Row],[Ruimte code]],Ruimtegroepen[#All],4,FALSE)</calculatedColumnFormula>
    </tableColumn>
    <tableColumn id="16" xr3:uid="{00000000-0010-0000-0400-000010000000}" name="Opmerking 1" dataDxfId="162"/>
    <tableColumn id="17" xr3:uid="{00000000-0010-0000-0400-000011000000}" name="Aantal weken/jr" dataDxfId="161"/>
    <tableColumn id="18" xr3:uid="{00000000-0010-0000-0400-000012000000}" name="Ruimte gebruiks-intentie" dataDxfId="160"/>
    <tableColumn id="19" xr3:uid="{00000000-0010-0000-0400-000013000000}" name="Uitvoeringen werkdagen" dataDxfId="159"/>
    <tableColumn id="20" xr3:uid="{00000000-0010-0000-0400-000014000000}" name="Norm (m2/uur) werkdagen" dataDxfId="158">
      <calculatedColumnFormula>IF(U5&gt;0,VLOOKUP($K5,Ruimtegroepen[],3,FALSE)*VLOOKUP($M5,Vloersoorten[],3,FALSE)*VLOOKUP($T5,Frequenties[],3,FALSE)*VLOOKUP($A5,Locaties[],3,FALSE),0)</calculatedColumnFormula>
    </tableColumn>
    <tableColumn id="21" xr3:uid="{00000000-0010-0000-0400-000015000000}" name="Prest. (m2 /jaar) werkdagen" dataDxfId="157">
      <calculatedColumnFormula>Ruimtestaat[[#This Row],[Uitvoeringen werkdagen]]*Ruimtestaat[[#This Row],[Oppervlak (netto)]]</calculatedColumnFormula>
    </tableColumn>
    <tableColumn id="22" xr3:uid="{00000000-0010-0000-0400-000016000000}" name="uren / jaar werkdagen" dataDxfId="156" dataCellStyle="Komma">
      <calculatedColumnFormula>IF(V5&gt;0,Ruimtestaat[[#This Row],[Prest. (m2 /jaar) werkdagen]]/Ruimtestaat[[#This Row],[Norm (m2/uur) werkdagen]],0)</calculatedColumnFormula>
    </tableColumn>
    <tableColumn id="23" xr3:uid="{00000000-0010-0000-0400-000017000000}" name="kosten / jaar werkdagen" dataDxfId="155" dataCellStyle="Valuta">
      <calculatedColumnFormula>Ruimtestaat[[#This Row],[uren / jaar werkdagen]]*Tariefsopbouw!$D$38</calculatedColumnFormula>
    </tableColumn>
    <tableColumn id="24" xr3:uid="{00000000-0010-0000-0400-000018000000}" name="Frequentie weekend" dataDxfId="154"/>
    <tableColumn id="38" xr3:uid="{00000000-0010-0000-0400-000026000000}" name="Uitvoeringen weekend" dataDxfId="153">
      <calculatedColumnFormula>IF(Ruimtestaat[[#This Row],[Frequentie weekend]]&gt;0,VALUE(LEFT(Z5,1))*S5,0)</calculatedColumnFormula>
    </tableColumn>
    <tableColumn id="25" xr3:uid="{00000000-0010-0000-0400-000019000000}" name="Norm (m2/uur) weekend" dataDxfId="152">
      <calculatedColumnFormula>IF($AA5&gt;0,VLOOKUP($K5,Ruimtegroepen[],3,FALSE)*VLOOKUP($M5,Vloersoorten[],3,FALSE)*VLOOKUP($Z5,Frequenties[],3,FALSE)*VLOOKUP(#REF!,Locaties[],3,FALSE),0)</calculatedColumnFormula>
    </tableColumn>
    <tableColumn id="26" xr3:uid="{00000000-0010-0000-0400-00001A000000}" name="Prest. (m2 /jaar) weekend" dataDxfId="151"/>
    <tableColumn id="27" xr3:uid="{00000000-0010-0000-0400-00001B000000}" name="uren / jaar weekend" dataDxfId="150"/>
    <tableColumn id="28" xr3:uid="{00000000-0010-0000-0400-00001C000000}" name="kosten / jaar weekend" dataDxfId="149">
      <calculatedColumnFormula>Ruimtestaat[[#This Row],[uren / jaar weekend]]*Tariefsopbouw!$D$40</calculatedColumnFormula>
    </tableColumn>
    <tableColumn id="29" xr3:uid="{00000000-0010-0000-0400-00001D000000}" name="Prest. (m2 /jaar)" dataDxfId="148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47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46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20" totalsRowShown="0" headerRowDxfId="145">
  <autoFilter ref="A8:I20" xr:uid="{00000000-0009-0000-0100-000003000000}"/>
  <tableColumns count="9">
    <tableColumn id="1" xr3:uid="{00000000-0010-0000-0500-000001000000}" name="Code taak" dataDxfId="144"/>
    <tableColumn id="2" xr3:uid="{00000000-0010-0000-0500-000002000000}" name="Glassoort/voorziening"/>
    <tableColumn id="3" xr3:uid="{00000000-0010-0000-0500-000003000000}" name="Prijs excl. BTW" dataDxfId="143"/>
    <tableColumn id="4" xr3:uid="{00000000-0010-0000-0500-000004000000}" name="Eenheid" dataDxfId="8"/>
    <tableColumn id="5" xr3:uid="{CC43D47B-51D1-48C7-9FBE-6228B4D72C08}" name="2023" dataDxfId="7" dataCellStyle="Valuta">
      <calculatedColumnFormula>(InvulGlas[[#This Row],[Prijs excl. BTW]]*Tariefsopbouw!$I$35)+InvulGlas[[#This Row],[Prijs excl. BTW]]</calculatedColumnFormula>
    </tableColumn>
    <tableColumn id="6" xr3:uid="{14AF2224-D978-4323-B50E-296D91A6AA97}" name="2024" dataDxfId="6" dataCellStyle="Valuta">
      <calculatedColumnFormula>E9*Tariefsopbouw!$K$35+Glasbewassing!E9</calculatedColumnFormula>
    </tableColumn>
    <tableColumn id="7" xr3:uid="{C18EB174-680A-4DCC-A57F-327D4F1C3675}" name="2025" dataDxfId="5" dataCellStyle="Valuta">
      <calculatedColumnFormula>F9*Tariefsopbouw!$M$35+Glasbewassing!F9</calculatedColumnFormula>
    </tableColumn>
    <tableColumn id="8" xr3:uid="{2002E41E-1578-4095-8CE5-943025AA110B}" name="2026" dataDxfId="4" dataCellStyle="Valuta">
      <calculatedColumnFormula>G10*Tariefsopbouw!$O$35+Glasbewassing!G10</calculatedColumnFormula>
    </tableColumn>
    <tableColumn id="9" xr3:uid="{95B9447D-2760-430F-8929-530FC65F506E}" name="2027" dataDxfId="3" dataCellStyle="Valuta">
      <calculatedColumnFormula>H9*Tariefsopbouw!$Q$35+Glasbewassing!H9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2:I100" totalsRowCount="1" headerRowDxfId="142" dataDxfId="141" totalsRowDxfId="140">
  <autoFilter ref="A22:I99" xr:uid="{00000000-0009-0000-0100-000004000000}"/>
  <tableColumns count="9">
    <tableColumn id="1" xr3:uid="{00000000-0010-0000-0600-000001000000}" name="Code Locatie" totalsRowLabel="Totaal" dataDxfId="139" totalsRowDxfId="138"/>
    <tableColumn id="2" xr3:uid="{00000000-0010-0000-0600-000002000000}" name="Locatie" dataDxfId="137" totalsRowDxfId="136">
      <calculatedColumnFormula>VLOOKUP(OverzichtGlas[[#This Row],[Code Locatie]],Locaties[],2,0)</calculatedColumnFormula>
    </tableColumn>
    <tableColumn id="3" xr3:uid="{00000000-0010-0000-0600-000003000000}" name="Code taak" dataDxfId="135" totalsRowDxfId="134"/>
    <tableColumn id="4" xr3:uid="{00000000-0010-0000-0600-000004000000}" name="Glassoort/voorziening" dataDxfId="133" totalsRowDxfId="132">
      <calculatedColumnFormula>IF(Glasbewassing!$C23&gt;0,VLOOKUP(Glasbewassing!$C23,$A$8:$B$20,2,FALSE),"Hier vult u de inzet van eventuele hoogwerkers in")</calculatedColumnFormula>
    </tableColumn>
    <tableColumn id="5" xr3:uid="{00000000-0010-0000-0600-000005000000}" name="Oppervlakte of dagen" dataDxfId="131" totalsRowDxfId="130"/>
    <tableColumn id="7" xr3:uid="{00000000-0010-0000-0600-000007000000}" name="Frequentie" dataDxfId="129" totalsRowDxfId="128"/>
    <tableColumn id="8" xr3:uid="{00000000-0010-0000-0600-000008000000}" name="Kosten/jaar excl. BTW" totalsRowFunction="sum" dataDxfId="127" totalsRowDxfId="126">
      <calculatedColumnFormula>IF(C23&gt;0,VLOOKUP(OverzichtGlas[[#This Row],[Code taak]],InvulGlas[],3,0)*E23*F23,0)</calculatedColumnFormula>
    </tableColumn>
    <tableColumn id="6" xr3:uid="{4D2053F5-2672-4253-97DB-BADFA15B7DFB}" name="Kolom1" dataDxfId="125" totalsRowDxfId="124"/>
    <tableColumn id="9" xr3:uid="{AFAC4A31-B9FA-4CC9-92C4-8E5EB7555A65}" name="Kolom2" dataDxfId="123" totalsRowDxfId="12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6" totalsRowShown="0" headerRowDxfId="121">
  <autoFilter ref="A8:I16" xr:uid="{00000000-0009-0000-0100-000001000000}"/>
  <tableColumns count="9">
    <tableColumn id="1" xr3:uid="{00000000-0010-0000-0700-000001000000}" name="Code Taak" dataDxfId="120" dataCellStyle="Komma"/>
    <tableColumn id="2" xr3:uid="{00000000-0010-0000-0700-000002000000}" name="Werkzaamheden"/>
    <tableColumn id="3" xr3:uid="{00000000-0010-0000-0700-000003000000}" name="Prijs" dataDxfId="119"/>
    <tableColumn id="4" xr3:uid="{00000000-0010-0000-0700-000004000000}" name="Omschrijving2" dataDxfId="118"/>
    <tableColumn id="5" xr3:uid="{8DD3E179-6B7B-4CB1-A28F-5B8ADA215124}" name="2023" dataDxfId="117" dataCellStyle="Valuta"/>
    <tableColumn id="6" xr3:uid="{BB6E692A-46D1-42B6-A2AC-B4AAABCA88E4}" name="2024" dataDxfId="116" dataCellStyle="Valuta"/>
    <tableColumn id="7" xr3:uid="{6BFC02B3-9153-4384-A0A7-3FBFD6F25134}" name="2025" dataDxfId="115" dataCellStyle="Valuta"/>
    <tableColumn id="8" xr3:uid="{228E54AD-BFA8-4C70-8624-B963D0DBB212}" name="2026" dataDxfId="114" dataCellStyle="Valuta"/>
    <tableColumn id="9" xr3:uid="{2398F346-59C2-4DEF-820B-7FDF89228FD6}" name="2027" dataDxfId="113" dataCellStyle="Valu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18:I138" totalsRowCount="1" headerRowDxfId="112" dataDxfId="111" totalsRowDxfId="110">
  <autoFilter ref="A18:I137" xr:uid="{00000000-0009-0000-0100-000002000000}"/>
  <tableColumns count="9">
    <tableColumn id="11" xr3:uid="{00000000-0010-0000-0800-00000B000000}" name="Code Locatie" dataDxfId="109" totalsRowDxfId="108" dataCellStyle="Komma"/>
    <tableColumn id="1" xr3:uid="{00000000-0010-0000-0800-000001000000}" name="Locatie" totalsRowLabel="Totaal" dataDxfId="107" totalsRowDxfId="106"/>
    <tableColumn id="3" xr3:uid="{00000000-0010-0000-0800-000003000000}" name="Code Taak" dataDxfId="105" totalsRowDxfId="104"/>
    <tableColumn id="4" xr3:uid="{00000000-0010-0000-0800-000004000000}" name="Vloersoort / toelichting" dataDxfId="103" totalsRowDxfId="102">
      <calculatedColumnFormula>IF(Vloeronderhoud!$C19&gt;0,VLOOKUP(Vloeronderhoud!$C19,$A$8:$B$16,2,FALSE),"")</calculatedColumnFormula>
    </tableColumn>
    <tableColumn id="5" xr3:uid="{00000000-0010-0000-0800-000005000000}" name="Vloersoort" dataDxfId="101" totalsRowDxfId="100"/>
    <tableColumn id="6" xr3:uid="{00000000-0010-0000-0800-000006000000}" name="Oppervlakte" dataDxfId="99" totalsRowDxfId="98">
      <calculatedColumnFormula>SUMIFS('Ruimtestaat'!$O:$O,'Ruimtestaat'!M:M,Vloeronderhoud!E19,'Ruimtestaat'!A:A,Vloeronderhoud!A19)</calculatedColumnFormula>
    </tableColumn>
    <tableColumn id="8" xr3:uid="{00000000-0010-0000-0800-000008000000}" name="Frequentie (uitv./jaar)" dataDxfId="97" totalsRowDxfId="96"/>
    <tableColumn id="9" xr3:uid="{00000000-0010-0000-0800-000009000000}" name="Kosten/jaar excl. BTW" totalsRowFunction="sum" dataDxfId="95" totalsRowDxfId="94">
      <calculatedColumnFormula>G19*#REF!*F19</calculatedColumnFormula>
    </tableColumn>
    <tableColumn id="2" xr3:uid="{3D57AF76-12E7-4FE8-AC08-4DCCC94E1733}" name="Opmerking" dataDxfId="93" totalsRowDxfId="9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>
    <pageSetUpPr fitToPage="1"/>
  </sheetPr>
  <dimension ref="A1:D91"/>
  <sheetViews>
    <sheetView zoomScaleNormal="100" workbookViewId="0">
      <selection sqref="A1:D1"/>
    </sheetView>
  </sheetViews>
  <sheetFormatPr defaultColWidth="9" defaultRowHeight="12.75"/>
  <cols>
    <col min="1" max="1" width="29.59765625" style="179" customWidth="1"/>
    <col min="2" max="2" width="33.265625" style="179" customWidth="1"/>
    <col min="3" max="3" width="45.3984375" style="179" bestFit="1" customWidth="1"/>
    <col min="4" max="4" width="54" style="179" customWidth="1"/>
    <col min="5" max="16384" width="9" style="173"/>
  </cols>
  <sheetData>
    <row r="1" spans="1:4" ht="14.25" customHeight="1">
      <c r="A1" s="309" t="s">
        <v>266</v>
      </c>
      <c r="B1" s="310"/>
      <c r="C1" s="310"/>
      <c r="D1" s="311"/>
    </row>
    <row r="2" spans="1:4">
      <c r="A2" s="197" t="s">
        <v>267</v>
      </c>
      <c r="B2" s="197" t="s">
        <v>268</v>
      </c>
      <c r="C2" s="197" t="s">
        <v>269</v>
      </c>
      <c r="D2" s="197" t="s">
        <v>270</v>
      </c>
    </row>
    <row r="3" spans="1:4">
      <c r="A3" s="197"/>
      <c r="B3" s="197"/>
      <c r="C3" s="197"/>
      <c r="D3" s="197" t="s">
        <v>271</v>
      </c>
    </row>
    <row r="4" spans="1:4">
      <c r="A4" s="197" t="s">
        <v>272</v>
      </c>
      <c r="B4" s="197"/>
      <c r="C4" s="197"/>
      <c r="D4" s="197"/>
    </row>
    <row r="5" spans="1:4" ht="25.5">
      <c r="A5" s="174" t="s">
        <v>273</v>
      </c>
      <c r="B5" s="174"/>
      <c r="C5" s="175" t="s">
        <v>274</v>
      </c>
      <c r="D5" s="175"/>
    </row>
    <row r="6" spans="1:4" ht="25.5">
      <c r="A6" s="174" t="s">
        <v>275</v>
      </c>
      <c r="B6" s="174" t="s">
        <v>276</v>
      </c>
      <c r="C6" s="175" t="s">
        <v>277</v>
      </c>
      <c r="D6" s="175" t="s">
        <v>278</v>
      </c>
    </row>
    <row r="7" spans="1:4">
      <c r="A7" s="174" t="s">
        <v>279</v>
      </c>
      <c r="B7" s="174" t="s">
        <v>276</v>
      </c>
      <c r="C7" s="175" t="s">
        <v>277</v>
      </c>
      <c r="D7" s="175" t="s">
        <v>280</v>
      </c>
    </row>
    <row r="8" spans="1:4" ht="25.5">
      <c r="A8" s="174" t="s">
        <v>281</v>
      </c>
      <c r="B8" s="174" t="s">
        <v>282</v>
      </c>
      <c r="C8" s="175" t="s">
        <v>283</v>
      </c>
      <c r="D8" s="175" t="s">
        <v>284</v>
      </c>
    </row>
    <row r="9" spans="1:4" ht="25.5">
      <c r="A9" s="174" t="s">
        <v>281</v>
      </c>
      <c r="B9" s="174" t="s">
        <v>285</v>
      </c>
      <c r="C9" s="175" t="s">
        <v>286</v>
      </c>
      <c r="D9" s="175" t="s">
        <v>284</v>
      </c>
    </row>
    <row r="10" spans="1:4">
      <c r="A10" s="174" t="s">
        <v>287</v>
      </c>
      <c r="B10" s="174" t="s">
        <v>285</v>
      </c>
      <c r="C10" s="175" t="s">
        <v>288</v>
      </c>
      <c r="D10" s="175"/>
    </row>
    <row r="11" spans="1:4" ht="30" customHeight="1">
      <c r="A11" s="174" t="s">
        <v>289</v>
      </c>
      <c r="B11" s="174" t="s">
        <v>276</v>
      </c>
      <c r="C11" s="175" t="s">
        <v>277</v>
      </c>
      <c r="D11" s="175" t="s">
        <v>290</v>
      </c>
    </row>
    <row r="12" spans="1:4">
      <c r="A12" s="174" t="s">
        <v>291</v>
      </c>
      <c r="B12" s="174" t="s">
        <v>276</v>
      </c>
      <c r="C12" s="175" t="s">
        <v>277</v>
      </c>
      <c r="D12" s="174" t="s">
        <v>292</v>
      </c>
    </row>
    <row r="13" spans="1:4">
      <c r="A13" s="176" t="s">
        <v>293</v>
      </c>
      <c r="B13" s="176" t="s">
        <v>276</v>
      </c>
      <c r="C13" s="177" t="s">
        <v>277</v>
      </c>
      <c r="D13" s="177" t="s">
        <v>294</v>
      </c>
    </row>
    <row r="14" spans="1:4" ht="25.5">
      <c r="A14" s="174" t="s">
        <v>295</v>
      </c>
      <c r="B14" s="174" t="s">
        <v>276</v>
      </c>
      <c r="C14" s="175" t="s">
        <v>277</v>
      </c>
      <c r="D14" s="175" t="s">
        <v>296</v>
      </c>
    </row>
    <row r="15" spans="1:4">
      <c r="A15" s="174" t="s">
        <v>287</v>
      </c>
      <c r="B15" s="174" t="s">
        <v>285</v>
      </c>
      <c r="C15" s="175" t="s">
        <v>288</v>
      </c>
      <c r="D15" s="178"/>
    </row>
    <row r="16" spans="1:4" ht="25.5">
      <c r="A16" s="174" t="s">
        <v>297</v>
      </c>
      <c r="B16" s="174" t="s">
        <v>285</v>
      </c>
      <c r="C16" s="175" t="s">
        <v>277</v>
      </c>
      <c r="D16" s="175" t="s">
        <v>298</v>
      </c>
    </row>
    <row r="17" spans="1:4" ht="25.5">
      <c r="A17" s="174" t="s">
        <v>299</v>
      </c>
      <c r="B17" s="174" t="s">
        <v>276</v>
      </c>
      <c r="C17" s="175" t="s">
        <v>277</v>
      </c>
      <c r="D17" s="178" t="s">
        <v>300</v>
      </c>
    </row>
    <row r="18" spans="1:4">
      <c r="A18" s="174" t="s">
        <v>301</v>
      </c>
      <c r="B18" s="174" t="s">
        <v>276</v>
      </c>
      <c r="C18" s="175" t="s">
        <v>277</v>
      </c>
      <c r="D18" s="178" t="s">
        <v>302</v>
      </c>
    </row>
    <row r="19" spans="1:4" ht="25.5">
      <c r="A19" s="174" t="s">
        <v>303</v>
      </c>
      <c r="B19" s="174" t="s">
        <v>285</v>
      </c>
      <c r="C19" s="175" t="s">
        <v>277</v>
      </c>
      <c r="D19" s="178" t="s">
        <v>296</v>
      </c>
    </row>
    <row r="20" spans="1:4">
      <c r="A20" s="174" t="s">
        <v>304</v>
      </c>
      <c r="B20" s="174" t="s">
        <v>276</v>
      </c>
      <c r="C20" s="175" t="s">
        <v>277</v>
      </c>
      <c r="D20" s="178" t="s">
        <v>302</v>
      </c>
    </row>
    <row r="21" spans="1:4">
      <c r="A21" s="174" t="s">
        <v>305</v>
      </c>
      <c r="B21" s="174" t="s">
        <v>306</v>
      </c>
      <c r="C21" s="175" t="s">
        <v>307</v>
      </c>
      <c r="D21" s="178"/>
    </row>
    <row r="22" spans="1:4" ht="25.5">
      <c r="A22" s="174" t="s">
        <v>305</v>
      </c>
      <c r="B22" s="174" t="s">
        <v>285</v>
      </c>
      <c r="C22" s="175" t="s">
        <v>277</v>
      </c>
      <c r="D22" s="178" t="s">
        <v>300</v>
      </c>
    </row>
    <row r="23" spans="1:4" ht="25.5">
      <c r="A23" s="174" t="s">
        <v>308</v>
      </c>
      <c r="B23" s="174" t="s">
        <v>276</v>
      </c>
      <c r="C23" s="175" t="s">
        <v>277</v>
      </c>
      <c r="D23" s="178" t="s">
        <v>309</v>
      </c>
    </row>
    <row r="24" spans="1:4" ht="25.5">
      <c r="A24" s="174" t="s">
        <v>310</v>
      </c>
      <c r="B24" s="174" t="s">
        <v>276</v>
      </c>
      <c r="C24" s="175" t="s">
        <v>277</v>
      </c>
      <c r="D24" s="178" t="s">
        <v>311</v>
      </c>
    </row>
    <row r="25" spans="1:4" ht="25.5">
      <c r="A25" s="174" t="s">
        <v>312</v>
      </c>
      <c r="B25" s="174" t="s">
        <v>276</v>
      </c>
      <c r="C25" s="175" t="s">
        <v>277</v>
      </c>
      <c r="D25" s="178" t="s">
        <v>313</v>
      </c>
    </row>
    <row r="26" spans="1:4" ht="25.5">
      <c r="A26" s="174" t="s">
        <v>314</v>
      </c>
      <c r="B26" s="174" t="s">
        <v>276</v>
      </c>
      <c r="C26" s="175" t="s">
        <v>277</v>
      </c>
      <c r="D26" s="178" t="s">
        <v>309</v>
      </c>
    </row>
    <row r="27" spans="1:4" ht="25.5">
      <c r="A27" s="174" t="s">
        <v>315</v>
      </c>
      <c r="B27" s="174" t="s">
        <v>285</v>
      </c>
      <c r="C27" s="175" t="s">
        <v>277</v>
      </c>
      <c r="D27" s="178" t="s">
        <v>316</v>
      </c>
    </row>
    <row r="28" spans="1:4" ht="25.5">
      <c r="A28" s="174" t="s">
        <v>317</v>
      </c>
      <c r="B28" s="174" t="s">
        <v>285</v>
      </c>
      <c r="C28" s="175" t="s">
        <v>277</v>
      </c>
      <c r="D28" s="178" t="s">
        <v>300</v>
      </c>
    </row>
    <row r="29" spans="1:4" ht="25.5">
      <c r="A29" s="174" t="s">
        <v>318</v>
      </c>
      <c r="B29" s="174" t="s">
        <v>276</v>
      </c>
      <c r="C29" s="175" t="s">
        <v>277</v>
      </c>
      <c r="D29" s="178" t="s">
        <v>300</v>
      </c>
    </row>
    <row r="30" spans="1:4" ht="25.5">
      <c r="A30" s="174" t="s">
        <v>319</v>
      </c>
      <c r="B30" s="174" t="s">
        <v>285</v>
      </c>
      <c r="C30" s="175" t="s">
        <v>277</v>
      </c>
      <c r="D30" s="178" t="s">
        <v>300</v>
      </c>
    </row>
    <row r="31" spans="1:4">
      <c r="A31" s="197" t="s">
        <v>267</v>
      </c>
      <c r="B31" s="197" t="s">
        <v>268</v>
      </c>
      <c r="C31" s="197" t="s">
        <v>269</v>
      </c>
      <c r="D31" s="197" t="s">
        <v>270</v>
      </c>
    </row>
    <row r="32" spans="1:4">
      <c r="A32" s="197"/>
      <c r="B32" s="197"/>
      <c r="C32" s="197"/>
      <c r="D32" s="197" t="s">
        <v>271</v>
      </c>
    </row>
    <row r="33" spans="1:4">
      <c r="A33" s="197" t="s">
        <v>320</v>
      </c>
      <c r="B33" s="197"/>
      <c r="C33" s="197"/>
      <c r="D33" s="197"/>
    </row>
    <row r="34" spans="1:4" ht="25.5">
      <c r="A34" s="174" t="s">
        <v>273</v>
      </c>
      <c r="B34" s="174"/>
      <c r="C34" s="175" t="s">
        <v>321</v>
      </c>
      <c r="D34" s="178"/>
    </row>
    <row r="35" spans="1:4" ht="25.5">
      <c r="A35" s="303" t="s">
        <v>1280</v>
      </c>
      <c r="B35" s="174" t="s">
        <v>285</v>
      </c>
      <c r="C35" s="175" t="s">
        <v>277</v>
      </c>
      <c r="D35" s="178" t="s">
        <v>322</v>
      </c>
    </row>
    <row r="36" spans="1:4">
      <c r="A36" s="174" t="s">
        <v>323</v>
      </c>
      <c r="B36" s="174" t="s">
        <v>285</v>
      </c>
      <c r="C36" s="175" t="s">
        <v>277</v>
      </c>
      <c r="D36" s="178" t="s">
        <v>324</v>
      </c>
    </row>
    <row r="37" spans="1:4" ht="25.5">
      <c r="A37" s="174" t="s">
        <v>325</v>
      </c>
      <c r="B37" s="174" t="s">
        <v>276</v>
      </c>
      <c r="C37" s="175" t="s">
        <v>277</v>
      </c>
      <c r="D37" s="178" t="s">
        <v>326</v>
      </c>
    </row>
    <row r="38" spans="1:4" ht="25.5">
      <c r="A38" s="174" t="s">
        <v>297</v>
      </c>
      <c r="B38" s="174" t="s">
        <v>285</v>
      </c>
      <c r="C38" s="175" t="s">
        <v>277</v>
      </c>
      <c r="D38" s="175" t="s">
        <v>298</v>
      </c>
    </row>
    <row r="39" spans="1:4" ht="25.5">
      <c r="A39" s="174" t="s">
        <v>264</v>
      </c>
      <c r="B39" s="174" t="s">
        <v>285</v>
      </c>
      <c r="C39" s="175" t="s">
        <v>277</v>
      </c>
      <c r="D39" s="175" t="s">
        <v>322</v>
      </c>
    </row>
    <row r="40" spans="1:4" ht="25.5">
      <c r="A40" s="174" t="s">
        <v>327</v>
      </c>
      <c r="B40" s="174" t="s">
        <v>285</v>
      </c>
      <c r="C40" s="175" t="s">
        <v>277</v>
      </c>
      <c r="D40" s="175" t="s">
        <v>328</v>
      </c>
    </row>
    <row r="41" spans="1:4" ht="25.5">
      <c r="A41" s="174" t="s">
        <v>329</v>
      </c>
      <c r="B41" s="174" t="s">
        <v>285</v>
      </c>
      <c r="C41" s="175" t="s">
        <v>277</v>
      </c>
      <c r="D41" s="175" t="s">
        <v>330</v>
      </c>
    </row>
    <row r="42" spans="1:4">
      <c r="A42" s="174" t="s">
        <v>331</v>
      </c>
      <c r="B42" s="174" t="s">
        <v>276</v>
      </c>
      <c r="C42" s="175" t="s">
        <v>277</v>
      </c>
      <c r="D42" s="178" t="s">
        <v>292</v>
      </c>
    </row>
    <row r="43" spans="1:4" ht="25.5">
      <c r="A43" s="174" t="s">
        <v>332</v>
      </c>
      <c r="B43" s="174" t="s">
        <v>276</v>
      </c>
      <c r="C43" s="175" t="s">
        <v>277</v>
      </c>
      <c r="D43" s="178" t="s">
        <v>300</v>
      </c>
    </row>
    <row r="44" spans="1:4" ht="25.5">
      <c r="A44" s="174" t="s">
        <v>333</v>
      </c>
      <c r="B44" s="174" t="s">
        <v>285</v>
      </c>
      <c r="C44" s="175" t="s">
        <v>277</v>
      </c>
      <c r="D44" s="178" t="s">
        <v>334</v>
      </c>
    </row>
    <row r="45" spans="1:4" ht="25.5">
      <c r="A45" s="174" t="s">
        <v>335</v>
      </c>
      <c r="B45" s="174" t="s">
        <v>285</v>
      </c>
      <c r="C45" s="175" t="s">
        <v>277</v>
      </c>
      <c r="D45" s="178" t="s">
        <v>336</v>
      </c>
    </row>
    <row r="46" spans="1:4" ht="25.5">
      <c r="A46" s="174" t="s">
        <v>337</v>
      </c>
      <c r="B46" s="174" t="s">
        <v>285</v>
      </c>
      <c r="C46" s="175" t="s">
        <v>277</v>
      </c>
      <c r="D46" s="175" t="s">
        <v>338</v>
      </c>
    </row>
    <row r="47" spans="1:4" ht="25.5">
      <c r="A47" s="174" t="s">
        <v>339</v>
      </c>
      <c r="B47" s="174" t="s">
        <v>285</v>
      </c>
      <c r="C47" s="175" t="s">
        <v>277</v>
      </c>
      <c r="D47" s="178" t="s">
        <v>300</v>
      </c>
    </row>
    <row r="48" spans="1:4">
      <c r="A48" s="174" t="s">
        <v>340</v>
      </c>
      <c r="B48" s="174" t="s">
        <v>276</v>
      </c>
      <c r="C48" s="175" t="s">
        <v>277</v>
      </c>
      <c r="D48" s="178" t="s">
        <v>292</v>
      </c>
    </row>
    <row r="49" spans="1:4" ht="25.5">
      <c r="A49" s="174" t="s">
        <v>341</v>
      </c>
      <c r="B49" s="174" t="s">
        <v>276</v>
      </c>
      <c r="C49" s="175" t="s">
        <v>277</v>
      </c>
      <c r="D49" s="178" t="s">
        <v>298</v>
      </c>
    </row>
    <row r="50" spans="1:4" ht="38.25">
      <c r="A50" s="174" t="s">
        <v>342</v>
      </c>
      <c r="B50" s="174" t="s">
        <v>285</v>
      </c>
      <c r="C50" s="175" t="s">
        <v>277</v>
      </c>
      <c r="D50" s="178" t="s">
        <v>343</v>
      </c>
    </row>
    <row r="51" spans="1:4">
      <c r="A51" s="197" t="s">
        <v>267</v>
      </c>
      <c r="B51" s="197" t="s">
        <v>268</v>
      </c>
      <c r="C51" s="197" t="s">
        <v>269</v>
      </c>
      <c r="D51" s="197" t="s">
        <v>270</v>
      </c>
    </row>
    <row r="52" spans="1:4">
      <c r="A52" s="197"/>
      <c r="B52" s="197"/>
      <c r="C52" s="197"/>
      <c r="D52" s="197" t="s">
        <v>271</v>
      </c>
    </row>
    <row r="53" spans="1:4">
      <c r="A53" s="197" t="s">
        <v>344</v>
      </c>
      <c r="B53" s="197"/>
      <c r="C53" s="197"/>
      <c r="D53" s="197"/>
    </row>
    <row r="54" spans="1:4" ht="38.25">
      <c r="A54" s="174" t="s">
        <v>273</v>
      </c>
      <c r="B54" s="174"/>
      <c r="C54" s="175" t="s">
        <v>345</v>
      </c>
      <c r="D54" s="175"/>
    </row>
    <row r="55" spans="1:4" ht="25.5">
      <c r="A55" s="174" t="s">
        <v>346</v>
      </c>
      <c r="B55" s="174" t="s">
        <v>285</v>
      </c>
      <c r="C55" s="175" t="s">
        <v>347</v>
      </c>
      <c r="D55" s="178" t="s">
        <v>348</v>
      </c>
    </row>
    <row r="56" spans="1:4" ht="25.5">
      <c r="A56" s="174" t="s">
        <v>349</v>
      </c>
      <c r="B56" s="174" t="s">
        <v>285</v>
      </c>
      <c r="C56" s="175" t="s">
        <v>277</v>
      </c>
      <c r="D56" s="178" t="s">
        <v>350</v>
      </c>
    </row>
    <row r="57" spans="1:4">
      <c r="A57" s="174" t="s">
        <v>351</v>
      </c>
      <c r="B57" s="174" t="s">
        <v>285</v>
      </c>
      <c r="C57" s="175" t="s">
        <v>277</v>
      </c>
      <c r="D57" s="178" t="s">
        <v>352</v>
      </c>
    </row>
    <row r="58" spans="1:4">
      <c r="A58" s="174" t="s">
        <v>351</v>
      </c>
      <c r="B58" s="174" t="s">
        <v>285</v>
      </c>
      <c r="C58" s="175" t="s">
        <v>353</v>
      </c>
      <c r="D58" s="178"/>
    </row>
    <row r="59" spans="1:4">
      <c r="A59" s="174" t="s">
        <v>354</v>
      </c>
      <c r="B59" s="174" t="s">
        <v>285</v>
      </c>
      <c r="C59" s="175" t="s">
        <v>277</v>
      </c>
      <c r="D59" s="178" t="s">
        <v>352</v>
      </c>
    </row>
    <row r="60" spans="1:4" ht="25.5">
      <c r="A60" s="174" t="s">
        <v>355</v>
      </c>
      <c r="B60" s="174" t="s">
        <v>285</v>
      </c>
      <c r="C60" s="175" t="s">
        <v>277</v>
      </c>
      <c r="D60" s="178" t="s">
        <v>300</v>
      </c>
    </row>
    <row r="61" spans="1:4">
      <c r="A61" s="174" t="s">
        <v>356</v>
      </c>
      <c r="B61" s="174" t="s">
        <v>285</v>
      </c>
      <c r="C61" s="175" t="s">
        <v>277</v>
      </c>
      <c r="D61" s="178" t="s">
        <v>352</v>
      </c>
    </row>
    <row r="62" spans="1:4">
      <c r="A62" s="174" t="s">
        <v>356</v>
      </c>
      <c r="B62" s="174" t="s">
        <v>285</v>
      </c>
      <c r="C62" s="175" t="s">
        <v>353</v>
      </c>
      <c r="D62" s="178"/>
    </row>
    <row r="63" spans="1:4" ht="25.5">
      <c r="A63" s="174" t="s">
        <v>357</v>
      </c>
      <c r="B63" s="174" t="s">
        <v>285</v>
      </c>
      <c r="C63" s="175" t="s">
        <v>277</v>
      </c>
      <c r="D63" s="178" t="s">
        <v>358</v>
      </c>
    </row>
    <row r="64" spans="1:4">
      <c r="A64" s="174" t="s">
        <v>357</v>
      </c>
      <c r="B64" s="174" t="s">
        <v>285</v>
      </c>
      <c r="C64" s="175" t="s">
        <v>353</v>
      </c>
      <c r="D64" s="178"/>
    </row>
    <row r="65" spans="1:4">
      <c r="A65" s="174" t="s">
        <v>359</v>
      </c>
      <c r="B65" s="174" t="s">
        <v>285</v>
      </c>
      <c r="C65" s="175" t="s">
        <v>277</v>
      </c>
      <c r="D65" s="178" t="s">
        <v>360</v>
      </c>
    </row>
    <row r="66" spans="1:4">
      <c r="A66" s="174" t="s">
        <v>359</v>
      </c>
      <c r="B66" s="174" t="s">
        <v>285</v>
      </c>
      <c r="C66" s="175" t="s">
        <v>353</v>
      </c>
      <c r="D66" s="178"/>
    </row>
    <row r="67" spans="1:4" ht="25.5">
      <c r="A67" s="174" t="s">
        <v>361</v>
      </c>
      <c r="B67" s="174" t="s">
        <v>285</v>
      </c>
      <c r="C67" s="175" t="s">
        <v>277</v>
      </c>
      <c r="D67" s="178" t="s">
        <v>362</v>
      </c>
    </row>
    <row r="68" spans="1:4" ht="25.5">
      <c r="A68" s="174" t="s">
        <v>363</v>
      </c>
      <c r="B68" s="174" t="s">
        <v>285</v>
      </c>
      <c r="C68" s="175" t="s">
        <v>277</v>
      </c>
      <c r="D68" s="178" t="s">
        <v>311</v>
      </c>
    </row>
    <row r="69" spans="1:4">
      <c r="A69" s="174" t="s">
        <v>363</v>
      </c>
      <c r="B69" s="174" t="s">
        <v>285</v>
      </c>
      <c r="C69" s="175" t="s">
        <v>353</v>
      </c>
      <c r="D69" s="178"/>
    </row>
    <row r="70" spans="1:4">
      <c r="A70" s="174" t="s">
        <v>364</v>
      </c>
      <c r="B70" s="174" t="s">
        <v>285</v>
      </c>
      <c r="C70" s="175" t="s">
        <v>365</v>
      </c>
      <c r="D70" s="178" t="s">
        <v>324</v>
      </c>
    </row>
    <row r="71" spans="1:4">
      <c r="A71" s="174" t="s">
        <v>364</v>
      </c>
      <c r="B71" s="174" t="s">
        <v>285</v>
      </c>
      <c r="C71" s="175" t="s">
        <v>353</v>
      </c>
      <c r="D71" s="178"/>
    </row>
    <row r="72" spans="1:4">
      <c r="A72" s="197" t="s">
        <v>267</v>
      </c>
      <c r="B72" s="197" t="s">
        <v>268</v>
      </c>
      <c r="C72" s="197" t="s">
        <v>269</v>
      </c>
      <c r="D72" s="197" t="s">
        <v>270</v>
      </c>
    </row>
    <row r="73" spans="1:4">
      <c r="A73" s="197"/>
      <c r="B73" s="197"/>
      <c r="C73" s="197"/>
      <c r="D73" s="197" t="s">
        <v>271</v>
      </c>
    </row>
    <row r="74" spans="1:4">
      <c r="A74" s="197" t="s">
        <v>366</v>
      </c>
      <c r="B74" s="197"/>
      <c r="C74" s="197"/>
      <c r="D74" s="197"/>
    </row>
    <row r="75" spans="1:4" ht="25.5">
      <c r="A75" s="174" t="s">
        <v>273</v>
      </c>
      <c r="B75" s="174"/>
      <c r="C75" s="175" t="s">
        <v>367</v>
      </c>
      <c r="D75" s="175"/>
    </row>
    <row r="76" spans="1:4">
      <c r="A76" s="197" t="s">
        <v>368</v>
      </c>
      <c r="B76" s="197"/>
      <c r="C76" s="197"/>
      <c r="D76" s="197"/>
    </row>
    <row r="77" spans="1:4" ht="25.5">
      <c r="A77" s="174" t="s">
        <v>369</v>
      </c>
      <c r="B77" s="174" t="s">
        <v>285</v>
      </c>
      <c r="C77" s="175" t="s">
        <v>370</v>
      </c>
      <c r="D77" s="178" t="s">
        <v>371</v>
      </c>
    </row>
    <row r="78" spans="1:4" ht="25.5">
      <c r="A78" s="174" t="s">
        <v>372</v>
      </c>
      <c r="B78" s="174" t="s">
        <v>285</v>
      </c>
      <c r="C78" s="175" t="s">
        <v>370</v>
      </c>
      <c r="D78" s="178" t="s">
        <v>371</v>
      </c>
    </row>
    <row r="79" spans="1:4" ht="25.5">
      <c r="A79" s="174" t="s">
        <v>373</v>
      </c>
      <c r="B79" s="174" t="s">
        <v>285</v>
      </c>
      <c r="C79" s="175" t="s">
        <v>370</v>
      </c>
      <c r="D79" s="178" t="s">
        <v>374</v>
      </c>
    </row>
    <row r="80" spans="1:4" ht="25.5">
      <c r="A80" s="174" t="s">
        <v>375</v>
      </c>
      <c r="B80" s="174" t="s">
        <v>285</v>
      </c>
      <c r="C80" s="175" t="s">
        <v>370</v>
      </c>
      <c r="D80" s="178" t="s">
        <v>376</v>
      </c>
    </row>
    <row r="81" spans="1:4" ht="25.5">
      <c r="A81" s="174" t="s">
        <v>411</v>
      </c>
      <c r="B81" s="174" t="s">
        <v>285</v>
      </c>
      <c r="C81" s="175" t="s">
        <v>370</v>
      </c>
      <c r="D81" s="178" t="s">
        <v>376</v>
      </c>
    </row>
    <row r="82" spans="1:4">
      <c r="A82" s="197" t="s">
        <v>265</v>
      </c>
      <c r="B82" s="197"/>
      <c r="C82" s="197"/>
      <c r="D82" s="197"/>
    </row>
    <row r="83" spans="1:4" ht="25.5">
      <c r="A83" s="174" t="s">
        <v>369</v>
      </c>
      <c r="B83" s="174" t="s">
        <v>285</v>
      </c>
      <c r="C83" s="175" t="s">
        <v>370</v>
      </c>
      <c r="D83" s="178" t="s">
        <v>371</v>
      </c>
    </row>
    <row r="84" spans="1:4" ht="25.5">
      <c r="A84" s="174" t="s">
        <v>372</v>
      </c>
      <c r="B84" s="174" t="s">
        <v>285</v>
      </c>
      <c r="C84" s="175" t="s">
        <v>370</v>
      </c>
      <c r="D84" s="178" t="s">
        <v>371</v>
      </c>
    </row>
    <row r="85" spans="1:4" ht="25.5">
      <c r="A85" s="174" t="s">
        <v>373</v>
      </c>
      <c r="B85" s="174" t="s">
        <v>285</v>
      </c>
      <c r="C85" s="175" t="s">
        <v>370</v>
      </c>
      <c r="D85" s="178" t="s">
        <v>374</v>
      </c>
    </row>
    <row r="86" spans="1:4" ht="25.5">
      <c r="A86" s="174" t="s">
        <v>375</v>
      </c>
      <c r="B86" s="174" t="s">
        <v>285</v>
      </c>
      <c r="C86" s="175" t="s">
        <v>370</v>
      </c>
      <c r="D86" s="178" t="s">
        <v>376</v>
      </c>
    </row>
    <row r="87" spans="1:4" ht="25.5">
      <c r="A87" s="174" t="s">
        <v>411</v>
      </c>
      <c r="B87" s="174" t="s">
        <v>285</v>
      </c>
      <c r="C87" s="175" t="s">
        <v>370</v>
      </c>
      <c r="D87" s="178" t="s">
        <v>376</v>
      </c>
    </row>
    <row r="88" spans="1:4">
      <c r="A88" s="197" t="s">
        <v>38</v>
      </c>
      <c r="B88" s="197"/>
      <c r="C88" s="197"/>
      <c r="D88" s="197"/>
    </row>
    <row r="89" spans="1:4" ht="25.5">
      <c r="A89" s="174" t="s">
        <v>369</v>
      </c>
      <c r="B89" s="174" t="s">
        <v>285</v>
      </c>
      <c r="C89" s="175" t="s">
        <v>377</v>
      </c>
      <c r="D89" s="178" t="s">
        <v>371</v>
      </c>
    </row>
    <row r="90" spans="1:4" ht="25.5">
      <c r="A90" s="174" t="s">
        <v>372</v>
      </c>
      <c r="B90" s="174" t="s">
        <v>285</v>
      </c>
      <c r="C90" s="175" t="s">
        <v>377</v>
      </c>
      <c r="D90" s="178" t="s">
        <v>371</v>
      </c>
    </row>
    <row r="91" spans="1:4" ht="25.5">
      <c r="A91" s="174" t="s">
        <v>373</v>
      </c>
      <c r="B91" s="174" t="s">
        <v>285</v>
      </c>
      <c r="C91" s="175" t="s">
        <v>377</v>
      </c>
      <c r="D91" s="178" t="s">
        <v>374</v>
      </c>
    </row>
  </sheetData>
  <mergeCells count="1">
    <mergeCell ref="A1:D1"/>
  </mergeCells>
  <pageMargins left="0.7" right="0.7" top="0.75" bottom="0.75" header="0.3" footer="0.3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5A14-0FAA-4265-9ED6-C97F3E9736F4}">
  <sheetPr>
    <tabColor theme="0" tint="-0.14999847407452621"/>
    <pageSetUpPr fitToPage="1"/>
  </sheetPr>
  <dimension ref="A1:I94"/>
  <sheetViews>
    <sheetView view="pageBreakPreview" zoomScaleNormal="100" zoomScaleSheetLayoutView="100" workbookViewId="0">
      <selection sqref="A1:H1"/>
    </sheetView>
  </sheetViews>
  <sheetFormatPr defaultColWidth="9.1328125" defaultRowHeight="11.25"/>
  <cols>
    <col min="1" max="1" width="9.73046875" style="4" customWidth="1"/>
    <col min="2" max="2" width="42.3984375" style="4" customWidth="1"/>
    <col min="3" max="3" width="14.86328125" style="21" customWidth="1"/>
    <col min="4" max="4" width="41.59765625" style="4" bestFit="1" customWidth="1"/>
    <col min="5" max="5" width="18.1328125" style="4" bestFit="1" customWidth="1"/>
    <col min="6" max="6" width="18.265625" style="144" customWidth="1"/>
    <col min="7" max="7" width="17.73046875" style="4" bestFit="1" customWidth="1"/>
    <col min="8" max="8" width="19.86328125" style="4" customWidth="1"/>
    <col min="9" max="9" width="19.73046875" style="4" customWidth="1"/>
    <col min="10" max="10" width="13.86328125" style="4" customWidth="1"/>
    <col min="11" max="16384" width="9.1328125" style="4"/>
  </cols>
  <sheetData>
    <row r="1" spans="1:9" s="9" customFormat="1" ht="26.25" customHeight="1">
      <c r="A1" s="314" t="s">
        <v>425</v>
      </c>
      <c r="B1" s="314"/>
      <c r="C1" s="314"/>
      <c r="D1" s="314"/>
      <c r="E1" s="314"/>
      <c r="F1" s="314"/>
      <c r="G1" s="314"/>
      <c r="H1" s="314"/>
    </row>
    <row r="2" spans="1:9" s="9" customFormat="1" ht="15" customHeight="1">
      <c r="A2" s="353" t="s">
        <v>417</v>
      </c>
      <c r="B2" s="316"/>
      <c r="C2" s="316"/>
      <c r="D2" s="316"/>
      <c r="E2" s="316"/>
      <c r="F2" s="316"/>
      <c r="G2" s="316"/>
      <c r="H2" s="316"/>
    </row>
    <row r="3" spans="1:9" ht="15" customHeight="1">
      <c r="B3" s="21"/>
      <c r="C3" s="4"/>
    </row>
    <row r="4" spans="1:9" ht="15" customHeight="1">
      <c r="A4" s="4" t="s">
        <v>179</v>
      </c>
      <c r="B4" s="35"/>
      <c r="C4" s="35"/>
      <c r="D4" s="35"/>
      <c r="E4" s="35"/>
      <c r="F4" s="231"/>
      <c r="G4" s="232"/>
    </row>
    <row r="5" spans="1:9" ht="15" customHeight="1">
      <c r="A5" s="4" t="s">
        <v>244</v>
      </c>
      <c r="B5" s="35"/>
      <c r="C5" s="35"/>
      <c r="D5" s="35"/>
      <c r="E5" s="35"/>
      <c r="F5" s="231"/>
      <c r="G5" s="232"/>
    </row>
    <row r="6" spans="1:9" ht="15" customHeight="1">
      <c r="A6" s="4" t="s">
        <v>237</v>
      </c>
      <c r="B6" s="38"/>
      <c r="C6" s="39"/>
      <c r="D6" s="39"/>
      <c r="E6" s="39"/>
      <c r="F6" s="146"/>
    </row>
    <row r="7" spans="1:9" ht="15" customHeight="1">
      <c r="B7" s="38"/>
      <c r="C7" s="38"/>
      <c r="D7" s="34"/>
      <c r="E7" s="354" t="s">
        <v>392</v>
      </c>
      <c r="F7" s="354"/>
      <c r="G7" s="354"/>
      <c r="H7" s="354"/>
      <c r="I7" s="354"/>
    </row>
    <row r="8" spans="1:9" s="8" customFormat="1" ht="26.25" customHeight="1">
      <c r="A8" s="50" t="s">
        <v>210</v>
      </c>
      <c r="B8" s="51" t="s">
        <v>160</v>
      </c>
      <c r="C8" s="52" t="s">
        <v>152</v>
      </c>
      <c r="D8" s="50" t="s">
        <v>428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ht="15" customHeight="1">
      <c r="A9" s="226">
        <v>1</v>
      </c>
      <c r="B9" s="237" t="s">
        <v>441</v>
      </c>
      <c r="C9" s="55">
        <v>0</v>
      </c>
      <c r="D9" s="227" t="s">
        <v>442</v>
      </c>
      <c r="E9" s="235" t="e">
        <f>(InvulExtraW[[#This Row],[Prijs]]*Tariefsopbouw!$I$37)+InvulExtraW[[#This Row],[Prijs]]</f>
        <v>#DIV/0!</v>
      </c>
      <c r="F9" s="236" t="e">
        <f>E9*Tariefsopbouw!$K$37+E9</f>
        <v>#DIV/0!</v>
      </c>
      <c r="G9" s="236" t="e">
        <f>F9*Tariefsopbouw!$M$37+F9</f>
        <v>#DIV/0!</v>
      </c>
      <c r="H9" s="236" t="e">
        <f>G9*Tariefsopbouw!$O$37+InvulExtraW[[#This Row],[2025]]</f>
        <v>#DIV/0!</v>
      </c>
      <c r="I9" s="236" t="e">
        <f>H9*Tariefsopbouw!$Q$37+InvulExtraW[[#This Row],[2026]]</f>
        <v>#DIV/0!</v>
      </c>
    </row>
    <row r="10" spans="1:9" ht="15" customHeight="1">
      <c r="A10" s="226">
        <v>2</v>
      </c>
      <c r="B10" s="237" t="s">
        <v>1277</v>
      </c>
      <c r="C10" s="55">
        <v>0</v>
      </c>
      <c r="D10" s="227" t="s">
        <v>43</v>
      </c>
      <c r="E10" s="235" t="e">
        <f>(InvulExtraW[[#This Row],[Prijs]]*Tariefsopbouw!$I$37)+InvulExtraW[[#This Row],[Prijs]]</f>
        <v>#DIV/0!</v>
      </c>
      <c r="F10" s="235" t="e">
        <f>E10*Tariefsopbouw!$K$37+E10</f>
        <v>#DIV/0!</v>
      </c>
      <c r="G10" s="235" t="e">
        <f>F10*Tariefsopbouw!$M$37+F10</f>
        <v>#DIV/0!</v>
      </c>
      <c r="H10" s="235" t="e">
        <f>G10*Tariefsopbouw!$O$37+InvulExtraW[[#This Row],[2025]]</f>
        <v>#DIV/0!</v>
      </c>
      <c r="I10" s="235" t="e">
        <f>H10*Tariefsopbouw!$Q$37+InvulExtraW[[#This Row],[2026]]</f>
        <v>#DIV/0!</v>
      </c>
    </row>
    <row r="11" spans="1:9" ht="15" customHeight="1">
      <c r="A11" s="226">
        <v>3</v>
      </c>
      <c r="B11" s="237" t="s">
        <v>1278</v>
      </c>
      <c r="C11" s="55">
        <v>0</v>
      </c>
      <c r="D11" s="227" t="s">
        <v>183</v>
      </c>
      <c r="E11" s="235" t="e">
        <f>(InvulExtraW[[#This Row],[Prijs]]*Tariefsopbouw!$I$37)+InvulExtraW[[#This Row],[Prijs]]</f>
        <v>#DIV/0!</v>
      </c>
      <c r="F11" s="236" t="e">
        <f>E11*Tariefsopbouw!$K$37+E11</f>
        <v>#DIV/0!</v>
      </c>
      <c r="G11" s="236" t="e">
        <f>F11*Tariefsopbouw!$M$37+F11</f>
        <v>#DIV/0!</v>
      </c>
      <c r="H11" s="236" t="e">
        <f>G11*Tariefsopbouw!$O$37+InvulExtraW[[#This Row],[2025]]</f>
        <v>#DIV/0!</v>
      </c>
      <c r="I11" s="236" t="e">
        <f>H11*Tariefsopbouw!$Q$37+InvulExtraW[[#This Row],[2026]]</f>
        <v>#DIV/0!</v>
      </c>
    </row>
    <row r="12" spans="1:9" ht="15" customHeight="1">
      <c r="B12" s="21"/>
      <c r="E12" s="40"/>
      <c r="F12" s="147"/>
      <c r="G12" s="40"/>
      <c r="H12" s="40"/>
    </row>
    <row r="13" spans="1:9" s="33" customFormat="1" ht="26.25" customHeight="1">
      <c r="A13" s="50" t="s">
        <v>209</v>
      </c>
      <c r="B13" s="51" t="s">
        <v>145</v>
      </c>
      <c r="C13" s="50" t="s">
        <v>210</v>
      </c>
      <c r="D13" s="61" t="s">
        <v>429</v>
      </c>
      <c r="E13" s="61" t="s">
        <v>430</v>
      </c>
      <c r="F13" s="61" t="s">
        <v>166</v>
      </c>
      <c r="G13" s="233" t="s">
        <v>147</v>
      </c>
      <c r="H13" s="61" t="s">
        <v>412</v>
      </c>
    </row>
    <row r="14" spans="1:9" ht="15" customHeight="1">
      <c r="A14" s="226">
        <v>1</v>
      </c>
      <c r="B14" s="227" t="str">
        <f>VLOOKUP(OverzichtExtraW[[#This Row],[Code Locatie]],Locaties[[Code]:[Locatie]],2,0)</f>
        <v xml:space="preserve">Het Meerik </v>
      </c>
      <c r="C14" s="226">
        <v>1</v>
      </c>
      <c r="D14" s="238" t="str">
        <f>IF(OverzichtExtraW[[#This Row],[Code Taak]],VLOOKUP(OverzichtExtraW[[#This Row],[Code Taak]],InvulExtraW[[#All],[Code Taak]:[Werkzaamheden]],2,FALSE),"")</f>
        <v>Dieptereiniging afzuigkappen binnenzijde</v>
      </c>
      <c r="E14" s="291">
        <v>1</v>
      </c>
      <c r="F14" s="239">
        <v>1</v>
      </c>
      <c r="G14" s="230">
        <f>$C$9*OverzichtExtraW[[#This Row],[aantal uur per keer/meter]]*OverzichtExtraW[[#This Row],[Frequentie (uitv./jaar)]]</f>
        <v>0</v>
      </c>
      <c r="H14" s="226"/>
    </row>
    <row r="15" spans="1:9" ht="15" customHeight="1">
      <c r="A15" s="226">
        <v>1</v>
      </c>
      <c r="B15" s="227" t="str">
        <f>VLOOKUP(OverzichtExtraW[[#This Row],[Code Locatie]],Locaties[[Code]:[Locatie]],2,0)</f>
        <v xml:space="preserve">Het Meerik </v>
      </c>
      <c r="C15" s="226">
        <v>2</v>
      </c>
      <c r="D15" s="238" t="str">
        <f>IF(OverzichtExtraW[[#This Row],[Code Taak]],VLOOKUP(OverzichtExtraW[[#This Row],[Code Taak]],InvulExtraW[[#All],[Code Taak]:[Werkzaamheden]],2,FALSE),"")</f>
        <v>Uitblazen Ventilatieroosters</v>
      </c>
      <c r="E15" s="291">
        <v>2</v>
      </c>
      <c r="F15" s="239">
        <v>1</v>
      </c>
      <c r="G15" s="230">
        <f>$C$10*OverzichtExtraW[[#This Row],[aantal uur per keer/meter]]*OverzichtExtraW[[#This Row],[Frequentie (uitv./jaar)]]</f>
        <v>0</v>
      </c>
      <c r="H15" s="226"/>
    </row>
    <row r="16" spans="1:9" ht="15" customHeight="1">
      <c r="A16" s="226">
        <v>1</v>
      </c>
      <c r="B16" s="227" t="str">
        <f>VLOOKUP(OverzichtExtraW[[#This Row],[Code Locatie]],Locaties[[Code]:[Locatie]],2,0)</f>
        <v xml:space="preserve">Het Meerik </v>
      </c>
      <c r="C16" s="226">
        <v>3</v>
      </c>
      <c r="D16" s="238" t="str">
        <f>IF(OverzichtExtraW[[#This Row],[Code Taak]],VLOOKUP(OverzichtExtraW[[#This Row],[Code Taak]],InvulExtraW[[#All],[Code Taak]:[Werkzaamheden]],2,FALSE),"")</f>
        <v>Opleverschoonmaak</v>
      </c>
      <c r="E16" s="211"/>
      <c r="F16" s="239">
        <v>1</v>
      </c>
      <c r="G16" s="240">
        <f>$C$11*OverzichtExtraW[[#This Row],[aantal uur per keer/meter]]*OverzichtExtraW[[#This Row],[Frequentie (uitv./jaar)]]</f>
        <v>0</v>
      </c>
      <c r="H16" s="228" t="s">
        <v>1279</v>
      </c>
    </row>
    <row r="17" spans="1:8" ht="15" customHeight="1">
      <c r="A17" s="226">
        <v>2</v>
      </c>
      <c r="B17" s="227" t="str">
        <f>VLOOKUP(OverzichtExtraW[[#This Row],[Code Locatie]],Locaties[[Code]:[Locatie]],2,0)</f>
        <v>Neon College – Enschede</v>
      </c>
      <c r="C17" s="226">
        <v>1</v>
      </c>
      <c r="D17" s="238" t="str">
        <f>IF(OverzichtExtraW[[#This Row],[Code Taak]],VLOOKUP(OverzichtExtraW[[#This Row],[Code Taak]],InvulExtraW[[#All],[Code Taak]:[Werkzaamheden]],2,FALSE),"")</f>
        <v>Dieptereiniging afzuigkappen binnenzijde</v>
      </c>
      <c r="E17" s="291">
        <v>1</v>
      </c>
      <c r="F17" s="239">
        <v>1</v>
      </c>
      <c r="G17" s="230">
        <f>$C$9*OverzichtExtraW[[#This Row],[aantal uur per keer/meter]]*OverzichtExtraW[[#This Row],[Frequentie (uitv./jaar)]]</f>
        <v>0</v>
      </c>
      <c r="H17" s="226"/>
    </row>
    <row r="18" spans="1:8" ht="15" customHeight="1">
      <c r="A18" s="226">
        <v>2</v>
      </c>
      <c r="B18" s="227" t="str">
        <f>VLOOKUP(OverzichtExtraW[[#This Row],[Code Locatie]],Locaties[[Code]:[Locatie]],2,0)</f>
        <v>Neon College – Enschede</v>
      </c>
      <c r="C18" s="226">
        <v>2</v>
      </c>
      <c r="D18" s="238" t="str">
        <f>IF(OverzichtExtraW[[#This Row],[Code Taak]],VLOOKUP(OverzichtExtraW[[#This Row],[Code Taak]],InvulExtraW[[#All],[Code Taak]:[Werkzaamheden]],2,FALSE),"")</f>
        <v>Uitblazen Ventilatieroosters</v>
      </c>
      <c r="E18" s="291">
        <v>2</v>
      </c>
      <c r="F18" s="239">
        <v>1</v>
      </c>
      <c r="G18" s="230">
        <f>$C$10*OverzichtExtraW[[#This Row],[aantal uur per keer/meter]]*OverzichtExtraW[[#This Row],[Frequentie (uitv./jaar)]]</f>
        <v>0</v>
      </c>
      <c r="H18" s="226"/>
    </row>
    <row r="19" spans="1:8" ht="15" customHeight="1">
      <c r="A19" s="226">
        <v>2</v>
      </c>
      <c r="B19" s="227" t="str">
        <f>VLOOKUP(OverzichtExtraW[[#This Row],[Code Locatie]],Locaties[[Code]:[Locatie]],2,0)</f>
        <v>Neon College – Enschede</v>
      </c>
      <c r="C19" s="226">
        <v>3</v>
      </c>
      <c r="D19" s="238" t="str">
        <f>IF(OverzichtExtraW[[#This Row],[Code Taak]],VLOOKUP(OverzichtExtraW[[#This Row],[Code Taak]],InvulExtraW[[#All],[Code Taak]:[Werkzaamheden]],2,FALSE),"")</f>
        <v>Opleverschoonmaak</v>
      </c>
      <c r="E19" s="211"/>
      <c r="F19" s="239">
        <v>1</v>
      </c>
      <c r="G19" s="240">
        <f>$C$11*OverzichtExtraW[[#This Row],[aantal uur per keer/meter]]*OverzichtExtraW[[#This Row],[Frequentie (uitv./jaar)]]</f>
        <v>0</v>
      </c>
      <c r="H19" s="228" t="s">
        <v>1279</v>
      </c>
    </row>
    <row r="20" spans="1:8" ht="15" customHeight="1">
      <c r="A20" s="226">
        <v>3</v>
      </c>
      <c r="B20" s="227" t="str">
        <f>VLOOKUP(OverzichtExtraW[[#This Row],[Code Locatie]],Locaties[[Code]:[Locatie]],2,0)</f>
        <v xml:space="preserve">Panta Rhei College </v>
      </c>
      <c r="C20" s="226">
        <v>1</v>
      </c>
      <c r="D20" s="238" t="str">
        <f>IF(OverzichtExtraW[[#This Row],[Code Taak]],VLOOKUP(OverzichtExtraW[[#This Row],[Code Taak]],InvulExtraW[[#All],[Code Taak]:[Werkzaamheden]],2,FALSE),"")</f>
        <v>Dieptereiniging afzuigkappen binnenzijde</v>
      </c>
      <c r="E20" s="291">
        <v>1</v>
      </c>
      <c r="F20" s="239">
        <v>1</v>
      </c>
      <c r="G20" s="230">
        <f>$C$9*OverzichtExtraW[[#This Row],[aantal uur per keer/meter]]*OverzichtExtraW[[#This Row],[Frequentie (uitv./jaar)]]</f>
        <v>0</v>
      </c>
      <c r="H20" s="226"/>
    </row>
    <row r="21" spans="1:8" ht="15" customHeight="1">
      <c r="A21" s="226">
        <v>3</v>
      </c>
      <c r="B21" s="227" t="str">
        <f>VLOOKUP(OverzichtExtraW[[#This Row],[Code Locatie]],Locaties[[Code]:[Locatie]],2,0)</f>
        <v xml:space="preserve">Panta Rhei College </v>
      </c>
      <c r="C21" s="226">
        <v>2</v>
      </c>
      <c r="D21" s="238" t="str">
        <f>IF(OverzichtExtraW[[#This Row],[Code Taak]],VLOOKUP(OverzichtExtraW[[#This Row],[Code Taak]],InvulExtraW[[#All],[Code Taak]:[Werkzaamheden]],2,FALSE),"")</f>
        <v>Uitblazen Ventilatieroosters</v>
      </c>
      <c r="E21" s="291">
        <v>2</v>
      </c>
      <c r="F21" s="239">
        <v>1</v>
      </c>
      <c r="G21" s="230">
        <f>$C$10*OverzichtExtraW[[#This Row],[aantal uur per keer/meter]]*OverzichtExtraW[[#This Row],[Frequentie (uitv./jaar)]]</f>
        <v>0</v>
      </c>
      <c r="H21" s="226"/>
    </row>
    <row r="22" spans="1:8" ht="15" customHeight="1">
      <c r="A22" s="226">
        <v>3</v>
      </c>
      <c r="B22" s="227" t="str">
        <f>VLOOKUP(OverzichtExtraW[[#This Row],[Code Locatie]],Locaties[[Code]:[Locatie]],2,0)</f>
        <v xml:space="preserve">Panta Rhei College </v>
      </c>
      <c r="C22" s="226">
        <v>3</v>
      </c>
      <c r="D22" s="238" t="str">
        <f>IF(OverzichtExtraW[[#This Row],[Code Taak]],VLOOKUP(OverzichtExtraW[[#This Row],[Code Taak]],InvulExtraW[[#All],[Code Taak]:[Werkzaamheden]],2,FALSE),"")</f>
        <v>Opleverschoonmaak</v>
      </c>
      <c r="E22" s="211"/>
      <c r="F22" s="239">
        <v>1</v>
      </c>
      <c r="G22" s="240">
        <f>$C$11*OverzichtExtraW[[#This Row],[aantal uur per keer/meter]]*OverzichtExtraW[[#This Row],[Frequentie (uitv./jaar)]]</f>
        <v>0</v>
      </c>
      <c r="H22" s="228" t="s">
        <v>1279</v>
      </c>
    </row>
    <row r="23" spans="1:8" ht="15" customHeight="1">
      <c r="A23" s="226">
        <v>4</v>
      </c>
      <c r="B23" s="227" t="str">
        <f>VLOOKUP(OverzichtExtraW[[#This Row],[Code Locatie]],Locaties[[Code]:[Locatie]],2,0)</f>
        <v>Stafbureau Attendiz</v>
      </c>
      <c r="C23" s="226">
        <v>1</v>
      </c>
      <c r="D23" s="238" t="str">
        <f>IF(OverzichtExtraW[[#This Row],[Code Taak]],VLOOKUP(OverzichtExtraW[[#This Row],[Code Taak]],InvulExtraW[[#All],[Code Taak]:[Werkzaamheden]],2,FALSE),"")</f>
        <v>Dieptereiniging afzuigkappen binnenzijde</v>
      </c>
      <c r="E23" s="291">
        <v>1</v>
      </c>
      <c r="F23" s="239">
        <v>1</v>
      </c>
      <c r="G23" s="230">
        <f>$C$9*OverzichtExtraW[[#This Row],[aantal uur per keer/meter]]*OverzichtExtraW[[#This Row],[Frequentie (uitv./jaar)]]</f>
        <v>0</v>
      </c>
      <c r="H23" s="226"/>
    </row>
    <row r="24" spans="1:8" ht="15" customHeight="1">
      <c r="A24" s="226">
        <v>4</v>
      </c>
      <c r="B24" s="227" t="str">
        <f>VLOOKUP(OverzichtExtraW[[#This Row],[Code Locatie]],Locaties[[Code]:[Locatie]],2,0)</f>
        <v>Stafbureau Attendiz</v>
      </c>
      <c r="C24" s="226">
        <v>2</v>
      </c>
      <c r="D24" s="238" t="str">
        <f>IF(OverzichtExtraW[[#This Row],[Code Taak]],VLOOKUP(OverzichtExtraW[[#This Row],[Code Taak]],InvulExtraW[[#All],[Code Taak]:[Werkzaamheden]],2,FALSE),"")</f>
        <v>Uitblazen Ventilatieroosters</v>
      </c>
      <c r="E24" s="291">
        <v>2</v>
      </c>
      <c r="F24" s="239">
        <v>1</v>
      </c>
      <c r="G24" s="230">
        <f>$C$10*OverzichtExtraW[[#This Row],[aantal uur per keer/meter]]*OverzichtExtraW[[#This Row],[Frequentie (uitv./jaar)]]</f>
        <v>0</v>
      </c>
      <c r="H24" s="226"/>
    </row>
    <row r="25" spans="1:8" ht="15" customHeight="1">
      <c r="A25" s="226">
        <v>4</v>
      </c>
      <c r="B25" s="227" t="str">
        <f>VLOOKUP(OverzichtExtraW[[#This Row],[Code Locatie]],Locaties[[Code]:[Locatie]],2,0)</f>
        <v>Stafbureau Attendiz</v>
      </c>
      <c r="C25" s="226">
        <v>3</v>
      </c>
      <c r="D25" s="238" t="str">
        <f>IF(OverzichtExtraW[[#This Row],[Code Taak]],VLOOKUP(OverzichtExtraW[[#This Row],[Code Taak]],InvulExtraW[[#All],[Code Taak]:[Werkzaamheden]],2,FALSE),"")</f>
        <v>Opleverschoonmaak</v>
      </c>
      <c r="E25" s="211"/>
      <c r="F25" s="239">
        <v>1</v>
      </c>
      <c r="G25" s="240">
        <f>$C$11*OverzichtExtraW[[#This Row],[aantal uur per keer/meter]]*OverzichtExtraW[[#This Row],[Frequentie (uitv./jaar)]]</f>
        <v>0</v>
      </c>
      <c r="H25" s="228" t="s">
        <v>1279</v>
      </c>
    </row>
    <row r="26" spans="1:8" ht="15" customHeight="1">
      <c r="A26" s="226">
        <v>5</v>
      </c>
      <c r="B26" s="227" t="str">
        <f>VLOOKUP(OverzichtExtraW[[#This Row],[Code Locatie]],Locaties[[Code]:[Locatie]],2,0)</f>
        <v>VSO Het Mozaïek Almelo</v>
      </c>
      <c r="C26" s="226">
        <v>1</v>
      </c>
      <c r="D26" s="238" t="str">
        <f>IF(OverzichtExtraW[[#This Row],[Code Taak]],VLOOKUP(OverzichtExtraW[[#This Row],[Code Taak]],InvulExtraW[[#All],[Code Taak]:[Werkzaamheden]],2,FALSE),"")</f>
        <v>Dieptereiniging afzuigkappen binnenzijde</v>
      </c>
      <c r="E26" s="291">
        <v>1</v>
      </c>
      <c r="F26" s="239">
        <v>1</v>
      </c>
      <c r="G26" s="230">
        <f>$C$9*OverzichtExtraW[[#This Row],[aantal uur per keer/meter]]*OverzichtExtraW[[#This Row],[Frequentie (uitv./jaar)]]</f>
        <v>0</v>
      </c>
      <c r="H26" s="226"/>
    </row>
    <row r="27" spans="1:8" ht="15" customHeight="1">
      <c r="A27" s="226">
        <v>5</v>
      </c>
      <c r="B27" s="227" t="str">
        <f>VLOOKUP(OverzichtExtraW[[#This Row],[Code Locatie]],Locaties[[Code]:[Locatie]],2,0)</f>
        <v>VSO Het Mozaïek Almelo</v>
      </c>
      <c r="C27" s="226">
        <v>2</v>
      </c>
      <c r="D27" s="238" t="str">
        <f>IF(OverzichtExtraW[[#This Row],[Code Taak]],VLOOKUP(OverzichtExtraW[[#This Row],[Code Taak]],InvulExtraW[[#All],[Code Taak]:[Werkzaamheden]],2,FALSE),"")</f>
        <v>Uitblazen Ventilatieroosters</v>
      </c>
      <c r="E27" s="291">
        <v>2</v>
      </c>
      <c r="F27" s="239">
        <v>1</v>
      </c>
      <c r="G27" s="230">
        <f>$C$10*OverzichtExtraW[[#This Row],[aantal uur per keer/meter]]*OverzichtExtraW[[#This Row],[Frequentie (uitv./jaar)]]</f>
        <v>0</v>
      </c>
      <c r="H27" s="226"/>
    </row>
    <row r="28" spans="1:8" ht="15" customHeight="1">
      <c r="A28" s="226">
        <v>5</v>
      </c>
      <c r="B28" s="227" t="str">
        <f>VLOOKUP(OverzichtExtraW[[#This Row],[Code Locatie]],Locaties[[Code]:[Locatie]],2,0)</f>
        <v>VSO Het Mozaïek Almelo</v>
      </c>
      <c r="C28" s="226">
        <v>3</v>
      </c>
      <c r="D28" s="238" t="str">
        <f>IF(OverzichtExtraW[[#This Row],[Code Taak]],VLOOKUP(OverzichtExtraW[[#This Row],[Code Taak]],InvulExtraW[[#All],[Code Taak]:[Werkzaamheden]],2,FALSE),"")</f>
        <v>Opleverschoonmaak</v>
      </c>
      <c r="E28" s="211"/>
      <c r="F28" s="239">
        <v>1</v>
      </c>
      <c r="G28" s="240">
        <f>$C$11*OverzichtExtraW[[#This Row],[aantal uur per keer/meter]]*OverzichtExtraW[[#This Row],[Frequentie (uitv./jaar)]]</f>
        <v>0</v>
      </c>
      <c r="H28" s="228" t="s">
        <v>1279</v>
      </c>
    </row>
    <row r="29" spans="1:8" ht="15" customHeight="1">
      <c r="A29" s="226">
        <v>6</v>
      </c>
      <c r="B29" s="227" t="str">
        <f>VLOOKUP(OverzichtExtraW[[#This Row],[Code Locatie]],Locaties[[Code]:[Locatie]],2,0)</f>
        <v>Het Reliëf</v>
      </c>
      <c r="C29" s="226">
        <v>1</v>
      </c>
      <c r="D29" s="238" t="str">
        <f>IF(OverzichtExtraW[[#This Row],[Code Taak]],VLOOKUP(OverzichtExtraW[[#This Row],[Code Taak]],InvulExtraW[[#All],[Code Taak]:[Werkzaamheden]],2,FALSE),"")</f>
        <v>Dieptereiniging afzuigkappen binnenzijde</v>
      </c>
      <c r="E29" s="291">
        <v>1</v>
      </c>
      <c r="F29" s="239">
        <v>1</v>
      </c>
      <c r="G29" s="230">
        <f>$C$9*OverzichtExtraW[[#This Row],[aantal uur per keer/meter]]*OverzichtExtraW[[#This Row],[Frequentie (uitv./jaar)]]</f>
        <v>0</v>
      </c>
      <c r="H29" s="226"/>
    </row>
    <row r="30" spans="1:8" ht="15" customHeight="1">
      <c r="A30" s="226">
        <v>6</v>
      </c>
      <c r="B30" s="227" t="str">
        <f>VLOOKUP(OverzichtExtraW[[#This Row],[Code Locatie]],Locaties[[Code]:[Locatie]],2,0)</f>
        <v>Het Reliëf</v>
      </c>
      <c r="C30" s="226">
        <v>2</v>
      </c>
      <c r="D30" s="238" t="str">
        <f>IF(OverzichtExtraW[[#This Row],[Code Taak]],VLOOKUP(OverzichtExtraW[[#This Row],[Code Taak]],InvulExtraW[[#All],[Code Taak]:[Werkzaamheden]],2,FALSE),"")</f>
        <v>Uitblazen Ventilatieroosters</v>
      </c>
      <c r="E30" s="291">
        <v>2</v>
      </c>
      <c r="F30" s="239">
        <v>1</v>
      </c>
      <c r="G30" s="230">
        <f>$C$10*OverzichtExtraW[[#This Row],[aantal uur per keer/meter]]*OverzichtExtraW[[#This Row],[Frequentie (uitv./jaar)]]</f>
        <v>0</v>
      </c>
      <c r="H30" s="226"/>
    </row>
    <row r="31" spans="1:8" ht="15" customHeight="1">
      <c r="A31" s="226">
        <v>6</v>
      </c>
      <c r="B31" s="227" t="str">
        <f>VLOOKUP(OverzichtExtraW[[#This Row],[Code Locatie]],Locaties[[Code]:[Locatie]],2,0)</f>
        <v>Het Reliëf</v>
      </c>
      <c r="C31" s="226">
        <v>3</v>
      </c>
      <c r="D31" s="238" t="str">
        <f>IF(OverzichtExtraW[[#This Row],[Code Taak]],VLOOKUP(OverzichtExtraW[[#This Row],[Code Taak]],InvulExtraW[[#All],[Code Taak]:[Werkzaamheden]],2,FALSE),"")</f>
        <v>Opleverschoonmaak</v>
      </c>
      <c r="E31" s="211"/>
      <c r="F31" s="239">
        <v>1</v>
      </c>
      <c r="G31" s="240">
        <f>$C$11*OverzichtExtraW[[#This Row],[aantal uur per keer/meter]]*OverzichtExtraW[[#This Row],[Frequentie (uitv./jaar)]]</f>
        <v>0</v>
      </c>
      <c r="H31" s="228" t="s">
        <v>1279</v>
      </c>
    </row>
    <row r="32" spans="1:8" ht="15" customHeight="1">
      <c r="A32" s="226">
        <v>7</v>
      </c>
      <c r="B32" s="227" t="str">
        <f>VLOOKUP(OverzichtExtraW[[#This Row],[Code Locatie]],Locaties[[Code]:[Locatie]],2,0)</f>
        <v>De Kapstok AGL</v>
      </c>
      <c r="C32" s="226">
        <v>1</v>
      </c>
      <c r="D32" s="238" t="str">
        <f>IF(OverzichtExtraW[[#This Row],[Code Taak]],VLOOKUP(OverzichtExtraW[[#This Row],[Code Taak]],InvulExtraW[[#All],[Code Taak]:[Werkzaamheden]],2,FALSE),"")</f>
        <v>Dieptereiniging afzuigkappen binnenzijde</v>
      </c>
      <c r="E32" s="291">
        <v>1</v>
      </c>
      <c r="F32" s="239">
        <v>1</v>
      </c>
      <c r="G32" s="230">
        <f>$C$9*OverzichtExtraW[[#This Row],[aantal uur per keer/meter]]*OverzichtExtraW[[#This Row],[Frequentie (uitv./jaar)]]</f>
        <v>0</v>
      </c>
      <c r="H32" s="226"/>
    </row>
    <row r="33" spans="1:8" ht="15" customHeight="1">
      <c r="A33" s="226">
        <v>7</v>
      </c>
      <c r="B33" s="227" t="str">
        <f>VLOOKUP(OverzichtExtraW[[#This Row],[Code Locatie]],Locaties[[Code]:[Locatie]],2,0)</f>
        <v>De Kapstok AGL</v>
      </c>
      <c r="C33" s="226">
        <v>2</v>
      </c>
      <c r="D33" s="238" t="str">
        <f>IF(OverzichtExtraW[[#This Row],[Code Taak]],VLOOKUP(OverzichtExtraW[[#This Row],[Code Taak]],InvulExtraW[[#All],[Code Taak]:[Werkzaamheden]],2,FALSE),"")</f>
        <v>Uitblazen Ventilatieroosters</v>
      </c>
      <c r="E33" s="291">
        <v>2</v>
      </c>
      <c r="F33" s="239">
        <v>1</v>
      </c>
      <c r="G33" s="230">
        <f>$C$10*OverzichtExtraW[[#This Row],[aantal uur per keer/meter]]*OverzichtExtraW[[#This Row],[Frequentie (uitv./jaar)]]</f>
        <v>0</v>
      </c>
      <c r="H33" s="226"/>
    </row>
    <row r="34" spans="1:8" ht="15" customHeight="1">
      <c r="A34" s="226">
        <v>7</v>
      </c>
      <c r="B34" s="227" t="str">
        <f>VLOOKUP(OverzichtExtraW[[#This Row],[Code Locatie]],Locaties[[Code]:[Locatie]],2,0)</f>
        <v>De Kapstok AGL</v>
      </c>
      <c r="C34" s="226">
        <v>3</v>
      </c>
      <c r="D34" s="238" t="str">
        <f>IF(OverzichtExtraW[[#This Row],[Code Taak]],VLOOKUP(OverzichtExtraW[[#This Row],[Code Taak]],InvulExtraW[[#All],[Code Taak]:[Werkzaamheden]],2,FALSE),"")</f>
        <v>Opleverschoonmaak</v>
      </c>
      <c r="E34" s="211"/>
      <c r="F34" s="239">
        <v>1</v>
      </c>
      <c r="G34" s="240">
        <f>$C$11*OverzichtExtraW[[#This Row],[aantal uur per keer/meter]]*OverzichtExtraW[[#This Row],[Frequentie (uitv./jaar)]]</f>
        <v>0</v>
      </c>
      <c r="H34" s="228" t="s">
        <v>1279</v>
      </c>
    </row>
    <row r="35" spans="1:8" ht="15" customHeight="1">
      <c r="A35" s="226">
        <v>8</v>
      </c>
      <c r="B35" s="227" t="str">
        <f>VLOOKUP(OverzichtExtraW[[#This Row],[Code Locatie]],Locaties[[Code]:[Locatie]],2,0)</f>
        <v>Het Mozaïek</v>
      </c>
      <c r="C35" s="226">
        <v>1</v>
      </c>
      <c r="D35" s="238" t="str">
        <f>IF(OverzichtExtraW[[#This Row],[Code Taak]],VLOOKUP(OverzichtExtraW[[#This Row],[Code Taak]],InvulExtraW[[#All],[Code Taak]:[Werkzaamheden]],2,FALSE),"")</f>
        <v>Dieptereiniging afzuigkappen binnenzijde</v>
      </c>
      <c r="E35" s="291">
        <v>1</v>
      </c>
      <c r="F35" s="239">
        <v>1</v>
      </c>
      <c r="G35" s="230">
        <f>$C$9*OverzichtExtraW[[#This Row],[aantal uur per keer/meter]]*OverzichtExtraW[[#This Row],[Frequentie (uitv./jaar)]]</f>
        <v>0</v>
      </c>
      <c r="H35" s="226"/>
    </row>
    <row r="36" spans="1:8" ht="15" customHeight="1">
      <c r="A36" s="226">
        <v>8</v>
      </c>
      <c r="B36" s="227" t="str">
        <f>VLOOKUP(OverzichtExtraW[[#This Row],[Code Locatie]],Locaties[[Code]:[Locatie]],2,0)</f>
        <v>Het Mozaïek</v>
      </c>
      <c r="C36" s="226">
        <v>2</v>
      </c>
      <c r="D36" s="238" t="str">
        <f>IF(OverzichtExtraW[[#This Row],[Code Taak]],VLOOKUP(OverzichtExtraW[[#This Row],[Code Taak]],InvulExtraW[[#All],[Code Taak]:[Werkzaamheden]],2,FALSE),"")</f>
        <v>Uitblazen Ventilatieroosters</v>
      </c>
      <c r="E36" s="291">
        <v>2</v>
      </c>
      <c r="F36" s="239">
        <v>1</v>
      </c>
      <c r="G36" s="230">
        <f>$C$10*OverzichtExtraW[[#This Row],[aantal uur per keer/meter]]*OverzichtExtraW[[#This Row],[Frequentie (uitv./jaar)]]</f>
        <v>0</v>
      </c>
      <c r="H36" s="226"/>
    </row>
    <row r="37" spans="1:8" ht="15" customHeight="1">
      <c r="A37" s="226">
        <v>8</v>
      </c>
      <c r="B37" s="227" t="str">
        <f>VLOOKUP(OverzichtExtraW[[#This Row],[Code Locatie]],Locaties[[Code]:[Locatie]],2,0)</f>
        <v>Het Mozaïek</v>
      </c>
      <c r="C37" s="226">
        <v>3</v>
      </c>
      <c r="D37" s="238" t="str">
        <f>IF(OverzichtExtraW[[#This Row],[Code Taak]],VLOOKUP(OverzichtExtraW[[#This Row],[Code Taak]],InvulExtraW[[#All],[Code Taak]:[Werkzaamheden]],2,FALSE),"")</f>
        <v>Opleverschoonmaak</v>
      </c>
      <c r="E37" s="211"/>
      <c r="F37" s="239">
        <v>1</v>
      </c>
      <c r="G37" s="240">
        <f>$C$11*OverzichtExtraW[[#This Row],[aantal uur per keer/meter]]*OverzichtExtraW[[#This Row],[Frequentie (uitv./jaar)]]</f>
        <v>0</v>
      </c>
      <c r="H37" s="228" t="s">
        <v>1279</v>
      </c>
    </row>
    <row r="38" spans="1:8" ht="15" customHeight="1">
      <c r="A38" s="226">
        <v>9</v>
      </c>
      <c r="B38" s="227" t="str">
        <f>VLOOKUP(OverzichtExtraW[[#This Row],[Code Locatie]],Locaties[[Code]:[Locatie]],2,0)</f>
        <v>De Stapsteen (De Zevensprong)</v>
      </c>
      <c r="C38" s="226">
        <v>1</v>
      </c>
      <c r="D38" s="238" t="str">
        <f>IF(OverzichtExtraW[[#This Row],[Code Taak]],VLOOKUP(OverzichtExtraW[[#This Row],[Code Taak]],InvulExtraW[[#All],[Code Taak]:[Werkzaamheden]],2,FALSE),"")</f>
        <v>Dieptereiniging afzuigkappen binnenzijde</v>
      </c>
      <c r="E38" s="291">
        <v>1</v>
      </c>
      <c r="F38" s="239">
        <v>1</v>
      </c>
      <c r="G38" s="230">
        <f>$C$9*OverzichtExtraW[[#This Row],[aantal uur per keer/meter]]*OverzichtExtraW[[#This Row],[Frequentie (uitv./jaar)]]</f>
        <v>0</v>
      </c>
      <c r="H38" s="226"/>
    </row>
    <row r="39" spans="1:8" ht="15" customHeight="1">
      <c r="A39" s="226">
        <v>9</v>
      </c>
      <c r="B39" s="227" t="str">
        <f>VLOOKUP(OverzichtExtraW[[#This Row],[Code Locatie]],Locaties[[Code]:[Locatie]],2,0)</f>
        <v>De Stapsteen (De Zevensprong)</v>
      </c>
      <c r="C39" s="226">
        <v>2</v>
      </c>
      <c r="D39" s="238" t="str">
        <f>IF(OverzichtExtraW[[#This Row],[Code Taak]],VLOOKUP(OverzichtExtraW[[#This Row],[Code Taak]],InvulExtraW[[#All],[Code Taak]:[Werkzaamheden]],2,FALSE),"")</f>
        <v>Uitblazen Ventilatieroosters</v>
      </c>
      <c r="E39" s="291">
        <v>2</v>
      </c>
      <c r="F39" s="239">
        <v>1</v>
      </c>
      <c r="G39" s="230">
        <f>$C$10*OverzichtExtraW[[#This Row],[aantal uur per keer/meter]]*OverzichtExtraW[[#This Row],[Frequentie (uitv./jaar)]]</f>
        <v>0</v>
      </c>
      <c r="H39" s="226"/>
    </row>
    <row r="40" spans="1:8" ht="15" customHeight="1">
      <c r="A40" s="226">
        <v>9</v>
      </c>
      <c r="B40" s="227" t="str">
        <f>VLOOKUP(OverzichtExtraW[[#This Row],[Code Locatie]],Locaties[[Code]:[Locatie]],2,0)</f>
        <v>De Stapsteen (De Zevensprong)</v>
      </c>
      <c r="C40" s="226">
        <v>3</v>
      </c>
      <c r="D40" s="238" t="str">
        <f>IF(OverzichtExtraW[[#This Row],[Code Taak]],VLOOKUP(OverzichtExtraW[[#This Row],[Code Taak]],InvulExtraW[[#All],[Code Taak]:[Werkzaamheden]],2,FALSE),"")</f>
        <v>Opleverschoonmaak</v>
      </c>
      <c r="E40" s="211"/>
      <c r="F40" s="239">
        <v>1</v>
      </c>
      <c r="G40" s="240">
        <f>$C$11*OverzichtExtraW[[#This Row],[aantal uur per keer/meter]]*OverzichtExtraW[[#This Row],[Frequentie (uitv./jaar)]]</f>
        <v>0</v>
      </c>
      <c r="H40" s="228" t="s">
        <v>1279</v>
      </c>
    </row>
    <row r="41" spans="1:8" ht="15" customHeight="1">
      <c r="A41" s="226">
        <v>10</v>
      </c>
      <c r="B41" s="227" t="str">
        <f>VLOOKUP(OverzichtExtraW[[#This Row],[Code Locatie]],Locaties[[Code]:[Locatie]],2,0)</f>
        <v>De Stapsteen (2 gebouwen)</v>
      </c>
      <c r="C41" s="226">
        <v>1</v>
      </c>
      <c r="D41" s="238" t="str">
        <f>IF(OverzichtExtraW[[#This Row],[Code Taak]],VLOOKUP(OverzichtExtraW[[#This Row],[Code Taak]],InvulExtraW[[#All],[Code Taak]:[Werkzaamheden]],2,FALSE),"")</f>
        <v>Dieptereiniging afzuigkappen binnenzijde</v>
      </c>
      <c r="E41" s="291">
        <v>1</v>
      </c>
      <c r="F41" s="239">
        <v>1</v>
      </c>
      <c r="G41" s="230">
        <f>$C$9*OverzichtExtraW[[#This Row],[aantal uur per keer/meter]]*OverzichtExtraW[[#This Row],[Frequentie (uitv./jaar)]]</f>
        <v>0</v>
      </c>
      <c r="H41" s="226"/>
    </row>
    <row r="42" spans="1:8" ht="15" customHeight="1">
      <c r="A42" s="226">
        <v>10</v>
      </c>
      <c r="B42" s="227" t="str">
        <f>VLOOKUP(OverzichtExtraW[[#This Row],[Code Locatie]],Locaties[[Code]:[Locatie]],2,0)</f>
        <v>De Stapsteen (2 gebouwen)</v>
      </c>
      <c r="C42" s="226">
        <v>2</v>
      </c>
      <c r="D42" s="238" t="str">
        <f>IF(OverzichtExtraW[[#This Row],[Code Taak]],VLOOKUP(OverzichtExtraW[[#This Row],[Code Taak]],InvulExtraW[[#All],[Code Taak]:[Werkzaamheden]],2,FALSE),"")</f>
        <v>Uitblazen Ventilatieroosters</v>
      </c>
      <c r="E42" s="291">
        <v>2</v>
      </c>
      <c r="F42" s="239">
        <v>1</v>
      </c>
      <c r="G42" s="230">
        <f>$C$10*OverzichtExtraW[[#This Row],[aantal uur per keer/meter]]*OverzichtExtraW[[#This Row],[Frequentie (uitv./jaar)]]</f>
        <v>0</v>
      </c>
      <c r="H42" s="226"/>
    </row>
    <row r="43" spans="1:8" ht="15" customHeight="1">
      <c r="A43" s="226">
        <v>10</v>
      </c>
      <c r="B43" s="227" t="str">
        <f>VLOOKUP(OverzichtExtraW[[#This Row],[Code Locatie]],Locaties[[Code]:[Locatie]],2,0)</f>
        <v>De Stapsteen (2 gebouwen)</v>
      </c>
      <c r="C43" s="226">
        <v>3</v>
      </c>
      <c r="D43" s="238" t="str">
        <f>IF(OverzichtExtraW[[#This Row],[Code Taak]],VLOOKUP(OverzichtExtraW[[#This Row],[Code Taak]],InvulExtraW[[#All],[Code Taak]:[Werkzaamheden]],2,FALSE),"")</f>
        <v>Opleverschoonmaak</v>
      </c>
      <c r="E43" s="211"/>
      <c r="F43" s="239">
        <v>1</v>
      </c>
      <c r="G43" s="240">
        <f>$C$11*OverzichtExtraW[[#This Row],[aantal uur per keer/meter]]*OverzichtExtraW[[#This Row],[Frequentie (uitv./jaar)]]</f>
        <v>0</v>
      </c>
      <c r="H43" s="228" t="s">
        <v>1279</v>
      </c>
    </row>
    <row r="44" spans="1:8" ht="15" customHeight="1">
      <c r="A44" s="226">
        <v>11</v>
      </c>
      <c r="B44" s="227" t="str">
        <f>VLOOKUP(OverzichtExtraW[[#This Row],[Code Locatie]],Locaties[[Code]:[Locatie]],2,0)</f>
        <v>De Bouwsteen / Het Fundament</v>
      </c>
      <c r="C44" s="226">
        <v>1</v>
      </c>
      <c r="D44" s="238" t="str">
        <f>IF(OverzichtExtraW[[#This Row],[Code Taak]],VLOOKUP(OverzichtExtraW[[#This Row],[Code Taak]],InvulExtraW[[#All],[Code Taak]:[Werkzaamheden]],2,FALSE),"")</f>
        <v>Dieptereiniging afzuigkappen binnenzijde</v>
      </c>
      <c r="E44" s="291">
        <v>1</v>
      </c>
      <c r="F44" s="239">
        <v>1</v>
      </c>
      <c r="G44" s="230">
        <f>$C$9*OverzichtExtraW[[#This Row],[aantal uur per keer/meter]]*OverzichtExtraW[[#This Row],[Frequentie (uitv./jaar)]]</f>
        <v>0</v>
      </c>
      <c r="H44" s="226"/>
    </row>
    <row r="45" spans="1:8" ht="15" customHeight="1">
      <c r="A45" s="226">
        <v>11</v>
      </c>
      <c r="B45" s="227" t="str">
        <f>VLOOKUP(OverzichtExtraW[[#This Row],[Code Locatie]],Locaties[[Code]:[Locatie]],2,0)</f>
        <v>De Bouwsteen / Het Fundament</v>
      </c>
      <c r="C45" s="226">
        <v>2</v>
      </c>
      <c r="D45" s="238" t="str">
        <f>IF(OverzichtExtraW[[#This Row],[Code Taak]],VLOOKUP(OverzichtExtraW[[#This Row],[Code Taak]],InvulExtraW[[#All],[Code Taak]:[Werkzaamheden]],2,FALSE),"")</f>
        <v>Uitblazen Ventilatieroosters</v>
      </c>
      <c r="E45" s="291">
        <v>2</v>
      </c>
      <c r="F45" s="239">
        <v>1</v>
      </c>
      <c r="G45" s="230">
        <f>$C$10*OverzichtExtraW[[#This Row],[aantal uur per keer/meter]]*OverzichtExtraW[[#This Row],[Frequentie (uitv./jaar)]]</f>
        <v>0</v>
      </c>
      <c r="H45" s="226"/>
    </row>
    <row r="46" spans="1:8" ht="15" customHeight="1">
      <c r="A46" s="226">
        <v>11</v>
      </c>
      <c r="B46" s="227" t="str">
        <f>VLOOKUP(OverzichtExtraW[[#This Row],[Code Locatie]],Locaties[[Code]:[Locatie]],2,0)</f>
        <v>De Bouwsteen / Het Fundament</v>
      </c>
      <c r="C46" s="226">
        <v>3</v>
      </c>
      <c r="D46" s="238" t="str">
        <f>IF(OverzichtExtraW[[#This Row],[Code Taak]],VLOOKUP(OverzichtExtraW[[#This Row],[Code Taak]],InvulExtraW[[#All],[Code Taak]:[Werkzaamheden]],2,FALSE),"")</f>
        <v>Opleverschoonmaak</v>
      </c>
      <c r="E46" s="211"/>
      <c r="F46" s="239">
        <v>1</v>
      </c>
      <c r="G46" s="240">
        <f>$C$11*OverzichtExtraW[[#This Row],[aantal uur per keer/meter]]*OverzichtExtraW[[#This Row],[Frequentie (uitv./jaar)]]</f>
        <v>0</v>
      </c>
      <c r="H46" s="228" t="s">
        <v>1279</v>
      </c>
    </row>
    <row r="47" spans="1:8" ht="15" customHeight="1">
      <c r="A47" s="226">
        <v>12</v>
      </c>
      <c r="B47" s="227" t="str">
        <f>VLOOKUP(OverzichtExtraW[[#This Row],[Code Locatie]],Locaties[[Code]:[Locatie]],2,0)</f>
        <v>Onderwijscentrum Het Roessingh &amp; De Huifkar</v>
      </c>
      <c r="C47" s="226">
        <v>1</v>
      </c>
      <c r="D47" s="238" t="str">
        <f>IF(OverzichtExtraW[[#This Row],[Code Taak]],VLOOKUP(OverzichtExtraW[[#This Row],[Code Taak]],InvulExtraW[[#All],[Code Taak]:[Werkzaamheden]],2,FALSE),"")</f>
        <v>Dieptereiniging afzuigkappen binnenzijde</v>
      </c>
      <c r="E47" s="291">
        <v>1</v>
      </c>
      <c r="F47" s="239">
        <v>1</v>
      </c>
      <c r="G47" s="230">
        <f>$C$9*OverzichtExtraW[[#This Row],[aantal uur per keer/meter]]*OverzichtExtraW[[#This Row],[Frequentie (uitv./jaar)]]</f>
        <v>0</v>
      </c>
      <c r="H47" s="226"/>
    </row>
    <row r="48" spans="1:8" ht="15" customHeight="1">
      <c r="A48" s="226">
        <v>12</v>
      </c>
      <c r="B48" s="227" t="str">
        <f>VLOOKUP(OverzichtExtraW[[#This Row],[Code Locatie]],Locaties[[Code]:[Locatie]],2,0)</f>
        <v>Onderwijscentrum Het Roessingh &amp; De Huifkar</v>
      </c>
      <c r="C48" s="226">
        <v>2</v>
      </c>
      <c r="D48" s="238" t="str">
        <f>IF(OverzichtExtraW[[#This Row],[Code Taak]],VLOOKUP(OverzichtExtraW[[#This Row],[Code Taak]],InvulExtraW[[#All],[Code Taak]:[Werkzaamheden]],2,FALSE),"")</f>
        <v>Uitblazen Ventilatieroosters</v>
      </c>
      <c r="E48" s="291">
        <v>2</v>
      </c>
      <c r="F48" s="239">
        <v>1</v>
      </c>
      <c r="G48" s="230">
        <f>$C$10*OverzichtExtraW[[#This Row],[aantal uur per keer/meter]]*OverzichtExtraW[[#This Row],[Frequentie (uitv./jaar)]]</f>
        <v>0</v>
      </c>
      <c r="H48" s="226"/>
    </row>
    <row r="49" spans="1:8" ht="15" customHeight="1">
      <c r="A49" s="226">
        <v>12</v>
      </c>
      <c r="B49" s="227" t="str">
        <f>VLOOKUP(OverzichtExtraW[[#This Row],[Code Locatie]],Locaties[[Code]:[Locatie]],2,0)</f>
        <v>Onderwijscentrum Het Roessingh &amp; De Huifkar</v>
      </c>
      <c r="C49" s="226">
        <v>3</v>
      </c>
      <c r="D49" s="238" t="str">
        <f>IF(OverzichtExtraW[[#This Row],[Code Taak]],VLOOKUP(OverzichtExtraW[[#This Row],[Code Taak]],InvulExtraW[[#All],[Code Taak]:[Werkzaamheden]],2,FALSE),"")</f>
        <v>Opleverschoonmaak</v>
      </c>
      <c r="E49" s="211"/>
      <c r="F49" s="239">
        <v>1</v>
      </c>
      <c r="G49" s="240">
        <f>$C$11*OverzichtExtraW[[#This Row],[aantal uur per keer/meter]]*OverzichtExtraW[[#This Row],[Frequentie (uitv./jaar)]]</f>
        <v>0</v>
      </c>
      <c r="H49" s="228" t="s">
        <v>1279</v>
      </c>
    </row>
    <row r="50" spans="1:8" ht="15" customHeight="1">
      <c r="A50" s="226">
        <v>13</v>
      </c>
      <c r="B50" s="227" t="str">
        <f>VLOOKUP(OverzichtExtraW[[#This Row],[Code Locatie]],Locaties[[Code]:[Locatie]],2,0)</f>
        <v>Neon College – Hengelo</v>
      </c>
      <c r="C50" s="226">
        <v>1</v>
      </c>
      <c r="D50" s="238" t="str">
        <f>IF(OverzichtExtraW[[#This Row],[Code Taak]],VLOOKUP(OverzichtExtraW[[#This Row],[Code Taak]],InvulExtraW[[#All],[Code Taak]:[Werkzaamheden]],2,FALSE),"")</f>
        <v>Dieptereiniging afzuigkappen binnenzijde</v>
      </c>
      <c r="E50" s="291">
        <v>1</v>
      </c>
      <c r="F50" s="239">
        <v>1</v>
      </c>
      <c r="G50" s="230">
        <f>$C$9*OverzichtExtraW[[#This Row],[aantal uur per keer/meter]]*OverzichtExtraW[[#This Row],[Frequentie (uitv./jaar)]]</f>
        <v>0</v>
      </c>
      <c r="H50" s="226"/>
    </row>
    <row r="51" spans="1:8" ht="15" customHeight="1">
      <c r="A51" s="226">
        <v>13</v>
      </c>
      <c r="B51" s="227" t="str">
        <f>VLOOKUP(OverzichtExtraW[[#This Row],[Code Locatie]],Locaties[[Code]:[Locatie]],2,0)</f>
        <v>Neon College – Hengelo</v>
      </c>
      <c r="C51" s="226">
        <v>2</v>
      </c>
      <c r="D51" s="238" t="str">
        <f>IF(OverzichtExtraW[[#This Row],[Code Taak]],VLOOKUP(OverzichtExtraW[[#This Row],[Code Taak]],InvulExtraW[[#All],[Code Taak]:[Werkzaamheden]],2,FALSE),"")</f>
        <v>Uitblazen Ventilatieroosters</v>
      </c>
      <c r="E51" s="291">
        <v>2</v>
      </c>
      <c r="F51" s="239">
        <v>1</v>
      </c>
      <c r="G51" s="230">
        <f>$C$10*OverzichtExtraW[[#This Row],[aantal uur per keer/meter]]*OverzichtExtraW[[#This Row],[Frequentie (uitv./jaar)]]</f>
        <v>0</v>
      </c>
      <c r="H51" s="226"/>
    </row>
    <row r="52" spans="1:8" ht="15" customHeight="1">
      <c r="A52" s="226">
        <v>13</v>
      </c>
      <c r="B52" s="227" t="str">
        <f>VLOOKUP(OverzichtExtraW[[#This Row],[Code Locatie]],Locaties[[Code]:[Locatie]],2,0)</f>
        <v>Neon College – Hengelo</v>
      </c>
      <c r="C52" s="226">
        <v>3</v>
      </c>
      <c r="D52" s="238" t="str">
        <f>IF(OverzichtExtraW[[#This Row],[Code Taak]],VLOOKUP(OverzichtExtraW[[#This Row],[Code Taak]],InvulExtraW[[#All],[Code Taak]:[Werkzaamheden]],2,FALSE),"")</f>
        <v>Opleverschoonmaak</v>
      </c>
      <c r="E52" s="211"/>
      <c r="F52" s="239">
        <v>1</v>
      </c>
      <c r="G52" s="240">
        <f>$C$11*OverzichtExtraW[[#This Row],[aantal uur per keer/meter]]*OverzichtExtraW[[#This Row],[Frequentie (uitv./jaar)]]</f>
        <v>0</v>
      </c>
      <c r="H52" s="228" t="s">
        <v>1279</v>
      </c>
    </row>
    <row r="53" spans="1:8" ht="15" customHeight="1">
      <c r="A53" s="226">
        <v>14</v>
      </c>
      <c r="B53" s="227" t="str">
        <f>VLOOKUP(OverzichtExtraW[[#This Row],[Code Locatie]],Locaties[[Code]:[Locatie]],2,0)</f>
        <v>De Meander</v>
      </c>
      <c r="C53" s="226">
        <v>1</v>
      </c>
      <c r="D53" s="238" t="str">
        <f>IF(OverzichtExtraW[[#This Row],[Code Taak]],VLOOKUP(OverzichtExtraW[[#This Row],[Code Taak]],InvulExtraW[[#All],[Code Taak]:[Werkzaamheden]],2,FALSE),"")</f>
        <v>Dieptereiniging afzuigkappen binnenzijde</v>
      </c>
      <c r="E53" s="291">
        <v>1</v>
      </c>
      <c r="F53" s="239">
        <v>1</v>
      </c>
      <c r="G53" s="230">
        <f>$C$9*OverzichtExtraW[[#This Row],[aantal uur per keer/meter]]*OverzichtExtraW[[#This Row],[Frequentie (uitv./jaar)]]</f>
        <v>0</v>
      </c>
      <c r="H53" s="226"/>
    </row>
    <row r="54" spans="1:8" ht="15" customHeight="1">
      <c r="A54" s="226">
        <v>14</v>
      </c>
      <c r="B54" s="227" t="str">
        <f>VLOOKUP(OverzichtExtraW[[#This Row],[Code Locatie]],Locaties[[Code]:[Locatie]],2,0)</f>
        <v>De Meander</v>
      </c>
      <c r="C54" s="226">
        <v>2</v>
      </c>
      <c r="D54" s="238" t="str">
        <f>IF(OverzichtExtraW[[#This Row],[Code Taak]],VLOOKUP(OverzichtExtraW[[#This Row],[Code Taak]],InvulExtraW[[#All],[Code Taak]:[Werkzaamheden]],2,FALSE),"")</f>
        <v>Uitblazen Ventilatieroosters</v>
      </c>
      <c r="E54" s="291">
        <v>2</v>
      </c>
      <c r="F54" s="239">
        <v>1</v>
      </c>
      <c r="G54" s="230">
        <f>$C$10*OverzichtExtraW[[#This Row],[aantal uur per keer/meter]]*OverzichtExtraW[[#This Row],[Frequentie (uitv./jaar)]]</f>
        <v>0</v>
      </c>
      <c r="H54" s="226"/>
    </row>
    <row r="55" spans="1:8" ht="15" customHeight="1">
      <c r="A55" s="226">
        <v>14</v>
      </c>
      <c r="B55" s="227" t="str">
        <f>VLOOKUP(OverzichtExtraW[[#This Row],[Code Locatie]],Locaties[[Code]:[Locatie]],2,0)</f>
        <v>De Meander</v>
      </c>
      <c r="C55" s="226">
        <v>3</v>
      </c>
      <c r="D55" s="238" t="str">
        <f>IF(OverzichtExtraW[[#This Row],[Code Taak]],VLOOKUP(OverzichtExtraW[[#This Row],[Code Taak]],InvulExtraW[[#All],[Code Taak]:[Werkzaamheden]],2,FALSE),"")</f>
        <v>Opleverschoonmaak</v>
      </c>
      <c r="E55" s="211"/>
      <c r="F55" s="239">
        <v>1</v>
      </c>
      <c r="G55" s="240">
        <f>$C$11*OverzichtExtraW[[#This Row],[aantal uur per keer/meter]]*OverzichtExtraW[[#This Row],[Frequentie (uitv./jaar)]]</f>
        <v>0</v>
      </c>
      <c r="H55" s="228" t="s">
        <v>1279</v>
      </c>
    </row>
    <row r="56" spans="1:8" ht="15" customHeight="1">
      <c r="A56" s="226">
        <v>15</v>
      </c>
      <c r="B56" s="227" t="str">
        <f>VLOOKUP(OverzichtExtraW[[#This Row],[Code Locatie]],Locaties[[Code]:[Locatie]],2,0)</f>
        <v>Gymzaal Lijsterstraat</v>
      </c>
      <c r="C56" s="226">
        <v>1</v>
      </c>
      <c r="D56" s="238" t="str">
        <f>IF(OverzichtExtraW[[#This Row],[Code Taak]],VLOOKUP(OverzichtExtraW[[#This Row],[Code Taak]],InvulExtraW[[#All],[Code Taak]:[Werkzaamheden]],2,FALSE),"")</f>
        <v>Dieptereiniging afzuigkappen binnenzijde</v>
      </c>
      <c r="E56" s="291">
        <v>1</v>
      </c>
      <c r="F56" s="239">
        <v>1</v>
      </c>
      <c r="G56" s="230">
        <f>$C$9*OverzichtExtraW[[#This Row],[aantal uur per keer/meter]]*OverzichtExtraW[[#This Row],[Frequentie (uitv./jaar)]]</f>
        <v>0</v>
      </c>
      <c r="H56" s="226"/>
    </row>
    <row r="57" spans="1:8" ht="15" customHeight="1">
      <c r="A57" s="226">
        <v>15</v>
      </c>
      <c r="B57" s="227" t="str">
        <f>VLOOKUP(OverzichtExtraW[[#This Row],[Code Locatie]],Locaties[[Code]:[Locatie]],2,0)</f>
        <v>Gymzaal Lijsterstraat</v>
      </c>
      <c r="C57" s="226">
        <v>2</v>
      </c>
      <c r="D57" s="238" t="str">
        <f>IF(OverzichtExtraW[[#This Row],[Code Taak]],VLOOKUP(OverzichtExtraW[[#This Row],[Code Taak]],InvulExtraW[[#All],[Code Taak]:[Werkzaamheden]],2,FALSE),"")</f>
        <v>Uitblazen Ventilatieroosters</v>
      </c>
      <c r="E57" s="291">
        <v>2</v>
      </c>
      <c r="F57" s="239">
        <v>1</v>
      </c>
      <c r="G57" s="230">
        <f>$C$10*OverzichtExtraW[[#This Row],[aantal uur per keer/meter]]*OverzichtExtraW[[#This Row],[Frequentie (uitv./jaar)]]</f>
        <v>0</v>
      </c>
      <c r="H57" s="226"/>
    </row>
    <row r="58" spans="1:8" ht="15" customHeight="1">
      <c r="A58" s="226">
        <v>15</v>
      </c>
      <c r="B58" s="227" t="str">
        <f>VLOOKUP(OverzichtExtraW[[#This Row],[Code Locatie]],Locaties[[Code]:[Locatie]],2,0)</f>
        <v>Gymzaal Lijsterstraat</v>
      </c>
      <c r="C58" s="226">
        <v>3</v>
      </c>
      <c r="D58" s="238" t="str">
        <f>IF(OverzichtExtraW[[#This Row],[Code Taak]],VLOOKUP(OverzichtExtraW[[#This Row],[Code Taak]],InvulExtraW[[#All],[Code Taak]:[Werkzaamheden]],2,FALSE),"")</f>
        <v>Opleverschoonmaak</v>
      </c>
      <c r="E58" s="211"/>
      <c r="F58" s="239">
        <v>1</v>
      </c>
      <c r="G58" s="240">
        <f>$C$11*OverzichtExtraW[[#This Row],[aantal uur per keer/meter]]*OverzichtExtraW[[#This Row],[Frequentie (uitv./jaar)]]</f>
        <v>0</v>
      </c>
      <c r="H58" s="228" t="s">
        <v>1279</v>
      </c>
    </row>
    <row r="59" spans="1:8" ht="15" customHeight="1">
      <c r="A59" s="226">
        <v>16</v>
      </c>
      <c r="B59" s="227" t="str">
        <f>VLOOKUP(OverzichtExtraW[[#This Row],[Code Locatie]],Locaties[[Code]:[Locatie]],2,0)</f>
        <v>Hassinkweg</v>
      </c>
      <c r="C59" s="226">
        <v>1</v>
      </c>
      <c r="D59" s="238" t="str">
        <f>IF(OverzichtExtraW[[#This Row],[Code Taak]],VLOOKUP(OverzichtExtraW[[#This Row],[Code Taak]],InvulExtraW[[#All],[Code Taak]:[Werkzaamheden]],2,FALSE),"")</f>
        <v>Dieptereiniging afzuigkappen binnenzijde</v>
      </c>
      <c r="E59" s="291">
        <v>1</v>
      </c>
      <c r="F59" s="239">
        <v>1</v>
      </c>
      <c r="G59" s="230">
        <f>$C$9*OverzichtExtraW[[#This Row],[aantal uur per keer/meter]]*OverzichtExtraW[[#This Row],[Frequentie (uitv./jaar)]]</f>
        <v>0</v>
      </c>
      <c r="H59" s="226"/>
    </row>
    <row r="60" spans="1:8" ht="15" customHeight="1">
      <c r="A60" s="226">
        <v>16</v>
      </c>
      <c r="B60" s="227" t="str">
        <f>VLOOKUP(OverzichtExtraW[[#This Row],[Code Locatie]],Locaties[[Code]:[Locatie]],2,0)</f>
        <v>Hassinkweg</v>
      </c>
      <c r="C60" s="226">
        <v>2</v>
      </c>
      <c r="D60" s="238" t="str">
        <f>IF(OverzichtExtraW[[#This Row],[Code Taak]],VLOOKUP(OverzichtExtraW[[#This Row],[Code Taak]],InvulExtraW[[#All],[Code Taak]:[Werkzaamheden]],2,FALSE),"")</f>
        <v>Uitblazen Ventilatieroosters</v>
      </c>
      <c r="E60" s="291">
        <v>2</v>
      </c>
      <c r="F60" s="239">
        <v>1</v>
      </c>
      <c r="G60" s="230">
        <f>$C$10*OverzichtExtraW[[#This Row],[aantal uur per keer/meter]]*OverzichtExtraW[[#This Row],[Frequentie (uitv./jaar)]]</f>
        <v>0</v>
      </c>
      <c r="H60" s="226"/>
    </row>
    <row r="61" spans="1:8" ht="15" customHeight="1">
      <c r="A61" s="226">
        <v>16</v>
      </c>
      <c r="B61" s="227" t="str">
        <f>VLOOKUP(OverzichtExtraW[[#This Row],[Code Locatie]],Locaties[[Code]:[Locatie]],2,0)</f>
        <v>Hassinkweg</v>
      </c>
      <c r="C61" s="226">
        <v>3</v>
      </c>
      <c r="D61" s="238" t="str">
        <f>IF(OverzichtExtraW[[#This Row],[Code Taak]],VLOOKUP(OverzichtExtraW[[#This Row],[Code Taak]],InvulExtraW[[#All],[Code Taak]:[Werkzaamheden]],2,FALSE),"")</f>
        <v>Opleverschoonmaak</v>
      </c>
      <c r="E61" s="211"/>
      <c r="F61" s="239">
        <v>1</v>
      </c>
      <c r="G61" s="240">
        <f>$C$11*OverzichtExtraW[[#This Row],[aantal uur per keer/meter]]*OverzichtExtraW[[#This Row],[Frequentie (uitv./jaar)]]</f>
        <v>0</v>
      </c>
      <c r="H61" s="228" t="s">
        <v>1279</v>
      </c>
    </row>
    <row r="62" spans="1:8" ht="15" customHeight="1">
      <c r="A62" s="226">
        <v>17</v>
      </c>
      <c r="B62" s="227" t="str">
        <f>VLOOKUP(OverzichtExtraW[[#This Row],[Code Locatie]],Locaties[[Code]:[Locatie]],2,0)</f>
        <v>Mota</v>
      </c>
      <c r="C62" s="226">
        <v>1</v>
      </c>
      <c r="D62" s="238" t="str">
        <f>IF(OverzichtExtraW[[#This Row],[Code Taak]],VLOOKUP(OverzichtExtraW[[#This Row],[Code Taak]],InvulExtraW[[#All],[Code Taak]:[Werkzaamheden]],2,FALSE),"")</f>
        <v>Dieptereiniging afzuigkappen binnenzijde</v>
      </c>
      <c r="E62" s="291">
        <v>1</v>
      </c>
      <c r="F62" s="239">
        <v>1</v>
      </c>
      <c r="G62" s="230">
        <f>$C$9*OverzichtExtraW[[#This Row],[aantal uur per keer/meter]]*OverzichtExtraW[[#This Row],[Frequentie (uitv./jaar)]]</f>
        <v>0</v>
      </c>
      <c r="H62" s="226"/>
    </row>
    <row r="63" spans="1:8" ht="15" customHeight="1">
      <c r="A63" s="226">
        <v>17</v>
      </c>
      <c r="B63" s="227" t="str">
        <f>VLOOKUP(OverzichtExtraW[[#This Row],[Code Locatie]],Locaties[[Code]:[Locatie]],2,0)</f>
        <v>Mota</v>
      </c>
      <c r="C63" s="226">
        <v>2</v>
      </c>
      <c r="D63" s="238" t="str">
        <f>IF(OverzichtExtraW[[#This Row],[Code Taak]],VLOOKUP(OverzichtExtraW[[#This Row],[Code Taak]],InvulExtraW[[#All],[Code Taak]:[Werkzaamheden]],2,FALSE),"")</f>
        <v>Uitblazen Ventilatieroosters</v>
      </c>
      <c r="E63" s="291">
        <v>2</v>
      </c>
      <c r="F63" s="239">
        <v>1</v>
      </c>
      <c r="G63" s="230">
        <f>$C$10*OverzichtExtraW[[#This Row],[aantal uur per keer/meter]]*OverzichtExtraW[[#This Row],[Frequentie (uitv./jaar)]]</f>
        <v>0</v>
      </c>
      <c r="H63" s="226"/>
    </row>
    <row r="64" spans="1:8" ht="15" customHeight="1">
      <c r="A64" s="226">
        <v>17</v>
      </c>
      <c r="B64" s="227" t="str">
        <f>VLOOKUP(OverzichtExtraW[[#This Row],[Code Locatie]],Locaties[[Code]:[Locatie]],2,0)</f>
        <v>Mota</v>
      </c>
      <c r="C64" s="226">
        <v>3</v>
      </c>
      <c r="D64" s="238" t="str">
        <f>IF(OverzichtExtraW[[#This Row],[Code Taak]],VLOOKUP(OverzichtExtraW[[#This Row],[Code Taak]],InvulExtraW[[#All],[Code Taak]:[Werkzaamheden]],2,FALSE),"")</f>
        <v>Opleverschoonmaak</v>
      </c>
      <c r="E64" s="211"/>
      <c r="F64" s="239">
        <v>1</v>
      </c>
      <c r="G64" s="240">
        <f>$C$11*OverzichtExtraW[[#This Row],[aantal uur per keer/meter]]*OverzichtExtraW[[#This Row],[Frequentie (uitv./jaar)]]</f>
        <v>0</v>
      </c>
      <c r="H64" s="228" t="s">
        <v>1279</v>
      </c>
    </row>
    <row r="65" spans="1:8" ht="15" customHeight="1">
      <c r="A65" s="156"/>
      <c r="B65" s="157" t="s">
        <v>33</v>
      </c>
      <c r="C65" s="156"/>
      <c r="D65" s="158"/>
      <c r="E65" s="156"/>
      <c r="F65" s="156"/>
      <c r="G65" s="160">
        <f>SUBTOTAL(109,OverzichtExtraW[Kosten/jaar excl. BTW])</f>
        <v>0</v>
      </c>
      <c r="H65" s="214"/>
    </row>
    <row r="66" spans="1:8" ht="15" customHeight="1">
      <c r="A66" s="37"/>
      <c r="C66" s="35"/>
      <c r="D66" s="35"/>
      <c r="E66" s="35"/>
      <c r="F66" s="147"/>
      <c r="G66" s="234"/>
      <c r="H66" s="232"/>
    </row>
    <row r="67" spans="1:8" ht="15" customHeight="1"/>
    <row r="68" spans="1:8" ht="15" customHeight="1"/>
    <row r="69" spans="1:8" ht="15" customHeight="1"/>
    <row r="70" spans="1:8" ht="15" customHeight="1"/>
    <row r="71" spans="1:8" ht="15" customHeight="1"/>
    <row r="72" spans="1:8" ht="15" customHeight="1"/>
    <row r="73" spans="1:8" ht="15" customHeight="1"/>
    <row r="74" spans="1:8" ht="15" customHeight="1"/>
    <row r="75" spans="1:8" ht="15" customHeight="1"/>
    <row r="76" spans="1:8" ht="15" customHeight="1"/>
    <row r="77" spans="1:8" ht="15" customHeight="1"/>
    <row r="78" spans="1:8" ht="15" customHeight="1"/>
    <row r="79" spans="1:8" ht="15" customHeight="1"/>
    <row r="80" spans="1:8" ht="15" customHeight="1"/>
    <row r="81" ht="15" customHeight="1"/>
    <row r="82" ht="15" customHeight="1"/>
    <row r="83" ht="15" customHeight="1"/>
    <row r="84" ht="15" customHeight="1"/>
    <row r="85" ht="15" customHeight="1"/>
    <row r="86" ht="13.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3">
    <mergeCell ref="A1:H1"/>
    <mergeCell ref="A2:H2"/>
    <mergeCell ref="E7:I7"/>
  </mergeCells>
  <pageMargins left="0.7" right="0.7" top="0.75" bottom="0.75" header="0.3" footer="0.3"/>
  <pageSetup paperSize="9" scale="49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E9B8-1CE8-46A4-8001-D87A568AD236}">
  <sheetPr>
    <tabColor theme="0" tint="-0.14999847407452621"/>
  </sheetPr>
  <dimension ref="A1:L374"/>
  <sheetViews>
    <sheetView workbookViewId="0">
      <selection activeCell="B8" sqref="B8"/>
    </sheetView>
  </sheetViews>
  <sheetFormatPr defaultRowHeight="12.75"/>
  <cols>
    <col min="1" max="1" width="8.3984375" customWidth="1"/>
    <col min="2" max="2" width="48.1328125" customWidth="1"/>
    <col min="3" max="3" width="48.59765625" bestFit="1" customWidth="1"/>
    <col min="4" max="4" width="40" bestFit="1" customWidth="1"/>
    <col min="5" max="5" width="17.73046875" bestFit="1" customWidth="1"/>
    <col min="6" max="6" width="42.59765625" bestFit="1" customWidth="1"/>
    <col min="7" max="7" width="19.73046875" bestFit="1" customWidth="1"/>
    <col min="8" max="8" width="17.73046875" bestFit="1" customWidth="1"/>
    <col min="9" max="9" width="17.265625" customWidth="1"/>
    <col min="10" max="10" width="14.3984375" customWidth="1"/>
    <col min="11" max="11" width="18" bestFit="1" customWidth="1"/>
    <col min="12" max="12" width="40" bestFit="1" customWidth="1"/>
  </cols>
  <sheetData>
    <row r="1" spans="1:9" s="9" customFormat="1" ht="26.25" customHeight="1">
      <c r="A1" s="314" t="s">
        <v>425</v>
      </c>
      <c r="B1" s="314"/>
      <c r="C1" s="314"/>
      <c r="D1" s="314"/>
      <c r="E1" s="314"/>
      <c r="F1" s="314"/>
      <c r="G1" s="314"/>
      <c r="H1" s="314"/>
    </row>
    <row r="2" spans="1:9" s="9" customFormat="1" ht="15" customHeight="1">
      <c r="A2" s="353" t="s">
        <v>417</v>
      </c>
      <c r="B2" s="316"/>
      <c r="C2" s="316"/>
      <c r="D2" s="316"/>
      <c r="E2" s="316"/>
      <c r="F2" s="316"/>
      <c r="G2" s="316"/>
      <c r="H2" s="316"/>
    </row>
    <row r="3" spans="1:9" s="4" customFormat="1" ht="15" customHeight="1">
      <c r="B3" s="21"/>
      <c r="F3" s="144"/>
    </row>
    <row r="4" spans="1:9" s="4" customFormat="1" ht="15" customHeight="1">
      <c r="A4" s="4" t="s">
        <v>179</v>
      </c>
      <c r="B4" s="35"/>
      <c r="C4" s="35"/>
      <c r="D4" s="35"/>
      <c r="E4" s="35"/>
      <c r="F4" s="231"/>
      <c r="G4" s="232"/>
    </row>
    <row r="5" spans="1:9" s="4" customFormat="1" ht="15" customHeight="1">
      <c r="A5" s="4" t="s">
        <v>244</v>
      </c>
      <c r="B5" s="35"/>
      <c r="C5" s="35"/>
      <c r="D5" s="35"/>
      <c r="E5" s="35"/>
      <c r="F5" s="231"/>
      <c r="G5" s="232"/>
    </row>
    <row r="6" spans="1:9" s="4" customFormat="1" ht="15" customHeight="1">
      <c r="A6" s="4" t="s">
        <v>237</v>
      </c>
      <c r="B6" s="38"/>
      <c r="C6" s="39"/>
      <c r="D6" s="39"/>
      <c r="E6" s="39"/>
      <c r="F6" s="146"/>
    </row>
    <row r="7" spans="1:9" s="4" customFormat="1" ht="15" customHeight="1">
      <c r="B7" s="38"/>
      <c r="C7" s="38"/>
      <c r="D7" s="34"/>
      <c r="E7" s="354" t="s">
        <v>392</v>
      </c>
      <c r="F7" s="354"/>
      <c r="G7" s="354"/>
      <c r="H7" s="354"/>
      <c r="I7" s="354"/>
    </row>
    <row r="8" spans="1:9" s="8" customFormat="1" ht="26.25" customHeight="1">
      <c r="A8" s="50" t="s">
        <v>210</v>
      </c>
      <c r="B8" s="51" t="s">
        <v>160</v>
      </c>
      <c r="C8" s="52" t="s">
        <v>152</v>
      </c>
      <c r="D8" s="50" t="s">
        <v>428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s="4" customFormat="1" ht="15" customHeight="1">
      <c r="A9" s="226">
        <v>1</v>
      </c>
      <c r="B9" s="237" t="s">
        <v>1171</v>
      </c>
      <c r="C9" s="55">
        <v>0</v>
      </c>
      <c r="D9" s="227" t="s">
        <v>1236</v>
      </c>
      <c r="E9" s="235" t="e">
        <f>(InvulMJOP[[#This Row],[Prijs]]*Tariefsopbouw!$I$37)+InvulMJOP[[#This Row],[Prijs]]</f>
        <v>#DIV/0!</v>
      </c>
      <c r="F9" s="236" t="e">
        <f>E9*Tariefsopbouw!$K$37+E9</f>
        <v>#DIV/0!</v>
      </c>
      <c r="G9" s="236" t="e">
        <f>F9*Tariefsopbouw!$M$37+F9</f>
        <v>#DIV/0!</v>
      </c>
      <c r="H9" s="236" t="e">
        <f>G9*Tariefsopbouw!$O$37+InvulMJOP[[#This Row],[2025]]</f>
        <v>#DIV/0!</v>
      </c>
      <c r="I9" s="236" t="e">
        <f>H9*Tariefsopbouw!$Q$37+InvulMJOP[[#This Row],[2026]]</f>
        <v>#DIV/0!</v>
      </c>
    </row>
    <row r="10" spans="1:9" s="4" customFormat="1" ht="15" customHeight="1">
      <c r="A10" s="226">
        <v>2</v>
      </c>
      <c r="B10" s="237" t="s">
        <v>1172</v>
      </c>
      <c r="C10" s="55">
        <v>0</v>
      </c>
      <c r="D10" s="227" t="s">
        <v>1236</v>
      </c>
      <c r="E10" s="235" t="e">
        <f>(InvulMJOP[[#This Row],[Prijs]]*Tariefsopbouw!$I$37)+InvulMJOP[[#This Row],[Prijs]]</f>
        <v>#DIV/0!</v>
      </c>
      <c r="F10" s="235" t="e">
        <f>E10*Tariefsopbouw!$K$37+E10</f>
        <v>#DIV/0!</v>
      </c>
      <c r="G10" s="235" t="e">
        <f>F10*Tariefsopbouw!$M$37+F10</f>
        <v>#DIV/0!</v>
      </c>
      <c r="H10" s="235" t="e">
        <f>G10*Tariefsopbouw!$O$37+InvulMJOP[[#This Row],[2025]]</f>
        <v>#DIV/0!</v>
      </c>
      <c r="I10" s="235" t="e">
        <f>H10*Tariefsopbouw!$Q$37+InvulMJOP[[#This Row],[2026]]</f>
        <v>#DIV/0!</v>
      </c>
    </row>
    <row r="11" spans="1:9" s="4" customFormat="1" ht="15" customHeight="1">
      <c r="A11" s="226">
        <v>3</v>
      </c>
      <c r="B11" s="237" t="s">
        <v>1174</v>
      </c>
      <c r="C11" s="55">
        <v>0</v>
      </c>
      <c r="D11" s="227" t="s">
        <v>1240</v>
      </c>
      <c r="E11" s="235" t="e">
        <f>(InvulMJOP[[#This Row],[Prijs]]*Tariefsopbouw!$I$37)+InvulMJOP[[#This Row],[Prijs]]</f>
        <v>#DIV/0!</v>
      </c>
      <c r="F11" s="236" t="e">
        <f>E11*Tariefsopbouw!$K$37+E11</f>
        <v>#DIV/0!</v>
      </c>
      <c r="G11" s="236" t="e">
        <f>F11*Tariefsopbouw!$M$37+F11</f>
        <v>#DIV/0!</v>
      </c>
      <c r="H11" s="236" t="e">
        <f>G11*Tariefsopbouw!$O$37+InvulMJOP[[#This Row],[2025]]</f>
        <v>#DIV/0!</v>
      </c>
      <c r="I11" s="236" t="e">
        <f>H11*Tariefsopbouw!$Q$37+InvulMJOP[[#This Row],[2026]]</f>
        <v>#DIV/0!</v>
      </c>
    </row>
    <row r="12" spans="1:9" s="4" customFormat="1" ht="15" customHeight="1">
      <c r="A12" s="226">
        <v>4</v>
      </c>
      <c r="B12" s="237" t="s">
        <v>1177</v>
      </c>
      <c r="C12" s="55">
        <v>0</v>
      </c>
      <c r="D12" s="227" t="s">
        <v>1236</v>
      </c>
      <c r="E12" s="235" t="e">
        <f>(InvulMJOP[[#This Row],[Prijs]]*Tariefsopbouw!$I$37)+InvulMJOP[[#This Row],[Prijs]]</f>
        <v>#DIV/0!</v>
      </c>
      <c r="F12" s="235" t="e">
        <f>E12*Tariefsopbouw!$K$37+E12</f>
        <v>#DIV/0!</v>
      </c>
      <c r="G12" s="235" t="e">
        <f>F12*Tariefsopbouw!$M$37+F12</f>
        <v>#DIV/0!</v>
      </c>
      <c r="H12" s="235" t="e">
        <f>G12*Tariefsopbouw!$O$37+InvulMJOP[[#This Row],[2025]]</f>
        <v>#DIV/0!</v>
      </c>
      <c r="I12" s="235" t="e">
        <f>H12*Tariefsopbouw!$Q$37+InvulMJOP[[#This Row],[2026]]</f>
        <v>#DIV/0!</v>
      </c>
    </row>
    <row r="13" spans="1:9" s="4" customFormat="1" ht="15" customHeight="1">
      <c r="A13" s="226">
        <v>5</v>
      </c>
      <c r="B13" s="237" t="s">
        <v>1178</v>
      </c>
      <c r="C13" s="55">
        <v>0</v>
      </c>
      <c r="D13" s="227" t="s">
        <v>1237</v>
      </c>
      <c r="E13" s="235" t="e">
        <f>(InvulMJOP[[#This Row],[Prijs]]*Tariefsopbouw!$I$37)+InvulMJOP[[#This Row],[Prijs]]</f>
        <v>#DIV/0!</v>
      </c>
      <c r="F13" s="235" t="e">
        <f>E13*Tariefsopbouw!$K$37+E13</f>
        <v>#DIV/0!</v>
      </c>
      <c r="G13" s="235" t="e">
        <f>F13*Tariefsopbouw!$M$37+F13</f>
        <v>#DIV/0!</v>
      </c>
      <c r="H13" s="235" t="e">
        <f>G13*Tariefsopbouw!$O$37+InvulMJOP[[#This Row],[2025]]</f>
        <v>#DIV/0!</v>
      </c>
      <c r="I13" s="235" t="e">
        <f>H13*Tariefsopbouw!$Q$37+InvulMJOP[[#This Row],[2026]]</f>
        <v>#DIV/0!</v>
      </c>
    </row>
    <row r="14" spans="1:9" s="4" customFormat="1" ht="15" customHeight="1">
      <c r="A14" s="226">
        <v>6</v>
      </c>
      <c r="B14" s="237" t="s">
        <v>1180</v>
      </c>
      <c r="C14" s="55">
        <v>0</v>
      </c>
      <c r="D14" s="227" t="s">
        <v>1236</v>
      </c>
      <c r="E14" s="292" t="e">
        <f>(InvulMJOP[[#This Row],[Prijs]]*Tariefsopbouw!$I$37)+InvulMJOP[[#This Row],[Prijs]]</f>
        <v>#DIV/0!</v>
      </c>
      <c r="F14" s="292" t="e">
        <f>E14*Tariefsopbouw!$K$37+E14</f>
        <v>#DIV/0!</v>
      </c>
      <c r="G14" s="292" t="e">
        <f>F14*Tariefsopbouw!$M$37+F14</f>
        <v>#DIV/0!</v>
      </c>
      <c r="H14" s="292" t="e">
        <f>G14*Tariefsopbouw!$O$37+InvulMJOP[[#This Row],[2025]]</f>
        <v>#DIV/0!</v>
      </c>
      <c r="I14" s="292" t="e">
        <f>H14*Tariefsopbouw!$Q$37+InvulMJOP[[#This Row],[2026]]</f>
        <v>#DIV/0!</v>
      </c>
    </row>
    <row r="15" spans="1:9" s="4" customFormat="1" ht="15" customHeight="1">
      <c r="A15" s="226">
        <v>7</v>
      </c>
      <c r="B15" s="237" t="s">
        <v>1181</v>
      </c>
      <c r="C15" s="55">
        <v>0</v>
      </c>
      <c r="D15" s="227" t="s">
        <v>1236</v>
      </c>
      <c r="E15" s="292" t="e">
        <f>(InvulMJOP[[#This Row],[Prijs]]*Tariefsopbouw!$I$37)+InvulMJOP[[#This Row],[Prijs]]</f>
        <v>#DIV/0!</v>
      </c>
      <c r="F15" s="292" t="e">
        <f>E15*Tariefsopbouw!$K$37+E15</f>
        <v>#DIV/0!</v>
      </c>
      <c r="G15" s="292" t="e">
        <f>F15*Tariefsopbouw!$M$37+F15</f>
        <v>#DIV/0!</v>
      </c>
      <c r="H15" s="292" t="e">
        <f>G15*Tariefsopbouw!$O$37+InvulMJOP[[#This Row],[2025]]</f>
        <v>#DIV/0!</v>
      </c>
      <c r="I15" s="292" t="e">
        <f>H15*Tariefsopbouw!$Q$37+InvulMJOP[[#This Row],[2026]]</f>
        <v>#DIV/0!</v>
      </c>
    </row>
    <row r="16" spans="1:9" s="4" customFormat="1" ht="15" customHeight="1">
      <c r="A16" s="226">
        <v>8</v>
      </c>
      <c r="B16" s="237" t="s">
        <v>1182</v>
      </c>
      <c r="C16" s="55">
        <v>0</v>
      </c>
      <c r="D16" s="227" t="s">
        <v>1237</v>
      </c>
      <c r="E16" s="292" t="e">
        <f>(InvulMJOP[[#This Row],[Prijs]]*Tariefsopbouw!$I$37)+InvulMJOP[[#This Row],[Prijs]]</f>
        <v>#DIV/0!</v>
      </c>
      <c r="F16" s="292" t="e">
        <f>E16*Tariefsopbouw!$K$37+E16</f>
        <v>#DIV/0!</v>
      </c>
      <c r="G16" s="292" t="e">
        <f>F16*Tariefsopbouw!$M$37+F16</f>
        <v>#DIV/0!</v>
      </c>
      <c r="H16" s="292" t="e">
        <f>G16*Tariefsopbouw!$O$37+InvulMJOP[[#This Row],[2025]]</f>
        <v>#DIV/0!</v>
      </c>
      <c r="I16" s="292" t="e">
        <f>H16*Tariefsopbouw!$Q$37+InvulMJOP[[#This Row],[2026]]</f>
        <v>#DIV/0!</v>
      </c>
    </row>
    <row r="17" spans="1:9" s="4" customFormat="1" ht="15" customHeight="1">
      <c r="A17" s="226">
        <v>9</v>
      </c>
      <c r="B17" s="237" t="s">
        <v>1183</v>
      </c>
      <c r="C17" s="55">
        <v>0</v>
      </c>
      <c r="D17" s="227" t="s">
        <v>1237</v>
      </c>
      <c r="E17" s="292" t="e">
        <f>(InvulMJOP[[#This Row],[Prijs]]*Tariefsopbouw!$I$37)+InvulMJOP[[#This Row],[Prijs]]</f>
        <v>#DIV/0!</v>
      </c>
      <c r="F17" s="292" t="e">
        <f>E17*Tariefsopbouw!$K$37+E17</f>
        <v>#DIV/0!</v>
      </c>
      <c r="G17" s="292" t="e">
        <f>F17*Tariefsopbouw!$M$37+F17</f>
        <v>#DIV/0!</v>
      </c>
      <c r="H17" s="292" t="e">
        <f>G17*Tariefsopbouw!$O$37+InvulMJOP[[#This Row],[2025]]</f>
        <v>#DIV/0!</v>
      </c>
      <c r="I17" s="292" t="e">
        <f>H17*Tariefsopbouw!$Q$37+InvulMJOP[[#This Row],[2026]]</f>
        <v>#DIV/0!</v>
      </c>
    </row>
    <row r="18" spans="1:9" s="4" customFormat="1" ht="15" customHeight="1">
      <c r="A18" s="226">
        <v>10</v>
      </c>
      <c r="B18" s="237" t="s">
        <v>1184</v>
      </c>
      <c r="C18" s="55">
        <v>0</v>
      </c>
      <c r="D18" s="227" t="s">
        <v>1237</v>
      </c>
      <c r="E18" s="292" t="e">
        <f>(InvulMJOP[[#This Row],[Prijs]]*Tariefsopbouw!$I$37)+InvulMJOP[[#This Row],[Prijs]]</f>
        <v>#DIV/0!</v>
      </c>
      <c r="F18" s="292" t="e">
        <f>E18*Tariefsopbouw!$K$37+E18</f>
        <v>#DIV/0!</v>
      </c>
      <c r="G18" s="292" t="e">
        <f>F18*Tariefsopbouw!$M$37+F18</f>
        <v>#DIV/0!</v>
      </c>
      <c r="H18" s="292" t="e">
        <f>G18*Tariefsopbouw!$O$37+InvulMJOP[[#This Row],[2025]]</f>
        <v>#DIV/0!</v>
      </c>
      <c r="I18" s="292" t="e">
        <f>H18*Tariefsopbouw!$Q$37+InvulMJOP[[#This Row],[2026]]</f>
        <v>#DIV/0!</v>
      </c>
    </row>
    <row r="19" spans="1:9" s="4" customFormat="1" ht="15" customHeight="1">
      <c r="A19" s="226">
        <v>11</v>
      </c>
      <c r="B19" s="237" t="s">
        <v>1185</v>
      </c>
      <c r="C19" s="55">
        <v>0</v>
      </c>
      <c r="D19" s="227" t="s">
        <v>1237</v>
      </c>
      <c r="E19" s="292" t="e">
        <f>(InvulMJOP[[#This Row],[Prijs]]*Tariefsopbouw!$I$37)+InvulMJOP[[#This Row],[Prijs]]</f>
        <v>#DIV/0!</v>
      </c>
      <c r="F19" s="292" t="e">
        <f>E19*Tariefsopbouw!$K$37+E19</f>
        <v>#DIV/0!</v>
      </c>
      <c r="G19" s="292" t="e">
        <f>F19*Tariefsopbouw!$M$37+F19</f>
        <v>#DIV/0!</v>
      </c>
      <c r="H19" s="292" t="e">
        <f>G19*Tariefsopbouw!$O$37+InvulMJOP[[#This Row],[2025]]</f>
        <v>#DIV/0!</v>
      </c>
      <c r="I19" s="292" t="e">
        <f>H19*Tariefsopbouw!$Q$37+InvulMJOP[[#This Row],[2026]]</f>
        <v>#DIV/0!</v>
      </c>
    </row>
    <row r="20" spans="1:9" s="4" customFormat="1" ht="15" customHeight="1">
      <c r="A20" s="226">
        <v>12</v>
      </c>
      <c r="B20" s="237" t="s">
        <v>1186</v>
      </c>
      <c r="C20" s="55">
        <v>0</v>
      </c>
      <c r="D20" s="227" t="s">
        <v>1237</v>
      </c>
      <c r="E20" s="292" t="e">
        <f>(InvulMJOP[[#This Row],[Prijs]]*Tariefsopbouw!$I$37)+InvulMJOP[[#This Row],[Prijs]]</f>
        <v>#DIV/0!</v>
      </c>
      <c r="F20" s="292" t="e">
        <f>E20*Tariefsopbouw!$K$37+E20</f>
        <v>#DIV/0!</v>
      </c>
      <c r="G20" s="292" t="e">
        <f>F20*Tariefsopbouw!$M$37+F20</f>
        <v>#DIV/0!</v>
      </c>
      <c r="H20" s="292" t="e">
        <f>G20*Tariefsopbouw!$O$37+InvulMJOP[[#This Row],[2025]]</f>
        <v>#DIV/0!</v>
      </c>
      <c r="I20" s="292" t="e">
        <f>H20*Tariefsopbouw!$Q$37+InvulMJOP[[#This Row],[2026]]</f>
        <v>#DIV/0!</v>
      </c>
    </row>
    <row r="21" spans="1:9" s="4" customFormat="1" ht="15" customHeight="1">
      <c r="A21" s="226">
        <v>13</v>
      </c>
      <c r="B21" s="237" t="s">
        <v>1187</v>
      </c>
      <c r="C21" s="55">
        <v>0</v>
      </c>
      <c r="D21" s="227" t="s">
        <v>1237</v>
      </c>
      <c r="E21" s="292" t="e">
        <f>(InvulMJOP[[#This Row],[Prijs]]*Tariefsopbouw!$I$37)+InvulMJOP[[#This Row],[Prijs]]</f>
        <v>#DIV/0!</v>
      </c>
      <c r="F21" s="292" t="e">
        <f>E21*Tariefsopbouw!$K$37+E21</f>
        <v>#DIV/0!</v>
      </c>
      <c r="G21" s="292" t="e">
        <f>F21*Tariefsopbouw!$M$37+F21</f>
        <v>#DIV/0!</v>
      </c>
      <c r="H21" s="292" t="e">
        <f>G21*Tariefsopbouw!$O$37+InvulMJOP[[#This Row],[2025]]</f>
        <v>#DIV/0!</v>
      </c>
      <c r="I21" s="292" t="e">
        <f>H21*Tariefsopbouw!$Q$37+InvulMJOP[[#This Row],[2026]]</f>
        <v>#DIV/0!</v>
      </c>
    </row>
    <row r="22" spans="1:9" s="4" customFormat="1" ht="15" customHeight="1">
      <c r="A22" s="226">
        <v>14</v>
      </c>
      <c r="B22" s="237" t="s">
        <v>1188</v>
      </c>
      <c r="C22" s="55">
        <v>0</v>
      </c>
      <c r="D22" s="227" t="s">
        <v>1237</v>
      </c>
      <c r="E22" s="292" t="e">
        <f>(InvulMJOP[[#This Row],[Prijs]]*Tariefsopbouw!$I$37)+InvulMJOP[[#This Row],[Prijs]]</f>
        <v>#DIV/0!</v>
      </c>
      <c r="F22" s="292" t="e">
        <f>E22*Tariefsopbouw!$K$37+E22</f>
        <v>#DIV/0!</v>
      </c>
      <c r="G22" s="292" t="e">
        <f>F22*Tariefsopbouw!$M$37+F22</f>
        <v>#DIV/0!</v>
      </c>
      <c r="H22" s="292" t="e">
        <f>G22*Tariefsopbouw!$O$37+InvulMJOP[[#This Row],[2025]]</f>
        <v>#DIV/0!</v>
      </c>
      <c r="I22" s="292" t="e">
        <f>H22*Tariefsopbouw!$Q$37+InvulMJOP[[#This Row],[2026]]</f>
        <v>#DIV/0!</v>
      </c>
    </row>
    <row r="23" spans="1:9" s="4" customFormat="1" ht="15" customHeight="1">
      <c r="A23" s="226">
        <v>15</v>
      </c>
      <c r="B23" s="237" t="s">
        <v>1189</v>
      </c>
      <c r="C23" s="299"/>
      <c r="D23" s="308" t="s">
        <v>1247</v>
      </c>
      <c r="E23" s="292"/>
      <c r="F23" s="292"/>
      <c r="G23" s="292"/>
      <c r="H23" s="292"/>
      <c r="I23" s="292"/>
    </row>
    <row r="24" spans="1:9" s="4" customFormat="1" ht="15" customHeight="1">
      <c r="A24" s="226">
        <v>16</v>
      </c>
      <c r="B24" s="237" t="s">
        <v>1192</v>
      </c>
      <c r="C24" s="55">
        <v>0</v>
      </c>
      <c r="D24" s="227" t="s">
        <v>1237</v>
      </c>
      <c r="E24" s="292" t="e">
        <f>(InvulMJOP[[#This Row],[Prijs]]*Tariefsopbouw!$I$37)+InvulMJOP[[#This Row],[Prijs]]</f>
        <v>#DIV/0!</v>
      </c>
      <c r="F24" s="292" t="e">
        <f>E24*Tariefsopbouw!$K$37+E24</f>
        <v>#DIV/0!</v>
      </c>
      <c r="G24" s="292" t="e">
        <f>F24*Tariefsopbouw!$M$37+F24</f>
        <v>#DIV/0!</v>
      </c>
      <c r="H24" s="292" t="e">
        <f>G24*Tariefsopbouw!$O$37+InvulMJOP[[#This Row],[2025]]</f>
        <v>#DIV/0!</v>
      </c>
      <c r="I24" s="292" t="e">
        <f>H24*Tariefsopbouw!$Q$37+InvulMJOP[[#This Row],[2026]]</f>
        <v>#DIV/0!</v>
      </c>
    </row>
    <row r="25" spans="1:9" s="4" customFormat="1" ht="15" customHeight="1">
      <c r="A25" s="226">
        <v>17</v>
      </c>
      <c r="B25" s="237" t="s">
        <v>1193</v>
      </c>
      <c r="C25" s="55">
        <v>0</v>
      </c>
      <c r="D25" s="227" t="s">
        <v>1237</v>
      </c>
      <c r="E25" s="292" t="e">
        <f>(InvulMJOP[[#This Row],[Prijs]]*Tariefsopbouw!$I$37)+InvulMJOP[[#This Row],[Prijs]]</f>
        <v>#DIV/0!</v>
      </c>
      <c r="F25" s="292" t="e">
        <f>E25*Tariefsopbouw!$K$37+E25</f>
        <v>#DIV/0!</v>
      </c>
      <c r="G25" s="292" t="e">
        <f>F25*Tariefsopbouw!$M$37+F25</f>
        <v>#DIV/0!</v>
      </c>
      <c r="H25" s="292" t="e">
        <f>G25*Tariefsopbouw!$O$37+InvulMJOP[[#This Row],[2025]]</f>
        <v>#DIV/0!</v>
      </c>
      <c r="I25" s="292" t="e">
        <f>H25*Tariefsopbouw!$Q$37+InvulMJOP[[#This Row],[2026]]</f>
        <v>#DIV/0!</v>
      </c>
    </row>
    <row r="26" spans="1:9" s="4" customFormat="1" ht="15" customHeight="1">
      <c r="A26" s="226">
        <v>18</v>
      </c>
      <c r="B26" s="237" t="s">
        <v>1194</v>
      </c>
      <c r="C26" s="55">
        <v>0</v>
      </c>
      <c r="D26" s="227" t="s">
        <v>1237</v>
      </c>
      <c r="E26" s="292" t="e">
        <f>(InvulMJOP[[#This Row],[Prijs]]*Tariefsopbouw!$I$37)+InvulMJOP[[#This Row],[Prijs]]</f>
        <v>#DIV/0!</v>
      </c>
      <c r="F26" s="292" t="e">
        <f>E26*Tariefsopbouw!$K$37+E26</f>
        <v>#DIV/0!</v>
      </c>
      <c r="G26" s="292" t="e">
        <f>F26*Tariefsopbouw!$M$37+F26</f>
        <v>#DIV/0!</v>
      </c>
      <c r="H26" s="292" t="e">
        <f>G26*Tariefsopbouw!$O$37+InvulMJOP[[#This Row],[2025]]</f>
        <v>#DIV/0!</v>
      </c>
      <c r="I26" s="292" t="e">
        <f>H26*Tariefsopbouw!$Q$37+InvulMJOP[[#This Row],[2026]]</f>
        <v>#DIV/0!</v>
      </c>
    </row>
    <row r="27" spans="1:9" s="4" customFormat="1" ht="15" customHeight="1">
      <c r="A27" s="226">
        <v>19</v>
      </c>
      <c r="B27" s="237" t="s">
        <v>1196</v>
      </c>
      <c r="C27" s="55">
        <v>0</v>
      </c>
      <c r="D27" s="227" t="s">
        <v>1237</v>
      </c>
      <c r="E27" s="292" t="e">
        <f>(InvulMJOP[[#This Row],[Prijs]]*Tariefsopbouw!$I$37)+InvulMJOP[[#This Row],[Prijs]]</f>
        <v>#DIV/0!</v>
      </c>
      <c r="F27" s="292" t="e">
        <f>E27*Tariefsopbouw!$K$37+E27</f>
        <v>#DIV/0!</v>
      </c>
      <c r="G27" s="292" t="e">
        <f>F27*Tariefsopbouw!$M$37+F27</f>
        <v>#DIV/0!</v>
      </c>
      <c r="H27" s="292" t="e">
        <f>G27*Tariefsopbouw!$O$37+InvulMJOP[[#This Row],[2025]]</f>
        <v>#DIV/0!</v>
      </c>
      <c r="I27" s="292" t="e">
        <f>H27*Tariefsopbouw!$Q$37+InvulMJOP[[#This Row],[2026]]</f>
        <v>#DIV/0!</v>
      </c>
    </row>
    <row r="28" spans="1:9" s="4" customFormat="1" ht="15" customHeight="1">
      <c r="A28" s="226">
        <v>20</v>
      </c>
      <c r="B28" s="237" t="s">
        <v>1197</v>
      </c>
      <c r="C28" s="55">
        <v>0</v>
      </c>
      <c r="D28" s="227" t="s">
        <v>1237</v>
      </c>
      <c r="E28" s="292" t="e">
        <f>(InvulMJOP[[#This Row],[Prijs]]*Tariefsopbouw!$I$37)+InvulMJOP[[#This Row],[Prijs]]</f>
        <v>#DIV/0!</v>
      </c>
      <c r="F28" s="292" t="e">
        <f>E28*Tariefsopbouw!$K$37+E28</f>
        <v>#DIV/0!</v>
      </c>
      <c r="G28" s="292" t="e">
        <f>F28*Tariefsopbouw!$M$37+F28</f>
        <v>#DIV/0!</v>
      </c>
      <c r="H28" s="292" t="e">
        <f>G28*Tariefsopbouw!$O$37+InvulMJOP[[#This Row],[2025]]</f>
        <v>#DIV/0!</v>
      </c>
      <c r="I28" s="292" t="e">
        <f>H28*Tariefsopbouw!$Q$37+InvulMJOP[[#This Row],[2026]]</f>
        <v>#DIV/0!</v>
      </c>
    </row>
    <row r="29" spans="1:9" s="4" customFormat="1" ht="15" customHeight="1">
      <c r="A29" s="226">
        <v>21</v>
      </c>
      <c r="B29" s="237" t="s">
        <v>1199</v>
      </c>
      <c r="C29" s="55">
        <v>0</v>
      </c>
      <c r="D29" s="227" t="s">
        <v>1237</v>
      </c>
      <c r="E29" s="292" t="e">
        <f>(InvulMJOP[[#This Row],[Prijs]]*Tariefsopbouw!$I$37)+InvulMJOP[[#This Row],[Prijs]]</f>
        <v>#DIV/0!</v>
      </c>
      <c r="F29" s="292" t="e">
        <f>E29*Tariefsopbouw!$K$37+E29</f>
        <v>#DIV/0!</v>
      </c>
      <c r="G29" s="292" t="e">
        <f>F29*Tariefsopbouw!$M$37+F29</f>
        <v>#DIV/0!</v>
      </c>
      <c r="H29" s="292" t="e">
        <f>G29*Tariefsopbouw!$O$37+InvulMJOP[[#This Row],[2025]]</f>
        <v>#DIV/0!</v>
      </c>
      <c r="I29" s="292" t="e">
        <f>H29*Tariefsopbouw!$Q$37+InvulMJOP[[#This Row],[2026]]</f>
        <v>#DIV/0!</v>
      </c>
    </row>
    <row r="30" spans="1:9" s="4" customFormat="1" ht="15" customHeight="1">
      <c r="A30" s="226">
        <v>22</v>
      </c>
      <c r="B30" s="237" t="s">
        <v>1200</v>
      </c>
      <c r="C30" s="55">
        <v>0</v>
      </c>
      <c r="D30" s="227" t="s">
        <v>1236</v>
      </c>
      <c r="E30" s="292" t="e">
        <f>(InvulMJOP[[#This Row],[Prijs]]*Tariefsopbouw!$I$37)+InvulMJOP[[#This Row],[Prijs]]</f>
        <v>#DIV/0!</v>
      </c>
      <c r="F30" s="292" t="e">
        <f>E30*Tariefsopbouw!$K$37+E30</f>
        <v>#DIV/0!</v>
      </c>
      <c r="G30" s="292" t="e">
        <f>F30*Tariefsopbouw!$M$37+F30</f>
        <v>#DIV/0!</v>
      </c>
      <c r="H30" s="292" t="e">
        <f>G30*Tariefsopbouw!$O$37+InvulMJOP[[#This Row],[2025]]</f>
        <v>#DIV/0!</v>
      </c>
      <c r="I30" s="292" t="e">
        <f>H30*Tariefsopbouw!$Q$37+InvulMJOP[[#This Row],[2026]]</f>
        <v>#DIV/0!</v>
      </c>
    </row>
    <row r="31" spans="1:9" s="4" customFormat="1" ht="15" customHeight="1">
      <c r="A31" s="226">
        <v>23</v>
      </c>
      <c r="B31" s="237" t="s">
        <v>1201</v>
      </c>
      <c r="C31" s="55">
        <v>0</v>
      </c>
      <c r="D31" s="227" t="s">
        <v>1237</v>
      </c>
      <c r="E31" s="292" t="e">
        <f>(InvulMJOP[[#This Row],[Prijs]]*Tariefsopbouw!$I$37)+InvulMJOP[[#This Row],[Prijs]]</f>
        <v>#DIV/0!</v>
      </c>
      <c r="F31" s="292" t="e">
        <f>E31*Tariefsopbouw!$K$37+E31</f>
        <v>#DIV/0!</v>
      </c>
      <c r="G31" s="292" t="e">
        <f>F31*Tariefsopbouw!$M$37+F31</f>
        <v>#DIV/0!</v>
      </c>
      <c r="H31" s="292" t="e">
        <f>G31*Tariefsopbouw!$O$37+InvulMJOP[[#This Row],[2025]]</f>
        <v>#DIV/0!</v>
      </c>
      <c r="I31" s="292" t="e">
        <f>H31*Tariefsopbouw!$Q$37+InvulMJOP[[#This Row],[2026]]</f>
        <v>#DIV/0!</v>
      </c>
    </row>
    <row r="32" spans="1:9" s="4" customFormat="1" ht="15" customHeight="1">
      <c r="A32" s="226">
        <v>24</v>
      </c>
      <c r="B32" s="237" t="s">
        <v>1211</v>
      </c>
      <c r="C32" s="55">
        <v>0</v>
      </c>
      <c r="D32" s="227" t="s">
        <v>1237</v>
      </c>
      <c r="E32" s="292" t="e">
        <f>(InvulMJOP[[#This Row],[Prijs]]*Tariefsopbouw!$I$37)+InvulMJOP[[#This Row],[Prijs]]</f>
        <v>#DIV/0!</v>
      </c>
      <c r="F32" s="292" t="e">
        <f>E32*Tariefsopbouw!$K$37+E32</f>
        <v>#DIV/0!</v>
      </c>
      <c r="G32" s="292" t="e">
        <f>F32*Tariefsopbouw!$M$37+F32</f>
        <v>#DIV/0!</v>
      </c>
      <c r="H32" s="292" t="e">
        <f>G32*Tariefsopbouw!$O$37+InvulMJOP[[#This Row],[2025]]</f>
        <v>#DIV/0!</v>
      </c>
      <c r="I32" s="292" t="e">
        <f>H32*Tariefsopbouw!$Q$37+InvulMJOP[[#This Row],[2026]]</f>
        <v>#DIV/0!</v>
      </c>
    </row>
    <row r="33" spans="1:12" s="4" customFormat="1" ht="15" customHeight="1">
      <c r="A33" s="226">
        <v>25</v>
      </c>
      <c r="B33" s="237" t="s">
        <v>1212</v>
      </c>
      <c r="C33" s="55">
        <v>0</v>
      </c>
      <c r="D33" s="227" t="s">
        <v>1237</v>
      </c>
      <c r="E33" s="292" t="e">
        <f>(InvulMJOP[[#This Row],[Prijs]]*Tariefsopbouw!$I$37)+InvulMJOP[[#This Row],[Prijs]]</f>
        <v>#DIV/0!</v>
      </c>
      <c r="F33" s="292" t="e">
        <f>E33*Tariefsopbouw!$K$37+E33</f>
        <v>#DIV/0!</v>
      </c>
      <c r="G33" s="292" t="e">
        <f>F33*Tariefsopbouw!$M$37+F33</f>
        <v>#DIV/0!</v>
      </c>
      <c r="H33" s="292" t="e">
        <f>G33*Tariefsopbouw!$O$37+InvulMJOP[[#This Row],[2025]]</f>
        <v>#DIV/0!</v>
      </c>
      <c r="I33" s="292" t="e">
        <f>H33*Tariefsopbouw!$Q$37+InvulMJOP[[#This Row],[2026]]</f>
        <v>#DIV/0!</v>
      </c>
    </row>
    <row r="34" spans="1:12" s="4" customFormat="1" ht="15" customHeight="1">
      <c r="A34" s="226">
        <v>26</v>
      </c>
      <c r="B34" s="237" t="s">
        <v>1214</v>
      </c>
      <c r="C34" s="55">
        <v>0</v>
      </c>
      <c r="D34" s="227" t="s">
        <v>1236</v>
      </c>
      <c r="E34" s="292" t="e">
        <f>(InvulMJOP[[#This Row],[Prijs]]*Tariefsopbouw!$I$37)+InvulMJOP[[#This Row],[Prijs]]</f>
        <v>#DIV/0!</v>
      </c>
      <c r="F34" s="292" t="e">
        <f>E34*Tariefsopbouw!$K$37+E34</f>
        <v>#DIV/0!</v>
      </c>
      <c r="G34" s="292" t="e">
        <f>F34*Tariefsopbouw!$M$37+F34</f>
        <v>#DIV/0!</v>
      </c>
      <c r="H34" s="292" t="e">
        <f>G34*Tariefsopbouw!$O$37+InvulMJOP[[#This Row],[2025]]</f>
        <v>#DIV/0!</v>
      </c>
      <c r="I34" s="292" t="e">
        <f>H34*Tariefsopbouw!$Q$37+InvulMJOP[[#This Row],[2026]]</f>
        <v>#DIV/0!</v>
      </c>
    </row>
    <row r="35" spans="1:12" s="4" customFormat="1" ht="15" customHeight="1">
      <c r="A35" s="226">
        <v>27</v>
      </c>
      <c r="B35" s="237" t="s">
        <v>1219</v>
      </c>
      <c r="C35" s="55">
        <v>0</v>
      </c>
      <c r="D35" s="227" t="s">
        <v>1237</v>
      </c>
      <c r="E35" s="292" t="e">
        <f>(InvulMJOP[[#This Row],[Prijs]]*Tariefsopbouw!$I$37)+InvulMJOP[[#This Row],[Prijs]]</f>
        <v>#DIV/0!</v>
      </c>
      <c r="F35" s="292" t="e">
        <f>E35*Tariefsopbouw!$K$37+E35</f>
        <v>#DIV/0!</v>
      </c>
      <c r="G35" s="292" t="e">
        <f>F35*Tariefsopbouw!$M$37+F35</f>
        <v>#DIV/0!</v>
      </c>
      <c r="H35" s="292" t="e">
        <f>G35*Tariefsopbouw!$O$37+InvulMJOP[[#This Row],[2025]]</f>
        <v>#DIV/0!</v>
      </c>
      <c r="I35" s="292" t="e">
        <f>H35*Tariefsopbouw!$Q$37+InvulMJOP[[#This Row],[2026]]</f>
        <v>#DIV/0!</v>
      </c>
    </row>
    <row r="36" spans="1:12" s="4" customFormat="1" ht="15" customHeight="1">
      <c r="A36" s="226">
        <v>28</v>
      </c>
      <c r="B36" s="237" t="s">
        <v>1221</v>
      </c>
      <c r="C36" s="55">
        <v>0</v>
      </c>
      <c r="D36" s="227" t="s">
        <v>1236</v>
      </c>
      <c r="E36" s="292" t="e">
        <f>(InvulMJOP[[#This Row],[Prijs]]*Tariefsopbouw!$I$37)+InvulMJOP[[#This Row],[Prijs]]</f>
        <v>#DIV/0!</v>
      </c>
      <c r="F36" s="292" t="e">
        <f>E36*Tariefsopbouw!$K$37+E36</f>
        <v>#DIV/0!</v>
      </c>
      <c r="G36" s="292" t="e">
        <f>F36*Tariefsopbouw!$M$37+F36</f>
        <v>#DIV/0!</v>
      </c>
      <c r="H36" s="292" t="e">
        <f>G36*Tariefsopbouw!$O$37+InvulMJOP[[#This Row],[2025]]</f>
        <v>#DIV/0!</v>
      </c>
      <c r="I36" s="292" t="e">
        <f>H36*Tariefsopbouw!$Q$37+InvulMJOP[[#This Row],[2026]]</f>
        <v>#DIV/0!</v>
      </c>
    </row>
    <row r="37" spans="1:12" s="4" customFormat="1" ht="15" customHeight="1">
      <c r="A37" s="226">
        <v>29</v>
      </c>
      <c r="B37" s="237" t="s">
        <v>1222</v>
      </c>
      <c r="C37" s="55">
        <v>0</v>
      </c>
      <c r="D37" s="227" t="s">
        <v>1237</v>
      </c>
      <c r="E37" s="292" t="e">
        <f>(InvulMJOP[[#This Row],[Prijs]]*Tariefsopbouw!$I$37)+InvulMJOP[[#This Row],[Prijs]]</f>
        <v>#DIV/0!</v>
      </c>
      <c r="F37" s="292" t="e">
        <f>E37*Tariefsopbouw!$K$37+E37</f>
        <v>#DIV/0!</v>
      </c>
      <c r="G37" s="292" t="e">
        <f>F37*Tariefsopbouw!$M$37+F37</f>
        <v>#DIV/0!</v>
      </c>
      <c r="H37" s="292" t="e">
        <f>G37*Tariefsopbouw!$O$37+InvulMJOP[[#This Row],[2025]]</f>
        <v>#DIV/0!</v>
      </c>
      <c r="I37" s="292" t="e">
        <f>H37*Tariefsopbouw!$Q$37+InvulMJOP[[#This Row],[2026]]</f>
        <v>#DIV/0!</v>
      </c>
    </row>
    <row r="38" spans="1:12" s="4" customFormat="1" ht="15" customHeight="1">
      <c r="A38" s="226">
        <v>30</v>
      </c>
      <c r="B38" s="237" t="s">
        <v>1223</v>
      </c>
      <c r="C38" s="55">
        <v>0</v>
      </c>
      <c r="D38" s="227" t="s">
        <v>43</v>
      </c>
      <c r="E38" s="292" t="e">
        <f>(InvulMJOP[[#This Row],[Prijs]]*Tariefsopbouw!$I$37)+InvulMJOP[[#This Row],[Prijs]]</f>
        <v>#DIV/0!</v>
      </c>
      <c r="F38" s="292" t="e">
        <f>E38*Tariefsopbouw!$K$37+E38</f>
        <v>#DIV/0!</v>
      </c>
      <c r="G38" s="292" t="e">
        <f>F38*Tariefsopbouw!$M$37+F38</f>
        <v>#DIV/0!</v>
      </c>
      <c r="H38" s="292" t="e">
        <f>G38*Tariefsopbouw!$O$37+InvulMJOP[[#This Row],[2025]]</f>
        <v>#DIV/0!</v>
      </c>
      <c r="I38" s="292" t="e">
        <f>H38*Tariefsopbouw!$Q$37+InvulMJOP[[#This Row],[2026]]</f>
        <v>#DIV/0!</v>
      </c>
    </row>
    <row r="39" spans="1:12" s="4" customFormat="1" ht="15" customHeight="1">
      <c r="A39" s="226">
        <v>31</v>
      </c>
      <c r="B39" s="237" t="s">
        <v>1225</v>
      </c>
      <c r="C39" s="55">
        <v>0</v>
      </c>
      <c r="D39" s="227" t="s">
        <v>1237</v>
      </c>
      <c r="E39" s="292" t="e">
        <f>(InvulMJOP[[#This Row],[Prijs]]*Tariefsopbouw!$I$37)+InvulMJOP[[#This Row],[Prijs]]</f>
        <v>#DIV/0!</v>
      </c>
      <c r="F39" s="292" t="e">
        <f>E39*Tariefsopbouw!$K$37+E39</f>
        <v>#DIV/0!</v>
      </c>
      <c r="G39" s="292" t="e">
        <f>F39*Tariefsopbouw!$M$37+F39</f>
        <v>#DIV/0!</v>
      </c>
      <c r="H39" s="292" t="e">
        <f>G39*Tariefsopbouw!$O$37+InvulMJOP[[#This Row],[2025]]</f>
        <v>#DIV/0!</v>
      </c>
      <c r="I39" s="292" t="e">
        <f>H39*Tariefsopbouw!$Q$37+InvulMJOP[[#This Row],[2026]]</f>
        <v>#DIV/0!</v>
      </c>
    </row>
    <row r="40" spans="1:12" s="4" customFormat="1" ht="15" customHeight="1">
      <c r="A40" s="226">
        <v>32</v>
      </c>
      <c r="B40" s="237" t="s">
        <v>1228</v>
      </c>
      <c r="C40" s="55">
        <v>0</v>
      </c>
      <c r="D40" s="227" t="s">
        <v>1236</v>
      </c>
      <c r="E40" s="292" t="e">
        <f>(InvulMJOP[[#This Row],[Prijs]]*Tariefsopbouw!$I$37)+InvulMJOP[[#This Row],[Prijs]]</f>
        <v>#DIV/0!</v>
      </c>
      <c r="F40" s="292" t="e">
        <f>E40*Tariefsopbouw!$K$37+E40</f>
        <v>#DIV/0!</v>
      </c>
      <c r="G40" s="292" t="e">
        <f>F40*Tariefsopbouw!$M$37+F40</f>
        <v>#DIV/0!</v>
      </c>
      <c r="H40" s="292" t="e">
        <f>G40*Tariefsopbouw!$O$37+InvulMJOP[[#This Row],[2025]]</f>
        <v>#DIV/0!</v>
      </c>
      <c r="I40" s="292" t="e">
        <f>H40*Tariefsopbouw!$Q$37+InvulMJOP[[#This Row],[2026]]</f>
        <v>#DIV/0!</v>
      </c>
    </row>
    <row r="41" spans="1:12" s="4" customFormat="1" ht="15" customHeight="1">
      <c r="A41" s="226">
        <v>33</v>
      </c>
      <c r="B41" s="237" t="s">
        <v>1229</v>
      </c>
      <c r="C41" s="55">
        <v>0</v>
      </c>
      <c r="D41" s="227" t="s">
        <v>1237</v>
      </c>
      <c r="E41" s="292" t="e">
        <f>(InvulMJOP[[#This Row],[Prijs]]*Tariefsopbouw!$I$37)+InvulMJOP[[#This Row],[Prijs]]</f>
        <v>#DIV/0!</v>
      </c>
      <c r="F41" s="292" t="e">
        <f>E41*Tariefsopbouw!$K$37+E41</f>
        <v>#DIV/0!</v>
      </c>
      <c r="G41" s="292" t="e">
        <f>F41*Tariefsopbouw!$M$37+F41</f>
        <v>#DIV/0!</v>
      </c>
      <c r="H41" s="292" t="e">
        <f>G41*Tariefsopbouw!$O$37+InvulMJOP[[#This Row],[2025]]</f>
        <v>#DIV/0!</v>
      </c>
      <c r="I41" s="292" t="e">
        <f>H41*Tariefsopbouw!$Q$37+InvulMJOP[[#This Row],[2026]]</f>
        <v>#DIV/0!</v>
      </c>
    </row>
    <row r="42" spans="1:12" s="4" customFormat="1" ht="15" customHeight="1">
      <c r="A42" s="226">
        <v>34</v>
      </c>
      <c r="B42" s="237" t="s">
        <v>1231</v>
      </c>
      <c r="C42" s="55">
        <v>0</v>
      </c>
      <c r="D42" s="227" t="s">
        <v>1236</v>
      </c>
      <c r="E42" s="292" t="e">
        <f>(InvulMJOP[[#This Row],[Prijs]]*Tariefsopbouw!$I$37)+InvulMJOP[[#This Row],[Prijs]]</f>
        <v>#DIV/0!</v>
      </c>
      <c r="F42" s="292" t="e">
        <f>E42*Tariefsopbouw!$K$37+E42</f>
        <v>#DIV/0!</v>
      </c>
      <c r="G42" s="292" t="e">
        <f>F42*Tariefsopbouw!$M$37+F42</f>
        <v>#DIV/0!</v>
      </c>
      <c r="H42" s="292" t="e">
        <f>G42*Tariefsopbouw!$O$37+InvulMJOP[[#This Row],[2025]]</f>
        <v>#DIV/0!</v>
      </c>
      <c r="I42" s="292" t="e">
        <f>H42*Tariefsopbouw!$Q$37+InvulMJOP[[#This Row],[2026]]</f>
        <v>#DIV/0!</v>
      </c>
    </row>
    <row r="43" spans="1:12" s="4" customFormat="1" ht="15" customHeight="1">
      <c r="A43" s="226">
        <v>35</v>
      </c>
      <c r="B43" s="293" t="s">
        <v>1232</v>
      </c>
      <c r="C43" s="55">
        <v>0</v>
      </c>
      <c r="D43" s="227" t="s">
        <v>1237</v>
      </c>
      <c r="E43" s="294" t="e">
        <f>(InvulMJOP[[#This Row],[Prijs]]*Tariefsopbouw!$I$37)+InvulMJOP[[#This Row],[Prijs]]</f>
        <v>#DIV/0!</v>
      </c>
      <c r="F43" s="294" t="e">
        <f>E43*Tariefsopbouw!$K$37+E43</f>
        <v>#DIV/0!</v>
      </c>
      <c r="G43" s="294" t="e">
        <f>F43*Tariefsopbouw!$M$37+F43</f>
        <v>#DIV/0!</v>
      </c>
      <c r="H43" s="294" t="e">
        <f>G43*Tariefsopbouw!$O$37+InvulMJOP[[#This Row],[2025]]</f>
        <v>#DIV/0!</v>
      </c>
      <c r="I43" s="294" t="e">
        <f>H43*Tariefsopbouw!$Q$37+InvulMJOP[[#This Row],[2026]]</f>
        <v>#DIV/0!</v>
      </c>
    </row>
    <row r="46" spans="1:12" ht="22.9" thickBot="1">
      <c r="A46" s="290" t="s">
        <v>1235</v>
      </c>
      <c r="B46" s="290" t="s">
        <v>145</v>
      </c>
      <c r="C46" t="s">
        <v>1166</v>
      </c>
      <c r="D46" t="s">
        <v>1248</v>
      </c>
      <c r="E46" s="290" t="s">
        <v>211</v>
      </c>
      <c r="F46" t="s">
        <v>1167</v>
      </c>
      <c r="G46" t="s">
        <v>1168</v>
      </c>
      <c r="H46" s="290" t="s">
        <v>1238</v>
      </c>
      <c r="I46" t="s">
        <v>1234</v>
      </c>
      <c r="J46" s="295" t="s">
        <v>166</v>
      </c>
      <c r="K46" s="296" t="s">
        <v>147</v>
      </c>
      <c r="L46" s="297" t="s">
        <v>412</v>
      </c>
    </row>
    <row r="47" spans="1:12" ht="13.15" thickTop="1">
      <c r="A47">
        <v>11</v>
      </c>
      <c r="B47" t="str">
        <f>VLOOKUP(A47,Locaties[[#All],[Code]:[Locatie]],2,FALSE)</f>
        <v>De Bouwsteen / Het Fundament</v>
      </c>
      <c r="C47" t="s">
        <v>1169</v>
      </c>
      <c r="D47" t="s">
        <v>1170</v>
      </c>
      <c r="E47">
        <v>1</v>
      </c>
      <c r="F47" t="s">
        <v>1171</v>
      </c>
      <c r="G47" s="302">
        <v>2026</v>
      </c>
      <c r="H47">
        <v>13</v>
      </c>
      <c r="I47" t="s">
        <v>1239</v>
      </c>
      <c r="J47">
        <v>1</v>
      </c>
      <c r="K47" s="298">
        <f>VLOOKUP(Tabel16[[#This Row],[Code taak]],InvulMJOP[],3,FALSE)*Tabel16[[#This Row],[Oppervlakte/Stuks]]*Tabel16[[#This Row],[Frequentie (uitv./jaar)]]</f>
        <v>0</v>
      </c>
    </row>
    <row r="48" spans="1:12">
      <c r="A48">
        <v>11</v>
      </c>
      <c r="B48" t="str">
        <f>VLOOKUP(A48,Locaties[[#All],[Code]:[Locatie]],2,FALSE)</f>
        <v>De Bouwsteen / Het Fundament</v>
      </c>
      <c r="C48" t="s">
        <v>1169</v>
      </c>
      <c r="D48" t="s">
        <v>1170</v>
      </c>
      <c r="E48">
        <v>2</v>
      </c>
      <c r="F48" t="s">
        <v>1172</v>
      </c>
      <c r="G48" s="302">
        <v>2026</v>
      </c>
      <c r="H48">
        <v>13</v>
      </c>
      <c r="I48" t="s">
        <v>1239</v>
      </c>
      <c r="J48">
        <v>1</v>
      </c>
      <c r="K48" s="298">
        <f>VLOOKUP(Tabel16[[#This Row],[Code taak]],InvulMJOP[],3,FALSE)*Tabel16[[#This Row],[Oppervlakte/Stuks]]*Tabel16[[#This Row],[Frequentie (uitv./jaar)]]</f>
        <v>0</v>
      </c>
    </row>
    <row r="49" spans="1:11">
      <c r="A49">
        <v>11</v>
      </c>
      <c r="B49" t="str">
        <f>VLOOKUP(A49,Locaties[[#All],[Code]:[Locatie]],2,FALSE)</f>
        <v>De Bouwsteen / Het Fundament</v>
      </c>
      <c r="C49" t="s">
        <v>1169</v>
      </c>
      <c r="D49" t="s">
        <v>1173</v>
      </c>
      <c r="E49">
        <v>3</v>
      </c>
      <c r="F49" t="s">
        <v>1174</v>
      </c>
      <c r="G49" s="302">
        <v>2026</v>
      </c>
      <c r="H49">
        <v>336</v>
      </c>
      <c r="I49" t="s">
        <v>1240</v>
      </c>
      <c r="J49">
        <v>1</v>
      </c>
      <c r="K49" s="298">
        <f>VLOOKUP(Tabel16[[#This Row],[Code taak]],InvulMJOP[],3,FALSE)*Tabel16[[#This Row],[Oppervlakte/Stuks]]*Tabel16[[#This Row],[Frequentie (uitv./jaar)]]</f>
        <v>0</v>
      </c>
    </row>
    <row r="50" spans="1:11">
      <c r="A50">
        <v>11</v>
      </c>
      <c r="B50" t="str">
        <f>VLOOKUP(A50,Locaties[[#All],[Code]:[Locatie]],2,FALSE)</f>
        <v>De Bouwsteen / Het Fundament</v>
      </c>
      <c r="C50" t="s">
        <v>1169</v>
      </c>
      <c r="D50" t="s">
        <v>1175</v>
      </c>
      <c r="E50">
        <v>2</v>
      </c>
      <c r="F50" t="s">
        <v>1172</v>
      </c>
      <c r="G50" s="302">
        <v>2021</v>
      </c>
      <c r="H50">
        <v>13</v>
      </c>
      <c r="I50" t="s">
        <v>1239</v>
      </c>
      <c r="J50">
        <v>1</v>
      </c>
      <c r="K50" s="298">
        <f>VLOOKUP(Tabel16[[#This Row],[Code taak]],InvulMJOP[],3,FALSE)*Tabel16[[#This Row],[Oppervlakte/Stuks]]*Tabel16[[#This Row],[Frequentie (uitv./jaar)]]</f>
        <v>0</v>
      </c>
    </row>
    <row r="51" spans="1:11">
      <c r="A51">
        <v>11</v>
      </c>
      <c r="B51" t="str">
        <f>VLOOKUP(A51,Locaties[[#All],[Code]:[Locatie]],2,FALSE)</f>
        <v>De Bouwsteen / Het Fundament</v>
      </c>
      <c r="C51" t="s">
        <v>1176</v>
      </c>
      <c r="D51" t="s">
        <v>1170</v>
      </c>
      <c r="E51">
        <v>4</v>
      </c>
      <c r="F51" t="s">
        <v>1177</v>
      </c>
      <c r="G51" s="302">
        <v>2021</v>
      </c>
      <c r="H51">
        <v>60</v>
      </c>
      <c r="I51" t="s">
        <v>1239</v>
      </c>
      <c r="J51">
        <v>1</v>
      </c>
      <c r="K51" s="298">
        <f>VLOOKUP(Tabel16[[#This Row],[Code taak]],InvulMJOP[],3,FALSE)*Tabel16[[#This Row],[Oppervlakte/Stuks]]*Tabel16[[#This Row],[Frequentie (uitv./jaar)]]</f>
        <v>0</v>
      </c>
    </row>
    <row r="52" spans="1:11">
      <c r="A52">
        <v>11</v>
      </c>
      <c r="B52" t="str">
        <f>VLOOKUP(A52,Locaties[[#All],[Code]:[Locatie]],2,FALSE)</f>
        <v>De Bouwsteen / Het Fundament</v>
      </c>
      <c r="C52" t="s">
        <v>1176</v>
      </c>
      <c r="D52" t="s">
        <v>1170</v>
      </c>
      <c r="E52">
        <v>4</v>
      </c>
      <c r="F52" t="s">
        <v>1177</v>
      </c>
      <c r="G52" s="302">
        <v>2022</v>
      </c>
      <c r="H52">
        <v>60</v>
      </c>
      <c r="I52" t="s">
        <v>1239</v>
      </c>
      <c r="J52">
        <v>1</v>
      </c>
      <c r="K52" s="298">
        <f>VLOOKUP(Tabel16[[#This Row],[Code taak]],InvulMJOP[],3,FALSE)*Tabel16[[#This Row],[Oppervlakte/Stuks]]*Tabel16[[#This Row],[Frequentie (uitv./jaar)]]</f>
        <v>0</v>
      </c>
    </row>
    <row r="53" spans="1:11">
      <c r="A53">
        <v>11</v>
      </c>
      <c r="B53" t="str">
        <f>VLOOKUP(A53,Locaties[[#All],[Code]:[Locatie]],2,FALSE)</f>
        <v>De Bouwsteen / Het Fundament</v>
      </c>
      <c r="C53" t="s">
        <v>1176</v>
      </c>
      <c r="D53" t="s">
        <v>1170</v>
      </c>
      <c r="E53">
        <v>4</v>
      </c>
      <c r="F53" t="s">
        <v>1177</v>
      </c>
      <c r="G53" s="302">
        <v>2023</v>
      </c>
      <c r="H53">
        <v>60</v>
      </c>
      <c r="I53" t="s">
        <v>1239</v>
      </c>
      <c r="J53">
        <v>1</v>
      </c>
      <c r="K53" s="298">
        <f>VLOOKUP(Tabel16[[#This Row],[Code taak]],InvulMJOP[],3,FALSE)*Tabel16[[#This Row],[Oppervlakte/Stuks]]*Tabel16[[#This Row],[Frequentie (uitv./jaar)]]</f>
        <v>0</v>
      </c>
    </row>
    <row r="54" spans="1:11">
      <c r="A54">
        <v>11</v>
      </c>
      <c r="B54" t="str">
        <f>VLOOKUP(A54,Locaties[[#All],[Code]:[Locatie]],2,FALSE)</f>
        <v>De Bouwsteen / Het Fundament</v>
      </c>
      <c r="C54" t="s">
        <v>1176</v>
      </c>
      <c r="D54" t="s">
        <v>1170</v>
      </c>
      <c r="E54">
        <v>4</v>
      </c>
      <c r="F54" t="s">
        <v>1177</v>
      </c>
      <c r="G54" s="302">
        <v>2024</v>
      </c>
      <c r="H54">
        <v>60</v>
      </c>
      <c r="I54" t="s">
        <v>1239</v>
      </c>
      <c r="J54">
        <v>1</v>
      </c>
      <c r="K54" s="298">
        <f>VLOOKUP(Tabel16[[#This Row],[Code taak]],InvulMJOP[],3,FALSE)*Tabel16[[#This Row],[Oppervlakte/Stuks]]*Tabel16[[#This Row],[Frequentie (uitv./jaar)]]</f>
        <v>0</v>
      </c>
    </row>
    <row r="55" spans="1:11">
      <c r="A55">
        <v>11</v>
      </c>
      <c r="B55" t="str">
        <f>VLOOKUP(A55,Locaties[[#All],[Code]:[Locatie]],2,FALSE)</f>
        <v>De Bouwsteen / Het Fundament</v>
      </c>
      <c r="C55" t="s">
        <v>1176</v>
      </c>
      <c r="D55" t="s">
        <v>1170</v>
      </c>
      <c r="E55">
        <v>4</v>
      </c>
      <c r="F55" t="s">
        <v>1177</v>
      </c>
      <c r="G55" s="302">
        <v>2025</v>
      </c>
      <c r="H55">
        <v>60</v>
      </c>
      <c r="I55" t="s">
        <v>1239</v>
      </c>
      <c r="J55">
        <v>1</v>
      </c>
      <c r="K55" s="298">
        <f>VLOOKUP(Tabel16[[#This Row],[Code taak]],InvulMJOP[],3,FALSE)*Tabel16[[#This Row],[Oppervlakte/Stuks]]*Tabel16[[#This Row],[Frequentie (uitv./jaar)]]</f>
        <v>0</v>
      </c>
    </row>
    <row r="56" spans="1:11">
      <c r="A56">
        <v>11</v>
      </c>
      <c r="B56" t="str">
        <f>VLOOKUP(A56,Locaties[[#All],[Code]:[Locatie]],2,FALSE)</f>
        <v>De Bouwsteen / Het Fundament</v>
      </c>
      <c r="C56" t="s">
        <v>1176</v>
      </c>
      <c r="D56" t="s">
        <v>1170</v>
      </c>
      <c r="E56">
        <v>4</v>
      </c>
      <c r="F56" t="s">
        <v>1177</v>
      </c>
      <c r="G56" s="302">
        <v>2026</v>
      </c>
      <c r="H56">
        <v>60</v>
      </c>
      <c r="I56" t="s">
        <v>1239</v>
      </c>
      <c r="J56">
        <v>1</v>
      </c>
      <c r="K56" s="298">
        <f>VLOOKUP(Tabel16[[#This Row],[Code taak]],InvulMJOP[],3,FALSE)*Tabel16[[#This Row],[Oppervlakte/Stuks]]*Tabel16[[#This Row],[Frequentie (uitv./jaar)]]</f>
        <v>0</v>
      </c>
    </row>
    <row r="57" spans="1:11">
      <c r="A57">
        <v>11</v>
      </c>
      <c r="B57" t="str">
        <f>VLOOKUP(A57,Locaties[[#All],[Code]:[Locatie]],2,FALSE)</f>
        <v>De Bouwsteen / Het Fundament</v>
      </c>
      <c r="C57" t="s">
        <v>1176</v>
      </c>
      <c r="D57" t="s">
        <v>1170</v>
      </c>
      <c r="E57">
        <v>4</v>
      </c>
      <c r="F57" t="s">
        <v>1177</v>
      </c>
      <c r="G57" s="302">
        <v>2027</v>
      </c>
      <c r="H57">
        <v>60</v>
      </c>
      <c r="I57" t="s">
        <v>1239</v>
      </c>
      <c r="J57">
        <v>1</v>
      </c>
      <c r="K57" s="298">
        <f>VLOOKUP(Tabel16[[#This Row],[Code taak]],InvulMJOP[],3,FALSE)*Tabel16[[#This Row],[Oppervlakte/Stuks]]*Tabel16[[#This Row],[Frequentie (uitv./jaar)]]</f>
        <v>0</v>
      </c>
    </row>
    <row r="58" spans="1:11">
      <c r="A58">
        <v>11</v>
      </c>
      <c r="B58" t="str">
        <f>VLOOKUP(A58,Locaties[[#All],[Code]:[Locatie]],2,FALSE)</f>
        <v>De Bouwsteen / Het Fundament</v>
      </c>
      <c r="C58" t="s">
        <v>1176</v>
      </c>
      <c r="D58" t="s">
        <v>1170</v>
      </c>
      <c r="E58">
        <v>4</v>
      </c>
      <c r="F58" t="s">
        <v>1177</v>
      </c>
      <c r="G58" s="302">
        <v>2028</v>
      </c>
      <c r="H58">
        <v>60</v>
      </c>
      <c r="I58" t="s">
        <v>1239</v>
      </c>
      <c r="J58">
        <v>1</v>
      </c>
      <c r="K58" s="298">
        <f>VLOOKUP(Tabel16[[#This Row],[Code taak]],InvulMJOP[],3,FALSE)*Tabel16[[#This Row],[Oppervlakte/Stuks]]*Tabel16[[#This Row],[Frequentie (uitv./jaar)]]</f>
        <v>0</v>
      </c>
    </row>
    <row r="59" spans="1:11">
      <c r="A59">
        <v>11</v>
      </c>
      <c r="B59" t="str">
        <f>VLOOKUP(A59,Locaties[[#All],[Code]:[Locatie]],2,FALSE)</f>
        <v>De Bouwsteen / Het Fundament</v>
      </c>
      <c r="C59" t="s">
        <v>1176</v>
      </c>
      <c r="D59" t="s">
        <v>1170</v>
      </c>
      <c r="E59">
        <v>4</v>
      </c>
      <c r="F59" t="s">
        <v>1177</v>
      </c>
      <c r="G59" s="302">
        <v>2029</v>
      </c>
      <c r="H59">
        <v>60</v>
      </c>
      <c r="I59" t="s">
        <v>1239</v>
      </c>
      <c r="J59">
        <v>1</v>
      </c>
      <c r="K59" s="298">
        <f>VLOOKUP(Tabel16[[#This Row],[Code taak]],InvulMJOP[],3,FALSE)*Tabel16[[#This Row],[Oppervlakte/Stuks]]*Tabel16[[#This Row],[Frequentie (uitv./jaar)]]</f>
        <v>0</v>
      </c>
    </row>
    <row r="60" spans="1:11">
      <c r="A60">
        <v>11</v>
      </c>
      <c r="B60" t="str">
        <f>VLOOKUP(A60,Locaties[[#All],[Code]:[Locatie]],2,FALSE)</f>
        <v>De Bouwsteen / Het Fundament</v>
      </c>
      <c r="C60" t="s">
        <v>1176</v>
      </c>
      <c r="D60" t="s">
        <v>1170</v>
      </c>
      <c r="E60">
        <v>5</v>
      </c>
      <c r="F60" t="s">
        <v>1178</v>
      </c>
      <c r="G60" s="302">
        <v>2026</v>
      </c>
      <c r="H60">
        <v>19</v>
      </c>
      <c r="I60" t="s">
        <v>1241</v>
      </c>
      <c r="J60">
        <v>1</v>
      </c>
      <c r="K60" s="298">
        <f>VLOOKUP(Tabel16[[#This Row],[Code taak]],InvulMJOP[],3,FALSE)*Tabel16[[#This Row],[Oppervlakte/Stuks]]*Tabel16[[#This Row],[Frequentie (uitv./jaar)]]</f>
        <v>0</v>
      </c>
    </row>
    <row r="61" spans="1:11">
      <c r="A61">
        <v>11</v>
      </c>
      <c r="B61" t="str">
        <f>VLOOKUP(A61,Locaties[[#All],[Code]:[Locatie]],2,FALSE)</f>
        <v>De Bouwsteen / Het Fundament</v>
      </c>
      <c r="C61" t="s">
        <v>1176</v>
      </c>
      <c r="D61" t="s">
        <v>1170</v>
      </c>
      <c r="E61">
        <v>1</v>
      </c>
      <c r="F61" t="s">
        <v>1171</v>
      </c>
      <c r="G61" s="302">
        <v>2026</v>
      </c>
      <c r="H61">
        <v>101.7</v>
      </c>
      <c r="I61" t="s">
        <v>1239</v>
      </c>
      <c r="J61">
        <v>1</v>
      </c>
      <c r="K61" s="298">
        <f>VLOOKUP(Tabel16[[#This Row],[Code taak]],InvulMJOP[],3,FALSE)*Tabel16[[#This Row],[Oppervlakte/Stuks]]*Tabel16[[#This Row],[Frequentie (uitv./jaar)]]</f>
        <v>0</v>
      </c>
    </row>
    <row r="62" spans="1:11">
      <c r="A62">
        <v>11</v>
      </c>
      <c r="B62" t="str">
        <f>VLOOKUP(A62,Locaties[[#All],[Code]:[Locatie]],2,FALSE)</f>
        <v>De Bouwsteen / Het Fundament</v>
      </c>
      <c r="C62" t="s">
        <v>1176</v>
      </c>
      <c r="D62" t="s">
        <v>1170</v>
      </c>
      <c r="E62">
        <v>2</v>
      </c>
      <c r="F62" t="s">
        <v>1172</v>
      </c>
      <c r="G62" s="302">
        <v>2026</v>
      </c>
      <c r="H62">
        <v>101.7</v>
      </c>
      <c r="I62" t="s">
        <v>1239</v>
      </c>
      <c r="J62">
        <v>1</v>
      </c>
      <c r="K62" s="298">
        <f>VLOOKUP(Tabel16[[#This Row],[Code taak]],InvulMJOP[],3,FALSE)*Tabel16[[#This Row],[Oppervlakte/Stuks]]*Tabel16[[#This Row],[Frequentie (uitv./jaar)]]</f>
        <v>0</v>
      </c>
    </row>
    <row r="63" spans="1:11">
      <c r="A63">
        <v>11</v>
      </c>
      <c r="B63" t="str">
        <f>VLOOKUP(A63,Locaties[[#All],[Code]:[Locatie]],2,FALSE)</f>
        <v>De Bouwsteen / Het Fundament</v>
      </c>
      <c r="C63" t="s">
        <v>1176</v>
      </c>
      <c r="D63" t="s">
        <v>1173</v>
      </c>
      <c r="E63">
        <v>3</v>
      </c>
      <c r="F63" t="s">
        <v>1174</v>
      </c>
      <c r="G63" s="302">
        <v>2026</v>
      </c>
      <c r="H63">
        <v>2268</v>
      </c>
      <c r="I63" t="s">
        <v>1240</v>
      </c>
      <c r="J63">
        <v>1</v>
      </c>
      <c r="K63" s="298">
        <f>VLOOKUP(Tabel16[[#This Row],[Code taak]],InvulMJOP[],3,FALSE)*Tabel16[[#This Row],[Oppervlakte/Stuks]]*Tabel16[[#This Row],[Frequentie (uitv./jaar)]]</f>
        <v>0</v>
      </c>
    </row>
    <row r="64" spans="1:11">
      <c r="A64">
        <v>11</v>
      </c>
      <c r="B64" t="str">
        <f>VLOOKUP(A64,Locaties[[#All],[Code]:[Locatie]],2,FALSE)</f>
        <v>De Bouwsteen / Het Fundament</v>
      </c>
      <c r="C64" t="s">
        <v>1176</v>
      </c>
      <c r="D64" t="s">
        <v>1179</v>
      </c>
      <c r="E64">
        <v>6</v>
      </c>
      <c r="F64" t="s">
        <v>1180</v>
      </c>
      <c r="G64" s="302">
        <v>2021</v>
      </c>
      <c r="H64">
        <v>34.5</v>
      </c>
      <c r="I64" t="s">
        <v>1239</v>
      </c>
      <c r="J64">
        <v>1</v>
      </c>
      <c r="K64" s="298">
        <f>VLOOKUP(Tabel16[[#This Row],[Code taak]],InvulMJOP[],3,FALSE)*Tabel16[[#This Row],[Oppervlakte/Stuks]]*Tabel16[[#This Row],[Frequentie (uitv./jaar)]]</f>
        <v>0</v>
      </c>
    </row>
    <row r="65" spans="1:11">
      <c r="A65">
        <v>11</v>
      </c>
      <c r="B65" t="str">
        <f>VLOOKUP(A65,Locaties[[#All],[Code]:[Locatie]],2,FALSE)</f>
        <v>De Bouwsteen / Het Fundament</v>
      </c>
      <c r="C65" t="s">
        <v>1176</v>
      </c>
      <c r="D65" t="s">
        <v>1179</v>
      </c>
      <c r="E65">
        <v>6</v>
      </c>
      <c r="F65" t="s">
        <v>1180</v>
      </c>
      <c r="G65" s="302">
        <v>2027</v>
      </c>
      <c r="H65">
        <v>34.5</v>
      </c>
      <c r="I65" t="s">
        <v>1239</v>
      </c>
      <c r="J65">
        <v>1</v>
      </c>
      <c r="K65" s="298">
        <f>VLOOKUP(Tabel16[[#This Row],[Code taak]],InvulMJOP[],3,FALSE)*Tabel16[[#This Row],[Oppervlakte/Stuks]]*Tabel16[[#This Row],[Frequentie (uitv./jaar)]]</f>
        <v>0</v>
      </c>
    </row>
    <row r="66" spans="1:11">
      <c r="A66">
        <v>11</v>
      </c>
      <c r="B66" t="str">
        <f>VLOOKUP(A66,Locaties[[#All],[Code]:[Locatie]],2,FALSE)</f>
        <v>De Bouwsteen / Het Fundament</v>
      </c>
      <c r="C66" t="s">
        <v>1176</v>
      </c>
      <c r="D66" t="s">
        <v>1179</v>
      </c>
      <c r="E66">
        <v>7</v>
      </c>
      <c r="F66" t="s">
        <v>1181</v>
      </c>
      <c r="G66" s="302">
        <v>2021</v>
      </c>
      <c r="H66">
        <v>1.5</v>
      </c>
      <c r="I66" t="s">
        <v>1239</v>
      </c>
      <c r="J66">
        <v>1</v>
      </c>
      <c r="K66" s="298">
        <f>VLOOKUP(Tabel16[[#This Row],[Code taak]],InvulMJOP[],3,FALSE)*Tabel16[[#This Row],[Oppervlakte/Stuks]]*Tabel16[[#This Row],[Frequentie (uitv./jaar)]]</f>
        <v>0</v>
      </c>
    </row>
    <row r="67" spans="1:11">
      <c r="A67">
        <v>11</v>
      </c>
      <c r="B67" t="str">
        <f>VLOOKUP(A67,Locaties[[#All],[Code]:[Locatie]],2,FALSE)</f>
        <v>De Bouwsteen / Het Fundament</v>
      </c>
      <c r="C67" t="s">
        <v>1176</v>
      </c>
      <c r="D67" t="s">
        <v>1179</v>
      </c>
      <c r="E67">
        <v>7</v>
      </c>
      <c r="F67" t="s">
        <v>1181</v>
      </c>
      <c r="G67" s="302">
        <v>2027</v>
      </c>
      <c r="H67">
        <v>1.5</v>
      </c>
      <c r="I67" t="s">
        <v>1239</v>
      </c>
      <c r="J67">
        <v>1</v>
      </c>
      <c r="K67" s="298">
        <f>VLOOKUP(Tabel16[[#This Row],[Code taak]],InvulMJOP[],3,FALSE)*Tabel16[[#This Row],[Oppervlakte/Stuks]]*Tabel16[[#This Row],[Frequentie (uitv./jaar)]]</f>
        <v>0</v>
      </c>
    </row>
    <row r="68" spans="1:11">
      <c r="A68">
        <v>11</v>
      </c>
      <c r="B68" t="str">
        <f>VLOOKUP(A68,Locaties[[#All],[Code]:[Locatie]],2,FALSE)</f>
        <v>De Bouwsteen / Het Fundament</v>
      </c>
      <c r="C68" t="s">
        <v>1176</v>
      </c>
      <c r="D68" t="s">
        <v>1179</v>
      </c>
      <c r="E68">
        <v>8</v>
      </c>
      <c r="F68" t="s">
        <v>1182</v>
      </c>
      <c r="G68" s="302">
        <v>2021</v>
      </c>
      <c r="H68">
        <v>194</v>
      </c>
      <c r="I68" t="s">
        <v>1241</v>
      </c>
      <c r="J68">
        <v>1</v>
      </c>
      <c r="K68" s="298">
        <f>VLOOKUP(Tabel16[[#This Row],[Code taak]],InvulMJOP[],3,FALSE)*Tabel16[[#This Row],[Oppervlakte/Stuks]]*Tabel16[[#This Row],[Frequentie (uitv./jaar)]]</f>
        <v>0</v>
      </c>
    </row>
    <row r="69" spans="1:11">
      <c r="A69">
        <v>11</v>
      </c>
      <c r="B69" t="str">
        <f>VLOOKUP(A69,Locaties[[#All],[Code]:[Locatie]],2,FALSE)</f>
        <v>De Bouwsteen / Het Fundament</v>
      </c>
      <c r="C69" t="s">
        <v>1176</v>
      </c>
      <c r="D69" t="s">
        <v>1179</v>
      </c>
      <c r="E69">
        <v>8</v>
      </c>
      <c r="F69" t="s">
        <v>1182</v>
      </c>
      <c r="G69" s="302">
        <v>2027</v>
      </c>
      <c r="H69">
        <v>194</v>
      </c>
      <c r="I69" t="s">
        <v>1241</v>
      </c>
      <c r="J69">
        <v>1</v>
      </c>
      <c r="K69" s="298">
        <f>VLOOKUP(Tabel16[[#This Row],[Code taak]],InvulMJOP[],3,FALSE)*Tabel16[[#This Row],[Oppervlakte/Stuks]]*Tabel16[[#This Row],[Frequentie (uitv./jaar)]]</f>
        <v>0</v>
      </c>
    </row>
    <row r="70" spans="1:11">
      <c r="A70">
        <v>11</v>
      </c>
      <c r="B70" t="str">
        <f>VLOOKUP(A70,Locaties[[#All],[Code]:[Locatie]],2,FALSE)</f>
        <v>De Bouwsteen / Het Fundament</v>
      </c>
      <c r="C70" t="s">
        <v>1176</v>
      </c>
      <c r="D70" t="s">
        <v>1179</v>
      </c>
      <c r="E70">
        <v>9</v>
      </c>
      <c r="F70" t="s">
        <v>1183</v>
      </c>
      <c r="G70" s="302">
        <v>2021</v>
      </c>
      <c r="H70">
        <v>8.1999999999999993</v>
      </c>
      <c r="I70" t="s">
        <v>1241</v>
      </c>
      <c r="J70">
        <v>1</v>
      </c>
      <c r="K70" s="298">
        <f>VLOOKUP(Tabel16[[#This Row],[Code taak]],InvulMJOP[],3,FALSE)*Tabel16[[#This Row],[Oppervlakte/Stuks]]*Tabel16[[#This Row],[Frequentie (uitv./jaar)]]</f>
        <v>0</v>
      </c>
    </row>
    <row r="71" spans="1:11">
      <c r="A71">
        <v>11</v>
      </c>
      <c r="B71" t="str">
        <f>VLOOKUP(A71,Locaties[[#All],[Code]:[Locatie]],2,FALSE)</f>
        <v>De Bouwsteen / Het Fundament</v>
      </c>
      <c r="C71" t="s">
        <v>1176</v>
      </c>
      <c r="D71" t="s">
        <v>1179</v>
      </c>
      <c r="E71">
        <v>9</v>
      </c>
      <c r="F71" t="s">
        <v>1183</v>
      </c>
      <c r="G71" s="302">
        <v>2027</v>
      </c>
      <c r="H71">
        <v>8.1999999999999993</v>
      </c>
      <c r="I71" t="s">
        <v>1241</v>
      </c>
      <c r="J71">
        <v>1</v>
      </c>
      <c r="K71" s="298">
        <f>VLOOKUP(Tabel16[[#This Row],[Code taak]],InvulMJOP[],3,FALSE)*Tabel16[[#This Row],[Oppervlakte/Stuks]]*Tabel16[[#This Row],[Frequentie (uitv./jaar)]]</f>
        <v>0</v>
      </c>
    </row>
    <row r="72" spans="1:11">
      <c r="A72">
        <v>11</v>
      </c>
      <c r="B72" t="str">
        <f>VLOOKUP(A72,Locaties[[#All],[Code]:[Locatie]],2,FALSE)</f>
        <v>De Bouwsteen / Het Fundament</v>
      </c>
      <c r="C72" t="s">
        <v>1176</v>
      </c>
      <c r="D72" t="s">
        <v>1179</v>
      </c>
      <c r="E72">
        <v>10</v>
      </c>
      <c r="F72" t="s">
        <v>1184</v>
      </c>
      <c r="G72" s="302">
        <v>2021</v>
      </c>
      <c r="H72">
        <v>38</v>
      </c>
      <c r="I72" t="s">
        <v>1241</v>
      </c>
      <c r="J72">
        <v>1</v>
      </c>
      <c r="K72" s="298">
        <f>VLOOKUP(Tabel16[[#This Row],[Code taak]],InvulMJOP[],3,FALSE)*Tabel16[[#This Row],[Oppervlakte/Stuks]]*Tabel16[[#This Row],[Frequentie (uitv./jaar)]]</f>
        <v>0</v>
      </c>
    </row>
    <row r="73" spans="1:11">
      <c r="A73">
        <v>11</v>
      </c>
      <c r="B73" t="str">
        <f>VLOOKUP(A73,Locaties[[#All],[Code]:[Locatie]],2,FALSE)</f>
        <v>De Bouwsteen / Het Fundament</v>
      </c>
      <c r="C73" t="s">
        <v>1176</v>
      </c>
      <c r="D73" t="s">
        <v>1179</v>
      </c>
      <c r="E73">
        <v>10</v>
      </c>
      <c r="F73" t="s">
        <v>1184</v>
      </c>
      <c r="G73" s="302">
        <v>2027</v>
      </c>
      <c r="H73">
        <v>38</v>
      </c>
      <c r="I73" t="s">
        <v>1241</v>
      </c>
      <c r="J73">
        <v>1</v>
      </c>
      <c r="K73" s="298">
        <f>VLOOKUP(Tabel16[[#This Row],[Code taak]],InvulMJOP[],3,FALSE)*Tabel16[[#This Row],[Oppervlakte/Stuks]]*Tabel16[[#This Row],[Frequentie (uitv./jaar)]]</f>
        <v>0</v>
      </c>
    </row>
    <row r="74" spans="1:11">
      <c r="A74">
        <v>11</v>
      </c>
      <c r="B74" t="str">
        <f>VLOOKUP(A74,Locaties[[#All],[Code]:[Locatie]],2,FALSE)</f>
        <v>De Bouwsteen / Het Fundament</v>
      </c>
      <c r="C74" t="s">
        <v>1176</v>
      </c>
      <c r="D74" t="s">
        <v>1179</v>
      </c>
      <c r="E74">
        <v>11</v>
      </c>
      <c r="F74" t="s">
        <v>1185</v>
      </c>
      <c r="G74" s="302">
        <v>2021</v>
      </c>
      <c r="H74">
        <v>52</v>
      </c>
      <c r="I74" t="s">
        <v>1241</v>
      </c>
      <c r="J74">
        <v>1</v>
      </c>
      <c r="K74" s="298">
        <f>VLOOKUP(Tabel16[[#This Row],[Code taak]],InvulMJOP[],3,FALSE)*Tabel16[[#This Row],[Oppervlakte/Stuks]]*Tabel16[[#This Row],[Frequentie (uitv./jaar)]]</f>
        <v>0</v>
      </c>
    </row>
    <row r="75" spans="1:11">
      <c r="A75">
        <v>11</v>
      </c>
      <c r="B75" t="str">
        <f>VLOOKUP(A75,Locaties[[#All],[Code]:[Locatie]],2,FALSE)</f>
        <v>De Bouwsteen / Het Fundament</v>
      </c>
      <c r="C75" t="s">
        <v>1176</v>
      </c>
      <c r="D75" t="s">
        <v>1179</v>
      </c>
      <c r="E75">
        <v>11</v>
      </c>
      <c r="F75" t="s">
        <v>1185</v>
      </c>
      <c r="G75" s="302">
        <v>2027</v>
      </c>
      <c r="H75">
        <v>52</v>
      </c>
      <c r="I75" t="s">
        <v>1241</v>
      </c>
      <c r="J75">
        <v>1</v>
      </c>
      <c r="K75" s="298">
        <f>VLOOKUP(Tabel16[[#This Row],[Code taak]],InvulMJOP[],3,FALSE)*Tabel16[[#This Row],[Oppervlakte/Stuks]]*Tabel16[[#This Row],[Frequentie (uitv./jaar)]]</f>
        <v>0</v>
      </c>
    </row>
    <row r="76" spans="1:11">
      <c r="A76">
        <v>11</v>
      </c>
      <c r="B76" t="str">
        <f>VLOOKUP(A76,Locaties[[#All],[Code]:[Locatie]],2,FALSE)</f>
        <v>De Bouwsteen / Het Fundament</v>
      </c>
      <c r="C76" t="s">
        <v>1176</v>
      </c>
      <c r="D76" t="s">
        <v>1179</v>
      </c>
      <c r="E76">
        <v>12</v>
      </c>
      <c r="F76" t="s">
        <v>1186</v>
      </c>
      <c r="G76" s="302">
        <v>2021</v>
      </c>
      <c r="H76">
        <v>19</v>
      </c>
      <c r="I76" t="s">
        <v>1241</v>
      </c>
      <c r="J76">
        <v>1</v>
      </c>
      <c r="K76" s="298">
        <f>VLOOKUP(Tabel16[[#This Row],[Code taak]],InvulMJOP[],3,FALSE)*Tabel16[[#This Row],[Oppervlakte/Stuks]]*Tabel16[[#This Row],[Frequentie (uitv./jaar)]]</f>
        <v>0</v>
      </c>
    </row>
    <row r="77" spans="1:11">
      <c r="A77">
        <v>11</v>
      </c>
      <c r="B77" t="str">
        <f>VLOOKUP(A77,Locaties[[#All],[Code]:[Locatie]],2,FALSE)</f>
        <v>De Bouwsteen / Het Fundament</v>
      </c>
      <c r="C77" t="s">
        <v>1176</v>
      </c>
      <c r="D77" t="s">
        <v>1179</v>
      </c>
      <c r="E77">
        <v>12</v>
      </c>
      <c r="F77" t="s">
        <v>1186</v>
      </c>
      <c r="G77" s="302">
        <v>2023</v>
      </c>
      <c r="H77">
        <v>19</v>
      </c>
      <c r="I77" t="s">
        <v>1241</v>
      </c>
      <c r="J77">
        <v>1</v>
      </c>
      <c r="K77" s="298">
        <f>VLOOKUP(Tabel16[[#This Row],[Code taak]],InvulMJOP[],3,FALSE)*Tabel16[[#This Row],[Oppervlakte/Stuks]]*Tabel16[[#This Row],[Frequentie (uitv./jaar)]]</f>
        <v>0</v>
      </c>
    </row>
    <row r="78" spans="1:11">
      <c r="A78">
        <v>11</v>
      </c>
      <c r="B78" t="str">
        <f>VLOOKUP(A78,Locaties[[#All],[Code]:[Locatie]],2,FALSE)</f>
        <v>De Bouwsteen / Het Fundament</v>
      </c>
      <c r="C78" t="s">
        <v>1176</v>
      </c>
      <c r="D78" t="s">
        <v>1179</v>
      </c>
      <c r="E78">
        <v>12</v>
      </c>
      <c r="F78" t="s">
        <v>1186</v>
      </c>
      <c r="G78" s="302">
        <v>2025</v>
      </c>
      <c r="H78">
        <v>19</v>
      </c>
      <c r="I78" t="s">
        <v>1241</v>
      </c>
      <c r="J78">
        <v>1</v>
      </c>
      <c r="K78" s="298">
        <f>VLOOKUP(Tabel16[[#This Row],[Code taak]],InvulMJOP[],3,FALSE)*Tabel16[[#This Row],[Oppervlakte/Stuks]]*Tabel16[[#This Row],[Frequentie (uitv./jaar)]]</f>
        <v>0</v>
      </c>
    </row>
    <row r="79" spans="1:11">
      <c r="A79">
        <v>11</v>
      </c>
      <c r="B79" t="str">
        <f>VLOOKUP(A79,Locaties[[#All],[Code]:[Locatie]],2,FALSE)</f>
        <v>De Bouwsteen / Het Fundament</v>
      </c>
      <c r="C79" t="s">
        <v>1176</v>
      </c>
      <c r="D79" t="s">
        <v>1179</v>
      </c>
      <c r="E79">
        <v>12</v>
      </c>
      <c r="F79" t="s">
        <v>1186</v>
      </c>
      <c r="G79" s="302">
        <v>2027</v>
      </c>
      <c r="H79">
        <v>19</v>
      </c>
      <c r="I79" t="s">
        <v>1241</v>
      </c>
      <c r="J79">
        <v>1</v>
      </c>
      <c r="K79" s="298">
        <f>VLOOKUP(Tabel16[[#This Row],[Code taak]],InvulMJOP[],3,FALSE)*Tabel16[[#This Row],[Oppervlakte/Stuks]]*Tabel16[[#This Row],[Frequentie (uitv./jaar)]]</f>
        <v>0</v>
      </c>
    </row>
    <row r="80" spans="1:11">
      <c r="A80">
        <v>11</v>
      </c>
      <c r="B80" t="str">
        <f>VLOOKUP(A80,Locaties[[#All],[Code]:[Locatie]],2,FALSE)</f>
        <v>De Bouwsteen / Het Fundament</v>
      </c>
      <c r="C80" t="s">
        <v>1176</v>
      </c>
      <c r="D80" t="s">
        <v>1179</v>
      </c>
      <c r="E80">
        <v>12</v>
      </c>
      <c r="F80" t="s">
        <v>1186</v>
      </c>
      <c r="G80" s="302">
        <v>2029</v>
      </c>
      <c r="H80">
        <v>19</v>
      </c>
      <c r="I80" t="s">
        <v>1241</v>
      </c>
      <c r="J80">
        <v>1</v>
      </c>
      <c r="K80" s="298">
        <f>VLOOKUP(Tabel16[[#This Row],[Code taak]],InvulMJOP[],3,FALSE)*Tabel16[[#This Row],[Oppervlakte/Stuks]]*Tabel16[[#This Row],[Frequentie (uitv./jaar)]]</f>
        <v>0</v>
      </c>
    </row>
    <row r="81" spans="1:12">
      <c r="A81">
        <v>11</v>
      </c>
      <c r="B81" t="str">
        <f>VLOOKUP(A81,Locaties[[#All],[Code]:[Locatie]],2,FALSE)</f>
        <v>De Bouwsteen / Het Fundament</v>
      </c>
      <c r="C81" t="s">
        <v>1176</v>
      </c>
      <c r="D81" t="s">
        <v>1175</v>
      </c>
      <c r="E81">
        <v>13</v>
      </c>
      <c r="F81" t="s">
        <v>1187</v>
      </c>
      <c r="G81" s="302">
        <v>2023</v>
      </c>
      <c r="H81">
        <v>405</v>
      </c>
      <c r="I81" t="s">
        <v>1241</v>
      </c>
      <c r="J81">
        <v>1</v>
      </c>
      <c r="K81" s="298">
        <f>VLOOKUP(Tabel16[[#This Row],[Code taak]],InvulMJOP[],3,FALSE)*Tabel16[[#This Row],[Oppervlakte/Stuks]]*Tabel16[[#This Row],[Frequentie (uitv./jaar)]]</f>
        <v>0</v>
      </c>
    </row>
    <row r="82" spans="1:12">
      <c r="A82">
        <v>11</v>
      </c>
      <c r="B82" t="str">
        <f>VLOOKUP(A82,Locaties[[#All],[Code]:[Locatie]],2,FALSE)</f>
        <v>De Bouwsteen / Het Fundament</v>
      </c>
      <c r="C82" t="s">
        <v>1176</v>
      </c>
      <c r="D82" t="s">
        <v>1175</v>
      </c>
      <c r="E82">
        <v>13</v>
      </c>
      <c r="F82" t="s">
        <v>1187</v>
      </c>
      <c r="G82" s="302">
        <v>2027</v>
      </c>
      <c r="H82">
        <v>405</v>
      </c>
      <c r="I82" t="s">
        <v>1241</v>
      </c>
      <c r="J82">
        <v>1</v>
      </c>
      <c r="K82" s="298">
        <f>VLOOKUP(Tabel16[[#This Row],[Code taak]],InvulMJOP[],3,FALSE)*Tabel16[[#This Row],[Oppervlakte/Stuks]]*Tabel16[[#This Row],[Frequentie (uitv./jaar)]]</f>
        <v>0</v>
      </c>
    </row>
    <row r="83" spans="1:12">
      <c r="A83">
        <v>11</v>
      </c>
      <c r="B83" t="str">
        <f>VLOOKUP(A83,Locaties[[#All],[Code]:[Locatie]],2,FALSE)</f>
        <v>De Bouwsteen / Het Fundament</v>
      </c>
      <c r="C83" t="s">
        <v>1176</v>
      </c>
      <c r="D83" t="s">
        <v>1175</v>
      </c>
      <c r="E83">
        <v>14</v>
      </c>
      <c r="F83" t="s">
        <v>1188</v>
      </c>
      <c r="G83" s="302">
        <v>2021</v>
      </c>
      <c r="H83">
        <v>405</v>
      </c>
      <c r="I83" t="s">
        <v>1241</v>
      </c>
      <c r="J83">
        <v>1</v>
      </c>
      <c r="K83" s="298">
        <f>VLOOKUP(Tabel16[[#This Row],[Code taak]],InvulMJOP[],3,FALSE)*Tabel16[[#This Row],[Oppervlakte/Stuks]]*Tabel16[[#This Row],[Frequentie (uitv./jaar)]]</f>
        <v>0</v>
      </c>
    </row>
    <row r="84" spans="1:12">
      <c r="A84">
        <v>11</v>
      </c>
      <c r="B84" t="str">
        <f>VLOOKUP(A84,Locaties[[#All],[Code]:[Locatie]],2,FALSE)</f>
        <v>De Bouwsteen / Het Fundament</v>
      </c>
      <c r="C84" t="s">
        <v>1176</v>
      </c>
      <c r="D84" t="s">
        <v>1175</v>
      </c>
      <c r="E84">
        <v>14</v>
      </c>
      <c r="F84" t="s">
        <v>1188</v>
      </c>
      <c r="G84" s="302">
        <v>2025</v>
      </c>
      <c r="H84">
        <v>405</v>
      </c>
      <c r="I84" t="s">
        <v>1241</v>
      </c>
      <c r="J84">
        <v>1</v>
      </c>
      <c r="K84" s="298">
        <f>VLOOKUP(Tabel16[[#This Row],[Code taak]],InvulMJOP[],3,FALSE)*Tabel16[[#This Row],[Oppervlakte/Stuks]]*Tabel16[[#This Row],[Frequentie (uitv./jaar)]]</f>
        <v>0</v>
      </c>
    </row>
    <row r="85" spans="1:12">
      <c r="A85">
        <v>11</v>
      </c>
      <c r="B85" t="str">
        <f>VLOOKUP(A85,Locaties[[#All],[Code]:[Locatie]],2,FALSE)</f>
        <v>De Bouwsteen / Het Fundament</v>
      </c>
      <c r="C85" t="s">
        <v>1176</v>
      </c>
      <c r="D85" t="s">
        <v>1175</v>
      </c>
      <c r="E85">
        <v>14</v>
      </c>
      <c r="F85" t="s">
        <v>1188</v>
      </c>
      <c r="G85" s="302">
        <v>2029</v>
      </c>
      <c r="H85">
        <v>405</v>
      </c>
      <c r="I85" t="s">
        <v>1241</v>
      </c>
      <c r="J85">
        <v>1</v>
      </c>
      <c r="K85" s="298">
        <f>VLOOKUP(Tabel16[[#This Row],[Code taak]],InvulMJOP[],3,FALSE)*Tabel16[[#This Row],[Oppervlakte/Stuks]]*Tabel16[[#This Row],[Frequentie (uitv./jaar)]]</f>
        <v>0</v>
      </c>
      <c r="L85" s="306"/>
    </row>
    <row r="86" spans="1:12">
      <c r="A86">
        <v>11</v>
      </c>
      <c r="B86" t="str">
        <f>VLOOKUP(A86,Locaties[[#All],[Code]:[Locatie]],2,FALSE)</f>
        <v>De Bouwsteen / Het Fundament</v>
      </c>
      <c r="C86" t="s">
        <v>1176</v>
      </c>
      <c r="D86" t="s">
        <v>1175</v>
      </c>
      <c r="E86">
        <v>15</v>
      </c>
      <c r="F86" t="s">
        <v>1189</v>
      </c>
      <c r="G86" s="302">
        <v>2024</v>
      </c>
      <c r="H86">
        <v>1</v>
      </c>
      <c r="I86" t="s">
        <v>1242</v>
      </c>
      <c r="J86">
        <v>1</v>
      </c>
      <c r="K86" s="298">
        <f>VLOOKUP(Tabel16[[#This Row],[Code taak]],InvulMJOP[],3,FALSE)*Tabel16[[#This Row],[Oppervlakte/Stuks]]*Tabel16[[#This Row],[Frequentie (uitv./jaar)]]</f>
        <v>0</v>
      </c>
      <c r="L86" s="299" t="s">
        <v>1247</v>
      </c>
    </row>
    <row r="87" spans="1:12">
      <c r="A87">
        <v>11</v>
      </c>
      <c r="B87" t="str">
        <f>VLOOKUP(A87,Locaties[[#All],[Code]:[Locatie]],2,FALSE)</f>
        <v>De Bouwsteen / Het Fundament</v>
      </c>
      <c r="C87" t="s">
        <v>1176</v>
      </c>
      <c r="D87" t="s">
        <v>1175</v>
      </c>
      <c r="E87">
        <v>15</v>
      </c>
      <c r="F87" t="s">
        <v>1189</v>
      </c>
      <c r="G87" s="302">
        <v>2029</v>
      </c>
      <c r="H87">
        <v>1</v>
      </c>
      <c r="I87" t="s">
        <v>1242</v>
      </c>
      <c r="J87">
        <v>1</v>
      </c>
      <c r="K87" s="298">
        <f>VLOOKUP(Tabel16[[#This Row],[Code taak]],InvulMJOP[],3,FALSE)*Tabel16[[#This Row],[Oppervlakte/Stuks]]*Tabel16[[#This Row],[Frequentie (uitv./jaar)]]</f>
        <v>0</v>
      </c>
      <c r="L87" s="299" t="s">
        <v>1247</v>
      </c>
    </row>
    <row r="88" spans="1:12">
      <c r="A88">
        <v>11</v>
      </c>
      <c r="B88" t="str">
        <f>VLOOKUP(A88,Locaties[[#All],[Code]:[Locatie]],2,FALSE)</f>
        <v>De Bouwsteen / Het Fundament</v>
      </c>
      <c r="C88" t="s">
        <v>1176</v>
      </c>
      <c r="D88" t="s">
        <v>1175</v>
      </c>
      <c r="E88">
        <v>2</v>
      </c>
      <c r="F88" t="s">
        <v>1172</v>
      </c>
      <c r="G88" s="302">
        <v>2021</v>
      </c>
      <c r="H88">
        <v>101.7</v>
      </c>
      <c r="I88" t="s">
        <v>1239</v>
      </c>
      <c r="J88">
        <v>1</v>
      </c>
      <c r="K88" s="298">
        <f>VLOOKUP(Tabel16[[#This Row],[Code taak]],InvulMJOP[],3,FALSE)*Tabel16[[#This Row],[Oppervlakte/Stuks]]*Tabel16[[#This Row],[Frequentie (uitv./jaar)]]</f>
        <v>0</v>
      </c>
      <c r="L88" s="306"/>
    </row>
    <row r="89" spans="1:12">
      <c r="A89">
        <v>7</v>
      </c>
      <c r="B89" t="str">
        <f>VLOOKUP(A89,Locaties[[#All],[Code]:[Locatie]],2,FALSE)</f>
        <v>De Kapstok AGL</v>
      </c>
      <c r="C89" t="s">
        <v>1190</v>
      </c>
      <c r="D89" t="s">
        <v>1175</v>
      </c>
      <c r="E89">
        <v>6</v>
      </c>
      <c r="F89" t="s">
        <v>1180</v>
      </c>
      <c r="G89" s="302">
        <v>2022</v>
      </c>
      <c r="H89">
        <v>37.4</v>
      </c>
      <c r="I89" t="s">
        <v>1239</v>
      </c>
      <c r="J89">
        <v>1</v>
      </c>
      <c r="K89" s="298">
        <f>VLOOKUP(Tabel16[[#This Row],[Code taak]],InvulMJOP[],3,FALSE)*Tabel16[[#This Row],[Oppervlakte/Stuks]]*Tabel16[[#This Row],[Frequentie (uitv./jaar)]]</f>
        <v>0</v>
      </c>
    </row>
    <row r="90" spans="1:12">
      <c r="A90">
        <v>7</v>
      </c>
      <c r="B90" t="str">
        <f>VLOOKUP(A90,Locaties[[#All],[Code]:[Locatie]],2,FALSE)</f>
        <v>De Kapstok AGL</v>
      </c>
      <c r="C90" t="s">
        <v>1190</v>
      </c>
      <c r="D90" t="s">
        <v>1175</v>
      </c>
      <c r="E90">
        <v>6</v>
      </c>
      <c r="F90" t="s">
        <v>1180</v>
      </c>
      <c r="G90" s="302">
        <v>2028</v>
      </c>
      <c r="H90">
        <v>37.4</v>
      </c>
      <c r="I90" t="s">
        <v>1239</v>
      </c>
      <c r="J90">
        <v>1</v>
      </c>
      <c r="K90" s="298">
        <f>VLOOKUP(Tabel16[[#This Row],[Code taak]],InvulMJOP[],3,FALSE)*Tabel16[[#This Row],[Oppervlakte/Stuks]]*Tabel16[[#This Row],[Frequentie (uitv./jaar)]]</f>
        <v>0</v>
      </c>
    </row>
    <row r="91" spans="1:12">
      <c r="A91">
        <v>7</v>
      </c>
      <c r="B91" t="str">
        <f>VLOOKUP(A91,Locaties[[#All],[Code]:[Locatie]],2,FALSE)</f>
        <v>De Kapstok AGL</v>
      </c>
      <c r="C91" t="s">
        <v>1190</v>
      </c>
      <c r="D91" t="s">
        <v>1175</v>
      </c>
      <c r="E91">
        <v>7</v>
      </c>
      <c r="F91" t="s">
        <v>1181</v>
      </c>
      <c r="G91" s="302">
        <v>2022</v>
      </c>
      <c r="H91">
        <v>64.400000000000006</v>
      </c>
      <c r="I91" t="s">
        <v>1239</v>
      </c>
      <c r="J91">
        <v>1</v>
      </c>
      <c r="K91" s="298">
        <f>VLOOKUP(Tabel16[[#This Row],[Code taak]],InvulMJOP[],3,FALSE)*Tabel16[[#This Row],[Oppervlakte/Stuks]]*Tabel16[[#This Row],[Frequentie (uitv./jaar)]]</f>
        <v>0</v>
      </c>
    </row>
    <row r="92" spans="1:12">
      <c r="A92">
        <v>7</v>
      </c>
      <c r="B92" t="str">
        <f>VLOOKUP(A92,Locaties[[#All],[Code]:[Locatie]],2,FALSE)</f>
        <v>De Kapstok AGL</v>
      </c>
      <c r="C92" t="s">
        <v>1190</v>
      </c>
      <c r="D92" t="s">
        <v>1175</v>
      </c>
      <c r="E92">
        <v>7</v>
      </c>
      <c r="F92" t="s">
        <v>1181</v>
      </c>
      <c r="G92" s="302">
        <v>2028</v>
      </c>
      <c r="H92">
        <v>64.400000000000006</v>
      </c>
      <c r="I92" t="s">
        <v>1239</v>
      </c>
      <c r="J92">
        <v>1</v>
      </c>
      <c r="K92" s="298">
        <f>VLOOKUP(Tabel16[[#This Row],[Code taak]],InvulMJOP[],3,FALSE)*Tabel16[[#This Row],[Oppervlakte/Stuks]]*Tabel16[[#This Row],[Frequentie (uitv./jaar)]]</f>
        <v>0</v>
      </c>
    </row>
    <row r="93" spans="1:12">
      <c r="A93">
        <v>7</v>
      </c>
      <c r="B93" t="str">
        <f>VLOOKUP(A93,Locaties[[#All],[Code]:[Locatie]],2,FALSE)</f>
        <v>De Kapstok AGL</v>
      </c>
      <c r="C93" t="s">
        <v>1190</v>
      </c>
      <c r="D93" t="s">
        <v>1175</v>
      </c>
      <c r="E93">
        <v>9</v>
      </c>
      <c r="F93" t="s">
        <v>1183</v>
      </c>
      <c r="G93" s="302">
        <v>2022</v>
      </c>
      <c r="H93">
        <v>34.5</v>
      </c>
      <c r="I93" t="s">
        <v>1241</v>
      </c>
      <c r="J93">
        <v>1</v>
      </c>
      <c r="K93" s="298">
        <f>VLOOKUP(Tabel16[[#This Row],[Code taak]],InvulMJOP[],3,FALSE)*Tabel16[[#This Row],[Oppervlakte/Stuks]]*Tabel16[[#This Row],[Frequentie (uitv./jaar)]]</f>
        <v>0</v>
      </c>
    </row>
    <row r="94" spans="1:12">
      <c r="A94">
        <v>7</v>
      </c>
      <c r="B94" t="str">
        <f>VLOOKUP(A94,Locaties[[#All],[Code]:[Locatie]],2,FALSE)</f>
        <v>De Kapstok AGL</v>
      </c>
      <c r="C94" t="s">
        <v>1190</v>
      </c>
      <c r="D94" t="s">
        <v>1175</v>
      </c>
      <c r="E94">
        <v>9</v>
      </c>
      <c r="F94" t="s">
        <v>1183</v>
      </c>
      <c r="G94" s="302">
        <v>2028</v>
      </c>
      <c r="H94">
        <v>34.5</v>
      </c>
      <c r="I94" t="s">
        <v>1241</v>
      </c>
      <c r="J94">
        <v>1</v>
      </c>
      <c r="K94" s="298">
        <f>VLOOKUP(Tabel16[[#This Row],[Code taak]],InvulMJOP[],3,FALSE)*Tabel16[[#This Row],[Oppervlakte/Stuks]]*Tabel16[[#This Row],[Frequentie (uitv./jaar)]]</f>
        <v>0</v>
      </c>
    </row>
    <row r="95" spans="1:12">
      <c r="A95">
        <v>7</v>
      </c>
      <c r="B95" t="str">
        <f>VLOOKUP(A95,Locaties[[#All],[Code]:[Locatie]],2,FALSE)</f>
        <v>De Kapstok AGL</v>
      </c>
      <c r="C95" t="s">
        <v>1191</v>
      </c>
      <c r="D95" t="s">
        <v>1170</v>
      </c>
      <c r="E95">
        <v>4</v>
      </c>
      <c r="F95" t="s">
        <v>1177</v>
      </c>
      <c r="G95" s="302">
        <v>2021</v>
      </c>
      <c r="H95">
        <v>110</v>
      </c>
      <c r="I95" t="s">
        <v>1239</v>
      </c>
      <c r="J95">
        <v>1</v>
      </c>
      <c r="K95" s="298">
        <f>VLOOKUP(Tabel16[[#This Row],[Code taak]],InvulMJOP[],3,FALSE)*Tabel16[[#This Row],[Oppervlakte/Stuks]]*Tabel16[[#This Row],[Frequentie (uitv./jaar)]]</f>
        <v>0</v>
      </c>
    </row>
    <row r="96" spans="1:12">
      <c r="A96">
        <v>7</v>
      </c>
      <c r="B96" t="str">
        <f>VLOOKUP(A96,Locaties[[#All],[Code]:[Locatie]],2,FALSE)</f>
        <v>De Kapstok AGL</v>
      </c>
      <c r="C96" t="s">
        <v>1191</v>
      </c>
      <c r="D96" t="s">
        <v>1170</v>
      </c>
      <c r="E96">
        <v>4</v>
      </c>
      <c r="F96" t="s">
        <v>1177</v>
      </c>
      <c r="G96" s="302">
        <v>2022</v>
      </c>
      <c r="H96">
        <v>110</v>
      </c>
      <c r="I96" t="s">
        <v>1239</v>
      </c>
      <c r="J96">
        <v>1</v>
      </c>
      <c r="K96" s="298">
        <f>VLOOKUP(Tabel16[[#This Row],[Code taak]],InvulMJOP[],3,FALSE)*Tabel16[[#This Row],[Oppervlakte/Stuks]]*Tabel16[[#This Row],[Frequentie (uitv./jaar)]]</f>
        <v>0</v>
      </c>
    </row>
    <row r="97" spans="1:11">
      <c r="A97">
        <v>7</v>
      </c>
      <c r="B97" t="str">
        <f>VLOOKUP(A97,Locaties[[#All],[Code]:[Locatie]],2,FALSE)</f>
        <v>De Kapstok AGL</v>
      </c>
      <c r="C97" t="s">
        <v>1191</v>
      </c>
      <c r="D97" t="s">
        <v>1170</v>
      </c>
      <c r="E97">
        <v>4</v>
      </c>
      <c r="F97" t="s">
        <v>1177</v>
      </c>
      <c r="G97" s="302">
        <v>2023</v>
      </c>
      <c r="H97">
        <v>110</v>
      </c>
      <c r="I97" t="s">
        <v>1239</v>
      </c>
      <c r="J97">
        <v>1</v>
      </c>
      <c r="K97" s="298">
        <f>VLOOKUP(Tabel16[[#This Row],[Code taak]],InvulMJOP[],3,FALSE)*Tabel16[[#This Row],[Oppervlakte/Stuks]]*Tabel16[[#This Row],[Frequentie (uitv./jaar)]]</f>
        <v>0</v>
      </c>
    </row>
    <row r="98" spans="1:11">
      <c r="A98">
        <v>7</v>
      </c>
      <c r="B98" t="str">
        <f>VLOOKUP(A98,Locaties[[#All],[Code]:[Locatie]],2,FALSE)</f>
        <v>De Kapstok AGL</v>
      </c>
      <c r="C98" t="s">
        <v>1191</v>
      </c>
      <c r="D98" t="s">
        <v>1170</v>
      </c>
      <c r="E98">
        <v>4</v>
      </c>
      <c r="F98" t="s">
        <v>1177</v>
      </c>
      <c r="G98" s="302">
        <v>2024</v>
      </c>
      <c r="H98">
        <v>110</v>
      </c>
      <c r="I98" t="s">
        <v>1239</v>
      </c>
      <c r="J98">
        <v>1</v>
      </c>
      <c r="K98" s="298">
        <f>VLOOKUP(Tabel16[[#This Row],[Code taak]],InvulMJOP[],3,FALSE)*Tabel16[[#This Row],[Oppervlakte/Stuks]]*Tabel16[[#This Row],[Frequentie (uitv./jaar)]]</f>
        <v>0</v>
      </c>
    </row>
    <row r="99" spans="1:11">
      <c r="A99">
        <v>7</v>
      </c>
      <c r="B99" t="str">
        <f>VLOOKUP(A99,Locaties[[#All],[Code]:[Locatie]],2,FALSE)</f>
        <v>De Kapstok AGL</v>
      </c>
      <c r="C99" t="s">
        <v>1191</v>
      </c>
      <c r="D99" t="s">
        <v>1170</v>
      </c>
      <c r="E99">
        <v>4</v>
      </c>
      <c r="F99" t="s">
        <v>1177</v>
      </c>
      <c r="G99" s="302">
        <v>2025</v>
      </c>
      <c r="H99">
        <v>110</v>
      </c>
      <c r="I99" t="s">
        <v>1239</v>
      </c>
      <c r="J99">
        <v>1</v>
      </c>
      <c r="K99" s="298">
        <f>VLOOKUP(Tabel16[[#This Row],[Code taak]],InvulMJOP[],3,FALSE)*Tabel16[[#This Row],[Oppervlakte/Stuks]]*Tabel16[[#This Row],[Frequentie (uitv./jaar)]]</f>
        <v>0</v>
      </c>
    </row>
    <row r="100" spans="1:11">
      <c r="A100">
        <v>7</v>
      </c>
      <c r="B100" t="str">
        <f>VLOOKUP(A100,Locaties[[#All],[Code]:[Locatie]],2,FALSE)</f>
        <v>De Kapstok AGL</v>
      </c>
      <c r="C100" t="s">
        <v>1191</v>
      </c>
      <c r="D100" t="s">
        <v>1170</v>
      </c>
      <c r="E100">
        <v>4</v>
      </c>
      <c r="F100" t="s">
        <v>1177</v>
      </c>
      <c r="G100" s="302">
        <v>2026</v>
      </c>
      <c r="H100">
        <v>110</v>
      </c>
      <c r="I100" t="s">
        <v>1239</v>
      </c>
      <c r="J100">
        <v>1</v>
      </c>
      <c r="K100" s="298">
        <f>VLOOKUP(Tabel16[[#This Row],[Code taak]],InvulMJOP[],3,FALSE)*Tabel16[[#This Row],[Oppervlakte/Stuks]]*Tabel16[[#This Row],[Frequentie (uitv./jaar)]]</f>
        <v>0</v>
      </c>
    </row>
    <row r="101" spans="1:11">
      <c r="A101">
        <v>7</v>
      </c>
      <c r="B101" t="str">
        <f>VLOOKUP(A101,Locaties[[#All],[Code]:[Locatie]],2,FALSE)</f>
        <v>De Kapstok AGL</v>
      </c>
      <c r="C101" t="s">
        <v>1191</v>
      </c>
      <c r="D101" t="s">
        <v>1170</v>
      </c>
      <c r="E101">
        <v>4</v>
      </c>
      <c r="F101" t="s">
        <v>1177</v>
      </c>
      <c r="G101" s="302">
        <v>2027</v>
      </c>
      <c r="H101">
        <v>110</v>
      </c>
      <c r="I101" t="s">
        <v>1239</v>
      </c>
      <c r="J101">
        <v>1</v>
      </c>
      <c r="K101" s="298">
        <f>VLOOKUP(Tabel16[[#This Row],[Code taak]],InvulMJOP[],3,FALSE)*Tabel16[[#This Row],[Oppervlakte/Stuks]]*Tabel16[[#This Row],[Frequentie (uitv./jaar)]]</f>
        <v>0</v>
      </c>
    </row>
    <row r="102" spans="1:11">
      <c r="A102">
        <v>7</v>
      </c>
      <c r="B102" t="str">
        <f>VLOOKUP(A102,Locaties[[#All],[Code]:[Locatie]],2,FALSE)</f>
        <v>De Kapstok AGL</v>
      </c>
      <c r="C102" t="s">
        <v>1191</v>
      </c>
      <c r="D102" t="s">
        <v>1170</v>
      </c>
      <c r="E102">
        <v>4</v>
      </c>
      <c r="F102" t="s">
        <v>1177</v>
      </c>
      <c r="G102" s="302">
        <v>2028</v>
      </c>
      <c r="H102">
        <v>110</v>
      </c>
      <c r="I102" t="s">
        <v>1239</v>
      </c>
      <c r="J102">
        <v>1</v>
      </c>
      <c r="K102" s="298">
        <f>VLOOKUP(Tabel16[[#This Row],[Code taak]],InvulMJOP[],3,FALSE)*Tabel16[[#This Row],[Oppervlakte/Stuks]]*Tabel16[[#This Row],[Frequentie (uitv./jaar)]]</f>
        <v>0</v>
      </c>
    </row>
    <row r="103" spans="1:11">
      <c r="A103">
        <v>7</v>
      </c>
      <c r="B103" t="str">
        <f>VLOOKUP(A103,Locaties[[#All],[Code]:[Locatie]],2,FALSE)</f>
        <v>De Kapstok AGL</v>
      </c>
      <c r="C103" t="s">
        <v>1191</v>
      </c>
      <c r="D103" t="s">
        <v>1170</v>
      </c>
      <c r="E103">
        <v>4</v>
      </c>
      <c r="F103" t="s">
        <v>1177</v>
      </c>
      <c r="G103" s="302">
        <v>2029</v>
      </c>
      <c r="H103">
        <v>110</v>
      </c>
      <c r="I103" t="s">
        <v>1239</v>
      </c>
      <c r="J103">
        <v>1</v>
      </c>
      <c r="K103" s="298">
        <f>VLOOKUP(Tabel16[[#This Row],[Code taak]],InvulMJOP[],3,FALSE)*Tabel16[[#This Row],[Oppervlakte/Stuks]]*Tabel16[[#This Row],[Frequentie (uitv./jaar)]]</f>
        <v>0</v>
      </c>
    </row>
    <row r="104" spans="1:11">
      <c r="A104">
        <v>7</v>
      </c>
      <c r="B104" t="str">
        <f>VLOOKUP(A104,Locaties[[#All],[Code]:[Locatie]],2,FALSE)</f>
        <v>De Kapstok AGL</v>
      </c>
      <c r="C104" t="s">
        <v>1191</v>
      </c>
      <c r="D104" t="s">
        <v>1175</v>
      </c>
      <c r="E104">
        <v>6</v>
      </c>
      <c r="F104" t="s">
        <v>1180</v>
      </c>
      <c r="G104" s="302">
        <v>2022</v>
      </c>
      <c r="H104">
        <v>150.80000000000001</v>
      </c>
      <c r="I104" t="s">
        <v>1239</v>
      </c>
      <c r="J104">
        <v>1</v>
      </c>
      <c r="K104" s="298">
        <f>VLOOKUP(Tabel16[[#This Row],[Code taak]],InvulMJOP[],3,FALSE)*Tabel16[[#This Row],[Oppervlakte/Stuks]]*Tabel16[[#This Row],[Frequentie (uitv./jaar)]]</f>
        <v>0</v>
      </c>
    </row>
    <row r="105" spans="1:11">
      <c r="A105">
        <v>7</v>
      </c>
      <c r="B105" t="str">
        <f>VLOOKUP(A105,Locaties[[#All],[Code]:[Locatie]],2,FALSE)</f>
        <v>De Kapstok AGL</v>
      </c>
      <c r="C105" t="s">
        <v>1191</v>
      </c>
      <c r="D105" t="s">
        <v>1175</v>
      </c>
      <c r="E105">
        <v>6</v>
      </c>
      <c r="F105" t="s">
        <v>1180</v>
      </c>
      <c r="G105" s="302">
        <v>2028</v>
      </c>
      <c r="H105">
        <v>150.80000000000001</v>
      </c>
      <c r="I105" t="s">
        <v>1239</v>
      </c>
      <c r="J105">
        <v>1</v>
      </c>
      <c r="K105" s="298">
        <f>VLOOKUP(Tabel16[[#This Row],[Code taak]],InvulMJOP[],3,FALSE)*Tabel16[[#This Row],[Oppervlakte/Stuks]]*Tabel16[[#This Row],[Frequentie (uitv./jaar)]]</f>
        <v>0</v>
      </c>
    </row>
    <row r="106" spans="1:11">
      <c r="A106">
        <v>7</v>
      </c>
      <c r="B106" t="str">
        <f>VLOOKUP(A106,Locaties[[#All],[Code]:[Locatie]],2,FALSE)</f>
        <v>De Kapstok AGL</v>
      </c>
      <c r="C106" t="s">
        <v>1191</v>
      </c>
      <c r="D106" t="s">
        <v>1175</v>
      </c>
      <c r="E106">
        <v>7</v>
      </c>
      <c r="F106" t="s">
        <v>1181</v>
      </c>
      <c r="G106" s="302">
        <v>2022</v>
      </c>
      <c r="H106">
        <v>115.2</v>
      </c>
      <c r="I106" t="s">
        <v>1239</v>
      </c>
      <c r="J106">
        <v>1</v>
      </c>
      <c r="K106" s="298">
        <f>VLOOKUP(Tabel16[[#This Row],[Code taak]],InvulMJOP[],3,FALSE)*Tabel16[[#This Row],[Oppervlakte/Stuks]]*Tabel16[[#This Row],[Frequentie (uitv./jaar)]]</f>
        <v>0</v>
      </c>
    </row>
    <row r="107" spans="1:11">
      <c r="A107">
        <v>7</v>
      </c>
      <c r="B107" t="str">
        <f>VLOOKUP(A107,Locaties[[#All],[Code]:[Locatie]],2,FALSE)</f>
        <v>De Kapstok AGL</v>
      </c>
      <c r="C107" t="s">
        <v>1191</v>
      </c>
      <c r="D107" t="s">
        <v>1175</v>
      </c>
      <c r="E107">
        <v>7</v>
      </c>
      <c r="F107" t="s">
        <v>1181</v>
      </c>
      <c r="G107" s="302">
        <v>2028</v>
      </c>
      <c r="H107">
        <v>115.2</v>
      </c>
      <c r="I107" t="s">
        <v>1239</v>
      </c>
      <c r="J107">
        <v>1</v>
      </c>
      <c r="K107" s="298">
        <f>VLOOKUP(Tabel16[[#This Row],[Code taak]],InvulMJOP[],3,FALSE)*Tabel16[[#This Row],[Oppervlakte/Stuks]]*Tabel16[[#This Row],[Frequentie (uitv./jaar)]]</f>
        <v>0</v>
      </c>
    </row>
    <row r="108" spans="1:11">
      <c r="A108">
        <v>7</v>
      </c>
      <c r="B108" t="str">
        <f>VLOOKUP(A108,Locaties[[#All],[Code]:[Locatie]],2,FALSE)</f>
        <v>De Kapstok AGL</v>
      </c>
      <c r="C108" t="s">
        <v>1191</v>
      </c>
      <c r="D108" t="s">
        <v>1175</v>
      </c>
      <c r="E108">
        <v>9</v>
      </c>
      <c r="F108" t="s">
        <v>1183</v>
      </c>
      <c r="G108" s="302">
        <v>2022</v>
      </c>
      <c r="H108">
        <v>27.6</v>
      </c>
      <c r="I108" t="s">
        <v>1241</v>
      </c>
      <c r="J108">
        <v>1</v>
      </c>
      <c r="K108" s="298">
        <f>VLOOKUP(Tabel16[[#This Row],[Code taak]],InvulMJOP[],3,FALSE)*Tabel16[[#This Row],[Oppervlakte/Stuks]]*Tabel16[[#This Row],[Frequentie (uitv./jaar)]]</f>
        <v>0</v>
      </c>
    </row>
    <row r="109" spans="1:11">
      <c r="A109">
        <v>7</v>
      </c>
      <c r="B109" t="str">
        <f>VLOOKUP(A109,Locaties[[#All],[Code]:[Locatie]],2,FALSE)</f>
        <v>De Kapstok AGL</v>
      </c>
      <c r="C109" t="s">
        <v>1191</v>
      </c>
      <c r="D109" t="s">
        <v>1175</v>
      </c>
      <c r="E109">
        <v>9</v>
      </c>
      <c r="F109" t="s">
        <v>1183</v>
      </c>
      <c r="G109" s="302">
        <v>2028</v>
      </c>
      <c r="H109">
        <v>27.6</v>
      </c>
      <c r="I109" t="s">
        <v>1241</v>
      </c>
      <c r="J109">
        <v>1</v>
      </c>
      <c r="K109" s="298">
        <f>VLOOKUP(Tabel16[[#This Row],[Code taak]],InvulMJOP[],3,FALSE)*Tabel16[[#This Row],[Oppervlakte/Stuks]]*Tabel16[[#This Row],[Frequentie (uitv./jaar)]]</f>
        <v>0</v>
      </c>
    </row>
    <row r="110" spans="1:11">
      <c r="A110">
        <v>7</v>
      </c>
      <c r="B110" t="str">
        <f>VLOOKUP(A110,Locaties[[#All],[Code]:[Locatie]],2,FALSE)</f>
        <v>De Kapstok AGL</v>
      </c>
      <c r="C110" t="s">
        <v>1191</v>
      </c>
      <c r="D110" t="s">
        <v>1175</v>
      </c>
      <c r="E110">
        <v>16</v>
      </c>
      <c r="F110" t="s">
        <v>1192</v>
      </c>
      <c r="G110" s="302">
        <v>2022</v>
      </c>
      <c r="H110">
        <v>10</v>
      </c>
      <c r="I110" t="s">
        <v>1241</v>
      </c>
      <c r="J110">
        <v>1</v>
      </c>
      <c r="K110" s="298">
        <f>VLOOKUP(Tabel16[[#This Row],[Code taak]],InvulMJOP[],3,FALSE)*Tabel16[[#This Row],[Oppervlakte/Stuks]]*Tabel16[[#This Row],[Frequentie (uitv./jaar)]]</f>
        <v>0</v>
      </c>
    </row>
    <row r="111" spans="1:11">
      <c r="A111">
        <v>7</v>
      </c>
      <c r="B111" t="str">
        <f>VLOOKUP(A111,Locaties[[#All],[Code]:[Locatie]],2,FALSE)</f>
        <v>De Kapstok AGL</v>
      </c>
      <c r="C111" t="s">
        <v>1191</v>
      </c>
      <c r="D111" t="s">
        <v>1175</v>
      </c>
      <c r="E111">
        <v>16</v>
      </c>
      <c r="F111" t="s">
        <v>1192</v>
      </c>
      <c r="G111" s="302">
        <v>2028</v>
      </c>
      <c r="H111">
        <v>10</v>
      </c>
      <c r="I111" t="s">
        <v>1241</v>
      </c>
      <c r="J111">
        <v>1</v>
      </c>
      <c r="K111" s="298">
        <f>VLOOKUP(Tabel16[[#This Row],[Code taak]],InvulMJOP[],3,FALSE)*Tabel16[[#This Row],[Oppervlakte/Stuks]]*Tabel16[[#This Row],[Frequentie (uitv./jaar)]]</f>
        <v>0</v>
      </c>
    </row>
    <row r="112" spans="1:11">
      <c r="A112">
        <v>7</v>
      </c>
      <c r="B112" t="str">
        <f>VLOOKUP(A112,Locaties[[#All],[Code]:[Locatie]],2,FALSE)</f>
        <v>De Kapstok AGL</v>
      </c>
      <c r="C112" t="s">
        <v>1191</v>
      </c>
      <c r="D112" t="s">
        <v>1175</v>
      </c>
      <c r="E112">
        <v>17</v>
      </c>
      <c r="F112" t="s">
        <v>1193</v>
      </c>
      <c r="G112" s="302">
        <v>2022</v>
      </c>
      <c r="H112">
        <v>155</v>
      </c>
      <c r="I112" t="s">
        <v>1241</v>
      </c>
      <c r="J112">
        <v>1</v>
      </c>
      <c r="K112" s="298">
        <f>VLOOKUP(Tabel16[[#This Row],[Code taak]],InvulMJOP[],3,FALSE)*Tabel16[[#This Row],[Oppervlakte/Stuks]]*Tabel16[[#This Row],[Frequentie (uitv./jaar)]]</f>
        <v>0</v>
      </c>
    </row>
    <row r="113" spans="1:12">
      <c r="A113">
        <v>7</v>
      </c>
      <c r="B113" t="str">
        <f>VLOOKUP(A113,Locaties[[#All],[Code]:[Locatie]],2,FALSE)</f>
        <v>De Kapstok AGL</v>
      </c>
      <c r="C113" t="s">
        <v>1191</v>
      </c>
      <c r="D113" t="s">
        <v>1175</v>
      </c>
      <c r="E113">
        <v>17</v>
      </c>
      <c r="F113" t="s">
        <v>1193</v>
      </c>
      <c r="G113" s="302">
        <v>2028</v>
      </c>
      <c r="H113">
        <v>155</v>
      </c>
      <c r="I113" t="s">
        <v>1241</v>
      </c>
      <c r="J113">
        <v>1</v>
      </c>
      <c r="K113" s="298">
        <f>VLOOKUP(Tabel16[[#This Row],[Code taak]],InvulMJOP[],3,FALSE)*Tabel16[[#This Row],[Oppervlakte/Stuks]]*Tabel16[[#This Row],[Frequentie (uitv./jaar)]]</f>
        <v>0</v>
      </c>
    </row>
    <row r="114" spans="1:12">
      <c r="A114">
        <v>7</v>
      </c>
      <c r="B114" t="str">
        <f>VLOOKUP(A114,Locaties[[#All],[Code]:[Locatie]],2,FALSE)</f>
        <v>De Kapstok AGL</v>
      </c>
      <c r="C114" t="s">
        <v>1191</v>
      </c>
      <c r="D114" t="s">
        <v>1175</v>
      </c>
      <c r="E114">
        <v>13</v>
      </c>
      <c r="F114" t="s">
        <v>1187</v>
      </c>
      <c r="G114" s="302">
        <v>2022</v>
      </c>
      <c r="H114">
        <v>377</v>
      </c>
      <c r="I114" t="s">
        <v>1241</v>
      </c>
      <c r="J114">
        <v>1</v>
      </c>
      <c r="K114" s="298">
        <f>VLOOKUP(Tabel16[[#This Row],[Code taak]],InvulMJOP[],3,FALSE)*Tabel16[[#This Row],[Oppervlakte/Stuks]]*Tabel16[[#This Row],[Frequentie (uitv./jaar)]]</f>
        <v>0</v>
      </c>
    </row>
    <row r="115" spans="1:12">
      <c r="A115">
        <v>7</v>
      </c>
      <c r="B115" t="str">
        <f>VLOOKUP(A115,Locaties[[#All],[Code]:[Locatie]],2,FALSE)</f>
        <v>De Kapstok AGL</v>
      </c>
      <c r="C115" t="s">
        <v>1191</v>
      </c>
      <c r="D115" t="s">
        <v>1175</v>
      </c>
      <c r="E115">
        <v>13</v>
      </c>
      <c r="F115" t="s">
        <v>1187</v>
      </c>
      <c r="G115" s="302">
        <v>2026</v>
      </c>
      <c r="H115">
        <v>377</v>
      </c>
      <c r="I115" t="s">
        <v>1241</v>
      </c>
      <c r="J115">
        <v>1</v>
      </c>
      <c r="K115" s="298">
        <f>VLOOKUP(Tabel16[[#This Row],[Code taak]],InvulMJOP[],3,FALSE)*Tabel16[[#This Row],[Oppervlakte/Stuks]]*Tabel16[[#This Row],[Frequentie (uitv./jaar)]]</f>
        <v>0</v>
      </c>
    </row>
    <row r="116" spans="1:12">
      <c r="A116">
        <v>7</v>
      </c>
      <c r="B116" t="str">
        <f>VLOOKUP(A116,Locaties[[#All],[Code]:[Locatie]],2,FALSE)</f>
        <v>De Kapstok AGL</v>
      </c>
      <c r="C116" t="s">
        <v>1191</v>
      </c>
      <c r="D116" t="s">
        <v>1175</v>
      </c>
      <c r="E116">
        <v>14</v>
      </c>
      <c r="F116" t="s">
        <v>1188</v>
      </c>
      <c r="G116" s="302">
        <v>2022</v>
      </c>
      <c r="H116">
        <v>377</v>
      </c>
      <c r="I116" t="s">
        <v>1241</v>
      </c>
      <c r="J116">
        <v>1</v>
      </c>
      <c r="K116" s="298">
        <f>VLOOKUP(Tabel16[[#This Row],[Code taak]],InvulMJOP[],3,FALSE)*Tabel16[[#This Row],[Oppervlakte/Stuks]]*Tabel16[[#This Row],[Frequentie (uitv./jaar)]]</f>
        <v>0</v>
      </c>
    </row>
    <row r="117" spans="1:12">
      <c r="A117">
        <v>7</v>
      </c>
      <c r="B117" t="str">
        <f>VLOOKUP(A117,Locaties[[#All],[Code]:[Locatie]],2,FALSE)</f>
        <v>De Kapstok AGL</v>
      </c>
      <c r="C117" t="s">
        <v>1191</v>
      </c>
      <c r="D117" t="s">
        <v>1175</v>
      </c>
      <c r="E117">
        <v>14</v>
      </c>
      <c r="F117" t="s">
        <v>1188</v>
      </c>
      <c r="G117" s="302">
        <v>2026</v>
      </c>
      <c r="H117">
        <v>377</v>
      </c>
      <c r="I117" t="s">
        <v>1241</v>
      </c>
      <c r="J117">
        <v>1</v>
      </c>
      <c r="K117" s="298">
        <f>VLOOKUP(Tabel16[[#This Row],[Code taak]],InvulMJOP[],3,FALSE)*Tabel16[[#This Row],[Oppervlakte/Stuks]]*Tabel16[[#This Row],[Frequentie (uitv./jaar)]]</f>
        <v>0</v>
      </c>
    </row>
    <row r="118" spans="1:12">
      <c r="A118">
        <v>7</v>
      </c>
      <c r="B118" t="str">
        <f>VLOOKUP(A118,Locaties[[#All],[Code]:[Locatie]],2,FALSE)</f>
        <v>De Kapstok AGL</v>
      </c>
      <c r="C118" t="s">
        <v>1191</v>
      </c>
      <c r="D118" t="s">
        <v>1175</v>
      </c>
      <c r="E118">
        <v>18</v>
      </c>
      <c r="F118" t="s">
        <v>1194</v>
      </c>
      <c r="G118" s="302">
        <v>2022</v>
      </c>
      <c r="H118">
        <v>47</v>
      </c>
      <c r="I118" t="s">
        <v>1241</v>
      </c>
      <c r="J118">
        <v>1</v>
      </c>
      <c r="K118" s="298">
        <f>VLOOKUP(Tabel16[[#This Row],[Code taak]],InvulMJOP[],3,FALSE)*Tabel16[[#This Row],[Oppervlakte/Stuks]]*Tabel16[[#This Row],[Frequentie (uitv./jaar)]]</f>
        <v>0</v>
      </c>
      <c r="L118" s="306"/>
    </row>
    <row r="119" spans="1:12">
      <c r="A119">
        <v>7</v>
      </c>
      <c r="B119" t="str">
        <f>VLOOKUP(A119,Locaties[[#All],[Code]:[Locatie]],2,FALSE)</f>
        <v>De Kapstok AGL</v>
      </c>
      <c r="C119" t="s">
        <v>1191</v>
      </c>
      <c r="D119" t="s">
        <v>1175</v>
      </c>
      <c r="E119">
        <v>18</v>
      </c>
      <c r="F119" t="s">
        <v>1194</v>
      </c>
      <c r="G119" s="302">
        <v>2028</v>
      </c>
      <c r="H119">
        <v>47</v>
      </c>
      <c r="I119" t="s">
        <v>1241</v>
      </c>
      <c r="J119">
        <v>1</v>
      </c>
      <c r="K119" s="298">
        <f>VLOOKUP(Tabel16[[#This Row],[Code taak]],InvulMJOP[],3,FALSE)*Tabel16[[#This Row],[Oppervlakte/Stuks]]*Tabel16[[#This Row],[Frequentie (uitv./jaar)]]</f>
        <v>0</v>
      </c>
      <c r="L119" s="306"/>
    </row>
    <row r="120" spans="1:12">
      <c r="A120">
        <v>7</v>
      </c>
      <c r="B120" t="str">
        <f>VLOOKUP(A120,Locaties[[#All],[Code]:[Locatie]],2,FALSE)</f>
        <v>De Kapstok AGL</v>
      </c>
      <c r="C120" t="s">
        <v>1191</v>
      </c>
      <c r="D120" t="s">
        <v>1175</v>
      </c>
      <c r="E120">
        <v>11</v>
      </c>
      <c r="F120" t="s">
        <v>1185</v>
      </c>
      <c r="G120" s="302">
        <v>2022</v>
      </c>
      <c r="H120">
        <v>15.2</v>
      </c>
      <c r="I120" t="s">
        <v>1241</v>
      </c>
      <c r="J120">
        <v>1</v>
      </c>
      <c r="K120" s="298">
        <f>VLOOKUP(Tabel16[[#This Row],[Code taak]],InvulMJOP[],3,FALSE)*Tabel16[[#This Row],[Oppervlakte/Stuks]]*Tabel16[[#This Row],[Frequentie (uitv./jaar)]]</f>
        <v>0</v>
      </c>
      <c r="L120" s="306"/>
    </row>
    <row r="121" spans="1:12">
      <c r="A121">
        <v>7</v>
      </c>
      <c r="B121" t="str">
        <f>VLOOKUP(A121,Locaties[[#All],[Code]:[Locatie]],2,FALSE)</f>
        <v>De Kapstok AGL</v>
      </c>
      <c r="C121" t="s">
        <v>1191</v>
      </c>
      <c r="D121" t="s">
        <v>1175</v>
      </c>
      <c r="E121">
        <v>11</v>
      </c>
      <c r="F121" t="s">
        <v>1185</v>
      </c>
      <c r="G121" s="302">
        <v>2028</v>
      </c>
      <c r="H121">
        <v>15.2</v>
      </c>
      <c r="I121" t="s">
        <v>1241</v>
      </c>
      <c r="J121">
        <v>1</v>
      </c>
      <c r="K121" s="298">
        <f>VLOOKUP(Tabel16[[#This Row],[Code taak]],InvulMJOP[],3,FALSE)*Tabel16[[#This Row],[Oppervlakte/Stuks]]*Tabel16[[#This Row],[Frequentie (uitv./jaar)]]</f>
        <v>0</v>
      </c>
      <c r="L121" s="306"/>
    </row>
    <row r="122" spans="1:12">
      <c r="A122">
        <v>7</v>
      </c>
      <c r="B122" t="str">
        <f>VLOOKUP(A122,Locaties[[#All],[Code]:[Locatie]],2,FALSE)</f>
        <v>De Kapstok AGL</v>
      </c>
      <c r="C122" t="s">
        <v>1191</v>
      </c>
      <c r="D122" t="s">
        <v>1175</v>
      </c>
      <c r="E122">
        <v>15</v>
      </c>
      <c r="F122" t="s">
        <v>1189</v>
      </c>
      <c r="G122" s="302">
        <v>2022</v>
      </c>
      <c r="H122">
        <v>1</v>
      </c>
      <c r="I122" t="s">
        <v>1242</v>
      </c>
      <c r="J122">
        <v>1</v>
      </c>
      <c r="K122" s="298">
        <f>VLOOKUP(Tabel16[[#This Row],[Code taak]],InvulMJOP[],3,FALSE)*Tabel16[[#This Row],[Oppervlakte/Stuks]]*Tabel16[[#This Row],[Frequentie (uitv./jaar)]]</f>
        <v>0</v>
      </c>
      <c r="L122" s="299" t="s">
        <v>1247</v>
      </c>
    </row>
    <row r="123" spans="1:12">
      <c r="A123">
        <v>7</v>
      </c>
      <c r="B123" t="str">
        <f>VLOOKUP(A123,Locaties[[#All],[Code]:[Locatie]],2,FALSE)</f>
        <v>De Kapstok AGL</v>
      </c>
      <c r="C123" t="s">
        <v>1191</v>
      </c>
      <c r="D123" t="s">
        <v>1175</v>
      </c>
      <c r="E123">
        <v>15</v>
      </c>
      <c r="F123" t="s">
        <v>1189</v>
      </c>
      <c r="G123" s="302">
        <v>2027</v>
      </c>
      <c r="H123">
        <v>1</v>
      </c>
      <c r="I123" t="s">
        <v>1242</v>
      </c>
      <c r="J123">
        <v>1</v>
      </c>
      <c r="K123" s="298">
        <f>VLOOKUP(Tabel16[[#This Row],[Code taak]],InvulMJOP[],3,FALSE)*Tabel16[[#This Row],[Oppervlakte/Stuks]]*Tabel16[[#This Row],[Frequentie (uitv./jaar)]]</f>
        <v>0</v>
      </c>
      <c r="L123" s="299" t="s">
        <v>1247</v>
      </c>
    </row>
    <row r="124" spans="1:12">
      <c r="A124">
        <v>16</v>
      </c>
      <c r="B124" t="str">
        <f>VLOOKUP(A124,Locaties[[#All],[Code]:[Locatie]],2,FALSE)</f>
        <v>Hassinkweg</v>
      </c>
      <c r="C124" t="s">
        <v>1195</v>
      </c>
      <c r="D124" t="s">
        <v>1175</v>
      </c>
      <c r="E124">
        <v>9</v>
      </c>
      <c r="F124" t="s">
        <v>1183</v>
      </c>
      <c r="G124" s="302">
        <v>2022</v>
      </c>
      <c r="H124">
        <v>5</v>
      </c>
      <c r="I124" t="s">
        <v>1241</v>
      </c>
      <c r="J124">
        <v>1</v>
      </c>
      <c r="K124" s="298">
        <f>VLOOKUP(Tabel16[[#This Row],[Code taak]],InvulMJOP[],3,FALSE)*Tabel16[[#This Row],[Oppervlakte/Stuks]]*Tabel16[[#This Row],[Frequentie (uitv./jaar)]]</f>
        <v>0</v>
      </c>
      <c r="L124" s="306"/>
    </row>
    <row r="125" spans="1:12">
      <c r="A125">
        <v>16</v>
      </c>
      <c r="B125" t="str">
        <f>VLOOKUP(A125,Locaties[[#All],[Code]:[Locatie]],2,FALSE)</f>
        <v>Hassinkweg</v>
      </c>
      <c r="C125" t="s">
        <v>1195</v>
      </c>
      <c r="D125" t="s">
        <v>1175</v>
      </c>
      <c r="E125">
        <v>9</v>
      </c>
      <c r="F125" t="s">
        <v>1183</v>
      </c>
      <c r="G125" s="302">
        <v>2028</v>
      </c>
      <c r="H125">
        <v>5</v>
      </c>
      <c r="I125" t="s">
        <v>1241</v>
      </c>
      <c r="J125">
        <v>1</v>
      </c>
      <c r="K125" s="298">
        <f>VLOOKUP(Tabel16[[#This Row],[Code taak]],InvulMJOP[],3,FALSE)*Tabel16[[#This Row],[Oppervlakte/Stuks]]*Tabel16[[#This Row],[Frequentie (uitv./jaar)]]</f>
        <v>0</v>
      </c>
      <c r="L125" s="306"/>
    </row>
    <row r="126" spans="1:12">
      <c r="A126">
        <v>16</v>
      </c>
      <c r="B126" t="str">
        <f>VLOOKUP(A126,Locaties[[#All],[Code]:[Locatie]],2,FALSE)</f>
        <v>Hassinkweg</v>
      </c>
      <c r="C126" t="s">
        <v>1195</v>
      </c>
      <c r="D126" t="s">
        <v>1175</v>
      </c>
      <c r="E126">
        <v>16</v>
      </c>
      <c r="F126" t="s">
        <v>1192</v>
      </c>
      <c r="G126" s="302">
        <v>2022</v>
      </c>
      <c r="H126">
        <v>148</v>
      </c>
      <c r="I126" t="s">
        <v>1241</v>
      </c>
      <c r="J126">
        <v>1</v>
      </c>
      <c r="K126" s="298">
        <f>VLOOKUP(Tabel16[[#This Row],[Code taak]],InvulMJOP[],3,FALSE)*Tabel16[[#This Row],[Oppervlakte/Stuks]]*Tabel16[[#This Row],[Frequentie (uitv./jaar)]]</f>
        <v>0</v>
      </c>
      <c r="L126" s="306"/>
    </row>
    <row r="127" spans="1:12">
      <c r="A127">
        <v>16</v>
      </c>
      <c r="B127" t="str">
        <f>VLOOKUP(A127,Locaties[[#All],[Code]:[Locatie]],2,FALSE)</f>
        <v>Hassinkweg</v>
      </c>
      <c r="C127" t="s">
        <v>1195</v>
      </c>
      <c r="D127" t="s">
        <v>1175</v>
      </c>
      <c r="E127">
        <v>16</v>
      </c>
      <c r="F127" t="s">
        <v>1192</v>
      </c>
      <c r="G127" s="302">
        <v>2023</v>
      </c>
      <c r="H127">
        <v>97</v>
      </c>
      <c r="I127" t="s">
        <v>1241</v>
      </c>
      <c r="J127">
        <v>1</v>
      </c>
      <c r="K127" s="298">
        <f>VLOOKUP(Tabel16[[#This Row],[Code taak]],InvulMJOP[],3,FALSE)*Tabel16[[#This Row],[Oppervlakte/Stuks]]*Tabel16[[#This Row],[Frequentie (uitv./jaar)]]</f>
        <v>0</v>
      </c>
      <c r="L127" s="306"/>
    </row>
    <row r="128" spans="1:12">
      <c r="A128">
        <v>16</v>
      </c>
      <c r="B128" t="str">
        <f>VLOOKUP(A128,Locaties[[#All],[Code]:[Locatie]],2,FALSE)</f>
        <v>Hassinkweg</v>
      </c>
      <c r="C128" t="s">
        <v>1195</v>
      </c>
      <c r="D128" t="s">
        <v>1175</v>
      </c>
      <c r="E128">
        <v>16</v>
      </c>
      <c r="F128" t="s">
        <v>1192</v>
      </c>
      <c r="G128" s="302">
        <v>2028</v>
      </c>
      <c r="H128">
        <v>148</v>
      </c>
      <c r="I128" t="s">
        <v>1241</v>
      </c>
      <c r="J128">
        <v>1</v>
      </c>
      <c r="K128" s="298">
        <f>VLOOKUP(Tabel16[[#This Row],[Code taak]],InvulMJOP[],3,FALSE)*Tabel16[[#This Row],[Oppervlakte/Stuks]]*Tabel16[[#This Row],[Frequentie (uitv./jaar)]]</f>
        <v>0</v>
      </c>
      <c r="L128" s="306"/>
    </row>
    <row r="129" spans="1:11">
      <c r="A129">
        <v>16</v>
      </c>
      <c r="B129" t="str">
        <f>VLOOKUP(A129,Locaties[[#All],[Code]:[Locatie]],2,FALSE)</f>
        <v>Hassinkweg</v>
      </c>
      <c r="C129" t="s">
        <v>1195</v>
      </c>
      <c r="D129" t="s">
        <v>1175</v>
      </c>
      <c r="E129">
        <v>16</v>
      </c>
      <c r="F129" t="s">
        <v>1192</v>
      </c>
      <c r="G129" s="302">
        <v>2029</v>
      </c>
      <c r="H129">
        <v>97</v>
      </c>
      <c r="I129" t="s">
        <v>1241</v>
      </c>
      <c r="J129">
        <v>1</v>
      </c>
      <c r="K129" s="298">
        <f>VLOOKUP(Tabel16[[#This Row],[Code taak]],InvulMJOP[],3,FALSE)*Tabel16[[#This Row],[Oppervlakte/Stuks]]*Tabel16[[#This Row],[Frequentie (uitv./jaar)]]</f>
        <v>0</v>
      </c>
    </row>
    <row r="130" spans="1:11">
      <c r="A130">
        <v>16</v>
      </c>
      <c r="B130" t="str">
        <f>VLOOKUP(A130,Locaties[[#All],[Code]:[Locatie]],2,FALSE)</f>
        <v>Hassinkweg</v>
      </c>
      <c r="C130" t="s">
        <v>1195</v>
      </c>
      <c r="D130" t="s">
        <v>1175</v>
      </c>
      <c r="E130">
        <v>19</v>
      </c>
      <c r="F130" t="s">
        <v>1196</v>
      </c>
      <c r="G130" s="302">
        <v>2022</v>
      </c>
      <c r="H130">
        <v>125</v>
      </c>
      <c r="I130" t="s">
        <v>1241</v>
      </c>
      <c r="J130">
        <v>1</v>
      </c>
      <c r="K130" s="298">
        <f>VLOOKUP(Tabel16[[#This Row],[Code taak]],InvulMJOP[],3,FALSE)*Tabel16[[#This Row],[Oppervlakte/Stuks]]*Tabel16[[#This Row],[Frequentie (uitv./jaar)]]</f>
        <v>0</v>
      </c>
    </row>
    <row r="131" spans="1:11">
      <c r="A131">
        <v>16</v>
      </c>
      <c r="B131" t="str">
        <f>VLOOKUP(A131,Locaties[[#All],[Code]:[Locatie]],2,FALSE)</f>
        <v>Hassinkweg</v>
      </c>
      <c r="C131" t="s">
        <v>1195</v>
      </c>
      <c r="D131" t="s">
        <v>1175</v>
      </c>
      <c r="E131">
        <v>19</v>
      </c>
      <c r="F131" t="s">
        <v>1196</v>
      </c>
      <c r="G131" s="302">
        <v>2028</v>
      </c>
      <c r="H131">
        <v>125</v>
      </c>
      <c r="I131" t="s">
        <v>1241</v>
      </c>
      <c r="J131">
        <v>1</v>
      </c>
      <c r="K131" s="298">
        <f>VLOOKUP(Tabel16[[#This Row],[Code taak]],InvulMJOP[],3,FALSE)*Tabel16[[#This Row],[Oppervlakte/Stuks]]*Tabel16[[#This Row],[Frequentie (uitv./jaar)]]</f>
        <v>0</v>
      </c>
    </row>
    <row r="132" spans="1:11">
      <c r="A132">
        <v>16</v>
      </c>
      <c r="B132" t="str">
        <f>VLOOKUP(A132,Locaties[[#All],[Code]:[Locatie]],2,FALSE)</f>
        <v>Hassinkweg</v>
      </c>
      <c r="C132" t="s">
        <v>1195</v>
      </c>
      <c r="D132" t="s">
        <v>1175</v>
      </c>
      <c r="E132">
        <v>20</v>
      </c>
      <c r="F132" t="s">
        <v>1197</v>
      </c>
      <c r="G132" s="302">
        <v>2022</v>
      </c>
      <c r="H132">
        <v>125</v>
      </c>
      <c r="I132" t="s">
        <v>1241</v>
      </c>
      <c r="J132">
        <v>1</v>
      </c>
      <c r="K132" s="298">
        <f>VLOOKUP(Tabel16[[#This Row],[Code taak]],InvulMJOP[],3,FALSE)*Tabel16[[#This Row],[Oppervlakte/Stuks]]*Tabel16[[#This Row],[Frequentie (uitv./jaar)]]</f>
        <v>0</v>
      </c>
    </row>
    <row r="133" spans="1:11">
      <c r="A133">
        <v>16</v>
      </c>
      <c r="B133" t="str">
        <f>VLOOKUP(A133,Locaties[[#All],[Code]:[Locatie]],2,FALSE)</f>
        <v>Hassinkweg</v>
      </c>
      <c r="C133" t="s">
        <v>1195</v>
      </c>
      <c r="D133" t="s">
        <v>1175</v>
      </c>
      <c r="E133">
        <v>20</v>
      </c>
      <c r="F133" t="s">
        <v>1197</v>
      </c>
      <c r="G133" s="302">
        <v>2024</v>
      </c>
      <c r="H133">
        <v>125</v>
      </c>
      <c r="I133" t="s">
        <v>1241</v>
      </c>
      <c r="J133">
        <v>1</v>
      </c>
      <c r="K133" s="298">
        <f>VLOOKUP(Tabel16[[#This Row],[Code taak]],InvulMJOP[],3,FALSE)*Tabel16[[#This Row],[Oppervlakte/Stuks]]*Tabel16[[#This Row],[Frequentie (uitv./jaar)]]</f>
        <v>0</v>
      </c>
    </row>
    <row r="134" spans="1:11">
      <c r="A134">
        <v>16</v>
      </c>
      <c r="B134" t="str">
        <f>VLOOKUP(A134,Locaties[[#All],[Code]:[Locatie]],2,FALSE)</f>
        <v>Hassinkweg</v>
      </c>
      <c r="C134" t="s">
        <v>1195</v>
      </c>
      <c r="D134" t="s">
        <v>1175</v>
      </c>
      <c r="E134">
        <v>20</v>
      </c>
      <c r="F134" t="s">
        <v>1197</v>
      </c>
      <c r="G134" s="302">
        <v>2026</v>
      </c>
      <c r="H134">
        <v>125</v>
      </c>
      <c r="I134" t="s">
        <v>1241</v>
      </c>
      <c r="J134">
        <v>1</v>
      </c>
      <c r="K134" s="298">
        <f>VLOOKUP(Tabel16[[#This Row],[Code taak]],InvulMJOP[],3,FALSE)*Tabel16[[#This Row],[Oppervlakte/Stuks]]*Tabel16[[#This Row],[Frequentie (uitv./jaar)]]</f>
        <v>0</v>
      </c>
    </row>
    <row r="135" spans="1:11">
      <c r="A135">
        <v>16</v>
      </c>
      <c r="B135" t="str">
        <f>VLOOKUP(A135,Locaties[[#All],[Code]:[Locatie]],2,FALSE)</f>
        <v>Hassinkweg</v>
      </c>
      <c r="C135" t="s">
        <v>1195</v>
      </c>
      <c r="D135" t="s">
        <v>1175</v>
      </c>
      <c r="E135">
        <v>20</v>
      </c>
      <c r="F135" t="s">
        <v>1197</v>
      </c>
      <c r="G135" s="302">
        <v>2028</v>
      </c>
      <c r="H135">
        <v>125</v>
      </c>
      <c r="I135" t="s">
        <v>1241</v>
      </c>
      <c r="J135">
        <v>1</v>
      </c>
      <c r="K135" s="298">
        <f>VLOOKUP(Tabel16[[#This Row],[Code taak]],InvulMJOP[],3,FALSE)*Tabel16[[#This Row],[Oppervlakte/Stuks]]*Tabel16[[#This Row],[Frequentie (uitv./jaar)]]</f>
        <v>0</v>
      </c>
    </row>
    <row r="136" spans="1:11">
      <c r="A136">
        <v>18</v>
      </c>
      <c r="B136" t="str">
        <f>VLOOKUP(A136,Locaties[[#All],[Code]:[Locatie]],2,FALSE)</f>
        <v>De Kapstok/Tuindorp</v>
      </c>
      <c r="C136" t="s">
        <v>1198</v>
      </c>
      <c r="D136" t="s">
        <v>1175</v>
      </c>
      <c r="E136">
        <v>21</v>
      </c>
      <c r="F136" t="s">
        <v>1199</v>
      </c>
      <c r="G136" s="302">
        <v>2022</v>
      </c>
      <c r="H136">
        <v>2.5</v>
      </c>
      <c r="I136" t="s">
        <v>1241</v>
      </c>
      <c r="J136">
        <v>1</v>
      </c>
      <c r="K136" s="298">
        <f>VLOOKUP(Tabel16[[#This Row],[Code taak]],InvulMJOP[],3,FALSE)*Tabel16[[#This Row],[Oppervlakte/Stuks]]*Tabel16[[#This Row],[Frequentie (uitv./jaar)]]</f>
        <v>0</v>
      </c>
    </row>
    <row r="137" spans="1:11">
      <c r="A137">
        <v>18</v>
      </c>
      <c r="B137" t="str">
        <f>VLOOKUP(A137,Locaties[[#All],[Code]:[Locatie]],2,FALSE)</f>
        <v>De Kapstok/Tuindorp</v>
      </c>
      <c r="C137" t="s">
        <v>1198</v>
      </c>
      <c r="D137" t="s">
        <v>1175</v>
      </c>
      <c r="E137">
        <v>21</v>
      </c>
      <c r="F137" t="s">
        <v>1199</v>
      </c>
      <c r="G137" s="302">
        <v>2028</v>
      </c>
      <c r="H137">
        <v>2.5</v>
      </c>
      <c r="I137" t="s">
        <v>1241</v>
      </c>
      <c r="J137">
        <v>1</v>
      </c>
      <c r="K137" s="298">
        <f>VLOOKUP(Tabel16[[#This Row],[Code taak]],InvulMJOP[],3,FALSE)*Tabel16[[#This Row],[Oppervlakte/Stuks]]*Tabel16[[#This Row],[Frequentie (uitv./jaar)]]</f>
        <v>0</v>
      </c>
    </row>
    <row r="138" spans="1:11">
      <c r="A138">
        <v>18</v>
      </c>
      <c r="B138" t="str">
        <f>VLOOKUP(A138,Locaties[[#All],[Code]:[Locatie]],2,FALSE)</f>
        <v>De Kapstok/Tuindorp</v>
      </c>
      <c r="C138" t="s">
        <v>1198</v>
      </c>
      <c r="D138" t="s">
        <v>1175</v>
      </c>
      <c r="E138">
        <v>22</v>
      </c>
      <c r="F138" t="s">
        <v>1200</v>
      </c>
      <c r="G138" s="302">
        <v>2022</v>
      </c>
      <c r="H138">
        <v>16</v>
      </c>
      <c r="I138" t="s">
        <v>1239</v>
      </c>
      <c r="J138">
        <v>1</v>
      </c>
      <c r="K138" s="298">
        <f>VLOOKUP(Tabel16[[#This Row],[Code taak]],InvulMJOP[],3,FALSE)*Tabel16[[#This Row],[Oppervlakte/Stuks]]*Tabel16[[#This Row],[Frequentie (uitv./jaar)]]</f>
        <v>0</v>
      </c>
    </row>
    <row r="139" spans="1:11">
      <c r="A139">
        <v>18</v>
      </c>
      <c r="B139" t="str">
        <f>VLOOKUP(A139,Locaties[[#All],[Code]:[Locatie]],2,FALSE)</f>
        <v>De Kapstok/Tuindorp</v>
      </c>
      <c r="C139" t="s">
        <v>1198</v>
      </c>
      <c r="D139" t="s">
        <v>1175</v>
      </c>
      <c r="E139">
        <v>22</v>
      </c>
      <c r="F139" t="s">
        <v>1200</v>
      </c>
      <c r="G139" s="302">
        <v>2028</v>
      </c>
      <c r="H139">
        <v>16</v>
      </c>
      <c r="I139" t="s">
        <v>1239</v>
      </c>
      <c r="J139">
        <v>1</v>
      </c>
      <c r="K139" s="298">
        <f>VLOOKUP(Tabel16[[#This Row],[Code taak]],InvulMJOP[],3,FALSE)*Tabel16[[#This Row],[Oppervlakte/Stuks]]*Tabel16[[#This Row],[Frequentie (uitv./jaar)]]</f>
        <v>0</v>
      </c>
    </row>
    <row r="140" spans="1:11">
      <c r="A140">
        <v>18</v>
      </c>
      <c r="B140" t="str">
        <f>VLOOKUP(A140,Locaties[[#All],[Code]:[Locatie]],2,FALSE)</f>
        <v>De Kapstok/Tuindorp</v>
      </c>
      <c r="C140" t="s">
        <v>1198</v>
      </c>
      <c r="D140" t="s">
        <v>1175</v>
      </c>
      <c r="E140">
        <v>23</v>
      </c>
      <c r="F140" t="s">
        <v>1201</v>
      </c>
      <c r="G140" s="302">
        <v>2022</v>
      </c>
      <c r="H140">
        <v>14</v>
      </c>
      <c r="I140" t="s">
        <v>1241</v>
      </c>
      <c r="J140">
        <v>1</v>
      </c>
      <c r="K140" s="298">
        <f>VLOOKUP(Tabel16[[#This Row],[Code taak]],InvulMJOP[],3,FALSE)*Tabel16[[#This Row],[Oppervlakte/Stuks]]*Tabel16[[#This Row],[Frequentie (uitv./jaar)]]</f>
        <v>0</v>
      </c>
    </row>
    <row r="141" spans="1:11">
      <c r="A141">
        <v>18</v>
      </c>
      <c r="B141" t="str">
        <f>VLOOKUP(A141,Locaties[[#All],[Code]:[Locatie]],2,FALSE)</f>
        <v>De Kapstok/Tuindorp</v>
      </c>
      <c r="C141" t="s">
        <v>1198</v>
      </c>
      <c r="D141" t="s">
        <v>1175</v>
      </c>
      <c r="E141">
        <v>23</v>
      </c>
      <c r="F141" t="s">
        <v>1201</v>
      </c>
      <c r="G141" s="302">
        <v>2028</v>
      </c>
      <c r="H141">
        <v>14</v>
      </c>
      <c r="I141" t="s">
        <v>1241</v>
      </c>
      <c r="J141">
        <v>1</v>
      </c>
      <c r="K141" s="298">
        <f>VLOOKUP(Tabel16[[#This Row],[Code taak]],InvulMJOP[],3,FALSE)*Tabel16[[#This Row],[Oppervlakte/Stuks]]*Tabel16[[#This Row],[Frequentie (uitv./jaar)]]</f>
        <v>0</v>
      </c>
    </row>
    <row r="142" spans="1:11">
      <c r="A142">
        <v>18</v>
      </c>
      <c r="B142" t="str">
        <f>VLOOKUP(A142,Locaties[[#All],[Code]:[Locatie]],2,FALSE)</f>
        <v>De Kapstok/Tuindorp</v>
      </c>
      <c r="C142" t="s">
        <v>1198</v>
      </c>
      <c r="D142" t="s">
        <v>1175</v>
      </c>
      <c r="E142">
        <v>9</v>
      </c>
      <c r="F142" t="s">
        <v>1183</v>
      </c>
      <c r="G142" s="302">
        <v>2022</v>
      </c>
      <c r="H142">
        <v>28</v>
      </c>
      <c r="I142" t="s">
        <v>1241</v>
      </c>
      <c r="J142">
        <v>1</v>
      </c>
      <c r="K142" s="298">
        <f>VLOOKUP(Tabel16[[#This Row],[Code taak]],InvulMJOP[],3,FALSE)*Tabel16[[#This Row],[Oppervlakte/Stuks]]*Tabel16[[#This Row],[Frequentie (uitv./jaar)]]</f>
        <v>0</v>
      </c>
    </row>
    <row r="143" spans="1:11">
      <c r="A143">
        <v>18</v>
      </c>
      <c r="B143" t="str">
        <f>VLOOKUP(A143,Locaties[[#All],[Code]:[Locatie]],2,FALSE)</f>
        <v>De Kapstok/Tuindorp</v>
      </c>
      <c r="C143" t="s">
        <v>1198</v>
      </c>
      <c r="D143" t="s">
        <v>1175</v>
      </c>
      <c r="E143">
        <v>9</v>
      </c>
      <c r="F143" t="s">
        <v>1183</v>
      </c>
      <c r="G143" s="302">
        <v>2028</v>
      </c>
      <c r="H143">
        <v>28</v>
      </c>
      <c r="I143" t="s">
        <v>1241</v>
      </c>
      <c r="J143">
        <v>1</v>
      </c>
      <c r="K143" s="298">
        <f>VLOOKUP(Tabel16[[#This Row],[Code taak]],InvulMJOP[],3,FALSE)*Tabel16[[#This Row],[Oppervlakte/Stuks]]*Tabel16[[#This Row],[Frequentie (uitv./jaar)]]</f>
        <v>0</v>
      </c>
    </row>
    <row r="144" spans="1:11">
      <c r="A144">
        <v>18</v>
      </c>
      <c r="B144" t="str">
        <f>VLOOKUP(A144,Locaties[[#All],[Code]:[Locatie]],2,FALSE)</f>
        <v>De Kapstok/Tuindorp</v>
      </c>
      <c r="C144" t="s">
        <v>1198</v>
      </c>
      <c r="D144" t="s">
        <v>1175</v>
      </c>
      <c r="E144">
        <v>3</v>
      </c>
      <c r="F144" t="s">
        <v>1174</v>
      </c>
      <c r="G144" s="302">
        <v>2022</v>
      </c>
      <c r="H144">
        <v>578</v>
      </c>
      <c r="I144" t="s">
        <v>1240</v>
      </c>
      <c r="J144">
        <v>1</v>
      </c>
      <c r="K144" s="298">
        <f>VLOOKUP(Tabel16[[#This Row],[Code taak]],InvulMJOP[],3,FALSE)*Tabel16[[#This Row],[Oppervlakte/Stuks]]*Tabel16[[#This Row],[Frequentie (uitv./jaar)]]</f>
        <v>0</v>
      </c>
    </row>
    <row r="145" spans="1:11">
      <c r="A145">
        <v>18</v>
      </c>
      <c r="B145" t="str">
        <f>VLOOKUP(A145,Locaties[[#All],[Code]:[Locatie]],2,FALSE)</f>
        <v>De Kapstok/Tuindorp</v>
      </c>
      <c r="C145" t="s">
        <v>1198</v>
      </c>
      <c r="D145" t="s">
        <v>1175</v>
      </c>
      <c r="E145">
        <v>3</v>
      </c>
      <c r="F145" t="s">
        <v>1174</v>
      </c>
      <c r="G145" s="302">
        <v>2028</v>
      </c>
      <c r="H145">
        <v>578</v>
      </c>
      <c r="I145" t="s">
        <v>1240</v>
      </c>
      <c r="J145">
        <v>1</v>
      </c>
      <c r="K145" s="298">
        <f>VLOOKUP(Tabel16[[#This Row],[Code taak]],InvulMJOP[],3,FALSE)*Tabel16[[#This Row],[Oppervlakte/Stuks]]*Tabel16[[#This Row],[Frequentie (uitv./jaar)]]</f>
        <v>0</v>
      </c>
    </row>
    <row r="146" spans="1:11">
      <c r="A146">
        <v>18</v>
      </c>
      <c r="B146" t="str">
        <f>VLOOKUP(A146,Locaties[[#All],[Code]:[Locatie]],2,FALSE)</f>
        <v>De Kapstok/Tuindorp</v>
      </c>
      <c r="C146" t="s">
        <v>1198</v>
      </c>
      <c r="D146" t="s">
        <v>1202</v>
      </c>
      <c r="E146">
        <v>4</v>
      </c>
      <c r="F146" t="s">
        <v>1177</v>
      </c>
      <c r="G146" s="302">
        <v>2021</v>
      </c>
      <c r="H146">
        <v>23.6</v>
      </c>
      <c r="I146" t="s">
        <v>1239</v>
      </c>
      <c r="J146">
        <v>1</v>
      </c>
      <c r="K146" s="298">
        <f>VLOOKUP(Tabel16[[#This Row],[Code taak]],InvulMJOP[],3,FALSE)*Tabel16[[#This Row],[Oppervlakte/Stuks]]*Tabel16[[#This Row],[Frequentie (uitv./jaar)]]</f>
        <v>0</v>
      </c>
    </row>
    <row r="147" spans="1:11">
      <c r="A147">
        <v>18</v>
      </c>
      <c r="B147" t="str">
        <f>VLOOKUP(A147,Locaties[[#All],[Code]:[Locatie]],2,FALSE)</f>
        <v>De Kapstok/Tuindorp</v>
      </c>
      <c r="C147" t="s">
        <v>1198</v>
      </c>
      <c r="D147" t="s">
        <v>1202</v>
      </c>
      <c r="E147">
        <v>4</v>
      </c>
      <c r="F147" t="s">
        <v>1177</v>
      </c>
      <c r="G147" s="302">
        <v>2022</v>
      </c>
      <c r="H147">
        <v>23.6</v>
      </c>
      <c r="I147" t="s">
        <v>1239</v>
      </c>
      <c r="J147">
        <v>1</v>
      </c>
      <c r="K147" s="298">
        <f>VLOOKUP(Tabel16[[#This Row],[Code taak]],InvulMJOP[],3,FALSE)*Tabel16[[#This Row],[Oppervlakte/Stuks]]*Tabel16[[#This Row],[Frequentie (uitv./jaar)]]</f>
        <v>0</v>
      </c>
    </row>
    <row r="148" spans="1:11">
      <c r="A148">
        <v>18</v>
      </c>
      <c r="B148" t="str">
        <f>VLOOKUP(A148,Locaties[[#All],[Code]:[Locatie]],2,FALSE)</f>
        <v>De Kapstok/Tuindorp</v>
      </c>
      <c r="C148" t="s">
        <v>1198</v>
      </c>
      <c r="D148" t="s">
        <v>1202</v>
      </c>
      <c r="E148">
        <v>4</v>
      </c>
      <c r="F148" t="s">
        <v>1177</v>
      </c>
      <c r="G148" s="302">
        <v>2023</v>
      </c>
      <c r="H148">
        <v>23.6</v>
      </c>
      <c r="I148" t="s">
        <v>1239</v>
      </c>
      <c r="J148">
        <v>1</v>
      </c>
      <c r="K148" s="298">
        <f>VLOOKUP(Tabel16[[#This Row],[Code taak]],InvulMJOP[],3,FALSE)*Tabel16[[#This Row],[Oppervlakte/Stuks]]*Tabel16[[#This Row],[Frequentie (uitv./jaar)]]</f>
        <v>0</v>
      </c>
    </row>
    <row r="149" spans="1:11">
      <c r="A149">
        <v>18</v>
      </c>
      <c r="B149" t="str">
        <f>VLOOKUP(A149,Locaties[[#All],[Code]:[Locatie]],2,FALSE)</f>
        <v>De Kapstok/Tuindorp</v>
      </c>
      <c r="C149" t="s">
        <v>1198</v>
      </c>
      <c r="D149" t="s">
        <v>1202</v>
      </c>
      <c r="E149">
        <v>4</v>
      </c>
      <c r="F149" t="s">
        <v>1177</v>
      </c>
      <c r="G149" s="302">
        <v>2024</v>
      </c>
      <c r="H149">
        <v>23.6</v>
      </c>
      <c r="I149" t="s">
        <v>1239</v>
      </c>
      <c r="J149">
        <v>1</v>
      </c>
      <c r="K149" s="298">
        <f>VLOOKUP(Tabel16[[#This Row],[Code taak]],InvulMJOP[],3,FALSE)*Tabel16[[#This Row],[Oppervlakte/Stuks]]*Tabel16[[#This Row],[Frequentie (uitv./jaar)]]</f>
        <v>0</v>
      </c>
    </row>
    <row r="150" spans="1:11">
      <c r="A150">
        <v>18</v>
      </c>
      <c r="B150" t="str">
        <f>VLOOKUP(A150,Locaties[[#All],[Code]:[Locatie]],2,FALSE)</f>
        <v>De Kapstok/Tuindorp</v>
      </c>
      <c r="C150" t="s">
        <v>1198</v>
      </c>
      <c r="D150" t="s">
        <v>1202</v>
      </c>
      <c r="E150">
        <v>4</v>
      </c>
      <c r="F150" t="s">
        <v>1177</v>
      </c>
      <c r="G150" s="302">
        <v>2025</v>
      </c>
      <c r="H150">
        <v>23.6</v>
      </c>
      <c r="I150" t="s">
        <v>1239</v>
      </c>
      <c r="J150">
        <v>1</v>
      </c>
      <c r="K150" s="298">
        <f>VLOOKUP(Tabel16[[#This Row],[Code taak]],InvulMJOP[],3,FALSE)*Tabel16[[#This Row],[Oppervlakte/Stuks]]*Tabel16[[#This Row],[Frequentie (uitv./jaar)]]</f>
        <v>0</v>
      </c>
    </row>
    <row r="151" spans="1:11">
      <c r="A151">
        <v>18</v>
      </c>
      <c r="B151" t="str">
        <f>VLOOKUP(A151,Locaties[[#All],[Code]:[Locatie]],2,FALSE)</f>
        <v>De Kapstok/Tuindorp</v>
      </c>
      <c r="C151" t="s">
        <v>1198</v>
      </c>
      <c r="D151" t="s">
        <v>1202</v>
      </c>
      <c r="E151">
        <v>4</v>
      </c>
      <c r="F151" t="s">
        <v>1177</v>
      </c>
      <c r="G151" s="302">
        <v>2026</v>
      </c>
      <c r="H151">
        <v>23.6</v>
      </c>
      <c r="I151" t="s">
        <v>1239</v>
      </c>
      <c r="J151">
        <v>1</v>
      </c>
      <c r="K151" s="298">
        <f>VLOOKUP(Tabel16[[#This Row],[Code taak]],InvulMJOP[],3,FALSE)*Tabel16[[#This Row],[Oppervlakte/Stuks]]*Tabel16[[#This Row],[Frequentie (uitv./jaar)]]</f>
        <v>0</v>
      </c>
    </row>
    <row r="152" spans="1:11">
      <c r="A152">
        <v>18</v>
      </c>
      <c r="B152" t="str">
        <f>VLOOKUP(A152,Locaties[[#All],[Code]:[Locatie]],2,FALSE)</f>
        <v>De Kapstok/Tuindorp</v>
      </c>
      <c r="C152" t="s">
        <v>1198</v>
      </c>
      <c r="D152" t="s">
        <v>1202</v>
      </c>
      <c r="E152">
        <v>4</v>
      </c>
      <c r="F152" t="s">
        <v>1177</v>
      </c>
      <c r="G152" s="302">
        <v>2027</v>
      </c>
      <c r="H152">
        <v>23.6</v>
      </c>
      <c r="I152" t="s">
        <v>1239</v>
      </c>
      <c r="J152">
        <v>1</v>
      </c>
      <c r="K152" s="298">
        <f>VLOOKUP(Tabel16[[#This Row],[Code taak]],InvulMJOP[],3,FALSE)*Tabel16[[#This Row],[Oppervlakte/Stuks]]*Tabel16[[#This Row],[Frequentie (uitv./jaar)]]</f>
        <v>0</v>
      </c>
    </row>
    <row r="153" spans="1:11">
      <c r="A153">
        <v>18</v>
      </c>
      <c r="B153" t="str">
        <f>VLOOKUP(A153,Locaties[[#All],[Code]:[Locatie]],2,FALSE)</f>
        <v>De Kapstok/Tuindorp</v>
      </c>
      <c r="C153" t="s">
        <v>1198</v>
      </c>
      <c r="D153" t="s">
        <v>1202</v>
      </c>
      <c r="E153">
        <v>4</v>
      </c>
      <c r="F153" t="s">
        <v>1177</v>
      </c>
      <c r="G153" s="302">
        <v>2028</v>
      </c>
      <c r="H153">
        <v>23.6</v>
      </c>
      <c r="I153" t="s">
        <v>1239</v>
      </c>
      <c r="J153">
        <v>1</v>
      </c>
      <c r="K153" s="298">
        <f>VLOOKUP(Tabel16[[#This Row],[Code taak]],InvulMJOP[],3,FALSE)*Tabel16[[#This Row],[Oppervlakte/Stuks]]*Tabel16[[#This Row],[Frequentie (uitv./jaar)]]</f>
        <v>0</v>
      </c>
    </row>
    <row r="154" spans="1:11">
      <c r="A154">
        <v>18</v>
      </c>
      <c r="B154" t="str">
        <f>VLOOKUP(A154,Locaties[[#All],[Code]:[Locatie]],2,FALSE)</f>
        <v>De Kapstok/Tuindorp</v>
      </c>
      <c r="C154" s="290" t="s">
        <v>1198</v>
      </c>
      <c r="D154" t="s">
        <v>1202</v>
      </c>
      <c r="E154">
        <v>4</v>
      </c>
      <c r="F154" t="s">
        <v>1177</v>
      </c>
      <c r="G154" s="302">
        <v>2029</v>
      </c>
      <c r="H154">
        <v>23.6</v>
      </c>
      <c r="I154" t="s">
        <v>1239</v>
      </c>
      <c r="J154">
        <v>1</v>
      </c>
      <c r="K154" s="298">
        <f>VLOOKUP(Tabel16[[#This Row],[Code taak]],InvulMJOP[],3,FALSE)*Tabel16[[#This Row],[Oppervlakte/Stuks]]*Tabel16[[#This Row],[Frequentie (uitv./jaar)]]</f>
        <v>0</v>
      </c>
    </row>
    <row r="155" spans="1:11">
      <c r="A155">
        <v>14</v>
      </c>
      <c r="B155" t="str">
        <f>VLOOKUP(A155,Locaties[[#All],[Code]:[Locatie]],2,FALSE)</f>
        <v>De Meander</v>
      </c>
      <c r="C155" t="s">
        <v>1203</v>
      </c>
      <c r="D155" t="s">
        <v>1170</v>
      </c>
      <c r="E155">
        <v>3</v>
      </c>
      <c r="F155" t="s">
        <v>1174</v>
      </c>
      <c r="G155" s="302">
        <v>2021</v>
      </c>
      <c r="H155">
        <v>757</v>
      </c>
      <c r="I155" t="s">
        <v>1240</v>
      </c>
      <c r="J155">
        <v>1</v>
      </c>
      <c r="K155" s="298">
        <f>VLOOKUP(Tabel16[[#This Row],[Code taak]],InvulMJOP[],3,FALSE)*Tabel16[[#This Row],[Oppervlakte/Stuks]]*Tabel16[[#This Row],[Frequentie (uitv./jaar)]]</f>
        <v>0</v>
      </c>
    </row>
    <row r="156" spans="1:11">
      <c r="A156">
        <v>14</v>
      </c>
      <c r="B156" t="str">
        <f>VLOOKUP(A156,Locaties[[#All],[Code]:[Locatie]],2,FALSE)</f>
        <v>De Meander</v>
      </c>
      <c r="C156" t="s">
        <v>1203</v>
      </c>
      <c r="D156" t="s">
        <v>1170</v>
      </c>
      <c r="E156">
        <v>3</v>
      </c>
      <c r="F156" t="s">
        <v>1174</v>
      </c>
      <c r="G156" s="302">
        <v>2022</v>
      </c>
      <c r="H156">
        <v>757</v>
      </c>
      <c r="I156" t="s">
        <v>1240</v>
      </c>
      <c r="J156">
        <v>1</v>
      </c>
      <c r="K156" s="298">
        <f>VLOOKUP(Tabel16[[#This Row],[Code taak]],InvulMJOP[],3,FALSE)*Tabel16[[#This Row],[Oppervlakte/Stuks]]*Tabel16[[#This Row],[Frequentie (uitv./jaar)]]</f>
        <v>0</v>
      </c>
    </row>
    <row r="157" spans="1:11">
      <c r="A157">
        <v>14</v>
      </c>
      <c r="B157" t="str">
        <f>VLOOKUP(A157,Locaties[[#All],[Code]:[Locatie]],2,FALSE)</f>
        <v>De Meander</v>
      </c>
      <c r="C157" t="s">
        <v>1203</v>
      </c>
      <c r="D157" t="s">
        <v>1170</v>
      </c>
      <c r="E157">
        <v>3</v>
      </c>
      <c r="F157" t="s">
        <v>1174</v>
      </c>
      <c r="G157" s="302">
        <v>2023</v>
      </c>
      <c r="H157">
        <v>757</v>
      </c>
      <c r="I157" t="s">
        <v>1240</v>
      </c>
      <c r="J157">
        <v>1</v>
      </c>
      <c r="K157" s="298">
        <f>VLOOKUP(Tabel16[[#This Row],[Code taak]],InvulMJOP[],3,FALSE)*Tabel16[[#This Row],[Oppervlakte/Stuks]]*Tabel16[[#This Row],[Frequentie (uitv./jaar)]]</f>
        <v>0</v>
      </c>
    </row>
    <row r="158" spans="1:11">
      <c r="A158">
        <v>14</v>
      </c>
      <c r="B158" t="str">
        <f>VLOOKUP(A158,Locaties[[#All],[Code]:[Locatie]],2,FALSE)</f>
        <v>De Meander</v>
      </c>
      <c r="C158" t="s">
        <v>1203</v>
      </c>
      <c r="D158" t="s">
        <v>1170</v>
      </c>
      <c r="E158">
        <v>3</v>
      </c>
      <c r="F158" t="s">
        <v>1174</v>
      </c>
      <c r="G158" s="302">
        <v>2024</v>
      </c>
      <c r="H158">
        <v>757</v>
      </c>
      <c r="I158" t="s">
        <v>1240</v>
      </c>
      <c r="J158">
        <v>1</v>
      </c>
      <c r="K158" s="298">
        <f>VLOOKUP(Tabel16[[#This Row],[Code taak]],InvulMJOP[],3,FALSE)*Tabel16[[#This Row],[Oppervlakte/Stuks]]*Tabel16[[#This Row],[Frequentie (uitv./jaar)]]</f>
        <v>0</v>
      </c>
    </row>
    <row r="159" spans="1:11">
      <c r="A159">
        <v>14</v>
      </c>
      <c r="B159" t="str">
        <f>VLOOKUP(A159,Locaties[[#All],[Code]:[Locatie]],2,FALSE)</f>
        <v>De Meander</v>
      </c>
      <c r="C159" t="s">
        <v>1203</v>
      </c>
      <c r="D159" t="s">
        <v>1170</v>
      </c>
      <c r="E159">
        <v>3</v>
      </c>
      <c r="F159" t="s">
        <v>1174</v>
      </c>
      <c r="G159" s="302">
        <v>2025</v>
      </c>
      <c r="H159">
        <v>757</v>
      </c>
      <c r="I159" t="s">
        <v>1240</v>
      </c>
      <c r="J159">
        <v>1</v>
      </c>
      <c r="K159" s="298">
        <f>VLOOKUP(Tabel16[[#This Row],[Code taak]],InvulMJOP[],3,FALSE)*Tabel16[[#This Row],[Oppervlakte/Stuks]]*Tabel16[[#This Row],[Frequentie (uitv./jaar)]]</f>
        <v>0</v>
      </c>
    </row>
    <row r="160" spans="1:11">
      <c r="A160">
        <v>14</v>
      </c>
      <c r="B160" t="str">
        <f>VLOOKUP(A160,Locaties[[#All],[Code]:[Locatie]],2,FALSE)</f>
        <v>De Meander</v>
      </c>
      <c r="C160" t="s">
        <v>1203</v>
      </c>
      <c r="D160" t="s">
        <v>1170</v>
      </c>
      <c r="E160">
        <v>3</v>
      </c>
      <c r="F160" t="s">
        <v>1174</v>
      </c>
      <c r="G160" s="302">
        <v>2026</v>
      </c>
      <c r="H160">
        <v>757</v>
      </c>
      <c r="I160" t="s">
        <v>1240</v>
      </c>
      <c r="J160">
        <v>1</v>
      </c>
      <c r="K160" s="298">
        <f>VLOOKUP(Tabel16[[#This Row],[Code taak]],InvulMJOP[],3,FALSE)*Tabel16[[#This Row],[Oppervlakte/Stuks]]*Tabel16[[#This Row],[Frequentie (uitv./jaar)]]</f>
        <v>0</v>
      </c>
    </row>
    <row r="161" spans="1:12">
      <c r="A161">
        <v>14</v>
      </c>
      <c r="B161" t="str">
        <f>VLOOKUP(A161,Locaties[[#All],[Code]:[Locatie]],2,FALSE)</f>
        <v>De Meander</v>
      </c>
      <c r="C161" t="s">
        <v>1203</v>
      </c>
      <c r="D161" t="s">
        <v>1170</v>
      </c>
      <c r="E161">
        <v>3</v>
      </c>
      <c r="F161" t="s">
        <v>1174</v>
      </c>
      <c r="G161" s="302">
        <v>2027</v>
      </c>
      <c r="H161">
        <v>757</v>
      </c>
      <c r="I161" t="s">
        <v>1240</v>
      </c>
      <c r="J161">
        <v>1</v>
      </c>
      <c r="K161" s="298">
        <f>VLOOKUP(Tabel16[[#This Row],[Code taak]],InvulMJOP[],3,FALSE)*Tabel16[[#This Row],[Oppervlakte/Stuks]]*Tabel16[[#This Row],[Frequentie (uitv./jaar)]]</f>
        <v>0</v>
      </c>
    </row>
    <row r="162" spans="1:12">
      <c r="A162">
        <v>14</v>
      </c>
      <c r="B162" t="str">
        <f>VLOOKUP(A162,Locaties[[#All],[Code]:[Locatie]],2,FALSE)</f>
        <v>De Meander</v>
      </c>
      <c r="C162" t="s">
        <v>1203</v>
      </c>
      <c r="D162" t="s">
        <v>1170</v>
      </c>
      <c r="E162">
        <v>3</v>
      </c>
      <c r="F162" t="s">
        <v>1174</v>
      </c>
      <c r="G162" s="302">
        <v>2028</v>
      </c>
      <c r="H162">
        <v>757</v>
      </c>
      <c r="I162" t="s">
        <v>1240</v>
      </c>
      <c r="J162">
        <v>1</v>
      </c>
      <c r="K162" s="298">
        <f>VLOOKUP(Tabel16[[#This Row],[Code taak]],InvulMJOP[],3,FALSE)*Tabel16[[#This Row],[Oppervlakte/Stuks]]*Tabel16[[#This Row],[Frequentie (uitv./jaar)]]</f>
        <v>0</v>
      </c>
    </row>
    <row r="163" spans="1:12">
      <c r="A163">
        <v>14</v>
      </c>
      <c r="B163" t="str">
        <f>VLOOKUP(A163,Locaties[[#All],[Code]:[Locatie]],2,FALSE)</f>
        <v>De Meander</v>
      </c>
      <c r="C163" t="s">
        <v>1203</v>
      </c>
      <c r="D163" t="s">
        <v>1170</v>
      </c>
      <c r="E163">
        <v>3</v>
      </c>
      <c r="F163" t="s">
        <v>1174</v>
      </c>
      <c r="G163" s="302">
        <v>2029</v>
      </c>
      <c r="H163">
        <v>757</v>
      </c>
      <c r="I163" t="s">
        <v>1240</v>
      </c>
      <c r="J163">
        <v>1</v>
      </c>
      <c r="K163" s="298">
        <f>VLOOKUP(Tabel16[[#This Row],[Code taak]],InvulMJOP[],3,FALSE)*Tabel16[[#This Row],[Oppervlakte/Stuks]]*Tabel16[[#This Row],[Frequentie (uitv./jaar)]]</f>
        <v>0</v>
      </c>
    </row>
    <row r="164" spans="1:12">
      <c r="A164">
        <v>14</v>
      </c>
      <c r="B164" t="str">
        <f>VLOOKUP(A164,Locaties[[#All],[Code]:[Locatie]],2,FALSE)</f>
        <v>De Meander</v>
      </c>
      <c r="C164" t="s">
        <v>1203</v>
      </c>
      <c r="D164" t="s">
        <v>1175</v>
      </c>
      <c r="E164">
        <v>13</v>
      </c>
      <c r="F164" t="s">
        <v>1187</v>
      </c>
      <c r="G164" s="302">
        <v>2024</v>
      </c>
      <c r="H164">
        <v>122</v>
      </c>
      <c r="I164" t="s">
        <v>1241</v>
      </c>
      <c r="J164">
        <v>1</v>
      </c>
      <c r="K164" s="298">
        <f>VLOOKUP(Tabel16[[#This Row],[Code taak]],InvulMJOP[],3,FALSE)*Tabel16[[#This Row],[Oppervlakte/Stuks]]*Tabel16[[#This Row],[Frequentie (uitv./jaar)]]</f>
        <v>0</v>
      </c>
    </row>
    <row r="165" spans="1:12">
      <c r="A165">
        <v>14</v>
      </c>
      <c r="B165" t="str">
        <f>VLOOKUP(A165,Locaties[[#All],[Code]:[Locatie]],2,FALSE)</f>
        <v>De Meander</v>
      </c>
      <c r="C165" t="s">
        <v>1203</v>
      </c>
      <c r="D165" t="s">
        <v>1175</v>
      </c>
      <c r="E165">
        <v>13</v>
      </c>
      <c r="F165" t="s">
        <v>1187</v>
      </c>
      <c r="G165" s="302">
        <v>2028</v>
      </c>
      <c r="H165">
        <v>122</v>
      </c>
      <c r="I165" t="s">
        <v>1241</v>
      </c>
      <c r="J165">
        <v>1</v>
      </c>
      <c r="K165" s="298">
        <f>VLOOKUP(Tabel16[[#This Row],[Code taak]],InvulMJOP[],3,FALSE)*Tabel16[[#This Row],[Oppervlakte/Stuks]]*Tabel16[[#This Row],[Frequentie (uitv./jaar)]]</f>
        <v>0</v>
      </c>
      <c r="L165" s="306"/>
    </row>
    <row r="166" spans="1:12">
      <c r="A166">
        <v>14</v>
      </c>
      <c r="B166" t="str">
        <f>VLOOKUP(A166,Locaties[[#All],[Code]:[Locatie]],2,FALSE)</f>
        <v>De Meander</v>
      </c>
      <c r="C166" t="s">
        <v>1203</v>
      </c>
      <c r="D166" t="s">
        <v>1175</v>
      </c>
      <c r="E166">
        <v>14</v>
      </c>
      <c r="F166" t="s">
        <v>1188</v>
      </c>
      <c r="G166" s="302">
        <v>2022</v>
      </c>
      <c r="H166">
        <v>122</v>
      </c>
      <c r="I166" t="s">
        <v>1241</v>
      </c>
      <c r="J166">
        <v>1</v>
      </c>
      <c r="K166" s="298">
        <f>VLOOKUP(Tabel16[[#This Row],[Code taak]],InvulMJOP[],3,FALSE)*Tabel16[[#This Row],[Oppervlakte/Stuks]]*Tabel16[[#This Row],[Frequentie (uitv./jaar)]]</f>
        <v>0</v>
      </c>
      <c r="L166" s="306"/>
    </row>
    <row r="167" spans="1:12">
      <c r="A167">
        <v>14</v>
      </c>
      <c r="B167" t="str">
        <f>VLOOKUP(A167,Locaties[[#All],[Code]:[Locatie]],2,FALSE)</f>
        <v>De Meander</v>
      </c>
      <c r="C167" t="s">
        <v>1203</v>
      </c>
      <c r="D167" t="s">
        <v>1175</v>
      </c>
      <c r="E167">
        <v>14</v>
      </c>
      <c r="F167" t="s">
        <v>1188</v>
      </c>
      <c r="G167" s="302">
        <v>2026</v>
      </c>
      <c r="H167">
        <v>122</v>
      </c>
      <c r="I167" t="s">
        <v>1241</v>
      </c>
      <c r="J167">
        <v>1</v>
      </c>
      <c r="K167" s="298">
        <f>VLOOKUP(Tabel16[[#This Row],[Code taak]],InvulMJOP[],3,FALSE)*Tabel16[[#This Row],[Oppervlakte/Stuks]]*Tabel16[[#This Row],[Frequentie (uitv./jaar)]]</f>
        <v>0</v>
      </c>
      <c r="L167" s="306"/>
    </row>
    <row r="168" spans="1:12">
      <c r="A168">
        <v>14</v>
      </c>
      <c r="B168" t="str">
        <f>VLOOKUP(A168,Locaties[[#All],[Code]:[Locatie]],2,FALSE)</f>
        <v>De Meander</v>
      </c>
      <c r="C168" t="s">
        <v>1203</v>
      </c>
      <c r="D168" t="s">
        <v>1175</v>
      </c>
      <c r="E168">
        <v>15</v>
      </c>
      <c r="F168" t="s">
        <v>1189</v>
      </c>
      <c r="G168" s="302">
        <v>2025</v>
      </c>
      <c r="H168">
        <v>1</v>
      </c>
      <c r="I168" t="s">
        <v>1242</v>
      </c>
      <c r="J168">
        <v>1</v>
      </c>
      <c r="K168" s="298">
        <f>VLOOKUP(Tabel16[[#This Row],[Code taak]],InvulMJOP[],3,FALSE)*Tabel16[[#This Row],[Oppervlakte/Stuks]]*Tabel16[[#This Row],[Frequentie (uitv./jaar)]]</f>
        <v>0</v>
      </c>
      <c r="L168" s="299" t="s">
        <v>1247</v>
      </c>
    </row>
    <row r="169" spans="1:12">
      <c r="A169">
        <v>10</v>
      </c>
      <c r="B169" t="str">
        <f>VLOOKUP(A169,Locaties[[#All],[Code]:[Locatie]],2,FALSE)</f>
        <v>De Stapsteen (2 gebouwen)</v>
      </c>
      <c r="C169" t="s">
        <v>1204</v>
      </c>
      <c r="D169" t="s">
        <v>1173</v>
      </c>
      <c r="E169">
        <v>3</v>
      </c>
      <c r="F169" t="s">
        <v>1174</v>
      </c>
      <c r="G169" s="302">
        <v>2026</v>
      </c>
      <c r="H169">
        <v>1278</v>
      </c>
      <c r="I169" t="s">
        <v>1240</v>
      </c>
      <c r="J169">
        <v>1</v>
      </c>
      <c r="K169" s="298">
        <f>VLOOKUP(Tabel16[[#This Row],[Code taak]],InvulMJOP[],3,FALSE)*Tabel16[[#This Row],[Oppervlakte/Stuks]]*Tabel16[[#This Row],[Frequentie (uitv./jaar)]]</f>
        <v>0</v>
      </c>
      <c r="L169" s="306"/>
    </row>
    <row r="170" spans="1:12">
      <c r="A170">
        <v>10</v>
      </c>
      <c r="B170" t="str">
        <f>VLOOKUP(A170,Locaties[[#All],[Code]:[Locatie]],2,FALSE)</f>
        <v>De Stapsteen (2 gebouwen)</v>
      </c>
      <c r="C170" t="s">
        <v>1204</v>
      </c>
      <c r="D170" t="s">
        <v>1175</v>
      </c>
      <c r="E170">
        <v>9</v>
      </c>
      <c r="F170" t="s">
        <v>1183</v>
      </c>
      <c r="G170" s="302">
        <v>2024</v>
      </c>
      <c r="H170">
        <v>285.8</v>
      </c>
      <c r="I170" t="s">
        <v>1241</v>
      </c>
      <c r="J170">
        <v>1</v>
      </c>
      <c r="K170" s="298">
        <f>VLOOKUP(Tabel16[[#This Row],[Code taak]],InvulMJOP[],3,FALSE)*Tabel16[[#This Row],[Oppervlakte/Stuks]]*Tabel16[[#This Row],[Frequentie (uitv./jaar)]]</f>
        <v>0</v>
      </c>
      <c r="L170" s="306"/>
    </row>
    <row r="171" spans="1:12">
      <c r="A171">
        <v>10</v>
      </c>
      <c r="B171" t="str">
        <f>VLOOKUP(A171,Locaties[[#All],[Code]:[Locatie]],2,FALSE)</f>
        <v>De Stapsteen (2 gebouwen)</v>
      </c>
      <c r="C171" t="s">
        <v>1204</v>
      </c>
      <c r="D171" t="s">
        <v>1175</v>
      </c>
      <c r="E171">
        <v>9</v>
      </c>
      <c r="F171" t="s">
        <v>1183</v>
      </c>
      <c r="G171" s="302">
        <v>2029</v>
      </c>
      <c r="H171">
        <v>285.8</v>
      </c>
      <c r="I171" t="s">
        <v>1241</v>
      </c>
      <c r="J171">
        <v>1</v>
      </c>
      <c r="K171" s="298">
        <f>VLOOKUP(Tabel16[[#This Row],[Code taak]],InvulMJOP[],3,FALSE)*Tabel16[[#This Row],[Oppervlakte/Stuks]]*Tabel16[[#This Row],[Frequentie (uitv./jaar)]]</f>
        <v>0</v>
      </c>
      <c r="L171" s="306"/>
    </row>
    <row r="172" spans="1:12">
      <c r="A172">
        <v>10</v>
      </c>
      <c r="B172" t="str">
        <f>VLOOKUP(A172,Locaties[[#All],[Code]:[Locatie]],2,FALSE)</f>
        <v>De Stapsteen (2 gebouwen)</v>
      </c>
      <c r="C172" t="s">
        <v>1204</v>
      </c>
      <c r="D172" t="s">
        <v>1175</v>
      </c>
      <c r="E172">
        <v>13</v>
      </c>
      <c r="F172" t="s">
        <v>1187</v>
      </c>
      <c r="G172" s="302">
        <v>2021</v>
      </c>
      <c r="H172">
        <v>742</v>
      </c>
      <c r="I172" t="s">
        <v>1241</v>
      </c>
      <c r="J172">
        <v>1</v>
      </c>
      <c r="K172" s="298">
        <f>VLOOKUP(Tabel16[[#This Row],[Code taak]],InvulMJOP[],3,FALSE)*Tabel16[[#This Row],[Oppervlakte/Stuks]]*Tabel16[[#This Row],[Frequentie (uitv./jaar)]]</f>
        <v>0</v>
      </c>
      <c r="L172" s="306"/>
    </row>
    <row r="173" spans="1:12">
      <c r="A173">
        <v>10</v>
      </c>
      <c r="B173" t="str">
        <f>VLOOKUP(A173,Locaties[[#All],[Code]:[Locatie]],2,FALSE)</f>
        <v>De Stapsteen (2 gebouwen)</v>
      </c>
      <c r="C173" t="s">
        <v>1204</v>
      </c>
      <c r="D173" t="s">
        <v>1175</v>
      </c>
      <c r="E173">
        <v>13</v>
      </c>
      <c r="F173" t="s">
        <v>1187</v>
      </c>
      <c r="G173" s="302">
        <v>2025</v>
      </c>
      <c r="H173">
        <v>742</v>
      </c>
      <c r="I173" t="s">
        <v>1241</v>
      </c>
      <c r="J173">
        <v>1</v>
      </c>
      <c r="K173" s="298">
        <f>VLOOKUP(Tabel16[[#This Row],[Code taak]],InvulMJOP[],3,FALSE)*Tabel16[[#This Row],[Oppervlakte/Stuks]]*Tabel16[[#This Row],[Frequentie (uitv./jaar)]]</f>
        <v>0</v>
      </c>
      <c r="L173" s="306"/>
    </row>
    <row r="174" spans="1:12">
      <c r="A174">
        <v>10</v>
      </c>
      <c r="B174" t="str">
        <f>VLOOKUP(A174,Locaties[[#All],[Code]:[Locatie]],2,FALSE)</f>
        <v>De Stapsteen (2 gebouwen)</v>
      </c>
      <c r="C174" t="s">
        <v>1204</v>
      </c>
      <c r="D174" t="s">
        <v>1175</v>
      </c>
      <c r="E174">
        <v>13</v>
      </c>
      <c r="F174" t="s">
        <v>1187</v>
      </c>
      <c r="G174" s="302">
        <v>2029</v>
      </c>
      <c r="H174">
        <v>742</v>
      </c>
      <c r="I174" t="s">
        <v>1241</v>
      </c>
      <c r="J174">
        <v>1</v>
      </c>
      <c r="K174" s="298">
        <f>VLOOKUP(Tabel16[[#This Row],[Code taak]],InvulMJOP[],3,FALSE)*Tabel16[[#This Row],[Oppervlakte/Stuks]]*Tabel16[[#This Row],[Frequentie (uitv./jaar)]]</f>
        <v>0</v>
      </c>
      <c r="L174" s="306"/>
    </row>
    <row r="175" spans="1:12">
      <c r="A175">
        <v>10</v>
      </c>
      <c r="B175" t="str">
        <f>VLOOKUP(A175,Locaties[[#All],[Code]:[Locatie]],2,FALSE)</f>
        <v>De Stapsteen (2 gebouwen)</v>
      </c>
      <c r="C175" t="s">
        <v>1204</v>
      </c>
      <c r="D175" t="s">
        <v>1175</v>
      </c>
      <c r="E175">
        <v>14</v>
      </c>
      <c r="F175" t="s">
        <v>1188</v>
      </c>
      <c r="G175" s="302">
        <v>2023</v>
      </c>
      <c r="H175">
        <v>742</v>
      </c>
      <c r="I175" t="s">
        <v>1241</v>
      </c>
      <c r="J175">
        <v>1</v>
      </c>
      <c r="K175" s="298">
        <f>VLOOKUP(Tabel16[[#This Row],[Code taak]],InvulMJOP[],3,FALSE)*Tabel16[[#This Row],[Oppervlakte/Stuks]]*Tabel16[[#This Row],[Frequentie (uitv./jaar)]]</f>
        <v>0</v>
      </c>
      <c r="L175" s="306"/>
    </row>
    <row r="176" spans="1:12">
      <c r="A176">
        <v>10</v>
      </c>
      <c r="B176" t="str">
        <f>VLOOKUP(A176,Locaties[[#All],[Code]:[Locatie]],2,FALSE)</f>
        <v>De Stapsteen (2 gebouwen)</v>
      </c>
      <c r="C176" t="s">
        <v>1204</v>
      </c>
      <c r="D176" t="s">
        <v>1175</v>
      </c>
      <c r="E176">
        <v>14</v>
      </c>
      <c r="F176" t="s">
        <v>1188</v>
      </c>
      <c r="G176" s="302">
        <v>2027</v>
      </c>
      <c r="H176">
        <v>742</v>
      </c>
      <c r="I176" t="s">
        <v>1241</v>
      </c>
      <c r="J176">
        <v>1</v>
      </c>
      <c r="K176" s="298">
        <f>VLOOKUP(Tabel16[[#This Row],[Code taak]],InvulMJOP[],3,FALSE)*Tabel16[[#This Row],[Oppervlakte/Stuks]]*Tabel16[[#This Row],[Frequentie (uitv./jaar)]]</f>
        <v>0</v>
      </c>
      <c r="L176" s="306"/>
    </row>
    <row r="177" spans="1:12">
      <c r="A177">
        <v>10</v>
      </c>
      <c r="B177" t="str">
        <f>VLOOKUP(A177,Locaties[[#All],[Code]:[Locatie]],2,FALSE)</f>
        <v>De Stapsteen (2 gebouwen)</v>
      </c>
      <c r="C177" t="s">
        <v>1204</v>
      </c>
      <c r="D177" t="s">
        <v>1175</v>
      </c>
      <c r="E177">
        <v>11</v>
      </c>
      <c r="F177" t="s">
        <v>1185</v>
      </c>
      <c r="G177" s="302">
        <v>2024</v>
      </c>
      <c r="H177">
        <v>80</v>
      </c>
      <c r="I177" t="s">
        <v>1241</v>
      </c>
      <c r="J177">
        <v>1</v>
      </c>
      <c r="K177" s="298">
        <f>VLOOKUP(Tabel16[[#This Row],[Code taak]],InvulMJOP[],3,FALSE)*Tabel16[[#This Row],[Oppervlakte/Stuks]]*Tabel16[[#This Row],[Frequentie (uitv./jaar)]]</f>
        <v>0</v>
      </c>
      <c r="L177" s="306"/>
    </row>
    <row r="178" spans="1:12">
      <c r="A178">
        <v>10</v>
      </c>
      <c r="B178" t="str">
        <f>VLOOKUP(A178,Locaties[[#All],[Code]:[Locatie]],2,FALSE)</f>
        <v>De Stapsteen (2 gebouwen)</v>
      </c>
      <c r="C178" t="s">
        <v>1204</v>
      </c>
      <c r="D178" t="s">
        <v>1175</v>
      </c>
      <c r="E178">
        <v>11</v>
      </c>
      <c r="F178" t="s">
        <v>1185</v>
      </c>
      <c r="G178" s="302">
        <v>2029</v>
      </c>
      <c r="H178">
        <v>80</v>
      </c>
      <c r="I178" t="s">
        <v>1241</v>
      </c>
      <c r="J178">
        <v>1</v>
      </c>
      <c r="K178" s="298">
        <f>VLOOKUP(Tabel16[[#This Row],[Code taak]],InvulMJOP[],3,FALSE)*Tabel16[[#This Row],[Oppervlakte/Stuks]]*Tabel16[[#This Row],[Frequentie (uitv./jaar)]]</f>
        <v>0</v>
      </c>
      <c r="L178" s="306"/>
    </row>
    <row r="179" spans="1:12">
      <c r="A179">
        <v>10</v>
      </c>
      <c r="B179" t="str">
        <f>VLOOKUP(A179,Locaties[[#All],[Code]:[Locatie]],2,FALSE)</f>
        <v>De Stapsteen (2 gebouwen)</v>
      </c>
      <c r="C179" t="s">
        <v>1204</v>
      </c>
      <c r="D179" t="s">
        <v>1175</v>
      </c>
      <c r="E179">
        <v>15</v>
      </c>
      <c r="F179" t="s">
        <v>1189</v>
      </c>
      <c r="G179" s="302">
        <v>2023</v>
      </c>
      <c r="H179">
        <v>1</v>
      </c>
      <c r="I179" t="s">
        <v>1242</v>
      </c>
      <c r="J179">
        <v>1</v>
      </c>
      <c r="K179" s="298">
        <f>VLOOKUP(Tabel16[[#This Row],[Code taak]],InvulMJOP[],3,FALSE)*Tabel16[[#This Row],[Oppervlakte/Stuks]]*Tabel16[[#This Row],[Frequentie (uitv./jaar)]]</f>
        <v>0</v>
      </c>
      <c r="L179" s="299" t="s">
        <v>1247</v>
      </c>
    </row>
    <row r="180" spans="1:12">
      <c r="A180">
        <v>10</v>
      </c>
      <c r="B180" t="str">
        <f>VLOOKUP(A180,Locaties[[#All],[Code]:[Locatie]],2,FALSE)</f>
        <v>De Stapsteen (2 gebouwen)</v>
      </c>
      <c r="C180" t="s">
        <v>1204</v>
      </c>
      <c r="D180" t="s">
        <v>1175</v>
      </c>
      <c r="E180">
        <v>15</v>
      </c>
      <c r="F180" t="s">
        <v>1189</v>
      </c>
      <c r="G180" s="302">
        <v>2028</v>
      </c>
      <c r="H180">
        <v>1</v>
      </c>
      <c r="I180" t="s">
        <v>1242</v>
      </c>
      <c r="J180">
        <v>1</v>
      </c>
      <c r="K180" s="298">
        <f>VLOOKUP(Tabel16[[#This Row],[Code taak]],InvulMJOP[],3,FALSE)*Tabel16[[#This Row],[Oppervlakte/Stuks]]*Tabel16[[#This Row],[Frequentie (uitv./jaar)]]</f>
        <v>0</v>
      </c>
      <c r="L180" s="299" t="s">
        <v>1247</v>
      </c>
    </row>
    <row r="181" spans="1:12">
      <c r="A181">
        <v>10</v>
      </c>
      <c r="B181" t="str">
        <f>VLOOKUP(A181,Locaties[[#All],[Code]:[Locatie]],2,FALSE)</f>
        <v>De Stapsteen (2 gebouwen)</v>
      </c>
      <c r="C181" t="s">
        <v>1205</v>
      </c>
      <c r="D181" t="s">
        <v>1173</v>
      </c>
      <c r="E181">
        <v>3</v>
      </c>
      <c r="F181" t="s">
        <v>1174</v>
      </c>
      <c r="G181" s="302">
        <v>2026</v>
      </c>
      <c r="H181">
        <v>1278</v>
      </c>
      <c r="I181" t="s">
        <v>1240</v>
      </c>
      <c r="J181">
        <v>1</v>
      </c>
      <c r="K181" s="298">
        <f>VLOOKUP(Tabel16[[#This Row],[Code taak]],InvulMJOP[],3,FALSE)*Tabel16[[#This Row],[Oppervlakte/Stuks]]*Tabel16[[#This Row],[Frequentie (uitv./jaar)]]</f>
        <v>0</v>
      </c>
      <c r="L181" s="306"/>
    </row>
    <row r="182" spans="1:12">
      <c r="A182">
        <v>10</v>
      </c>
      <c r="B182" t="str">
        <f>VLOOKUP(A182,Locaties[[#All],[Code]:[Locatie]],2,FALSE)</f>
        <v>De Stapsteen (2 gebouwen)</v>
      </c>
      <c r="C182" t="s">
        <v>1205</v>
      </c>
      <c r="D182" t="s">
        <v>1175</v>
      </c>
      <c r="E182">
        <v>9</v>
      </c>
      <c r="F182" t="s">
        <v>1183</v>
      </c>
      <c r="G182" s="302">
        <v>2025</v>
      </c>
      <c r="H182">
        <v>248.20000000000002</v>
      </c>
      <c r="I182" t="s">
        <v>1241</v>
      </c>
      <c r="J182">
        <v>1</v>
      </c>
      <c r="K182" s="298">
        <f>VLOOKUP(Tabel16[[#This Row],[Code taak]],InvulMJOP[],3,FALSE)*Tabel16[[#This Row],[Oppervlakte/Stuks]]*Tabel16[[#This Row],[Frequentie (uitv./jaar)]]</f>
        <v>0</v>
      </c>
      <c r="L182" s="306"/>
    </row>
    <row r="183" spans="1:12">
      <c r="A183">
        <v>10</v>
      </c>
      <c r="B183" t="str">
        <f>VLOOKUP(A183,Locaties[[#All],[Code]:[Locatie]],2,FALSE)</f>
        <v>De Stapsteen (2 gebouwen)</v>
      </c>
      <c r="C183" t="s">
        <v>1205</v>
      </c>
      <c r="D183" t="s">
        <v>1175</v>
      </c>
      <c r="E183">
        <v>13</v>
      </c>
      <c r="F183" t="s">
        <v>1187</v>
      </c>
      <c r="G183" s="302">
        <v>2021</v>
      </c>
      <c r="H183">
        <v>742</v>
      </c>
      <c r="I183" t="s">
        <v>1241</v>
      </c>
      <c r="J183">
        <v>1</v>
      </c>
      <c r="K183" s="298">
        <f>VLOOKUP(Tabel16[[#This Row],[Code taak]],InvulMJOP[],3,FALSE)*Tabel16[[#This Row],[Oppervlakte/Stuks]]*Tabel16[[#This Row],[Frequentie (uitv./jaar)]]</f>
        <v>0</v>
      </c>
      <c r="L183" s="306"/>
    </row>
    <row r="184" spans="1:12">
      <c r="A184">
        <v>10</v>
      </c>
      <c r="B184" t="str">
        <f>VLOOKUP(A184,Locaties[[#All],[Code]:[Locatie]],2,FALSE)</f>
        <v>De Stapsteen (2 gebouwen)</v>
      </c>
      <c r="C184" t="s">
        <v>1205</v>
      </c>
      <c r="D184" t="s">
        <v>1175</v>
      </c>
      <c r="E184">
        <v>13</v>
      </c>
      <c r="F184" t="s">
        <v>1187</v>
      </c>
      <c r="G184" s="302">
        <v>2025</v>
      </c>
      <c r="H184">
        <v>742</v>
      </c>
      <c r="I184" t="s">
        <v>1241</v>
      </c>
      <c r="J184">
        <v>1</v>
      </c>
      <c r="K184" s="298">
        <f>VLOOKUP(Tabel16[[#This Row],[Code taak]],InvulMJOP[],3,FALSE)*Tabel16[[#This Row],[Oppervlakte/Stuks]]*Tabel16[[#This Row],[Frequentie (uitv./jaar)]]</f>
        <v>0</v>
      </c>
      <c r="L184" s="306"/>
    </row>
    <row r="185" spans="1:12">
      <c r="A185">
        <v>10</v>
      </c>
      <c r="B185" t="str">
        <f>VLOOKUP(A185,Locaties[[#All],[Code]:[Locatie]],2,FALSE)</f>
        <v>De Stapsteen (2 gebouwen)</v>
      </c>
      <c r="C185" t="s">
        <v>1205</v>
      </c>
      <c r="D185" t="s">
        <v>1175</v>
      </c>
      <c r="E185">
        <v>13</v>
      </c>
      <c r="F185" t="s">
        <v>1187</v>
      </c>
      <c r="G185" s="302">
        <v>2029</v>
      </c>
      <c r="H185">
        <v>742</v>
      </c>
      <c r="I185" t="s">
        <v>1241</v>
      </c>
      <c r="J185">
        <v>1</v>
      </c>
      <c r="K185" s="298">
        <f>VLOOKUP(Tabel16[[#This Row],[Code taak]],InvulMJOP[],3,FALSE)*Tabel16[[#This Row],[Oppervlakte/Stuks]]*Tabel16[[#This Row],[Frequentie (uitv./jaar)]]</f>
        <v>0</v>
      </c>
      <c r="L185" s="306"/>
    </row>
    <row r="186" spans="1:12">
      <c r="A186">
        <v>10</v>
      </c>
      <c r="B186" t="str">
        <f>VLOOKUP(A186,Locaties[[#All],[Code]:[Locatie]],2,FALSE)</f>
        <v>De Stapsteen (2 gebouwen)</v>
      </c>
      <c r="C186" t="s">
        <v>1205</v>
      </c>
      <c r="D186" t="s">
        <v>1175</v>
      </c>
      <c r="E186">
        <v>14</v>
      </c>
      <c r="F186" t="s">
        <v>1188</v>
      </c>
      <c r="G186" s="302">
        <v>2023</v>
      </c>
      <c r="H186">
        <v>742</v>
      </c>
      <c r="I186" t="s">
        <v>1241</v>
      </c>
      <c r="J186">
        <v>1</v>
      </c>
      <c r="K186" s="298">
        <f>VLOOKUP(Tabel16[[#This Row],[Code taak]],InvulMJOP[],3,FALSE)*Tabel16[[#This Row],[Oppervlakte/Stuks]]*Tabel16[[#This Row],[Frequentie (uitv./jaar)]]</f>
        <v>0</v>
      </c>
      <c r="L186" s="306"/>
    </row>
    <row r="187" spans="1:12">
      <c r="A187">
        <v>10</v>
      </c>
      <c r="B187" t="str">
        <f>VLOOKUP(A187,Locaties[[#All],[Code]:[Locatie]],2,FALSE)</f>
        <v>De Stapsteen (2 gebouwen)</v>
      </c>
      <c r="C187" t="s">
        <v>1205</v>
      </c>
      <c r="D187" t="s">
        <v>1175</v>
      </c>
      <c r="E187">
        <v>14</v>
      </c>
      <c r="F187" t="s">
        <v>1188</v>
      </c>
      <c r="G187" s="302">
        <v>2027</v>
      </c>
      <c r="H187">
        <v>742</v>
      </c>
      <c r="I187" t="s">
        <v>1241</v>
      </c>
      <c r="J187">
        <v>1</v>
      </c>
      <c r="K187" s="298">
        <f>VLOOKUP(Tabel16[[#This Row],[Code taak]],InvulMJOP[],3,FALSE)*Tabel16[[#This Row],[Oppervlakte/Stuks]]*Tabel16[[#This Row],[Frequentie (uitv./jaar)]]</f>
        <v>0</v>
      </c>
      <c r="L187" s="306"/>
    </row>
    <row r="188" spans="1:12">
      <c r="A188">
        <v>10</v>
      </c>
      <c r="B188" t="str">
        <f>VLOOKUP(A188,Locaties[[#All],[Code]:[Locatie]],2,FALSE)</f>
        <v>De Stapsteen (2 gebouwen)</v>
      </c>
      <c r="C188" t="s">
        <v>1205</v>
      </c>
      <c r="D188" t="s">
        <v>1175</v>
      </c>
      <c r="E188">
        <v>11</v>
      </c>
      <c r="F188" t="s">
        <v>1185</v>
      </c>
      <c r="G188" s="302">
        <v>2025</v>
      </c>
      <c r="H188">
        <v>11</v>
      </c>
      <c r="I188" t="s">
        <v>1241</v>
      </c>
      <c r="J188">
        <v>1</v>
      </c>
      <c r="K188" s="298">
        <f>VLOOKUP(Tabel16[[#This Row],[Code taak]],InvulMJOP[],3,FALSE)*Tabel16[[#This Row],[Oppervlakte/Stuks]]*Tabel16[[#This Row],[Frequentie (uitv./jaar)]]</f>
        <v>0</v>
      </c>
      <c r="L188" s="306"/>
    </row>
    <row r="189" spans="1:12">
      <c r="A189">
        <v>10</v>
      </c>
      <c r="B189" t="str">
        <f>VLOOKUP(A189,Locaties[[#All],[Code]:[Locatie]],2,FALSE)</f>
        <v>De Stapsteen (2 gebouwen)</v>
      </c>
      <c r="C189" t="s">
        <v>1205</v>
      </c>
      <c r="D189" t="s">
        <v>1175</v>
      </c>
      <c r="E189">
        <v>15</v>
      </c>
      <c r="F189" t="s">
        <v>1189</v>
      </c>
      <c r="G189" s="302">
        <v>2023</v>
      </c>
      <c r="H189">
        <v>1</v>
      </c>
      <c r="I189" t="s">
        <v>1242</v>
      </c>
      <c r="J189">
        <v>1</v>
      </c>
      <c r="K189" s="298">
        <f>VLOOKUP(Tabel16[[#This Row],[Code taak]],InvulMJOP[],3,FALSE)*Tabel16[[#This Row],[Oppervlakte/Stuks]]*Tabel16[[#This Row],[Frequentie (uitv./jaar)]]</f>
        <v>0</v>
      </c>
      <c r="L189" s="299" t="s">
        <v>1247</v>
      </c>
    </row>
    <row r="190" spans="1:12">
      <c r="A190">
        <v>10</v>
      </c>
      <c r="B190" t="str">
        <f>VLOOKUP(A190,Locaties[[#All],[Code]:[Locatie]],2,FALSE)</f>
        <v>De Stapsteen (2 gebouwen)</v>
      </c>
      <c r="C190" t="s">
        <v>1205</v>
      </c>
      <c r="D190" t="s">
        <v>1175</v>
      </c>
      <c r="E190">
        <v>15</v>
      </c>
      <c r="F190" t="s">
        <v>1189</v>
      </c>
      <c r="G190" s="302">
        <v>2028</v>
      </c>
      <c r="H190">
        <v>1</v>
      </c>
      <c r="I190" t="s">
        <v>1242</v>
      </c>
      <c r="J190">
        <v>1</v>
      </c>
      <c r="K190" s="298">
        <f>VLOOKUP(Tabel16[[#This Row],[Code taak]],InvulMJOP[],3,FALSE)*Tabel16[[#This Row],[Oppervlakte/Stuks]]*Tabel16[[#This Row],[Frequentie (uitv./jaar)]]</f>
        <v>0</v>
      </c>
      <c r="L190" s="299" t="s">
        <v>1247</v>
      </c>
    </row>
    <row r="191" spans="1:12">
      <c r="A191">
        <v>9</v>
      </c>
      <c r="B191" t="str">
        <f>VLOOKUP(A191,Locaties[[#All],[Code]:[Locatie]],2,FALSE)</f>
        <v>De Stapsteen (De Zevensprong)</v>
      </c>
      <c r="C191" t="s">
        <v>1206</v>
      </c>
      <c r="D191" t="s">
        <v>1173</v>
      </c>
      <c r="E191">
        <v>3</v>
      </c>
      <c r="F191" t="s">
        <v>1174</v>
      </c>
      <c r="G191" s="302">
        <v>2026</v>
      </c>
      <c r="H191">
        <v>315</v>
      </c>
      <c r="I191" t="s">
        <v>1240</v>
      </c>
      <c r="J191">
        <v>1</v>
      </c>
      <c r="K191" s="298">
        <f>VLOOKUP(Tabel16[[#This Row],[Code taak]],InvulMJOP[],3,FALSE)*Tabel16[[#This Row],[Oppervlakte/Stuks]]*Tabel16[[#This Row],[Frequentie (uitv./jaar)]]</f>
        <v>0</v>
      </c>
      <c r="L191" s="306"/>
    </row>
    <row r="192" spans="1:12">
      <c r="A192">
        <v>9</v>
      </c>
      <c r="B192" t="str">
        <f>VLOOKUP(A192,Locaties[[#All],[Code]:[Locatie]],2,FALSE)</f>
        <v>De Stapsteen (De Zevensprong)</v>
      </c>
      <c r="C192" t="s">
        <v>1206</v>
      </c>
      <c r="D192" t="s">
        <v>1179</v>
      </c>
      <c r="E192">
        <v>6</v>
      </c>
      <c r="F192" t="s">
        <v>1180</v>
      </c>
      <c r="G192" s="302">
        <v>2021</v>
      </c>
      <c r="H192">
        <v>45.5</v>
      </c>
      <c r="I192" t="s">
        <v>1239</v>
      </c>
      <c r="J192">
        <v>1</v>
      </c>
      <c r="K192" s="298">
        <f>VLOOKUP(Tabel16[[#This Row],[Code taak]],InvulMJOP[],3,FALSE)*Tabel16[[#This Row],[Oppervlakte/Stuks]]*Tabel16[[#This Row],[Frequentie (uitv./jaar)]]</f>
        <v>0</v>
      </c>
      <c r="L192" s="306"/>
    </row>
    <row r="193" spans="1:12">
      <c r="A193">
        <v>9</v>
      </c>
      <c r="B193" t="str">
        <f>VLOOKUP(A193,Locaties[[#All],[Code]:[Locatie]],2,FALSE)</f>
        <v>De Stapsteen (De Zevensprong)</v>
      </c>
      <c r="C193" t="s">
        <v>1206</v>
      </c>
      <c r="D193" t="s">
        <v>1179</v>
      </c>
      <c r="E193">
        <v>6</v>
      </c>
      <c r="F193" t="s">
        <v>1180</v>
      </c>
      <c r="G193" s="302">
        <v>2027</v>
      </c>
      <c r="H193">
        <v>45.5</v>
      </c>
      <c r="I193" t="s">
        <v>1239</v>
      </c>
      <c r="J193">
        <v>1</v>
      </c>
      <c r="K193" s="298">
        <f>VLOOKUP(Tabel16[[#This Row],[Code taak]],InvulMJOP[],3,FALSE)*Tabel16[[#This Row],[Oppervlakte/Stuks]]*Tabel16[[#This Row],[Frequentie (uitv./jaar)]]</f>
        <v>0</v>
      </c>
      <c r="L193" s="306"/>
    </row>
    <row r="194" spans="1:12">
      <c r="A194">
        <v>9</v>
      </c>
      <c r="B194" t="str">
        <f>VLOOKUP(A194,Locaties[[#All],[Code]:[Locatie]],2,FALSE)</f>
        <v>De Stapsteen (De Zevensprong)</v>
      </c>
      <c r="C194" t="s">
        <v>1206</v>
      </c>
      <c r="D194" t="s">
        <v>1179</v>
      </c>
      <c r="E194">
        <v>9</v>
      </c>
      <c r="F194" t="s">
        <v>1183</v>
      </c>
      <c r="G194" s="302">
        <v>2021</v>
      </c>
      <c r="H194">
        <v>36.5</v>
      </c>
      <c r="I194" t="s">
        <v>1241</v>
      </c>
      <c r="J194">
        <v>1</v>
      </c>
      <c r="K194" s="298">
        <f>VLOOKUP(Tabel16[[#This Row],[Code taak]],InvulMJOP[],3,FALSE)*Tabel16[[#This Row],[Oppervlakte/Stuks]]*Tabel16[[#This Row],[Frequentie (uitv./jaar)]]</f>
        <v>0</v>
      </c>
      <c r="L194" s="306"/>
    </row>
    <row r="195" spans="1:12">
      <c r="A195">
        <v>9</v>
      </c>
      <c r="B195" t="str">
        <f>VLOOKUP(A195,Locaties[[#All],[Code]:[Locatie]],2,FALSE)</f>
        <v>De Stapsteen (De Zevensprong)</v>
      </c>
      <c r="C195" t="s">
        <v>1206</v>
      </c>
      <c r="D195" t="s">
        <v>1179</v>
      </c>
      <c r="E195">
        <v>9</v>
      </c>
      <c r="F195" t="s">
        <v>1183</v>
      </c>
      <c r="G195" s="302">
        <v>2027</v>
      </c>
      <c r="H195">
        <v>36.5</v>
      </c>
      <c r="I195" t="s">
        <v>1241</v>
      </c>
      <c r="J195">
        <v>1</v>
      </c>
      <c r="K195" s="298">
        <f>VLOOKUP(Tabel16[[#This Row],[Code taak]],InvulMJOP[],3,FALSE)*Tabel16[[#This Row],[Oppervlakte/Stuks]]*Tabel16[[#This Row],[Frequentie (uitv./jaar)]]</f>
        <v>0</v>
      </c>
      <c r="L195" s="306"/>
    </row>
    <row r="196" spans="1:12">
      <c r="A196">
        <v>9</v>
      </c>
      <c r="B196" t="str">
        <f>VLOOKUP(A196,Locaties[[#All],[Code]:[Locatie]],2,FALSE)</f>
        <v>De Stapsteen (De Zevensprong)</v>
      </c>
      <c r="C196" t="s">
        <v>1207</v>
      </c>
      <c r="D196" t="s">
        <v>1179</v>
      </c>
      <c r="E196">
        <v>6</v>
      </c>
      <c r="F196" t="s">
        <v>1180</v>
      </c>
      <c r="G196" s="302">
        <v>2021</v>
      </c>
      <c r="H196">
        <v>158</v>
      </c>
      <c r="I196" t="s">
        <v>1239</v>
      </c>
      <c r="J196">
        <v>1</v>
      </c>
      <c r="K196" s="298">
        <f>VLOOKUP(Tabel16[[#This Row],[Code taak]],InvulMJOP[],3,FALSE)*Tabel16[[#This Row],[Oppervlakte/Stuks]]*Tabel16[[#This Row],[Frequentie (uitv./jaar)]]</f>
        <v>0</v>
      </c>
      <c r="L196" s="306"/>
    </row>
    <row r="197" spans="1:12">
      <c r="A197">
        <v>9</v>
      </c>
      <c r="B197" t="str">
        <f>VLOOKUP(A197,Locaties[[#All],[Code]:[Locatie]],2,FALSE)</f>
        <v>De Stapsteen (De Zevensprong)</v>
      </c>
      <c r="C197" t="s">
        <v>1207</v>
      </c>
      <c r="D197" t="s">
        <v>1179</v>
      </c>
      <c r="E197">
        <v>6</v>
      </c>
      <c r="F197" t="s">
        <v>1180</v>
      </c>
      <c r="G197" s="302">
        <v>2027</v>
      </c>
      <c r="H197">
        <v>158</v>
      </c>
      <c r="I197" t="s">
        <v>1239</v>
      </c>
      <c r="J197">
        <v>1</v>
      </c>
      <c r="K197" s="298">
        <f>VLOOKUP(Tabel16[[#This Row],[Code taak]],InvulMJOP[],3,FALSE)*Tabel16[[#This Row],[Oppervlakte/Stuks]]*Tabel16[[#This Row],[Frequentie (uitv./jaar)]]</f>
        <v>0</v>
      </c>
    </row>
    <row r="198" spans="1:12">
      <c r="A198">
        <v>9</v>
      </c>
      <c r="B198" t="str">
        <f>VLOOKUP(A198,Locaties[[#All],[Code]:[Locatie]],2,FALSE)</f>
        <v>De Stapsteen (De Zevensprong)</v>
      </c>
      <c r="C198" t="s">
        <v>1207</v>
      </c>
      <c r="D198" t="s">
        <v>1179</v>
      </c>
      <c r="E198">
        <v>7</v>
      </c>
      <c r="F198" t="s">
        <v>1181</v>
      </c>
      <c r="G198" s="302">
        <v>2021</v>
      </c>
      <c r="H198">
        <v>33.5</v>
      </c>
      <c r="I198" t="s">
        <v>1239</v>
      </c>
      <c r="J198">
        <v>1</v>
      </c>
      <c r="K198" s="298">
        <f>VLOOKUP(Tabel16[[#This Row],[Code taak]],InvulMJOP[],3,FALSE)*Tabel16[[#This Row],[Oppervlakte/Stuks]]*Tabel16[[#This Row],[Frequentie (uitv./jaar)]]</f>
        <v>0</v>
      </c>
    </row>
    <row r="199" spans="1:12">
      <c r="A199">
        <v>9</v>
      </c>
      <c r="B199" t="str">
        <f>VLOOKUP(A199,Locaties[[#All],[Code]:[Locatie]],2,FALSE)</f>
        <v>De Stapsteen (De Zevensprong)</v>
      </c>
      <c r="C199" t="s">
        <v>1207</v>
      </c>
      <c r="D199" t="s">
        <v>1179</v>
      </c>
      <c r="E199">
        <v>7</v>
      </c>
      <c r="F199" t="s">
        <v>1181</v>
      </c>
      <c r="G199" s="302">
        <v>2027</v>
      </c>
      <c r="H199">
        <v>33.5</v>
      </c>
      <c r="I199" t="s">
        <v>1239</v>
      </c>
      <c r="J199">
        <v>1</v>
      </c>
      <c r="K199" s="298">
        <f>VLOOKUP(Tabel16[[#This Row],[Code taak]],InvulMJOP[],3,FALSE)*Tabel16[[#This Row],[Oppervlakte/Stuks]]*Tabel16[[#This Row],[Frequentie (uitv./jaar)]]</f>
        <v>0</v>
      </c>
    </row>
    <row r="200" spans="1:12">
      <c r="A200">
        <v>2</v>
      </c>
      <c r="B200" t="str">
        <f>VLOOKUP(A200,Locaties[[#All],[Code]:[Locatie]],2,FALSE)</f>
        <v>Neon College – Enschede</v>
      </c>
      <c r="C200" t="s">
        <v>1208</v>
      </c>
      <c r="D200" t="s">
        <v>1170</v>
      </c>
      <c r="E200">
        <v>4</v>
      </c>
      <c r="F200" t="s">
        <v>1177</v>
      </c>
      <c r="G200" s="302">
        <v>2021</v>
      </c>
      <c r="H200">
        <v>129.30000000000001</v>
      </c>
      <c r="I200" t="s">
        <v>1239</v>
      </c>
      <c r="J200">
        <v>1</v>
      </c>
      <c r="K200" s="298">
        <f>VLOOKUP(Tabel16[[#This Row],[Code taak]],InvulMJOP[],3,FALSE)*Tabel16[[#This Row],[Oppervlakte/Stuks]]*Tabel16[[#This Row],[Frequentie (uitv./jaar)]]</f>
        <v>0</v>
      </c>
    </row>
    <row r="201" spans="1:12">
      <c r="A201">
        <v>2</v>
      </c>
      <c r="B201" t="str">
        <f>VLOOKUP(A201,Locaties[[#All],[Code]:[Locatie]],2,FALSE)</f>
        <v>Neon College – Enschede</v>
      </c>
      <c r="C201" t="s">
        <v>1208</v>
      </c>
      <c r="D201" t="s">
        <v>1170</v>
      </c>
      <c r="E201">
        <v>4</v>
      </c>
      <c r="F201" t="s">
        <v>1177</v>
      </c>
      <c r="G201" s="302">
        <v>2022</v>
      </c>
      <c r="H201">
        <v>129.30000000000001</v>
      </c>
      <c r="I201" t="s">
        <v>1239</v>
      </c>
      <c r="J201">
        <v>1</v>
      </c>
      <c r="K201" s="298">
        <f>VLOOKUP(Tabel16[[#This Row],[Code taak]],InvulMJOP[],3,FALSE)*Tabel16[[#This Row],[Oppervlakte/Stuks]]*Tabel16[[#This Row],[Frequentie (uitv./jaar)]]</f>
        <v>0</v>
      </c>
    </row>
    <row r="202" spans="1:12">
      <c r="A202">
        <v>2</v>
      </c>
      <c r="B202" t="str">
        <f>VLOOKUP(A202,Locaties[[#All],[Code]:[Locatie]],2,FALSE)</f>
        <v>Neon College – Enschede</v>
      </c>
      <c r="C202" t="s">
        <v>1208</v>
      </c>
      <c r="D202" t="s">
        <v>1170</v>
      </c>
      <c r="E202">
        <v>4</v>
      </c>
      <c r="F202" t="s">
        <v>1177</v>
      </c>
      <c r="G202" s="302">
        <v>2023</v>
      </c>
      <c r="H202">
        <v>129.30000000000001</v>
      </c>
      <c r="I202" t="s">
        <v>1239</v>
      </c>
      <c r="J202">
        <v>1</v>
      </c>
      <c r="K202" s="298">
        <f>VLOOKUP(Tabel16[[#This Row],[Code taak]],InvulMJOP[],3,FALSE)*Tabel16[[#This Row],[Oppervlakte/Stuks]]*Tabel16[[#This Row],[Frequentie (uitv./jaar)]]</f>
        <v>0</v>
      </c>
    </row>
    <row r="203" spans="1:12">
      <c r="A203">
        <v>2</v>
      </c>
      <c r="B203" t="str">
        <f>VLOOKUP(A203,Locaties[[#All],[Code]:[Locatie]],2,FALSE)</f>
        <v>Neon College – Enschede</v>
      </c>
      <c r="C203" t="s">
        <v>1208</v>
      </c>
      <c r="D203" t="s">
        <v>1170</v>
      </c>
      <c r="E203">
        <v>4</v>
      </c>
      <c r="F203" t="s">
        <v>1177</v>
      </c>
      <c r="G203" s="302">
        <v>2024</v>
      </c>
      <c r="H203">
        <v>129.30000000000001</v>
      </c>
      <c r="I203" t="s">
        <v>1239</v>
      </c>
      <c r="J203">
        <v>1</v>
      </c>
      <c r="K203" s="298">
        <f>VLOOKUP(Tabel16[[#This Row],[Code taak]],InvulMJOP[],3,FALSE)*Tabel16[[#This Row],[Oppervlakte/Stuks]]*Tabel16[[#This Row],[Frequentie (uitv./jaar)]]</f>
        <v>0</v>
      </c>
    </row>
    <row r="204" spans="1:12">
      <c r="A204">
        <v>2</v>
      </c>
      <c r="B204" t="str">
        <f>VLOOKUP(A204,Locaties[[#All],[Code]:[Locatie]],2,FALSE)</f>
        <v>Neon College – Enschede</v>
      </c>
      <c r="C204" t="s">
        <v>1208</v>
      </c>
      <c r="D204" t="s">
        <v>1170</v>
      </c>
      <c r="E204">
        <v>4</v>
      </c>
      <c r="F204" t="s">
        <v>1177</v>
      </c>
      <c r="G204" s="302">
        <v>2025</v>
      </c>
      <c r="H204">
        <v>129.30000000000001</v>
      </c>
      <c r="I204" t="s">
        <v>1239</v>
      </c>
      <c r="J204">
        <v>1</v>
      </c>
      <c r="K204" s="298">
        <f>VLOOKUP(Tabel16[[#This Row],[Code taak]],InvulMJOP[],3,FALSE)*Tabel16[[#This Row],[Oppervlakte/Stuks]]*Tabel16[[#This Row],[Frequentie (uitv./jaar)]]</f>
        <v>0</v>
      </c>
    </row>
    <row r="205" spans="1:12">
      <c r="A205">
        <v>2</v>
      </c>
      <c r="B205" t="str">
        <f>VLOOKUP(A205,Locaties[[#All],[Code]:[Locatie]],2,FALSE)</f>
        <v>Neon College – Enschede</v>
      </c>
      <c r="C205" t="s">
        <v>1208</v>
      </c>
      <c r="D205" t="s">
        <v>1170</v>
      </c>
      <c r="E205">
        <v>4</v>
      </c>
      <c r="F205" t="s">
        <v>1177</v>
      </c>
      <c r="G205" s="302">
        <v>2026</v>
      </c>
      <c r="H205">
        <v>129.30000000000001</v>
      </c>
      <c r="I205" t="s">
        <v>1239</v>
      </c>
      <c r="J205">
        <v>1</v>
      </c>
      <c r="K205" s="298">
        <f>VLOOKUP(Tabel16[[#This Row],[Code taak]],InvulMJOP[],3,FALSE)*Tabel16[[#This Row],[Oppervlakte/Stuks]]*Tabel16[[#This Row],[Frequentie (uitv./jaar)]]</f>
        <v>0</v>
      </c>
    </row>
    <row r="206" spans="1:12">
      <c r="A206">
        <v>2</v>
      </c>
      <c r="B206" t="str">
        <f>VLOOKUP(A206,Locaties[[#All],[Code]:[Locatie]],2,FALSE)</f>
        <v>Neon College – Enschede</v>
      </c>
      <c r="C206" t="s">
        <v>1208</v>
      </c>
      <c r="D206" t="s">
        <v>1170</v>
      </c>
      <c r="E206">
        <v>4</v>
      </c>
      <c r="F206" t="s">
        <v>1177</v>
      </c>
      <c r="G206" s="302">
        <v>2027</v>
      </c>
      <c r="H206">
        <v>129.30000000000001</v>
      </c>
      <c r="I206" t="s">
        <v>1239</v>
      </c>
      <c r="J206">
        <v>1</v>
      </c>
      <c r="K206" s="298">
        <f>VLOOKUP(Tabel16[[#This Row],[Code taak]],InvulMJOP[],3,FALSE)*Tabel16[[#This Row],[Oppervlakte/Stuks]]*Tabel16[[#This Row],[Frequentie (uitv./jaar)]]</f>
        <v>0</v>
      </c>
    </row>
    <row r="207" spans="1:12">
      <c r="A207">
        <v>2</v>
      </c>
      <c r="B207" t="str">
        <f>VLOOKUP(A207,Locaties[[#All],[Code]:[Locatie]],2,FALSE)</f>
        <v>Neon College – Enschede</v>
      </c>
      <c r="C207" t="s">
        <v>1208</v>
      </c>
      <c r="D207" t="s">
        <v>1170</v>
      </c>
      <c r="E207">
        <v>4</v>
      </c>
      <c r="F207" t="s">
        <v>1177</v>
      </c>
      <c r="G207" s="302">
        <v>2028</v>
      </c>
      <c r="H207">
        <v>129.30000000000001</v>
      </c>
      <c r="I207" t="s">
        <v>1239</v>
      </c>
      <c r="J207">
        <v>1</v>
      </c>
      <c r="K207" s="298">
        <f>VLOOKUP(Tabel16[[#This Row],[Code taak]],InvulMJOP[],3,FALSE)*Tabel16[[#This Row],[Oppervlakte/Stuks]]*Tabel16[[#This Row],[Frequentie (uitv./jaar)]]</f>
        <v>0</v>
      </c>
    </row>
    <row r="208" spans="1:12">
      <c r="A208">
        <v>2</v>
      </c>
      <c r="B208" t="str">
        <f>VLOOKUP(A208,Locaties[[#All],[Code]:[Locatie]],2,FALSE)</f>
        <v>Neon College – Enschede</v>
      </c>
      <c r="C208" t="s">
        <v>1208</v>
      </c>
      <c r="D208" t="s">
        <v>1170</v>
      </c>
      <c r="E208">
        <v>4</v>
      </c>
      <c r="F208" t="s">
        <v>1177</v>
      </c>
      <c r="G208" s="302">
        <v>2029</v>
      </c>
      <c r="H208">
        <v>129.30000000000001</v>
      </c>
      <c r="I208" t="s">
        <v>1239</v>
      </c>
      <c r="J208">
        <v>1</v>
      </c>
      <c r="K208" s="298">
        <f>VLOOKUP(Tabel16[[#This Row],[Code taak]],InvulMJOP[],3,FALSE)*Tabel16[[#This Row],[Oppervlakte/Stuks]]*Tabel16[[#This Row],[Frequentie (uitv./jaar)]]</f>
        <v>0</v>
      </c>
    </row>
    <row r="209" spans="1:12">
      <c r="A209">
        <v>2</v>
      </c>
      <c r="B209" t="str">
        <f>VLOOKUP(A209,Locaties[[#All],[Code]:[Locatie]],2,FALSE)</f>
        <v>Neon College – Enschede</v>
      </c>
      <c r="C209" t="s">
        <v>1208</v>
      </c>
      <c r="D209" t="s">
        <v>1179</v>
      </c>
      <c r="E209">
        <v>22</v>
      </c>
      <c r="F209" t="s">
        <v>1200</v>
      </c>
      <c r="G209" s="302">
        <v>2021</v>
      </c>
      <c r="H209">
        <v>8</v>
      </c>
      <c r="I209" t="s">
        <v>1239</v>
      </c>
      <c r="J209">
        <v>1</v>
      </c>
      <c r="K209" s="298">
        <f>VLOOKUP(Tabel16[[#This Row],[Code taak]],InvulMJOP[],3,FALSE)*Tabel16[[#This Row],[Oppervlakte/Stuks]]*Tabel16[[#This Row],[Frequentie (uitv./jaar)]]</f>
        <v>0</v>
      </c>
    </row>
    <row r="210" spans="1:12">
      <c r="A210">
        <v>2</v>
      </c>
      <c r="B210" t="str">
        <f>VLOOKUP(A210,Locaties[[#All],[Code]:[Locatie]],2,FALSE)</f>
        <v>Neon College – Enschede</v>
      </c>
      <c r="C210" t="s">
        <v>1208</v>
      </c>
      <c r="D210" t="s">
        <v>1179</v>
      </c>
      <c r="E210">
        <v>22</v>
      </c>
      <c r="F210" t="s">
        <v>1200</v>
      </c>
      <c r="G210" s="302">
        <v>2027</v>
      </c>
      <c r="H210">
        <v>8</v>
      </c>
      <c r="I210" t="s">
        <v>1239</v>
      </c>
      <c r="J210">
        <v>1</v>
      </c>
      <c r="K210" s="298">
        <f>VLOOKUP(Tabel16[[#This Row],[Code taak]],InvulMJOP[],3,FALSE)*Tabel16[[#This Row],[Oppervlakte/Stuks]]*Tabel16[[#This Row],[Frequentie (uitv./jaar)]]</f>
        <v>0</v>
      </c>
    </row>
    <row r="211" spans="1:12">
      <c r="A211">
        <v>2</v>
      </c>
      <c r="B211" t="str">
        <f>VLOOKUP(A211,Locaties[[#All],[Code]:[Locatie]],2,FALSE)</f>
        <v>Neon College – Enschede</v>
      </c>
      <c r="C211" t="s">
        <v>1208</v>
      </c>
      <c r="D211" t="s">
        <v>1179</v>
      </c>
      <c r="E211">
        <v>6</v>
      </c>
      <c r="F211" t="s">
        <v>1180</v>
      </c>
      <c r="G211" s="302">
        <v>2021</v>
      </c>
      <c r="H211">
        <v>30</v>
      </c>
      <c r="I211" t="s">
        <v>1239</v>
      </c>
      <c r="J211">
        <v>1</v>
      </c>
      <c r="K211" s="298">
        <f>VLOOKUP(Tabel16[[#This Row],[Code taak]],InvulMJOP[],3,FALSE)*Tabel16[[#This Row],[Oppervlakte/Stuks]]*Tabel16[[#This Row],[Frequentie (uitv./jaar)]]</f>
        <v>0</v>
      </c>
    </row>
    <row r="212" spans="1:12">
      <c r="A212">
        <v>2</v>
      </c>
      <c r="B212" t="str">
        <f>VLOOKUP(A212,Locaties[[#All],[Code]:[Locatie]],2,FALSE)</f>
        <v>Neon College – Enschede</v>
      </c>
      <c r="C212" t="s">
        <v>1208</v>
      </c>
      <c r="D212" t="s">
        <v>1179</v>
      </c>
      <c r="E212">
        <v>6</v>
      </c>
      <c r="F212" t="s">
        <v>1180</v>
      </c>
      <c r="G212" s="302">
        <v>2027</v>
      </c>
      <c r="H212">
        <v>30</v>
      </c>
      <c r="I212" t="s">
        <v>1239</v>
      </c>
      <c r="J212">
        <v>1</v>
      </c>
      <c r="K212" s="298">
        <f>VLOOKUP(Tabel16[[#This Row],[Code taak]],InvulMJOP[],3,FALSE)*Tabel16[[#This Row],[Oppervlakte/Stuks]]*Tabel16[[#This Row],[Frequentie (uitv./jaar)]]</f>
        <v>0</v>
      </c>
    </row>
    <row r="213" spans="1:12">
      <c r="A213">
        <v>2</v>
      </c>
      <c r="B213" t="str">
        <f>VLOOKUP(A213,Locaties[[#All],[Code]:[Locatie]],2,FALSE)</f>
        <v>Neon College – Enschede</v>
      </c>
      <c r="C213" t="s">
        <v>1208</v>
      </c>
      <c r="D213" t="s">
        <v>1179</v>
      </c>
      <c r="E213">
        <v>11</v>
      </c>
      <c r="F213" t="s">
        <v>1185</v>
      </c>
      <c r="G213" s="302">
        <v>2021</v>
      </c>
      <c r="H213">
        <v>4</v>
      </c>
      <c r="I213" t="s">
        <v>1241</v>
      </c>
      <c r="J213">
        <v>1</v>
      </c>
      <c r="K213" s="298">
        <f>VLOOKUP(Tabel16[[#This Row],[Code taak]],InvulMJOP[],3,FALSE)*Tabel16[[#This Row],[Oppervlakte/Stuks]]*Tabel16[[#This Row],[Frequentie (uitv./jaar)]]</f>
        <v>0</v>
      </c>
    </row>
    <row r="214" spans="1:12">
      <c r="A214">
        <v>2</v>
      </c>
      <c r="B214" t="str">
        <f>VLOOKUP(A214,Locaties[[#All],[Code]:[Locatie]],2,FALSE)</f>
        <v>Neon College – Enschede</v>
      </c>
      <c r="C214" t="s">
        <v>1208</v>
      </c>
      <c r="D214" t="s">
        <v>1179</v>
      </c>
      <c r="E214">
        <v>11</v>
      </c>
      <c r="F214" t="s">
        <v>1185</v>
      </c>
      <c r="G214" s="302">
        <v>2027</v>
      </c>
      <c r="H214">
        <v>4</v>
      </c>
      <c r="I214" t="s">
        <v>1241</v>
      </c>
      <c r="J214">
        <v>1</v>
      </c>
      <c r="K214" s="298">
        <f>VLOOKUP(Tabel16[[#This Row],[Code taak]],InvulMJOP[],3,FALSE)*Tabel16[[#This Row],[Oppervlakte/Stuks]]*Tabel16[[#This Row],[Frequentie (uitv./jaar)]]</f>
        <v>0</v>
      </c>
    </row>
    <row r="215" spans="1:12">
      <c r="A215">
        <v>2</v>
      </c>
      <c r="B215" t="str">
        <f>VLOOKUP(A215,Locaties[[#All],[Code]:[Locatie]],2,FALSE)</f>
        <v>Neon College – Enschede</v>
      </c>
      <c r="C215" t="s">
        <v>1208</v>
      </c>
      <c r="D215" t="s">
        <v>1175</v>
      </c>
      <c r="E215">
        <v>13</v>
      </c>
      <c r="F215" t="s">
        <v>1187</v>
      </c>
      <c r="G215" s="302">
        <v>2022</v>
      </c>
      <c r="H215">
        <v>517</v>
      </c>
      <c r="I215" t="s">
        <v>1241</v>
      </c>
      <c r="J215">
        <v>1</v>
      </c>
      <c r="K215" s="298">
        <f>VLOOKUP(Tabel16[[#This Row],[Code taak]],InvulMJOP[],3,FALSE)*Tabel16[[#This Row],[Oppervlakte/Stuks]]*Tabel16[[#This Row],[Frequentie (uitv./jaar)]]</f>
        <v>0</v>
      </c>
      <c r="L215" s="306"/>
    </row>
    <row r="216" spans="1:12">
      <c r="A216">
        <v>2</v>
      </c>
      <c r="B216" t="str">
        <f>VLOOKUP(A216,Locaties[[#All],[Code]:[Locatie]],2,FALSE)</f>
        <v>Neon College – Enschede</v>
      </c>
      <c r="C216" t="s">
        <v>1208</v>
      </c>
      <c r="D216" t="s">
        <v>1175</v>
      </c>
      <c r="E216">
        <v>13</v>
      </c>
      <c r="F216" t="s">
        <v>1187</v>
      </c>
      <c r="G216" s="302">
        <v>2026</v>
      </c>
      <c r="H216">
        <v>517</v>
      </c>
      <c r="I216" t="s">
        <v>1241</v>
      </c>
      <c r="J216">
        <v>1</v>
      </c>
      <c r="K216" s="298">
        <f>VLOOKUP(Tabel16[[#This Row],[Code taak]],InvulMJOP[],3,FALSE)*Tabel16[[#This Row],[Oppervlakte/Stuks]]*Tabel16[[#This Row],[Frequentie (uitv./jaar)]]</f>
        <v>0</v>
      </c>
      <c r="L216" s="306"/>
    </row>
    <row r="217" spans="1:12">
      <c r="A217">
        <v>2</v>
      </c>
      <c r="B217" t="str">
        <f>VLOOKUP(A217,Locaties[[#All],[Code]:[Locatie]],2,FALSE)</f>
        <v>Neon College – Enschede</v>
      </c>
      <c r="C217" t="s">
        <v>1208</v>
      </c>
      <c r="D217" t="s">
        <v>1175</v>
      </c>
      <c r="E217">
        <v>14</v>
      </c>
      <c r="F217" t="s">
        <v>1188</v>
      </c>
      <c r="G217" s="302">
        <v>2021</v>
      </c>
      <c r="H217">
        <v>517</v>
      </c>
      <c r="I217" t="s">
        <v>1241</v>
      </c>
      <c r="J217">
        <v>1</v>
      </c>
      <c r="K217" s="298">
        <f>VLOOKUP(Tabel16[[#This Row],[Code taak]],InvulMJOP[],3,FALSE)*Tabel16[[#This Row],[Oppervlakte/Stuks]]*Tabel16[[#This Row],[Frequentie (uitv./jaar)]]</f>
        <v>0</v>
      </c>
      <c r="L217" s="306"/>
    </row>
    <row r="218" spans="1:12">
      <c r="A218">
        <v>2</v>
      </c>
      <c r="B218" t="str">
        <f>VLOOKUP(A218,Locaties[[#All],[Code]:[Locatie]],2,FALSE)</f>
        <v>Neon College – Enschede</v>
      </c>
      <c r="C218" t="s">
        <v>1208</v>
      </c>
      <c r="D218" t="s">
        <v>1175</v>
      </c>
      <c r="E218">
        <v>14</v>
      </c>
      <c r="F218" t="s">
        <v>1188</v>
      </c>
      <c r="G218" s="302">
        <v>2025</v>
      </c>
      <c r="H218">
        <v>517</v>
      </c>
      <c r="I218" t="s">
        <v>1241</v>
      </c>
      <c r="J218">
        <v>1</v>
      </c>
      <c r="K218" s="298">
        <f>VLOOKUP(Tabel16[[#This Row],[Code taak]],InvulMJOP[],3,FALSE)*Tabel16[[#This Row],[Oppervlakte/Stuks]]*Tabel16[[#This Row],[Frequentie (uitv./jaar)]]</f>
        <v>0</v>
      </c>
      <c r="L218" s="306"/>
    </row>
    <row r="219" spans="1:12">
      <c r="A219">
        <v>2</v>
      </c>
      <c r="B219" t="str">
        <f>VLOOKUP(A219,Locaties[[#All],[Code]:[Locatie]],2,FALSE)</f>
        <v>Neon College – Enschede</v>
      </c>
      <c r="C219" t="s">
        <v>1208</v>
      </c>
      <c r="D219" t="s">
        <v>1175</v>
      </c>
      <c r="E219">
        <v>14</v>
      </c>
      <c r="F219" t="s">
        <v>1188</v>
      </c>
      <c r="G219" s="302">
        <v>2029</v>
      </c>
      <c r="H219">
        <v>517</v>
      </c>
      <c r="I219" t="s">
        <v>1241</v>
      </c>
      <c r="J219">
        <v>1</v>
      </c>
      <c r="K219" s="298">
        <f>VLOOKUP(Tabel16[[#This Row],[Code taak]],InvulMJOP[],3,FALSE)*Tabel16[[#This Row],[Oppervlakte/Stuks]]*Tabel16[[#This Row],[Frequentie (uitv./jaar)]]</f>
        <v>0</v>
      </c>
      <c r="L219" s="306"/>
    </row>
    <row r="220" spans="1:12">
      <c r="A220">
        <v>2</v>
      </c>
      <c r="B220" t="str">
        <f>VLOOKUP(A220,Locaties[[#All],[Code]:[Locatie]],2,FALSE)</f>
        <v>Neon College – Enschede</v>
      </c>
      <c r="C220" t="s">
        <v>1208</v>
      </c>
      <c r="D220" t="s">
        <v>1175</v>
      </c>
      <c r="E220">
        <v>15</v>
      </c>
      <c r="F220" t="s">
        <v>1189</v>
      </c>
      <c r="G220" s="302">
        <v>2023</v>
      </c>
      <c r="H220">
        <v>1</v>
      </c>
      <c r="I220" t="s">
        <v>1242</v>
      </c>
      <c r="J220">
        <v>1</v>
      </c>
      <c r="K220" s="298">
        <f>VLOOKUP(Tabel16[[#This Row],[Code taak]],InvulMJOP[],3,FALSE)*Tabel16[[#This Row],[Oppervlakte/Stuks]]*Tabel16[[#This Row],[Frequentie (uitv./jaar)]]</f>
        <v>0</v>
      </c>
      <c r="L220" s="299" t="s">
        <v>1247</v>
      </c>
    </row>
    <row r="221" spans="1:12">
      <c r="A221">
        <v>2</v>
      </c>
      <c r="B221" t="str">
        <f>VLOOKUP(A221,Locaties[[#All],[Code]:[Locatie]],2,FALSE)</f>
        <v>Neon College – Enschede</v>
      </c>
      <c r="C221" t="s">
        <v>1208</v>
      </c>
      <c r="D221" t="s">
        <v>1175</v>
      </c>
      <c r="E221">
        <v>15</v>
      </c>
      <c r="F221" t="s">
        <v>1189</v>
      </c>
      <c r="G221" s="302">
        <v>2028</v>
      </c>
      <c r="H221">
        <v>1</v>
      </c>
      <c r="I221" t="s">
        <v>1242</v>
      </c>
      <c r="J221">
        <v>1</v>
      </c>
      <c r="K221" s="298">
        <f>VLOOKUP(Tabel16[[#This Row],[Code taak]],InvulMJOP[],3,FALSE)*Tabel16[[#This Row],[Oppervlakte/Stuks]]*Tabel16[[#This Row],[Frequentie (uitv./jaar)]]</f>
        <v>0</v>
      </c>
      <c r="L221" s="299" t="s">
        <v>1247</v>
      </c>
    </row>
    <row r="222" spans="1:12">
      <c r="A222">
        <v>2</v>
      </c>
      <c r="B222" t="str">
        <f>VLOOKUP(A222,Locaties[[#All],[Code]:[Locatie]],2,FALSE)</f>
        <v>Neon College – Enschede</v>
      </c>
      <c r="C222" t="s">
        <v>1209</v>
      </c>
      <c r="D222" t="s">
        <v>1170</v>
      </c>
      <c r="E222">
        <v>4</v>
      </c>
      <c r="F222" t="s">
        <v>1177</v>
      </c>
      <c r="G222" s="302">
        <v>2021</v>
      </c>
      <c r="H222">
        <v>24</v>
      </c>
      <c r="I222" t="s">
        <v>1239</v>
      </c>
      <c r="J222">
        <v>1</v>
      </c>
      <c r="K222" s="298">
        <f>VLOOKUP(Tabel16[[#This Row],[Code taak]],InvulMJOP[],3,FALSE)*Tabel16[[#This Row],[Oppervlakte/Stuks]]*Tabel16[[#This Row],[Frequentie (uitv./jaar)]]</f>
        <v>0</v>
      </c>
      <c r="L222" s="306"/>
    </row>
    <row r="223" spans="1:12">
      <c r="A223">
        <v>2</v>
      </c>
      <c r="B223" t="str">
        <f>VLOOKUP(A223,Locaties[[#All],[Code]:[Locatie]],2,FALSE)</f>
        <v>Neon College – Enschede</v>
      </c>
      <c r="C223" t="s">
        <v>1209</v>
      </c>
      <c r="D223" t="s">
        <v>1170</v>
      </c>
      <c r="E223">
        <v>4</v>
      </c>
      <c r="F223" t="s">
        <v>1177</v>
      </c>
      <c r="G223" s="302">
        <v>2022</v>
      </c>
      <c r="H223">
        <v>24</v>
      </c>
      <c r="I223" t="s">
        <v>1239</v>
      </c>
      <c r="J223">
        <v>1</v>
      </c>
      <c r="K223" s="298">
        <f>VLOOKUP(Tabel16[[#This Row],[Code taak]],InvulMJOP[],3,FALSE)*Tabel16[[#This Row],[Oppervlakte/Stuks]]*Tabel16[[#This Row],[Frequentie (uitv./jaar)]]</f>
        <v>0</v>
      </c>
      <c r="L223" s="306"/>
    </row>
    <row r="224" spans="1:12">
      <c r="A224">
        <v>2</v>
      </c>
      <c r="B224" t="str">
        <f>VLOOKUP(A224,Locaties[[#All],[Code]:[Locatie]],2,FALSE)</f>
        <v>Neon College – Enschede</v>
      </c>
      <c r="C224" t="s">
        <v>1209</v>
      </c>
      <c r="D224" t="s">
        <v>1170</v>
      </c>
      <c r="E224">
        <v>4</v>
      </c>
      <c r="F224" t="s">
        <v>1177</v>
      </c>
      <c r="G224" s="302">
        <v>2023</v>
      </c>
      <c r="H224">
        <v>24</v>
      </c>
      <c r="I224" t="s">
        <v>1239</v>
      </c>
      <c r="J224">
        <v>1</v>
      </c>
      <c r="K224" s="298">
        <f>VLOOKUP(Tabel16[[#This Row],[Code taak]],InvulMJOP[],3,FALSE)*Tabel16[[#This Row],[Oppervlakte/Stuks]]*Tabel16[[#This Row],[Frequentie (uitv./jaar)]]</f>
        <v>0</v>
      </c>
      <c r="L224" s="306"/>
    </row>
    <row r="225" spans="1:11">
      <c r="A225">
        <v>2</v>
      </c>
      <c r="B225" t="str">
        <f>VLOOKUP(A225,Locaties[[#All],[Code]:[Locatie]],2,FALSE)</f>
        <v>Neon College – Enschede</v>
      </c>
      <c r="C225" t="s">
        <v>1209</v>
      </c>
      <c r="D225" t="s">
        <v>1170</v>
      </c>
      <c r="E225">
        <v>4</v>
      </c>
      <c r="F225" t="s">
        <v>1177</v>
      </c>
      <c r="G225" s="302">
        <v>2024</v>
      </c>
      <c r="H225">
        <v>24</v>
      </c>
      <c r="I225" t="s">
        <v>1239</v>
      </c>
      <c r="J225">
        <v>1</v>
      </c>
      <c r="K225" s="298">
        <f>VLOOKUP(Tabel16[[#This Row],[Code taak]],InvulMJOP[],3,FALSE)*Tabel16[[#This Row],[Oppervlakte/Stuks]]*Tabel16[[#This Row],[Frequentie (uitv./jaar)]]</f>
        <v>0</v>
      </c>
    </row>
    <row r="226" spans="1:11">
      <c r="A226">
        <v>2</v>
      </c>
      <c r="B226" t="str">
        <f>VLOOKUP(A226,Locaties[[#All],[Code]:[Locatie]],2,FALSE)</f>
        <v>Neon College – Enschede</v>
      </c>
      <c r="C226" t="s">
        <v>1209</v>
      </c>
      <c r="D226" t="s">
        <v>1170</v>
      </c>
      <c r="E226">
        <v>4</v>
      </c>
      <c r="F226" t="s">
        <v>1177</v>
      </c>
      <c r="G226" s="302">
        <v>2025</v>
      </c>
      <c r="H226">
        <v>24</v>
      </c>
      <c r="I226" t="s">
        <v>1239</v>
      </c>
      <c r="J226">
        <v>1</v>
      </c>
      <c r="K226" s="298">
        <f>VLOOKUP(Tabel16[[#This Row],[Code taak]],InvulMJOP[],3,FALSE)*Tabel16[[#This Row],[Oppervlakte/Stuks]]*Tabel16[[#This Row],[Frequentie (uitv./jaar)]]</f>
        <v>0</v>
      </c>
    </row>
    <row r="227" spans="1:11">
      <c r="A227">
        <v>2</v>
      </c>
      <c r="B227" t="str">
        <f>VLOOKUP(A227,Locaties[[#All],[Code]:[Locatie]],2,FALSE)</f>
        <v>Neon College – Enschede</v>
      </c>
      <c r="C227" t="s">
        <v>1209</v>
      </c>
      <c r="D227" t="s">
        <v>1170</v>
      </c>
      <c r="E227">
        <v>4</v>
      </c>
      <c r="F227" t="s">
        <v>1177</v>
      </c>
      <c r="G227" s="302">
        <v>2026</v>
      </c>
      <c r="H227">
        <v>24</v>
      </c>
      <c r="I227" t="s">
        <v>1239</v>
      </c>
      <c r="J227">
        <v>1</v>
      </c>
      <c r="K227" s="298">
        <f>VLOOKUP(Tabel16[[#This Row],[Code taak]],InvulMJOP[],3,FALSE)*Tabel16[[#This Row],[Oppervlakte/Stuks]]*Tabel16[[#This Row],[Frequentie (uitv./jaar)]]</f>
        <v>0</v>
      </c>
    </row>
    <row r="228" spans="1:11">
      <c r="A228">
        <v>2</v>
      </c>
      <c r="B228" t="str">
        <f>VLOOKUP(A228,Locaties[[#All],[Code]:[Locatie]],2,FALSE)</f>
        <v>Neon College – Enschede</v>
      </c>
      <c r="C228" t="s">
        <v>1209</v>
      </c>
      <c r="D228" t="s">
        <v>1170</v>
      </c>
      <c r="E228">
        <v>4</v>
      </c>
      <c r="F228" t="s">
        <v>1177</v>
      </c>
      <c r="G228" s="302">
        <v>2027</v>
      </c>
      <c r="H228">
        <v>24</v>
      </c>
      <c r="I228" t="s">
        <v>1239</v>
      </c>
      <c r="J228">
        <v>1</v>
      </c>
      <c r="K228" s="298">
        <f>VLOOKUP(Tabel16[[#This Row],[Code taak]],InvulMJOP[],3,FALSE)*Tabel16[[#This Row],[Oppervlakte/Stuks]]*Tabel16[[#This Row],[Frequentie (uitv./jaar)]]</f>
        <v>0</v>
      </c>
    </row>
    <row r="229" spans="1:11">
      <c r="A229">
        <v>2</v>
      </c>
      <c r="B229" t="str">
        <f>VLOOKUP(A229,Locaties[[#All],[Code]:[Locatie]],2,FALSE)</f>
        <v>Neon College – Enschede</v>
      </c>
      <c r="C229" t="s">
        <v>1209</v>
      </c>
      <c r="D229" t="s">
        <v>1170</v>
      </c>
      <c r="E229">
        <v>4</v>
      </c>
      <c r="F229" t="s">
        <v>1177</v>
      </c>
      <c r="G229" s="302">
        <v>2028</v>
      </c>
      <c r="H229">
        <v>24</v>
      </c>
      <c r="I229" t="s">
        <v>1239</v>
      </c>
      <c r="J229">
        <v>1</v>
      </c>
      <c r="K229" s="298">
        <f>VLOOKUP(Tabel16[[#This Row],[Code taak]],InvulMJOP[],3,FALSE)*Tabel16[[#This Row],[Oppervlakte/Stuks]]*Tabel16[[#This Row],[Frequentie (uitv./jaar)]]</f>
        <v>0</v>
      </c>
    </row>
    <row r="230" spans="1:11">
      <c r="A230">
        <v>2</v>
      </c>
      <c r="B230" t="str">
        <f>VLOOKUP(A230,Locaties[[#All],[Code]:[Locatie]],2,FALSE)</f>
        <v>Neon College – Enschede</v>
      </c>
      <c r="C230" t="s">
        <v>1209</v>
      </c>
      <c r="D230" t="s">
        <v>1170</v>
      </c>
      <c r="E230">
        <v>4</v>
      </c>
      <c r="F230" t="s">
        <v>1177</v>
      </c>
      <c r="G230" s="302">
        <v>2029</v>
      </c>
      <c r="H230">
        <v>24</v>
      </c>
      <c r="I230" t="s">
        <v>1239</v>
      </c>
      <c r="J230">
        <v>1</v>
      </c>
      <c r="K230" s="298">
        <f>VLOOKUP(Tabel16[[#This Row],[Code taak]],InvulMJOP[],3,FALSE)*Tabel16[[#This Row],[Oppervlakte/Stuks]]*Tabel16[[#This Row],[Frequentie (uitv./jaar)]]</f>
        <v>0</v>
      </c>
    </row>
    <row r="231" spans="1:11">
      <c r="A231">
        <v>1</v>
      </c>
      <c r="B231" t="str">
        <f>VLOOKUP(A231,Locaties[[#All],[Code]:[Locatie]],2,FALSE)</f>
        <v xml:space="preserve">Het Meerik </v>
      </c>
      <c r="C231" t="s">
        <v>1210</v>
      </c>
      <c r="D231" t="s">
        <v>1179</v>
      </c>
      <c r="E231">
        <v>6</v>
      </c>
      <c r="F231" t="s">
        <v>1180</v>
      </c>
      <c r="G231" s="302">
        <v>2021</v>
      </c>
      <c r="H231">
        <v>78.400000000000006</v>
      </c>
      <c r="I231" t="s">
        <v>1239</v>
      </c>
      <c r="J231">
        <v>1</v>
      </c>
      <c r="K231" s="298">
        <f>VLOOKUP(Tabel16[[#This Row],[Code taak]],InvulMJOP[],3,FALSE)*Tabel16[[#This Row],[Oppervlakte/Stuks]]*Tabel16[[#This Row],[Frequentie (uitv./jaar)]]</f>
        <v>0</v>
      </c>
    </row>
    <row r="232" spans="1:11">
      <c r="A232">
        <v>1</v>
      </c>
      <c r="B232" t="str">
        <f>VLOOKUP(A232,Locaties[[#All],[Code]:[Locatie]],2,FALSE)</f>
        <v xml:space="preserve">Het Meerik </v>
      </c>
      <c r="C232" t="s">
        <v>1210</v>
      </c>
      <c r="D232" t="s">
        <v>1179</v>
      </c>
      <c r="E232">
        <v>6</v>
      </c>
      <c r="F232" t="s">
        <v>1180</v>
      </c>
      <c r="G232" s="302">
        <v>2027</v>
      </c>
      <c r="H232">
        <v>78.400000000000006</v>
      </c>
      <c r="I232" t="s">
        <v>1239</v>
      </c>
      <c r="J232">
        <v>1</v>
      </c>
      <c r="K232" s="298">
        <f>VLOOKUP(Tabel16[[#This Row],[Code taak]],InvulMJOP[],3,FALSE)*Tabel16[[#This Row],[Oppervlakte/Stuks]]*Tabel16[[#This Row],[Frequentie (uitv./jaar)]]</f>
        <v>0</v>
      </c>
    </row>
    <row r="233" spans="1:11">
      <c r="A233">
        <v>1</v>
      </c>
      <c r="B233" t="str">
        <f>VLOOKUP(A233,Locaties[[#All],[Code]:[Locatie]],2,FALSE)</f>
        <v xml:space="preserve">Het Meerik </v>
      </c>
      <c r="C233" t="s">
        <v>1210</v>
      </c>
      <c r="D233" t="s">
        <v>1179</v>
      </c>
      <c r="E233">
        <v>24</v>
      </c>
      <c r="F233" t="s">
        <v>1211</v>
      </c>
      <c r="G233" s="302">
        <v>2021</v>
      </c>
      <c r="H233">
        <v>186</v>
      </c>
      <c r="I233" t="s">
        <v>1241</v>
      </c>
      <c r="J233">
        <v>1</v>
      </c>
      <c r="K233" s="298">
        <f>VLOOKUP(Tabel16[[#This Row],[Code taak]],InvulMJOP[],3,FALSE)*Tabel16[[#This Row],[Oppervlakte/Stuks]]*Tabel16[[#This Row],[Frequentie (uitv./jaar)]]</f>
        <v>0</v>
      </c>
    </row>
    <row r="234" spans="1:11">
      <c r="A234">
        <v>1</v>
      </c>
      <c r="B234" t="str">
        <f>VLOOKUP(A234,Locaties[[#All],[Code]:[Locatie]],2,FALSE)</f>
        <v xml:space="preserve">Het Meerik </v>
      </c>
      <c r="C234" t="s">
        <v>1210</v>
      </c>
      <c r="D234" t="s">
        <v>1179</v>
      </c>
      <c r="E234">
        <v>24</v>
      </c>
      <c r="F234" t="s">
        <v>1211</v>
      </c>
      <c r="G234" s="302">
        <v>2027</v>
      </c>
      <c r="H234">
        <v>186</v>
      </c>
      <c r="I234" t="s">
        <v>1241</v>
      </c>
      <c r="J234">
        <v>1</v>
      </c>
      <c r="K234" s="298">
        <f>VLOOKUP(Tabel16[[#This Row],[Code taak]],InvulMJOP[],3,FALSE)*Tabel16[[#This Row],[Oppervlakte/Stuks]]*Tabel16[[#This Row],[Frequentie (uitv./jaar)]]</f>
        <v>0</v>
      </c>
    </row>
    <row r="235" spans="1:11">
      <c r="A235">
        <v>1</v>
      </c>
      <c r="B235" t="str">
        <f>VLOOKUP(A235,Locaties[[#All],[Code]:[Locatie]],2,FALSE)</f>
        <v xml:space="preserve">Het Meerik </v>
      </c>
      <c r="C235" t="s">
        <v>1210</v>
      </c>
      <c r="D235" t="s">
        <v>1179</v>
      </c>
      <c r="E235">
        <v>9</v>
      </c>
      <c r="F235" t="s">
        <v>1183</v>
      </c>
      <c r="G235" s="302">
        <v>2021</v>
      </c>
      <c r="H235">
        <v>6.4</v>
      </c>
      <c r="I235" t="s">
        <v>1241</v>
      </c>
      <c r="J235">
        <v>1</v>
      </c>
      <c r="K235" s="298">
        <f>VLOOKUP(Tabel16[[#This Row],[Code taak]],InvulMJOP[],3,FALSE)*Tabel16[[#This Row],[Oppervlakte/Stuks]]*Tabel16[[#This Row],[Frequentie (uitv./jaar)]]</f>
        <v>0</v>
      </c>
    </row>
    <row r="236" spans="1:11">
      <c r="A236">
        <v>1</v>
      </c>
      <c r="B236" t="str">
        <f>VLOOKUP(A236,Locaties[[#All],[Code]:[Locatie]],2,FALSE)</f>
        <v xml:space="preserve">Het Meerik </v>
      </c>
      <c r="C236" t="s">
        <v>1210</v>
      </c>
      <c r="D236" t="s">
        <v>1179</v>
      </c>
      <c r="E236">
        <v>9</v>
      </c>
      <c r="F236" t="s">
        <v>1183</v>
      </c>
      <c r="G236" s="302">
        <v>2027</v>
      </c>
      <c r="H236">
        <v>6.4</v>
      </c>
      <c r="I236" t="s">
        <v>1241</v>
      </c>
      <c r="J236">
        <v>1</v>
      </c>
      <c r="K236" s="298">
        <f>VLOOKUP(Tabel16[[#This Row],[Code taak]],InvulMJOP[],3,FALSE)*Tabel16[[#This Row],[Oppervlakte/Stuks]]*Tabel16[[#This Row],[Frequentie (uitv./jaar)]]</f>
        <v>0</v>
      </c>
    </row>
    <row r="237" spans="1:11">
      <c r="A237">
        <v>1</v>
      </c>
      <c r="B237" t="str">
        <f>VLOOKUP(A237,Locaties[[#All],[Code]:[Locatie]],2,FALSE)</f>
        <v xml:space="preserve">Het Meerik </v>
      </c>
      <c r="C237" t="s">
        <v>1210</v>
      </c>
      <c r="D237" t="s">
        <v>1179</v>
      </c>
      <c r="E237">
        <v>25</v>
      </c>
      <c r="F237" t="s">
        <v>1212</v>
      </c>
      <c r="G237" s="302">
        <v>2021</v>
      </c>
      <c r="H237">
        <v>12</v>
      </c>
      <c r="I237" t="s">
        <v>1241</v>
      </c>
      <c r="J237">
        <v>1</v>
      </c>
      <c r="K237" s="298">
        <f>VLOOKUP(Tabel16[[#This Row],[Code taak]],InvulMJOP[],3,FALSE)*Tabel16[[#This Row],[Oppervlakte/Stuks]]*Tabel16[[#This Row],[Frequentie (uitv./jaar)]]</f>
        <v>0</v>
      </c>
    </row>
    <row r="238" spans="1:11">
      <c r="A238">
        <v>1</v>
      </c>
      <c r="B238" t="str">
        <f>VLOOKUP(A238,Locaties[[#All],[Code]:[Locatie]],2,FALSE)</f>
        <v xml:space="preserve">Het Meerik </v>
      </c>
      <c r="C238" t="s">
        <v>1210</v>
      </c>
      <c r="D238" t="s">
        <v>1179</v>
      </c>
      <c r="E238">
        <v>25</v>
      </c>
      <c r="F238" t="s">
        <v>1212</v>
      </c>
      <c r="G238" s="302">
        <v>2027</v>
      </c>
      <c r="H238">
        <v>12</v>
      </c>
      <c r="I238" t="s">
        <v>1241</v>
      </c>
      <c r="J238">
        <v>1</v>
      </c>
      <c r="K238" s="298">
        <f>VLOOKUP(Tabel16[[#This Row],[Code taak]],InvulMJOP[],3,FALSE)*Tabel16[[#This Row],[Oppervlakte/Stuks]]*Tabel16[[#This Row],[Frequentie (uitv./jaar)]]</f>
        <v>0</v>
      </c>
    </row>
    <row r="239" spans="1:11">
      <c r="A239">
        <v>1</v>
      </c>
      <c r="B239" t="str">
        <f>VLOOKUP(A239,Locaties[[#All],[Code]:[Locatie]],2,FALSE)</f>
        <v xml:space="preserve">Het Meerik </v>
      </c>
      <c r="C239" t="s">
        <v>1210</v>
      </c>
      <c r="D239" t="s">
        <v>1179</v>
      </c>
      <c r="E239">
        <v>11</v>
      </c>
      <c r="F239" t="s">
        <v>1185</v>
      </c>
      <c r="G239" s="302">
        <v>2021</v>
      </c>
      <c r="H239">
        <v>4.5999999999999996</v>
      </c>
      <c r="I239" t="s">
        <v>1241</v>
      </c>
      <c r="J239">
        <v>1</v>
      </c>
      <c r="K239" s="298">
        <f>VLOOKUP(Tabel16[[#This Row],[Code taak]],InvulMJOP[],3,FALSE)*Tabel16[[#This Row],[Oppervlakte/Stuks]]*Tabel16[[#This Row],[Frequentie (uitv./jaar)]]</f>
        <v>0</v>
      </c>
    </row>
    <row r="240" spans="1:11">
      <c r="A240">
        <v>1</v>
      </c>
      <c r="B240" t="str">
        <f>VLOOKUP(A240,Locaties[[#All],[Code]:[Locatie]],2,FALSE)</f>
        <v xml:space="preserve">Het Meerik </v>
      </c>
      <c r="C240" t="s">
        <v>1210</v>
      </c>
      <c r="D240" t="s">
        <v>1179</v>
      </c>
      <c r="E240">
        <v>11</v>
      </c>
      <c r="F240" t="s">
        <v>1185</v>
      </c>
      <c r="G240" s="302">
        <v>2027</v>
      </c>
      <c r="H240">
        <v>4.5999999999999996</v>
      </c>
      <c r="I240" t="s">
        <v>1241</v>
      </c>
      <c r="J240">
        <v>1</v>
      </c>
      <c r="K240" s="298">
        <f>VLOOKUP(Tabel16[[#This Row],[Code taak]],InvulMJOP[],3,FALSE)*Tabel16[[#This Row],[Oppervlakte/Stuks]]*Tabel16[[#This Row],[Frequentie (uitv./jaar)]]</f>
        <v>0</v>
      </c>
    </row>
    <row r="241" spans="1:12">
      <c r="A241">
        <v>1</v>
      </c>
      <c r="B241" t="str">
        <f>VLOOKUP(A241,Locaties[[#All],[Code]:[Locatie]],2,FALSE)</f>
        <v xml:space="preserve">Het Meerik </v>
      </c>
      <c r="C241" t="s">
        <v>1210</v>
      </c>
      <c r="D241" t="s">
        <v>1175</v>
      </c>
      <c r="E241">
        <v>13</v>
      </c>
      <c r="F241" t="s">
        <v>1187</v>
      </c>
      <c r="G241" s="302">
        <v>2024</v>
      </c>
      <c r="H241">
        <v>275</v>
      </c>
      <c r="I241" t="s">
        <v>1241</v>
      </c>
      <c r="J241">
        <v>1</v>
      </c>
      <c r="K241" s="298">
        <f>VLOOKUP(Tabel16[[#This Row],[Code taak]],InvulMJOP[],3,FALSE)*Tabel16[[#This Row],[Oppervlakte/Stuks]]*Tabel16[[#This Row],[Frequentie (uitv./jaar)]]</f>
        <v>0</v>
      </c>
    </row>
    <row r="242" spans="1:12">
      <c r="A242">
        <v>1</v>
      </c>
      <c r="B242" t="str">
        <f>VLOOKUP(A242,Locaties[[#All],[Code]:[Locatie]],2,FALSE)</f>
        <v xml:space="preserve">Het Meerik </v>
      </c>
      <c r="C242" t="s">
        <v>1210</v>
      </c>
      <c r="D242" t="s">
        <v>1175</v>
      </c>
      <c r="E242">
        <v>13</v>
      </c>
      <c r="F242" t="s">
        <v>1187</v>
      </c>
      <c r="G242" s="302">
        <v>2028</v>
      </c>
      <c r="H242">
        <v>275</v>
      </c>
      <c r="I242" t="s">
        <v>1241</v>
      </c>
      <c r="J242">
        <v>1</v>
      </c>
      <c r="K242" s="298">
        <f>VLOOKUP(Tabel16[[#This Row],[Code taak]],InvulMJOP[],3,FALSE)*Tabel16[[#This Row],[Oppervlakte/Stuks]]*Tabel16[[#This Row],[Frequentie (uitv./jaar)]]</f>
        <v>0</v>
      </c>
    </row>
    <row r="243" spans="1:12">
      <c r="A243">
        <v>1</v>
      </c>
      <c r="B243" t="str">
        <f>VLOOKUP(A243,Locaties[[#All],[Code]:[Locatie]],2,FALSE)</f>
        <v xml:space="preserve">Het Meerik </v>
      </c>
      <c r="C243" t="s">
        <v>1210</v>
      </c>
      <c r="D243" t="s">
        <v>1175</v>
      </c>
      <c r="E243">
        <v>14</v>
      </c>
      <c r="F243" t="s">
        <v>1188</v>
      </c>
      <c r="G243" s="302">
        <v>2022</v>
      </c>
      <c r="H243">
        <v>275</v>
      </c>
      <c r="I243" t="s">
        <v>1241</v>
      </c>
      <c r="J243">
        <v>1</v>
      </c>
      <c r="K243" s="298">
        <f>VLOOKUP(Tabel16[[#This Row],[Code taak]],InvulMJOP[],3,FALSE)*Tabel16[[#This Row],[Oppervlakte/Stuks]]*Tabel16[[#This Row],[Frequentie (uitv./jaar)]]</f>
        <v>0</v>
      </c>
    </row>
    <row r="244" spans="1:12">
      <c r="A244">
        <v>1</v>
      </c>
      <c r="B244" t="str">
        <f>VLOOKUP(A244,Locaties[[#All],[Code]:[Locatie]],2,FALSE)</f>
        <v xml:space="preserve">Het Meerik </v>
      </c>
      <c r="C244" t="s">
        <v>1210</v>
      </c>
      <c r="D244" t="s">
        <v>1175</v>
      </c>
      <c r="E244">
        <v>14</v>
      </c>
      <c r="F244" t="s">
        <v>1188</v>
      </c>
      <c r="G244" s="302">
        <v>2026</v>
      </c>
      <c r="H244">
        <v>275</v>
      </c>
      <c r="I244" t="s">
        <v>1241</v>
      </c>
      <c r="J244">
        <v>1</v>
      </c>
      <c r="K244" s="298">
        <f>VLOOKUP(Tabel16[[#This Row],[Code taak]],InvulMJOP[],3,FALSE)*Tabel16[[#This Row],[Oppervlakte/Stuks]]*Tabel16[[#This Row],[Frequentie (uitv./jaar)]]</f>
        <v>0</v>
      </c>
    </row>
    <row r="245" spans="1:12">
      <c r="A245">
        <v>8</v>
      </c>
      <c r="B245" t="str">
        <f>VLOOKUP(A245,Locaties[[#All],[Code]:[Locatie]],2,FALSE)</f>
        <v>Het Mozaïek</v>
      </c>
      <c r="C245" t="s">
        <v>1213</v>
      </c>
      <c r="D245" t="s">
        <v>1170</v>
      </c>
      <c r="E245">
        <v>1</v>
      </c>
      <c r="F245" t="s">
        <v>1171</v>
      </c>
      <c r="G245" s="302">
        <v>2026</v>
      </c>
      <c r="H245">
        <v>22.5</v>
      </c>
      <c r="I245" t="s">
        <v>1239</v>
      </c>
      <c r="J245">
        <v>1</v>
      </c>
      <c r="K245" s="298">
        <f>VLOOKUP(Tabel16[[#This Row],[Code taak]],InvulMJOP[],3,FALSE)*Tabel16[[#This Row],[Oppervlakte/Stuks]]*Tabel16[[#This Row],[Frequentie (uitv./jaar)]]</f>
        <v>0</v>
      </c>
    </row>
    <row r="246" spans="1:12">
      <c r="A246">
        <v>8</v>
      </c>
      <c r="B246" t="str">
        <f>VLOOKUP(A246,Locaties[[#All],[Code]:[Locatie]],2,FALSE)</f>
        <v>Het Mozaïek</v>
      </c>
      <c r="C246" t="s">
        <v>1213</v>
      </c>
      <c r="D246" t="s">
        <v>1175</v>
      </c>
      <c r="E246">
        <v>26</v>
      </c>
      <c r="F246" t="s">
        <v>1214</v>
      </c>
      <c r="G246" s="302">
        <v>2025</v>
      </c>
      <c r="H246">
        <v>33.5</v>
      </c>
      <c r="I246" t="s">
        <v>1239</v>
      </c>
      <c r="J246">
        <v>1</v>
      </c>
      <c r="K246" s="298">
        <f>VLOOKUP(Tabel16[[#This Row],[Code taak]],InvulMJOP[],3,FALSE)*Tabel16[[#This Row],[Oppervlakte/Stuks]]*Tabel16[[#This Row],[Frequentie (uitv./jaar)]]</f>
        <v>0</v>
      </c>
    </row>
    <row r="247" spans="1:12">
      <c r="A247">
        <v>8</v>
      </c>
      <c r="B247" t="str">
        <f>VLOOKUP(A247,Locaties[[#All],[Code]:[Locatie]],2,FALSE)</f>
        <v>Het Mozaïek</v>
      </c>
      <c r="C247" t="s">
        <v>1213</v>
      </c>
      <c r="D247" t="s">
        <v>1175</v>
      </c>
      <c r="E247">
        <v>24</v>
      </c>
      <c r="F247" t="s">
        <v>1211</v>
      </c>
      <c r="G247" s="302">
        <v>2025</v>
      </c>
      <c r="H247">
        <v>22</v>
      </c>
      <c r="I247" t="s">
        <v>1241</v>
      </c>
      <c r="J247">
        <v>1</v>
      </c>
      <c r="K247" s="298">
        <f>VLOOKUP(Tabel16[[#This Row],[Code taak]],InvulMJOP[],3,FALSE)*Tabel16[[#This Row],[Oppervlakte/Stuks]]*Tabel16[[#This Row],[Frequentie (uitv./jaar)]]</f>
        <v>0</v>
      </c>
    </row>
    <row r="248" spans="1:12">
      <c r="A248">
        <v>8</v>
      </c>
      <c r="B248" t="str">
        <f>VLOOKUP(A248,Locaties[[#All],[Code]:[Locatie]],2,FALSE)</f>
        <v>Het Mozaïek</v>
      </c>
      <c r="C248" t="s">
        <v>1213</v>
      </c>
      <c r="D248" t="s">
        <v>1175</v>
      </c>
      <c r="E248">
        <v>9</v>
      </c>
      <c r="F248" t="s">
        <v>1183</v>
      </c>
      <c r="G248" s="302">
        <v>2025</v>
      </c>
      <c r="H248">
        <v>190.2</v>
      </c>
      <c r="I248" t="s">
        <v>1241</v>
      </c>
      <c r="J248">
        <v>1</v>
      </c>
      <c r="K248" s="298">
        <f>VLOOKUP(Tabel16[[#This Row],[Code taak]],InvulMJOP[],3,FALSE)*Tabel16[[#This Row],[Oppervlakte/Stuks]]*Tabel16[[#This Row],[Frequentie (uitv./jaar)]]</f>
        <v>0</v>
      </c>
    </row>
    <row r="249" spans="1:12">
      <c r="A249">
        <v>8</v>
      </c>
      <c r="B249" t="str">
        <f>VLOOKUP(A249,Locaties[[#All],[Code]:[Locatie]],2,FALSE)</f>
        <v>Het Mozaïek</v>
      </c>
      <c r="C249" t="s">
        <v>1213</v>
      </c>
      <c r="D249" t="s">
        <v>1175</v>
      </c>
      <c r="E249">
        <v>16</v>
      </c>
      <c r="F249" t="s">
        <v>1192</v>
      </c>
      <c r="G249" s="302">
        <v>2025</v>
      </c>
      <c r="H249">
        <v>18.399999999999999</v>
      </c>
      <c r="I249" t="s">
        <v>1241</v>
      </c>
      <c r="J249">
        <v>1</v>
      </c>
      <c r="K249" s="298">
        <f>VLOOKUP(Tabel16[[#This Row],[Code taak]],InvulMJOP[],3,FALSE)*Tabel16[[#This Row],[Oppervlakte/Stuks]]*Tabel16[[#This Row],[Frequentie (uitv./jaar)]]</f>
        <v>0</v>
      </c>
    </row>
    <row r="250" spans="1:12">
      <c r="A250">
        <v>8</v>
      </c>
      <c r="B250" t="str">
        <f>VLOOKUP(A250,Locaties[[#All],[Code]:[Locatie]],2,FALSE)</f>
        <v>Het Mozaïek</v>
      </c>
      <c r="C250" t="s">
        <v>1213</v>
      </c>
      <c r="D250" t="s">
        <v>1175</v>
      </c>
      <c r="E250">
        <v>13</v>
      </c>
      <c r="F250" t="s">
        <v>1187</v>
      </c>
      <c r="G250" s="302">
        <v>2022</v>
      </c>
      <c r="H250">
        <v>284</v>
      </c>
      <c r="I250" t="s">
        <v>1241</v>
      </c>
      <c r="J250">
        <v>1</v>
      </c>
      <c r="K250" s="298">
        <f>VLOOKUP(Tabel16[[#This Row],[Code taak]],InvulMJOP[],3,FALSE)*Tabel16[[#This Row],[Oppervlakte/Stuks]]*Tabel16[[#This Row],[Frequentie (uitv./jaar)]]</f>
        <v>0</v>
      </c>
      <c r="L250" s="306"/>
    </row>
    <row r="251" spans="1:12">
      <c r="A251">
        <v>8</v>
      </c>
      <c r="B251" t="str">
        <f>VLOOKUP(A251,Locaties[[#All],[Code]:[Locatie]],2,FALSE)</f>
        <v>Het Mozaïek</v>
      </c>
      <c r="C251" t="s">
        <v>1213</v>
      </c>
      <c r="D251" t="s">
        <v>1175</v>
      </c>
      <c r="E251">
        <v>13</v>
      </c>
      <c r="F251" t="s">
        <v>1187</v>
      </c>
      <c r="G251" s="302">
        <v>2026</v>
      </c>
      <c r="H251">
        <v>284</v>
      </c>
      <c r="I251" t="s">
        <v>1241</v>
      </c>
      <c r="J251">
        <v>1</v>
      </c>
      <c r="K251" s="298">
        <f>VLOOKUP(Tabel16[[#This Row],[Code taak]],InvulMJOP[],3,FALSE)*Tabel16[[#This Row],[Oppervlakte/Stuks]]*Tabel16[[#This Row],[Frequentie (uitv./jaar)]]</f>
        <v>0</v>
      </c>
      <c r="L251" s="306"/>
    </row>
    <row r="252" spans="1:12">
      <c r="A252">
        <v>8</v>
      </c>
      <c r="B252" t="str">
        <f>VLOOKUP(A252,Locaties[[#All],[Code]:[Locatie]],2,FALSE)</f>
        <v>Het Mozaïek</v>
      </c>
      <c r="C252" t="s">
        <v>1213</v>
      </c>
      <c r="D252" t="s">
        <v>1175</v>
      </c>
      <c r="E252">
        <v>14</v>
      </c>
      <c r="F252" t="s">
        <v>1188</v>
      </c>
      <c r="G252" s="302">
        <v>2021</v>
      </c>
      <c r="H252">
        <v>284</v>
      </c>
      <c r="I252" t="s">
        <v>1241</v>
      </c>
      <c r="J252">
        <v>1</v>
      </c>
      <c r="K252" s="298">
        <f>VLOOKUP(Tabel16[[#This Row],[Code taak]],InvulMJOP[],3,FALSE)*Tabel16[[#This Row],[Oppervlakte/Stuks]]*Tabel16[[#This Row],[Frequentie (uitv./jaar)]]</f>
        <v>0</v>
      </c>
      <c r="L252" s="306"/>
    </row>
    <row r="253" spans="1:12">
      <c r="A253">
        <v>8</v>
      </c>
      <c r="B253" t="str">
        <f>VLOOKUP(A253,Locaties[[#All],[Code]:[Locatie]],2,FALSE)</f>
        <v>Het Mozaïek</v>
      </c>
      <c r="C253" t="s">
        <v>1213</v>
      </c>
      <c r="D253" t="s">
        <v>1175</v>
      </c>
      <c r="E253">
        <v>14</v>
      </c>
      <c r="F253" t="s">
        <v>1188</v>
      </c>
      <c r="G253" s="302">
        <v>2025</v>
      </c>
      <c r="H253">
        <v>284</v>
      </c>
      <c r="I253" t="s">
        <v>1241</v>
      </c>
      <c r="J253">
        <v>1</v>
      </c>
      <c r="K253" s="298">
        <f>VLOOKUP(Tabel16[[#This Row],[Code taak]],InvulMJOP[],3,FALSE)*Tabel16[[#This Row],[Oppervlakte/Stuks]]*Tabel16[[#This Row],[Frequentie (uitv./jaar)]]</f>
        <v>0</v>
      </c>
      <c r="L253" s="306"/>
    </row>
    <row r="254" spans="1:12">
      <c r="A254">
        <v>8</v>
      </c>
      <c r="B254" t="str">
        <f>VLOOKUP(A254,Locaties[[#All],[Code]:[Locatie]],2,FALSE)</f>
        <v>Het Mozaïek</v>
      </c>
      <c r="C254" t="s">
        <v>1213</v>
      </c>
      <c r="D254" t="s">
        <v>1175</v>
      </c>
      <c r="E254">
        <v>14</v>
      </c>
      <c r="F254" t="s">
        <v>1188</v>
      </c>
      <c r="G254" s="302">
        <v>2029</v>
      </c>
      <c r="H254">
        <v>284</v>
      </c>
      <c r="I254" t="s">
        <v>1241</v>
      </c>
      <c r="J254">
        <v>1</v>
      </c>
      <c r="K254" s="298">
        <f>VLOOKUP(Tabel16[[#This Row],[Code taak]],InvulMJOP[],3,FALSE)*Tabel16[[#This Row],[Oppervlakte/Stuks]]*Tabel16[[#This Row],[Frequentie (uitv./jaar)]]</f>
        <v>0</v>
      </c>
      <c r="L254" s="306"/>
    </row>
    <row r="255" spans="1:12">
      <c r="A255">
        <v>8</v>
      </c>
      <c r="B255" t="str">
        <f>VLOOKUP(A255,Locaties[[#All],[Code]:[Locatie]],2,FALSE)</f>
        <v>Het Mozaïek</v>
      </c>
      <c r="C255" t="s">
        <v>1213</v>
      </c>
      <c r="D255" t="s">
        <v>1175</v>
      </c>
      <c r="E255">
        <v>15</v>
      </c>
      <c r="F255" t="s">
        <v>1189</v>
      </c>
      <c r="G255" s="302">
        <v>2022</v>
      </c>
      <c r="H255">
        <v>1</v>
      </c>
      <c r="I255" t="s">
        <v>1242</v>
      </c>
      <c r="J255">
        <v>1</v>
      </c>
      <c r="K255" s="298">
        <f>VLOOKUP(Tabel16[[#This Row],[Code taak]],InvulMJOP[],3,FALSE)*Tabel16[[#This Row],[Oppervlakte/Stuks]]*Tabel16[[#This Row],[Frequentie (uitv./jaar)]]</f>
        <v>0</v>
      </c>
      <c r="L255" s="299" t="s">
        <v>1247</v>
      </c>
    </row>
    <row r="256" spans="1:12">
      <c r="A256">
        <v>8</v>
      </c>
      <c r="B256" t="str">
        <f>VLOOKUP(A256,Locaties[[#All],[Code]:[Locatie]],2,FALSE)</f>
        <v>Het Mozaïek</v>
      </c>
      <c r="C256" t="s">
        <v>1213</v>
      </c>
      <c r="D256" t="s">
        <v>1175</v>
      </c>
      <c r="E256">
        <v>15</v>
      </c>
      <c r="F256" t="s">
        <v>1189</v>
      </c>
      <c r="G256" s="302">
        <v>2027</v>
      </c>
      <c r="H256">
        <v>1</v>
      </c>
      <c r="I256" t="s">
        <v>1242</v>
      </c>
      <c r="J256">
        <v>1</v>
      </c>
      <c r="K256" s="298">
        <f>VLOOKUP(Tabel16[[#This Row],[Code taak]],InvulMJOP[],3,FALSE)*Tabel16[[#This Row],[Oppervlakte/Stuks]]*Tabel16[[#This Row],[Frequentie (uitv./jaar)]]</f>
        <v>0</v>
      </c>
      <c r="L256" s="299" t="s">
        <v>1247</v>
      </c>
    </row>
    <row r="257" spans="1:12">
      <c r="A257">
        <v>8</v>
      </c>
      <c r="B257" t="str">
        <f>VLOOKUP(A257,Locaties[[#All],[Code]:[Locatie]],2,FALSE)</f>
        <v>Het Mozaïek</v>
      </c>
      <c r="C257" t="s">
        <v>1213</v>
      </c>
      <c r="D257" t="s">
        <v>1175</v>
      </c>
      <c r="E257">
        <v>2</v>
      </c>
      <c r="F257" t="s">
        <v>1172</v>
      </c>
      <c r="G257" s="302">
        <v>2025</v>
      </c>
      <c r="H257">
        <v>22.5</v>
      </c>
      <c r="I257" t="s">
        <v>1239</v>
      </c>
      <c r="J257">
        <v>1</v>
      </c>
      <c r="K257" s="298">
        <f>VLOOKUP(Tabel16[[#This Row],[Code taak]],InvulMJOP[],3,FALSE)*Tabel16[[#This Row],[Oppervlakte/Stuks]]*Tabel16[[#This Row],[Frequentie (uitv./jaar)]]</f>
        <v>0</v>
      </c>
      <c r="L257" s="306"/>
    </row>
    <row r="258" spans="1:12">
      <c r="A258">
        <v>5</v>
      </c>
      <c r="B258" t="str">
        <f>VLOOKUP(A258,Locaties[[#All],[Code]:[Locatie]],2,FALSE)</f>
        <v>VSO Het Mozaïek Almelo</v>
      </c>
      <c r="C258" t="s">
        <v>1215</v>
      </c>
      <c r="D258" t="s">
        <v>1179</v>
      </c>
      <c r="E258">
        <v>17</v>
      </c>
      <c r="F258" t="s">
        <v>1193</v>
      </c>
      <c r="G258" s="302">
        <v>2021</v>
      </c>
      <c r="H258">
        <v>37.5</v>
      </c>
      <c r="I258" t="s">
        <v>1241</v>
      </c>
      <c r="J258">
        <v>1</v>
      </c>
      <c r="K258" s="298">
        <f>VLOOKUP(Tabel16[[#This Row],[Code taak]],InvulMJOP[],3,FALSE)*Tabel16[[#This Row],[Oppervlakte/Stuks]]*Tabel16[[#This Row],[Frequentie (uitv./jaar)]]</f>
        <v>0</v>
      </c>
      <c r="L258" s="306"/>
    </row>
    <row r="259" spans="1:12">
      <c r="A259">
        <v>5</v>
      </c>
      <c r="B259" t="str">
        <f>VLOOKUP(A259,Locaties[[#All],[Code]:[Locatie]],2,FALSE)</f>
        <v>VSO Het Mozaïek Almelo</v>
      </c>
      <c r="C259" t="s">
        <v>1215</v>
      </c>
      <c r="D259" t="s">
        <v>1179</v>
      </c>
      <c r="E259">
        <v>17</v>
      </c>
      <c r="F259" t="s">
        <v>1193</v>
      </c>
      <c r="G259" s="302">
        <v>2027</v>
      </c>
      <c r="H259">
        <v>37.5</v>
      </c>
      <c r="I259" t="s">
        <v>1241</v>
      </c>
      <c r="J259">
        <v>1</v>
      </c>
      <c r="K259" s="298">
        <f>VLOOKUP(Tabel16[[#This Row],[Code taak]],InvulMJOP[],3,FALSE)*Tabel16[[#This Row],[Oppervlakte/Stuks]]*Tabel16[[#This Row],[Frequentie (uitv./jaar)]]</f>
        <v>0</v>
      </c>
      <c r="L259" s="306"/>
    </row>
    <row r="260" spans="1:12">
      <c r="A260">
        <v>5</v>
      </c>
      <c r="B260" t="str">
        <f>VLOOKUP(A260,Locaties[[#All],[Code]:[Locatie]],2,FALSE)</f>
        <v>VSO Het Mozaïek Almelo</v>
      </c>
      <c r="C260" t="s">
        <v>1216</v>
      </c>
      <c r="D260" t="s">
        <v>1173</v>
      </c>
      <c r="E260">
        <v>3</v>
      </c>
      <c r="F260" t="s">
        <v>1174</v>
      </c>
      <c r="G260" s="302">
        <v>2026</v>
      </c>
      <c r="H260">
        <v>2354</v>
      </c>
      <c r="I260" t="s">
        <v>1240</v>
      </c>
      <c r="J260">
        <v>1</v>
      </c>
      <c r="K260" s="298">
        <f>VLOOKUP(Tabel16[[#This Row],[Code taak]],InvulMJOP[],3,FALSE)*Tabel16[[#This Row],[Oppervlakte/Stuks]]*Tabel16[[#This Row],[Frequentie (uitv./jaar)]]</f>
        <v>0</v>
      </c>
      <c r="L260" s="306"/>
    </row>
    <row r="261" spans="1:12">
      <c r="A261">
        <v>5</v>
      </c>
      <c r="B261" t="str">
        <f>VLOOKUP(A261,Locaties[[#All],[Code]:[Locatie]],2,FALSE)</f>
        <v>VSO Het Mozaïek Almelo</v>
      </c>
      <c r="C261" t="s">
        <v>1217</v>
      </c>
      <c r="D261" t="s">
        <v>1179</v>
      </c>
      <c r="E261">
        <v>9</v>
      </c>
      <c r="F261" t="s">
        <v>1183</v>
      </c>
      <c r="G261" s="302">
        <v>2021</v>
      </c>
      <c r="H261">
        <v>9</v>
      </c>
      <c r="I261" t="s">
        <v>1241</v>
      </c>
      <c r="J261">
        <v>1</v>
      </c>
      <c r="K261" s="298">
        <f>VLOOKUP(Tabel16[[#This Row],[Code taak]],InvulMJOP[],3,FALSE)*Tabel16[[#This Row],[Oppervlakte/Stuks]]*Tabel16[[#This Row],[Frequentie (uitv./jaar)]]</f>
        <v>0</v>
      </c>
      <c r="L261" s="306"/>
    </row>
    <row r="262" spans="1:12">
      <c r="A262">
        <v>5</v>
      </c>
      <c r="B262" t="str">
        <f>VLOOKUP(A262,Locaties[[#All],[Code]:[Locatie]],2,FALSE)</f>
        <v>VSO Het Mozaïek Almelo</v>
      </c>
      <c r="C262" t="s">
        <v>1217</v>
      </c>
      <c r="D262" t="s">
        <v>1179</v>
      </c>
      <c r="E262">
        <v>9</v>
      </c>
      <c r="F262" t="s">
        <v>1183</v>
      </c>
      <c r="G262" s="302">
        <v>2027</v>
      </c>
      <c r="H262">
        <v>9</v>
      </c>
      <c r="I262" t="s">
        <v>1241</v>
      </c>
      <c r="J262">
        <v>1</v>
      </c>
      <c r="K262" s="298">
        <f>VLOOKUP(Tabel16[[#This Row],[Code taak]],InvulMJOP[],3,FALSE)*Tabel16[[#This Row],[Oppervlakte/Stuks]]*Tabel16[[#This Row],[Frequentie (uitv./jaar)]]</f>
        <v>0</v>
      </c>
      <c r="L262" s="306"/>
    </row>
    <row r="263" spans="1:12">
      <c r="A263">
        <v>5</v>
      </c>
      <c r="B263" t="str">
        <f>VLOOKUP(A263,Locaties[[#All],[Code]:[Locatie]],2,FALSE)</f>
        <v>VSO Het Mozaïek Almelo</v>
      </c>
      <c r="C263" t="s">
        <v>1217</v>
      </c>
      <c r="D263" t="s">
        <v>1179</v>
      </c>
      <c r="E263">
        <v>17</v>
      </c>
      <c r="F263" t="s">
        <v>1193</v>
      </c>
      <c r="G263" s="302">
        <v>2021</v>
      </c>
      <c r="H263">
        <v>5.8</v>
      </c>
      <c r="I263" t="s">
        <v>1241</v>
      </c>
      <c r="J263">
        <v>1</v>
      </c>
      <c r="K263" s="298">
        <f>VLOOKUP(Tabel16[[#This Row],[Code taak]],InvulMJOP[],3,FALSE)*Tabel16[[#This Row],[Oppervlakte/Stuks]]*Tabel16[[#This Row],[Frequentie (uitv./jaar)]]</f>
        <v>0</v>
      </c>
      <c r="L263" s="306"/>
    </row>
    <row r="264" spans="1:12">
      <c r="A264">
        <v>5</v>
      </c>
      <c r="B264" t="str">
        <f>VLOOKUP(A264,Locaties[[#All],[Code]:[Locatie]],2,FALSE)</f>
        <v>VSO Het Mozaïek Almelo</v>
      </c>
      <c r="C264" t="s">
        <v>1217</v>
      </c>
      <c r="D264" t="s">
        <v>1179</v>
      </c>
      <c r="E264">
        <v>17</v>
      </c>
      <c r="F264" t="s">
        <v>1193</v>
      </c>
      <c r="G264" s="302">
        <v>2027</v>
      </c>
      <c r="H264">
        <v>5.8</v>
      </c>
      <c r="I264" t="s">
        <v>1241</v>
      </c>
      <c r="J264">
        <v>1</v>
      </c>
      <c r="K264" s="298">
        <f>VLOOKUP(Tabel16[[#This Row],[Code taak]],InvulMJOP[],3,FALSE)*Tabel16[[#This Row],[Oppervlakte/Stuks]]*Tabel16[[#This Row],[Frequentie (uitv./jaar)]]</f>
        <v>0</v>
      </c>
      <c r="L264" s="306"/>
    </row>
    <row r="265" spans="1:12">
      <c r="A265">
        <v>5</v>
      </c>
      <c r="B265" t="str">
        <f>VLOOKUP(A265,Locaties[[#All],[Code]:[Locatie]],2,FALSE)</f>
        <v>VSO Het Mozaïek Almelo</v>
      </c>
      <c r="C265" t="s">
        <v>1217</v>
      </c>
      <c r="D265" t="s">
        <v>1179</v>
      </c>
      <c r="E265">
        <v>11</v>
      </c>
      <c r="F265" t="s">
        <v>1185</v>
      </c>
      <c r="G265" s="302">
        <v>2021</v>
      </c>
      <c r="H265">
        <v>28.5</v>
      </c>
      <c r="I265" t="s">
        <v>1241</v>
      </c>
      <c r="J265">
        <v>1</v>
      </c>
      <c r="K265" s="298">
        <f>VLOOKUP(Tabel16[[#This Row],[Code taak]],InvulMJOP[],3,FALSE)*Tabel16[[#This Row],[Oppervlakte/Stuks]]*Tabel16[[#This Row],[Frequentie (uitv./jaar)]]</f>
        <v>0</v>
      </c>
      <c r="L265" s="306"/>
    </row>
    <row r="266" spans="1:12">
      <c r="A266">
        <v>5</v>
      </c>
      <c r="B266" t="str">
        <f>VLOOKUP(A266,Locaties[[#All],[Code]:[Locatie]],2,FALSE)</f>
        <v>VSO Het Mozaïek Almelo</v>
      </c>
      <c r="C266" t="s">
        <v>1217</v>
      </c>
      <c r="D266" t="s">
        <v>1179</v>
      </c>
      <c r="E266">
        <v>11</v>
      </c>
      <c r="F266" t="s">
        <v>1185</v>
      </c>
      <c r="G266" s="302">
        <v>2027</v>
      </c>
      <c r="H266">
        <v>28.5</v>
      </c>
      <c r="I266" t="s">
        <v>1241</v>
      </c>
      <c r="J266">
        <v>1</v>
      </c>
      <c r="K266" s="298">
        <f>VLOOKUP(Tabel16[[#This Row],[Code taak]],InvulMJOP[],3,FALSE)*Tabel16[[#This Row],[Oppervlakte/Stuks]]*Tabel16[[#This Row],[Frequentie (uitv./jaar)]]</f>
        <v>0</v>
      </c>
      <c r="L266" s="306"/>
    </row>
    <row r="267" spans="1:12">
      <c r="A267">
        <v>5</v>
      </c>
      <c r="B267" t="str">
        <f>VLOOKUP(A267,Locaties[[#All],[Code]:[Locatie]],2,FALSE)</f>
        <v>VSO Het Mozaïek Almelo</v>
      </c>
      <c r="C267" t="s">
        <v>1217</v>
      </c>
      <c r="D267" t="s">
        <v>1175</v>
      </c>
      <c r="E267">
        <v>13</v>
      </c>
      <c r="F267" t="s">
        <v>1187</v>
      </c>
      <c r="G267" s="302">
        <v>2023</v>
      </c>
      <c r="H267">
        <v>341</v>
      </c>
      <c r="I267" t="s">
        <v>1241</v>
      </c>
      <c r="J267">
        <v>1</v>
      </c>
      <c r="K267" s="298">
        <f>VLOOKUP(Tabel16[[#This Row],[Code taak]],InvulMJOP[],3,FALSE)*Tabel16[[#This Row],[Oppervlakte/Stuks]]*Tabel16[[#This Row],[Frequentie (uitv./jaar)]]</f>
        <v>0</v>
      </c>
      <c r="L267" s="306"/>
    </row>
    <row r="268" spans="1:12">
      <c r="A268">
        <v>5</v>
      </c>
      <c r="B268" t="str">
        <f>VLOOKUP(A268,Locaties[[#All],[Code]:[Locatie]],2,FALSE)</f>
        <v>VSO Het Mozaïek Almelo</v>
      </c>
      <c r="C268" t="s">
        <v>1217</v>
      </c>
      <c r="D268" t="s">
        <v>1175</v>
      </c>
      <c r="E268">
        <v>13</v>
      </c>
      <c r="F268" t="s">
        <v>1187</v>
      </c>
      <c r="G268" s="302">
        <v>2027</v>
      </c>
      <c r="H268">
        <v>341</v>
      </c>
      <c r="I268" t="s">
        <v>1241</v>
      </c>
      <c r="J268">
        <v>1</v>
      </c>
      <c r="K268" s="298">
        <f>VLOOKUP(Tabel16[[#This Row],[Code taak]],InvulMJOP[],3,FALSE)*Tabel16[[#This Row],[Oppervlakte/Stuks]]*Tabel16[[#This Row],[Frequentie (uitv./jaar)]]</f>
        <v>0</v>
      </c>
      <c r="L268" s="306"/>
    </row>
    <row r="269" spans="1:12">
      <c r="A269">
        <v>5</v>
      </c>
      <c r="B269" t="str">
        <f>VLOOKUP(A269,Locaties[[#All],[Code]:[Locatie]],2,FALSE)</f>
        <v>VSO Het Mozaïek Almelo</v>
      </c>
      <c r="C269" t="s">
        <v>1217</v>
      </c>
      <c r="D269" t="s">
        <v>1175</v>
      </c>
      <c r="E269">
        <v>14</v>
      </c>
      <c r="F269" t="s">
        <v>1188</v>
      </c>
      <c r="G269" s="302">
        <v>2021</v>
      </c>
      <c r="H269">
        <v>341</v>
      </c>
      <c r="I269" t="s">
        <v>1241</v>
      </c>
      <c r="J269">
        <v>1</v>
      </c>
      <c r="K269" s="298">
        <f>VLOOKUP(Tabel16[[#This Row],[Code taak]],InvulMJOP[],3,FALSE)*Tabel16[[#This Row],[Oppervlakte/Stuks]]*Tabel16[[#This Row],[Frequentie (uitv./jaar)]]</f>
        <v>0</v>
      </c>
      <c r="L269" s="306"/>
    </row>
    <row r="270" spans="1:12">
      <c r="A270">
        <v>5</v>
      </c>
      <c r="B270" t="str">
        <f>VLOOKUP(A270,Locaties[[#All],[Code]:[Locatie]],2,FALSE)</f>
        <v>VSO Het Mozaïek Almelo</v>
      </c>
      <c r="C270" t="s">
        <v>1217</v>
      </c>
      <c r="D270" t="s">
        <v>1175</v>
      </c>
      <c r="E270">
        <v>14</v>
      </c>
      <c r="F270" t="s">
        <v>1188</v>
      </c>
      <c r="G270" s="302">
        <v>2025</v>
      </c>
      <c r="H270">
        <v>341</v>
      </c>
      <c r="I270" t="s">
        <v>1241</v>
      </c>
      <c r="J270">
        <v>1</v>
      </c>
      <c r="K270" s="298">
        <f>VLOOKUP(Tabel16[[#This Row],[Code taak]],InvulMJOP[],3,FALSE)*Tabel16[[#This Row],[Oppervlakte/Stuks]]*Tabel16[[#This Row],[Frequentie (uitv./jaar)]]</f>
        <v>0</v>
      </c>
      <c r="L270" s="306"/>
    </row>
    <row r="271" spans="1:12">
      <c r="A271">
        <v>5</v>
      </c>
      <c r="B271" t="str">
        <f>VLOOKUP(A271,Locaties[[#All],[Code]:[Locatie]],2,FALSE)</f>
        <v>VSO Het Mozaïek Almelo</v>
      </c>
      <c r="C271" t="s">
        <v>1217</v>
      </c>
      <c r="D271" t="s">
        <v>1175</v>
      </c>
      <c r="E271">
        <v>14</v>
      </c>
      <c r="F271" t="s">
        <v>1188</v>
      </c>
      <c r="G271" s="302">
        <v>2029</v>
      </c>
      <c r="H271">
        <v>341</v>
      </c>
      <c r="I271" t="s">
        <v>1241</v>
      </c>
      <c r="J271">
        <v>1</v>
      </c>
      <c r="K271" s="298">
        <f>VLOOKUP(Tabel16[[#This Row],[Code taak]],InvulMJOP[],3,FALSE)*Tabel16[[#This Row],[Oppervlakte/Stuks]]*Tabel16[[#This Row],[Frequentie (uitv./jaar)]]</f>
        <v>0</v>
      </c>
      <c r="L271" s="306"/>
    </row>
    <row r="272" spans="1:12">
      <c r="A272">
        <v>5</v>
      </c>
      <c r="B272" t="str">
        <f>VLOOKUP(A272,Locaties[[#All],[Code]:[Locatie]],2,FALSE)</f>
        <v>VSO Het Mozaïek Almelo</v>
      </c>
      <c r="C272" t="s">
        <v>1217</v>
      </c>
      <c r="D272" t="s">
        <v>1175</v>
      </c>
      <c r="E272">
        <v>15</v>
      </c>
      <c r="F272" t="s">
        <v>1189</v>
      </c>
      <c r="G272" s="302">
        <v>2024</v>
      </c>
      <c r="H272">
        <v>1</v>
      </c>
      <c r="I272" t="s">
        <v>1242</v>
      </c>
      <c r="J272">
        <v>1</v>
      </c>
      <c r="K272" s="298">
        <f>VLOOKUP(Tabel16[[#This Row],[Code taak]],InvulMJOP[],3,FALSE)*Tabel16[[#This Row],[Oppervlakte/Stuks]]*Tabel16[[#This Row],[Frequentie (uitv./jaar)]]</f>
        <v>0</v>
      </c>
      <c r="L272" s="299" t="s">
        <v>1247</v>
      </c>
    </row>
    <row r="273" spans="1:12">
      <c r="A273">
        <v>5</v>
      </c>
      <c r="B273" t="str">
        <f>VLOOKUP(A273,Locaties[[#All],[Code]:[Locatie]],2,FALSE)</f>
        <v>VSO Het Mozaïek Almelo</v>
      </c>
      <c r="C273" t="s">
        <v>1217</v>
      </c>
      <c r="D273" t="s">
        <v>1175</v>
      </c>
      <c r="E273">
        <v>15</v>
      </c>
      <c r="F273" t="s">
        <v>1189</v>
      </c>
      <c r="G273" s="302">
        <v>2029</v>
      </c>
      <c r="H273">
        <v>1</v>
      </c>
      <c r="I273" t="s">
        <v>1242</v>
      </c>
      <c r="J273">
        <v>1</v>
      </c>
      <c r="K273" s="298">
        <f>VLOOKUP(Tabel16[[#This Row],[Code taak]],InvulMJOP[],3,FALSE)*Tabel16[[#This Row],[Oppervlakte/Stuks]]*Tabel16[[#This Row],[Frequentie (uitv./jaar)]]</f>
        <v>0</v>
      </c>
      <c r="L273" s="299" t="s">
        <v>1247</v>
      </c>
    </row>
    <row r="274" spans="1:12">
      <c r="A274">
        <v>12</v>
      </c>
      <c r="B274" t="str">
        <f>VLOOKUP(A274,Locaties[[#All],[Code]:[Locatie]],2,FALSE)</f>
        <v>Onderwijscentrum Het Roessingh &amp; De Huifkar</v>
      </c>
      <c r="C274" t="s">
        <v>1218</v>
      </c>
      <c r="D274" t="s">
        <v>1179</v>
      </c>
      <c r="E274">
        <v>16</v>
      </c>
      <c r="F274" t="s">
        <v>1192</v>
      </c>
      <c r="G274" s="302">
        <v>2021</v>
      </c>
      <c r="H274">
        <v>20</v>
      </c>
      <c r="I274" t="s">
        <v>1241</v>
      </c>
      <c r="J274">
        <v>1</v>
      </c>
      <c r="K274" s="298">
        <f>VLOOKUP(Tabel16[[#This Row],[Code taak]],InvulMJOP[],3,FALSE)*Tabel16[[#This Row],[Oppervlakte/Stuks]]*Tabel16[[#This Row],[Frequentie (uitv./jaar)]]</f>
        <v>0</v>
      </c>
      <c r="L274" s="306"/>
    </row>
    <row r="275" spans="1:12">
      <c r="A275">
        <v>12</v>
      </c>
      <c r="B275" t="str">
        <f>VLOOKUP(A275,Locaties[[#All],[Code]:[Locatie]],2,FALSE)</f>
        <v>Onderwijscentrum Het Roessingh &amp; De Huifkar</v>
      </c>
      <c r="C275" t="s">
        <v>1218</v>
      </c>
      <c r="D275" t="s">
        <v>1179</v>
      </c>
      <c r="E275">
        <v>16</v>
      </c>
      <c r="F275" t="s">
        <v>1192</v>
      </c>
      <c r="G275" s="302">
        <v>2027</v>
      </c>
      <c r="H275">
        <v>20</v>
      </c>
      <c r="I275" t="s">
        <v>1241</v>
      </c>
      <c r="J275">
        <v>1</v>
      </c>
      <c r="K275" s="298">
        <f>VLOOKUP(Tabel16[[#This Row],[Code taak]],InvulMJOP[],3,FALSE)*Tabel16[[#This Row],[Oppervlakte/Stuks]]*Tabel16[[#This Row],[Frequentie (uitv./jaar)]]</f>
        <v>0</v>
      </c>
      <c r="L275" s="306"/>
    </row>
    <row r="276" spans="1:12">
      <c r="A276">
        <v>12</v>
      </c>
      <c r="B276" t="str">
        <f>VLOOKUP(A276,Locaties[[#All],[Code]:[Locatie]],2,FALSE)</f>
        <v>Onderwijscentrum Het Roessingh &amp; De Huifkar</v>
      </c>
      <c r="C276" t="s">
        <v>1218</v>
      </c>
      <c r="D276" t="s">
        <v>1175</v>
      </c>
      <c r="E276">
        <v>27</v>
      </c>
      <c r="F276" t="s">
        <v>1219</v>
      </c>
      <c r="G276" s="302">
        <v>2028</v>
      </c>
      <c r="H276">
        <v>140</v>
      </c>
      <c r="I276" t="s">
        <v>1241</v>
      </c>
      <c r="J276">
        <v>1</v>
      </c>
      <c r="K276" s="298">
        <f>VLOOKUP(Tabel16[[#This Row],[Code taak]],InvulMJOP[],3,FALSE)*Tabel16[[#This Row],[Oppervlakte/Stuks]]*Tabel16[[#This Row],[Frequentie (uitv./jaar)]]</f>
        <v>0</v>
      </c>
      <c r="L276" s="306"/>
    </row>
    <row r="277" spans="1:12">
      <c r="A277">
        <v>12</v>
      </c>
      <c r="B277" t="str">
        <f>VLOOKUP(A277,Locaties[[#All],[Code]:[Locatie]],2,FALSE)</f>
        <v>Onderwijscentrum Het Roessingh &amp; De Huifkar</v>
      </c>
      <c r="C277" t="s">
        <v>1220</v>
      </c>
      <c r="D277" t="s">
        <v>1170</v>
      </c>
      <c r="E277">
        <v>28</v>
      </c>
      <c r="F277" t="s">
        <v>1221</v>
      </c>
      <c r="G277" s="302">
        <v>2026</v>
      </c>
      <c r="H277">
        <v>86</v>
      </c>
      <c r="I277" t="s">
        <v>1239</v>
      </c>
      <c r="J277">
        <v>1</v>
      </c>
      <c r="K277" s="298">
        <f>VLOOKUP(Tabel16[[#This Row],[Code taak]],InvulMJOP[],3,FALSE)*Tabel16[[#This Row],[Oppervlakte/Stuks]]*Tabel16[[#This Row],[Frequentie (uitv./jaar)]]</f>
        <v>0</v>
      </c>
      <c r="L277" s="306"/>
    </row>
    <row r="278" spans="1:12">
      <c r="A278">
        <v>12</v>
      </c>
      <c r="B278" t="str">
        <f>VLOOKUP(A278,Locaties[[#All],[Code]:[Locatie]],2,FALSE)</f>
        <v>Onderwijscentrum Het Roessingh &amp; De Huifkar</v>
      </c>
      <c r="C278" t="s">
        <v>1220</v>
      </c>
      <c r="D278" t="s">
        <v>1173</v>
      </c>
      <c r="E278">
        <v>3</v>
      </c>
      <c r="F278" t="s">
        <v>1174</v>
      </c>
      <c r="G278" s="302">
        <v>2026</v>
      </c>
      <c r="H278">
        <v>8716</v>
      </c>
      <c r="I278" t="s">
        <v>1240</v>
      </c>
      <c r="J278">
        <v>1</v>
      </c>
      <c r="K278" s="298">
        <f>VLOOKUP(Tabel16[[#This Row],[Code taak]],InvulMJOP[],3,FALSE)*Tabel16[[#This Row],[Oppervlakte/Stuks]]*Tabel16[[#This Row],[Frequentie (uitv./jaar)]]</f>
        <v>0</v>
      </c>
      <c r="L278" s="306"/>
    </row>
    <row r="279" spans="1:12">
      <c r="A279">
        <v>12</v>
      </c>
      <c r="B279" t="str">
        <f>VLOOKUP(A279,Locaties[[#All],[Code]:[Locatie]],2,FALSE)</f>
        <v>Onderwijscentrum Het Roessingh &amp; De Huifkar</v>
      </c>
      <c r="C279" t="s">
        <v>1220</v>
      </c>
      <c r="D279" t="s">
        <v>1179</v>
      </c>
      <c r="E279">
        <v>22</v>
      </c>
      <c r="F279" t="s">
        <v>1200</v>
      </c>
      <c r="G279" s="302">
        <v>2021</v>
      </c>
      <c r="H279">
        <v>184</v>
      </c>
      <c r="I279" t="s">
        <v>1239</v>
      </c>
      <c r="J279">
        <v>1</v>
      </c>
      <c r="K279" s="298">
        <f>VLOOKUP(Tabel16[[#This Row],[Code taak]],InvulMJOP[],3,FALSE)*Tabel16[[#This Row],[Oppervlakte/Stuks]]*Tabel16[[#This Row],[Frequentie (uitv./jaar)]]</f>
        <v>0</v>
      </c>
    </row>
    <row r="280" spans="1:12">
      <c r="A280">
        <v>12</v>
      </c>
      <c r="B280" t="str">
        <f>VLOOKUP(A280,Locaties[[#All],[Code]:[Locatie]],2,FALSE)</f>
        <v>Onderwijscentrum Het Roessingh &amp; De Huifkar</v>
      </c>
      <c r="C280" t="s">
        <v>1220</v>
      </c>
      <c r="D280" t="s">
        <v>1179</v>
      </c>
      <c r="E280">
        <v>22</v>
      </c>
      <c r="F280" t="s">
        <v>1200</v>
      </c>
      <c r="G280" s="302">
        <v>2027</v>
      </c>
      <c r="H280">
        <v>184</v>
      </c>
      <c r="I280" t="s">
        <v>1239</v>
      </c>
      <c r="J280">
        <v>1</v>
      </c>
      <c r="K280" s="298">
        <f>VLOOKUP(Tabel16[[#This Row],[Code taak]],InvulMJOP[],3,FALSE)*Tabel16[[#This Row],[Oppervlakte/Stuks]]*Tabel16[[#This Row],[Frequentie (uitv./jaar)]]</f>
        <v>0</v>
      </c>
    </row>
    <row r="281" spans="1:12">
      <c r="A281">
        <v>12</v>
      </c>
      <c r="B281" t="str">
        <f>VLOOKUP(A281,Locaties[[#All],[Code]:[Locatie]],2,FALSE)</f>
        <v>Onderwijscentrum Het Roessingh &amp; De Huifkar</v>
      </c>
      <c r="C281" t="s">
        <v>1220</v>
      </c>
      <c r="D281" t="s">
        <v>1179</v>
      </c>
      <c r="E281">
        <v>9</v>
      </c>
      <c r="F281" t="s">
        <v>1183</v>
      </c>
      <c r="G281" s="302">
        <v>2021</v>
      </c>
      <c r="H281">
        <v>290.39999999999998</v>
      </c>
      <c r="I281" t="s">
        <v>1241</v>
      </c>
      <c r="J281">
        <v>1</v>
      </c>
      <c r="K281" s="298">
        <f>VLOOKUP(Tabel16[[#This Row],[Code taak]],InvulMJOP[],3,FALSE)*Tabel16[[#This Row],[Oppervlakte/Stuks]]*Tabel16[[#This Row],[Frequentie (uitv./jaar)]]</f>
        <v>0</v>
      </c>
    </row>
    <row r="282" spans="1:12">
      <c r="A282">
        <v>12</v>
      </c>
      <c r="B282" t="str">
        <f>VLOOKUP(A282,Locaties[[#All],[Code]:[Locatie]],2,FALSE)</f>
        <v>Onderwijscentrum Het Roessingh &amp; De Huifkar</v>
      </c>
      <c r="C282" t="s">
        <v>1220</v>
      </c>
      <c r="D282" t="s">
        <v>1179</v>
      </c>
      <c r="E282">
        <v>9</v>
      </c>
      <c r="F282" t="s">
        <v>1183</v>
      </c>
      <c r="G282" s="302">
        <v>2027</v>
      </c>
      <c r="H282">
        <v>290.39999999999998</v>
      </c>
      <c r="I282" t="s">
        <v>1241</v>
      </c>
      <c r="J282">
        <v>1</v>
      </c>
      <c r="K282" s="298">
        <f>VLOOKUP(Tabel16[[#This Row],[Code taak]],InvulMJOP[],3,FALSE)*Tabel16[[#This Row],[Oppervlakte/Stuks]]*Tabel16[[#This Row],[Frequentie (uitv./jaar)]]</f>
        <v>0</v>
      </c>
    </row>
    <row r="283" spans="1:12">
      <c r="A283">
        <v>12</v>
      </c>
      <c r="B283" t="str">
        <f>VLOOKUP(A283,Locaties[[#All],[Code]:[Locatie]],2,FALSE)</f>
        <v>Onderwijscentrum Het Roessingh &amp; De Huifkar</v>
      </c>
      <c r="C283" t="s">
        <v>1220</v>
      </c>
      <c r="D283" t="s">
        <v>1179</v>
      </c>
      <c r="E283">
        <v>16</v>
      </c>
      <c r="F283" t="s">
        <v>1192</v>
      </c>
      <c r="G283" s="302">
        <v>2021</v>
      </c>
      <c r="H283">
        <v>787</v>
      </c>
      <c r="I283" t="s">
        <v>1241</v>
      </c>
      <c r="J283">
        <v>1</v>
      </c>
      <c r="K283" s="298">
        <f>VLOOKUP(Tabel16[[#This Row],[Code taak]],InvulMJOP[],3,FALSE)*Tabel16[[#This Row],[Oppervlakte/Stuks]]*Tabel16[[#This Row],[Frequentie (uitv./jaar)]]</f>
        <v>0</v>
      </c>
    </row>
    <row r="284" spans="1:12">
      <c r="A284">
        <v>12</v>
      </c>
      <c r="B284" t="str">
        <f>VLOOKUP(A284,Locaties[[#All],[Code]:[Locatie]],2,FALSE)</f>
        <v>Onderwijscentrum Het Roessingh &amp; De Huifkar</v>
      </c>
      <c r="C284" t="s">
        <v>1220</v>
      </c>
      <c r="D284" t="s">
        <v>1179</v>
      </c>
      <c r="E284">
        <v>16</v>
      </c>
      <c r="F284" t="s">
        <v>1192</v>
      </c>
      <c r="G284" s="302">
        <v>2027</v>
      </c>
      <c r="H284">
        <v>787</v>
      </c>
      <c r="I284" t="s">
        <v>1241</v>
      </c>
      <c r="J284">
        <v>1</v>
      </c>
      <c r="K284" s="298">
        <f>VLOOKUP(Tabel16[[#This Row],[Code taak]],InvulMJOP[],3,FALSE)*Tabel16[[#This Row],[Oppervlakte/Stuks]]*Tabel16[[#This Row],[Frequentie (uitv./jaar)]]</f>
        <v>0</v>
      </c>
    </row>
    <row r="285" spans="1:12">
      <c r="A285">
        <v>12</v>
      </c>
      <c r="B285" t="str">
        <f>VLOOKUP(A285,Locaties[[#All],[Code]:[Locatie]],2,FALSE)</f>
        <v>Onderwijscentrum Het Roessingh &amp; De Huifkar</v>
      </c>
      <c r="C285" t="s">
        <v>1220</v>
      </c>
      <c r="D285" t="s">
        <v>1179</v>
      </c>
      <c r="E285">
        <v>11</v>
      </c>
      <c r="F285" t="s">
        <v>1185</v>
      </c>
      <c r="G285" s="302">
        <v>2021</v>
      </c>
      <c r="H285">
        <v>363</v>
      </c>
      <c r="I285" t="s">
        <v>1241</v>
      </c>
      <c r="J285">
        <v>1</v>
      </c>
      <c r="K285" s="298">
        <f>VLOOKUP(Tabel16[[#This Row],[Code taak]],InvulMJOP[],3,FALSE)*Tabel16[[#This Row],[Oppervlakte/Stuks]]*Tabel16[[#This Row],[Frequentie (uitv./jaar)]]</f>
        <v>0</v>
      </c>
    </row>
    <row r="286" spans="1:12">
      <c r="A286">
        <v>12</v>
      </c>
      <c r="B286" t="str">
        <f>VLOOKUP(A286,Locaties[[#All],[Code]:[Locatie]],2,FALSE)</f>
        <v>Onderwijscentrum Het Roessingh &amp; De Huifkar</v>
      </c>
      <c r="C286" t="s">
        <v>1220</v>
      </c>
      <c r="D286" t="s">
        <v>1179</v>
      </c>
      <c r="E286">
        <v>11</v>
      </c>
      <c r="F286" t="s">
        <v>1185</v>
      </c>
      <c r="G286" s="302">
        <v>2027</v>
      </c>
      <c r="H286">
        <v>363</v>
      </c>
      <c r="I286" t="s">
        <v>1241</v>
      </c>
      <c r="J286">
        <v>1</v>
      </c>
      <c r="K286" s="298">
        <f>VLOOKUP(Tabel16[[#This Row],[Code taak]],InvulMJOP[],3,FALSE)*Tabel16[[#This Row],[Oppervlakte/Stuks]]*Tabel16[[#This Row],[Frequentie (uitv./jaar)]]</f>
        <v>0</v>
      </c>
    </row>
    <row r="287" spans="1:12">
      <c r="A287">
        <v>12</v>
      </c>
      <c r="B287" t="str">
        <f>VLOOKUP(A287,Locaties[[#All],[Code]:[Locatie]],2,FALSE)</f>
        <v>Onderwijscentrum Het Roessingh &amp; De Huifkar</v>
      </c>
      <c r="C287" t="s">
        <v>1220</v>
      </c>
      <c r="D287" t="s">
        <v>1179</v>
      </c>
      <c r="E287">
        <v>29</v>
      </c>
      <c r="F287" t="s">
        <v>1222</v>
      </c>
      <c r="G287" s="302">
        <v>2021</v>
      </c>
      <c r="H287">
        <v>53</v>
      </c>
      <c r="I287" t="s">
        <v>1241</v>
      </c>
      <c r="J287">
        <v>1</v>
      </c>
      <c r="K287" s="298">
        <f>VLOOKUP(Tabel16[[#This Row],[Code taak]],InvulMJOP[],3,FALSE)*Tabel16[[#This Row],[Oppervlakte/Stuks]]*Tabel16[[#This Row],[Frequentie (uitv./jaar)]]</f>
        <v>0</v>
      </c>
    </row>
    <row r="288" spans="1:12">
      <c r="A288">
        <v>12</v>
      </c>
      <c r="B288" t="str">
        <f>VLOOKUP(A288,Locaties[[#All],[Code]:[Locatie]],2,FALSE)</f>
        <v>Onderwijscentrum Het Roessingh &amp; De Huifkar</v>
      </c>
      <c r="C288" t="s">
        <v>1220</v>
      </c>
      <c r="D288" t="s">
        <v>1179</v>
      </c>
      <c r="E288">
        <v>29</v>
      </c>
      <c r="F288" t="s">
        <v>1222</v>
      </c>
      <c r="G288" s="302">
        <v>2027</v>
      </c>
      <c r="H288">
        <v>53</v>
      </c>
      <c r="I288" t="s">
        <v>1241</v>
      </c>
      <c r="J288">
        <v>1</v>
      </c>
      <c r="K288" s="298">
        <f>VLOOKUP(Tabel16[[#This Row],[Code taak]],InvulMJOP[],3,FALSE)*Tabel16[[#This Row],[Oppervlakte/Stuks]]*Tabel16[[#This Row],[Frequentie (uitv./jaar)]]</f>
        <v>0</v>
      </c>
    </row>
    <row r="289" spans="1:12">
      <c r="A289">
        <v>12</v>
      </c>
      <c r="B289" t="str">
        <f>VLOOKUP(A289,Locaties[[#All],[Code]:[Locatie]],2,FALSE)</f>
        <v>Onderwijscentrum Het Roessingh &amp; De Huifkar</v>
      </c>
      <c r="C289" t="s">
        <v>1220</v>
      </c>
      <c r="D289" t="s">
        <v>1175</v>
      </c>
      <c r="E289">
        <v>30</v>
      </c>
      <c r="F289" t="s">
        <v>1223</v>
      </c>
      <c r="G289" s="302">
        <v>2023</v>
      </c>
      <c r="H289">
        <v>1</v>
      </c>
      <c r="I289" t="s">
        <v>1243</v>
      </c>
      <c r="J289">
        <v>1</v>
      </c>
      <c r="K289" s="298">
        <f>VLOOKUP(Tabel16[[#This Row],[Code taak]],InvulMJOP[],3,FALSE)*Tabel16[[#This Row],[Oppervlakte/Stuks]]*Tabel16[[#This Row],[Frequentie (uitv./jaar)]]</f>
        <v>0</v>
      </c>
    </row>
    <row r="290" spans="1:12">
      <c r="A290">
        <v>12</v>
      </c>
      <c r="B290" t="str">
        <f>VLOOKUP(A290,Locaties[[#All],[Code]:[Locatie]],2,FALSE)</f>
        <v>Onderwijscentrum Het Roessingh &amp; De Huifkar</v>
      </c>
      <c r="C290" t="s">
        <v>1220</v>
      </c>
      <c r="D290" t="s">
        <v>1175</v>
      </c>
      <c r="E290">
        <v>30</v>
      </c>
      <c r="F290" t="s">
        <v>1223</v>
      </c>
      <c r="G290" s="302">
        <v>2026</v>
      </c>
      <c r="H290">
        <v>1</v>
      </c>
      <c r="I290" t="s">
        <v>1243</v>
      </c>
      <c r="J290">
        <v>1</v>
      </c>
      <c r="K290" s="298">
        <f>VLOOKUP(Tabel16[[#This Row],[Code taak]],InvulMJOP[],3,FALSE)*Tabel16[[#This Row],[Oppervlakte/Stuks]]*Tabel16[[#This Row],[Frequentie (uitv./jaar)]]</f>
        <v>0</v>
      </c>
    </row>
    <row r="291" spans="1:12">
      <c r="A291">
        <v>12</v>
      </c>
      <c r="B291" t="str">
        <f>VLOOKUP(A291,Locaties[[#All],[Code]:[Locatie]],2,FALSE)</f>
        <v>Onderwijscentrum Het Roessingh &amp; De Huifkar</v>
      </c>
      <c r="C291" t="s">
        <v>1220</v>
      </c>
      <c r="D291" t="s">
        <v>1175</v>
      </c>
      <c r="E291">
        <v>30</v>
      </c>
      <c r="F291" t="s">
        <v>1223</v>
      </c>
      <c r="G291" s="302">
        <v>2029</v>
      </c>
      <c r="H291">
        <v>1</v>
      </c>
      <c r="I291" t="s">
        <v>1243</v>
      </c>
      <c r="J291">
        <v>1</v>
      </c>
      <c r="K291" s="298">
        <f>VLOOKUP(Tabel16[[#This Row],[Code taak]],InvulMJOP[],3,FALSE)*Tabel16[[#This Row],[Oppervlakte/Stuks]]*Tabel16[[#This Row],[Frequentie (uitv./jaar)]]</f>
        <v>0</v>
      </c>
    </row>
    <row r="292" spans="1:12">
      <c r="A292">
        <v>12</v>
      </c>
      <c r="B292" t="str">
        <f>VLOOKUP(A292,Locaties[[#All],[Code]:[Locatie]],2,FALSE)</f>
        <v>Onderwijscentrum Het Roessingh &amp; De Huifkar</v>
      </c>
      <c r="C292" t="s">
        <v>1220</v>
      </c>
      <c r="D292" t="s">
        <v>1175</v>
      </c>
      <c r="E292">
        <v>13</v>
      </c>
      <c r="F292" t="s">
        <v>1187</v>
      </c>
      <c r="G292" s="302">
        <v>2021</v>
      </c>
      <c r="H292">
        <v>1296</v>
      </c>
      <c r="I292" t="s">
        <v>1241</v>
      </c>
      <c r="J292">
        <v>1</v>
      </c>
      <c r="K292" s="298">
        <f>VLOOKUP(Tabel16[[#This Row],[Code taak]],InvulMJOP[],3,FALSE)*Tabel16[[#This Row],[Oppervlakte/Stuks]]*Tabel16[[#This Row],[Frequentie (uitv./jaar)]]</f>
        <v>0</v>
      </c>
      <c r="L292" s="306"/>
    </row>
    <row r="293" spans="1:12">
      <c r="A293">
        <v>12</v>
      </c>
      <c r="B293" t="str">
        <f>VLOOKUP(A293,Locaties[[#All],[Code]:[Locatie]],2,FALSE)</f>
        <v>Onderwijscentrum Het Roessingh &amp; De Huifkar</v>
      </c>
      <c r="C293" t="s">
        <v>1220</v>
      </c>
      <c r="D293" t="s">
        <v>1175</v>
      </c>
      <c r="E293">
        <v>13</v>
      </c>
      <c r="F293" t="s">
        <v>1187</v>
      </c>
      <c r="G293" s="302">
        <v>2025</v>
      </c>
      <c r="H293">
        <v>1296</v>
      </c>
      <c r="I293" t="s">
        <v>1241</v>
      </c>
      <c r="J293">
        <v>1</v>
      </c>
      <c r="K293" s="298">
        <f>VLOOKUP(Tabel16[[#This Row],[Code taak]],InvulMJOP[],3,FALSE)*Tabel16[[#This Row],[Oppervlakte/Stuks]]*Tabel16[[#This Row],[Frequentie (uitv./jaar)]]</f>
        <v>0</v>
      </c>
      <c r="L293" s="306"/>
    </row>
    <row r="294" spans="1:12">
      <c r="A294">
        <v>12</v>
      </c>
      <c r="B294" t="str">
        <f>VLOOKUP(A294,Locaties[[#All],[Code]:[Locatie]],2,FALSE)</f>
        <v>Onderwijscentrum Het Roessingh &amp; De Huifkar</v>
      </c>
      <c r="C294" t="s">
        <v>1220</v>
      </c>
      <c r="D294" t="s">
        <v>1175</v>
      </c>
      <c r="E294">
        <v>13</v>
      </c>
      <c r="F294" t="s">
        <v>1187</v>
      </c>
      <c r="G294" s="302">
        <v>2029</v>
      </c>
      <c r="H294">
        <v>1296</v>
      </c>
      <c r="I294" t="s">
        <v>1241</v>
      </c>
      <c r="J294">
        <v>1</v>
      </c>
      <c r="K294" s="298">
        <f>VLOOKUP(Tabel16[[#This Row],[Code taak]],InvulMJOP[],3,FALSE)*Tabel16[[#This Row],[Oppervlakte/Stuks]]*Tabel16[[#This Row],[Frequentie (uitv./jaar)]]</f>
        <v>0</v>
      </c>
      <c r="L294" s="306"/>
    </row>
    <row r="295" spans="1:12">
      <c r="A295">
        <v>12</v>
      </c>
      <c r="B295" t="str">
        <f>VLOOKUP(A295,Locaties[[#All],[Code]:[Locatie]],2,FALSE)</f>
        <v>Onderwijscentrum Het Roessingh &amp; De Huifkar</v>
      </c>
      <c r="C295" t="s">
        <v>1220</v>
      </c>
      <c r="D295" t="s">
        <v>1175</v>
      </c>
      <c r="E295">
        <v>14</v>
      </c>
      <c r="F295" t="s">
        <v>1188</v>
      </c>
      <c r="G295" s="302">
        <v>2023</v>
      </c>
      <c r="H295">
        <v>1296</v>
      </c>
      <c r="I295" t="s">
        <v>1241</v>
      </c>
      <c r="J295">
        <v>1</v>
      </c>
      <c r="K295" s="298">
        <f>VLOOKUP(Tabel16[[#This Row],[Code taak]],InvulMJOP[],3,FALSE)*Tabel16[[#This Row],[Oppervlakte/Stuks]]*Tabel16[[#This Row],[Frequentie (uitv./jaar)]]</f>
        <v>0</v>
      </c>
      <c r="L295" s="306"/>
    </row>
    <row r="296" spans="1:12">
      <c r="A296">
        <v>12</v>
      </c>
      <c r="B296" t="str">
        <f>VLOOKUP(A296,Locaties[[#All],[Code]:[Locatie]],2,FALSE)</f>
        <v>Onderwijscentrum Het Roessingh &amp; De Huifkar</v>
      </c>
      <c r="C296" t="s">
        <v>1220</v>
      </c>
      <c r="D296" t="s">
        <v>1175</v>
      </c>
      <c r="E296">
        <v>14</v>
      </c>
      <c r="F296" t="s">
        <v>1188</v>
      </c>
      <c r="G296" s="302">
        <v>2027</v>
      </c>
      <c r="H296">
        <v>1296</v>
      </c>
      <c r="I296" t="s">
        <v>1241</v>
      </c>
      <c r="J296">
        <v>1</v>
      </c>
      <c r="K296" s="298">
        <f>VLOOKUP(Tabel16[[#This Row],[Code taak]],InvulMJOP[],3,FALSE)*Tabel16[[#This Row],[Oppervlakte/Stuks]]*Tabel16[[#This Row],[Frequentie (uitv./jaar)]]</f>
        <v>0</v>
      </c>
      <c r="L296" s="306"/>
    </row>
    <row r="297" spans="1:12">
      <c r="A297">
        <v>12</v>
      </c>
      <c r="B297" t="str">
        <f>VLOOKUP(A297,Locaties[[#All],[Code]:[Locatie]],2,FALSE)</f>
        <v>Onderwijscentrum Het Roessingh &amp; De Huifkar</v>
      </c>
      <c r="C297" t="s">
        <v>1220</v>
      </c>
      <c r="D297" t="s">
        <v>1175</v>
      </c>
      <c r="E297">
        <v>15</v>
      </c>
      <c r="F297" t="s">
        <v>1189</v>
      </c>
      <c r="G297" s="302">
        <v>2021</v>
      </c>
      <c r="H297">
        <v>1</v>
      </c>
      <c r="I297" t="s">
        <v>1242</v>
      </c>
      <c r="J297">
        <v>1</v>
      </c>
      <c r="K297" s="298">
        <f>VLOOKUP(Tabel16[[#This Row],[Code taak]],InvulMJOP[],3,FALSE)*Tabel16[[#This Row],[Oppervlakte/Stuks]]*Tabel16[[#This Row],[Frequentie (uitv./jaar)]]</f>
        <v>0</v>
      </c>
      <c r="L297" s="299" t="s">
        <v>1247</v>
      </c>
    </row>
    <row r="298" spans="1:12">
      <c r="A298">
        <v>12</v>
      </c>
      <c r="B298" t="str">
        <f>VLOOKUP(A298,Locaties[[#All],[Code]:[Locatie]],2,FALSE)</f>
        <v>Onderwijscentrum Het Roessingh &amp; De Huifkar</v>
      </c>
      <c r="C298" t="s">
        <v>1220</v>
      </c>
      <c r="D298" t="s">
        <v>1175</v>
      </c>
      <c r="E298">
        <v>15</v>
      </c>
      <c r="F298" t="s">
        <v>1189</v>
      </c>
      <c r="G298" s="302">
        <v>2026</v>
      </c>
      <c r="H298">
        <v>1</v>
      </c>
      <c r="I298" t="s">
        <v>1242</v>
      </c>
      <c r="J298">
        <v>1</v>
      </c>
      <c r="K298" s="298">
        <f>VLOOKUP(Tabel16[[#This Row],[Code taak]],InvulMJOP[],3,FALSE)*Tabel16[[#This Row],[Oppervlakte/Stuks]]*Tabel16[[#This Row],[Frequentie (uitv./jaar)]]</f>
        <v>0</v>
      </c>
      <c r="L298" s="299" t="s">
        <v>1247</v>
      </c>
    </row>
    <row r="299" spans="1:12">
      <c r="A299">
        <v>12</v>
      </c>
      <c r="B299" t="str">
        <f>VLOOKUP(A299,Locaties[[#All],[Code]:[Locatie]],2,FALSE)</f>
        <v>Onderwijscentrum Het Roessingh &amp; De Huifkar</v>
      </c>
      <c r="C299" t="s">
        <v>1220</v>
      </c>
      <c r="D299" t="s">
        <v>1175</v>
      </c>
      <c r="E299">
        <v>1</v>
      </c>
      <c r="F299" t="s">
        <v>1171</v>
      </c>
      <c r="G299" s="302">
        <v>2025</v>
      </c>
      <c r="H299">
        <v>418.5</v>
      </c>
      <c r="I299" t="s">
        <v>1239</v>
      </c>
      <c r="J299">
        <v>1</v>
      </c>
      <c r="K299" s="298">
        <f>VLOOKUP(Tabel16[[#This Row],[Code taak]],InvulMJOP[],3,FALSE)*Tabel16[[#This Row],[Oppervlakte/Stuks]]*Tabel16[[#This Row],[Frequentie (uitv./jaar)]]</f>
        <v>0</v>
      </c>
      <c r="L299" s="306"/>
    </row>
    <row r="300" spans="1:12">
      <c r="A300">
        <v>12</v>
      </c>
      <c r="B300" t="str">
        <f>VLOOKUP(A300,Locaties[[#All],[Code]:[Locatie]],2,FALSE)</f>
        <v>Onderwijscentrum Het Roessingh &amp; De Huifkar</v>
      </c>
      <c r="C300" t="s">
        <v>1220</v>
      </c>
      <c r="D300" t="s">
        <v>1175</v>
      </c>
      <c r="E300">
        <v>2</v>
      </c>
      <c r="F300" t="s">
        <v>1172</v>
      </c>
      <c r="G300" s="302">
        <v>2024</v>
      </c>
      <c r="H300">
        <v>418.5</v>
      </c>
      <c r="I300" t="s">
        <v>1239</v>
      </c>
      <c r="J300">
        <v>1</v>
      </c>
      <c r="K300" s="298">
        <f>VLOOKUP(Tabel16[[#This Row],[Code taak]],InvulMJOP[],3,FALSE)*Tabel16[[#This Row],[Oppervlakte/Stuks]]*Tabel16[[#This Row],[Frequentie (uitv./jaar)]]</f>
        <v>0</v>
      </c>
      <c r="L300" s="306"/>
    </row>
    <row r="301" spans="1:12">
      <c r="A301">
        <v>12</v>
      </c>
      <c r="B301" t="str">
        <f>VLOOKUP(A301,Locaties[[#All],[Code]:[Locatie]],2,FALSE)</f>
        <v>Onderwijscentrum Het Roessingh &amp; De Huifkar</v>
      </c>
      <c r="C301" t="s">
        <v>1220</v>
      </c>
      <c r="D301" t="s">
        <v>1175</v>
      </c>
      <c r="E301">
        <v>2</v>
      </c>
      <c r="F301" t="s">
        <v>1172</v>
      </c>
      <c r="G301" s="302">
        <v>2029</v>
      </c>
      <c r="H301">
        <v>418.5</v>
      </c>
      <c r="I301" t="s">
        <v>1239</v>
      </c>
      <c r="J301">
        <v>1</v>
      </c>
      <c r="K301" s="298">
        <f>VLOOKUP(Tabel16[[#This Row],[Code taak]],InvulMJOP[],3,FALSE)*Tabel16[[#This Row],[Oppervlakte/Stuks]]*Tabel16[[#This Row],[Frequentie (uitv./jaar)]]</f>
        <v>0</v>
      </c>
      <c r="L301" s="306"/>
    </row>
    <row r="302" spans="1:12">
      <c r="A302">
        <v>6</v>
      </c>
      <c r="B302" t="str">
        <f>VLOOKUP(A302,Locaties[[#All],[Code]:[Locatie]],2,FALSE)</f>
        <v>Het Reliëf</v>
      </c>
      <c r="C302" t="s">
        <v>1224</v>
      </c>
      <c r="D302" t="s">
        <v>1179</v>
      </c>
      <c r="E302">
        <v>22</v>
      </c>
      <c r="F302" t="s">
        <v>1200</v>
      </c>
      <c r="G302" s="302">
        <v>2021</v>
      </c>
      <c r="H302">
        <v>50</v>
      </c>
      <c r="I302" t="s">
        <v>1239</v>
      </c>
      <c r="J302">
        <v>1</v>
      </c>
      <c r="K302" s="298">
        <f>VLOOKUP(Tabel16[[#This Row],[Code taak]],InvulMJOP[],3,FALSE)*Tabel16[[#This Row],[Oppervlakte/Stuks]]*Tabel16[[#This Row],[Frequentie (uitv./jaar)]]</f>
        <v>0</v>
      </c>
      <c r="L302" s="306"/>
    </row>
    <row r="303" spans="1:12">
      <c r="A303">
        <v>6</v>
      </c>
      <c r="B303" t="str">
        <f>VLOOKUP(A303,Locaties[[#All],[Code]:[Locatie]],2,FALSE)</f>
        <v>Het Reliëf</v>
      </c>
      <c r="C303" t="s">
        <v>1224</v>
      </c>
      <c r="D303" t="s">
        <v>1179</v>
      </c>
      <c r="E303">
        <v>22</v>
      </c>
      <c r="F303" t="s">
        <v>1200</v>
      </c>
      <c r="G303" s="302">
        <v>2027</v>
      </c>
      <c r="H303">
        <v>50</v>
      </c>
      <c r="I303" t="s">
        <v>1239</v>
      </c>
      <c r="J303">
        <v>1</v>
      </c>
      <c r="K303" s="298">
        <f>VLOOKUP(Tabel16[[#This Row],[Code taak]],InvulMJOP[],3,FALSE)*Tabel16[[#This Row],[Oppervlakte/Stuks]]*Tabel16[[#This Row],[Frequentie (uitv./jaar)]]</f>
        <v>0</v>
      </c>
      <c r="L303" s="306"/>
    </row>
    <row r="304" spans="1:12">
      <c r="A304">
        <v>6</v>
      </c>
      <c r="B304" t="str">
        <f>VLOOKUP(A304,Locaties[[#All],[Code]:[Locatie]],2,FALSE)</f>
        <v>Het Reliëf</v>
      </c>
      <c r="C304" t="s">
        <v>1224</v>
      </c>
      <c r="D304" t="s">
        <v>1179</v>
      </c>
      <c r="E304">
        <v>6</v>
      </c>
      <c r="F304" t="s">
        <v>1180</v>
      </c>
      <c r="G304" s="302">
        <v>2021</v>
      </c>
      <c r="H304">
        <v>117</v>
      </c>
      <c r="I304" t="s">
        <v>1239</v>
      </c>
      <c r="J304">
        <v>1</v>
      </c>
      <c r="K304" s="298">
        <f>VLOOKUP(Tabel16[[#This Row],[Code taak]],InvulMJOP[],3,FALSE)*Tabel16[[#This Row],[Oppervlakte/Stuks]]*Tabel16[[#This Row],[Frequentie (uitv./jaar)]]</f>
        <v>0</v>
      </c>
      <c r="L304" s="306"/>
    </row>
    <row r="305" spans="1:12">
      <c r="A305">
        <v>6</v>
      </c>
      <c r="B305" t="str">
        <f>VLOOKUP(A305,Locaties[[#All],[Code]:[Locatie]],2,FALSE)</f>
        <v>Het Reliëf</v>
      </c>
      <c r="C305" t="s">
        <v>1224</v>
      </c>
      <c r="D305" t="s">
        <v>1179</v>
      </c>
      <c r="E305">
        <v>6</v>
      </c>
      <c r="F305" t="s">
        <v>1180</v>
      </c>
      <c r="G305" s="302">
        <v>2027</v>
      </c>
      <c r="H305">
        <v>117</v>
      </c>
      <c r="I305" t="s">
        <v>1239</v>
      </c>
      <c r="J305">
        <v>1</v>
      </c>
      <c r="K305" s="298">
        <f>VLOOKUP(Tabel16[[#This Row],[Code taak]],InvulMJOP[],3,FALSE)*Tabel16[[#This Row],[Oppervlakte/Stuks]]*Tabel16[[#This Row],[Frequentie (uitv./jaar)]]</f>
        <v>0</v>
      </c>
      <c r="L305" s="306"/>
    </row>
    <row r="306" spans="1:12">
      <c r="A306">
        <v>6</v>
      </c>
      <c r="B306" t="str">
        <f>VLOOKUP(A306,Locaties[[#All],[Code]:[Locatie]],2,FALSE)</f>
        <v>Het Reliëf</v>
      </c>
      <c r="C306" t="s">
        <v>1224</v>
      </c>
      <c r="D306" t="s">
        <v>1179</v>
      </c>
      <c r="E306">
        <v>9</v>
      </c>
      <c r="F306" t="s">
        <v>1183</v>
      </c>
      <c r="G306" s="302">
        <v>2021</v>
      </c>
      <c r="H306">
        <v>428</v>
      </c>
      <c r="I306" t="s">
        <v>1241</v>
      </c>
      <c r="J306">
        <v>1</v>
      </c>
      <c r="K306" s="298">
        <f>VLOOKUP(Tabel16[[#This Row],[Code taak]],InvulMJOP[],3,FALSE)*Tabel16[[#This Row],[Oppervlakte/Stuks]]*Tabel16[[#This Row],[Frequentie (uitv./jaar)]]</f>
        <v>0</v>
      </c>
      <c r="L306" s="306"/>
    </row>
    <row r="307" spans="1:12">
      <c r="A307">
        <v>6</v>
      </c>
      <c r="B307" t="str">
        <f>VLOOKUP(A307,Locaties[[#All],[Code]:[Locatie]],2,FALSE)</f>
        <v>Het Reliëf</v>
      </c>
      <c r="C307" t="s">
        <v>1224</v>
      </c>
      <c r="D307" t="s">
        <v>1179</v>
      </c>
      <c r="E307">
        <v>9</v>
      </c>
      <c r="F307" t="s">
        <v>1183</v>
      </c>
      <c r="G307" s="302">
        <v>2027</v>
      </c>
      <c r="H307">
        <v>428</v>
      </c>
      <c r="I307" t="s">
        <v>1241</v>
      </c>
      <c r="J307">
        <v>1</v>
      </c>
      <c r="K307" s="298">
        <f>VLOOKUP(Tabel16[[#This Row],[Code taak]],InvulMJOP[],3,FALSE)*Tabel16[[#This Row],[Oppervlakte/Stuks]]*Tabel16[[#This Row],[Frequentie (uitv./jaar)]]</f>
        <v>0</v>
      </c>
      <c r="L307" s="306"/>
    </row>
    <row r="308" spans="1:12">
      <c r="A308">
        <v>6</v>
      </c>
      <c r="B308" t="str">
        <f>VLOOKUP(A308,Locaties[[#All],[Code]:[Locatie]],2,FALSE)</f>
        <v>Het Reliëf</v>
      </c>
      <c r="C308" t="s">
        <v>1224</v>
      </c>
      <c r="D308" t="s">
        <v>1179</v>
      </c>
      <c r="E308">
        <v>31</v>
      </c>
      <c r="F308" t="s">
        <v>1225</v>
      </c>
      <c r="G308" s="302">
        <v>2021</v>
      </c>
      <c r="H308">
        <v>10</v>
      </c>
      <c r="I308" t="s">
        <v>1241</v>
      </c>
      <c r="J308">
        <v>1</v>
      </c>
      <c r="K308" s="298">
        <f>VLOOKUP(Tabel16[[#This Row],[Code taak]],InvulMJOP[],3,FALSE)*Tabel16[[#This Row],[Oppervlakte/Stuks]]*Tabel16[[#This Row],[Frequentie (uitv./jaar)]]</f>
        <v>0</v>
      </c>
      <c r="L308" s="306"/>
    </row>
    <row r="309" spans="1:12">
      <c r="A309">
        <v>6</v>
      </c>
      <c r="B309" t="str">
        <f>VLOOKUP(A309,Locaties[[#All],[Code]:[Locatie]],2,FALSE)</f>
        <v>Het Reliëf</v>
      </c>
      <c r="C309" t="s">
        <v>1224</v>
      </c>
      <c r="D309" t="s">
        <v>1179</v>
      </c>
      <c r="E309">
        <v>31</v>
      </c>
      <c r="F309" t="s">
        <v>1225</v>
      </c>
      <c r="G309" s="302">
        <v>2027</v>
      </c>
      <c r="H309">
        <v>10</v>
      </c>
      <c r="I309" t="s">
        <v>1241</v>
      </c>
      <c r="J309">
        <v>1</v>
      </c>
      <c r="K309" s="298">
        <f>VLOOKUP(Tabel16[[#This Row],[Code taak]],InvulMJOP[],3,FALSE)*Tabel16[[#This Row],[Oppervlakte/Stuks]]*Tabel16[[#This Row],[Frequentie (uitv./jaar)]]</f>
        <v>0</v>
      </c>
      <c r="L309" s="306"/>
    </row>
    <row r="310" spans="1:12">
      <c r="A310">
        <v>6</v>
      </c>
      <c r="B310" t="str">
        <f>VLOOKUP(A310,Locaties[[#All],[Code]:[Locatie]],2,FALSE)</f>
        <v>Het Reliëf</v>
      </c>
      <c r="C310" t="s">
        <v>1224</v>
      </c>
      <c r="D310" t="s">
        <v>1179</v>
      </c>
      <c r="E310">
        <v>10</v>
      </c>
      <c r="F310" t="s">
        <v>1184</v>
      </c>
      <c r="G310" s="302">
        <v>2021</v>
      </c>
      <c r="H310">
        <v>10</v>
      </c>
      <c r="I310" t="s">
        <v>1241</v>
      </c>
      <c r="J310">
        <v>1</v>
      </c>
      <c r="K310" s="298">
        <f>VLOOKUP(Tabel16[[#This Row],[Code taak]],InvulMJOP[],3,FALSE)*Tabel16[[#This Row],[Oppervlakte/Stuks]]*Tabel16[[#This Row],[Frequentie (uitv./jaar)]]</f>
        <v>0</v>
      </c>
      <c r="L310" s="306"/>
    </row>
    <row r="311" spans="1:12">
      <c r="A311">
        <v>6</v>
      </c>
      <c r="B311" t="str">
        <f>VLOOKUP(A311,Locaties[[#All],[Code]:[Locatie]],2,FALSE)</f>
        <v>Het Reliëf</v>
      </c>
      <c r="C311" t="s">
        <v>1224</v>
      </c>
      <c r="D311" t="s">
        <v>1179</v>
      </c>
      <c r="E311">
        <v>10</v>
      </c>
      <c r="F311" t="s">
        <v>1184</v>
      </c>
      <c r="G311" s="302">
        <v>2027</v>
      </c>
      <c r="H311">
        <v>10</v>
      </c>
      <c r="I311" t="s">
        <v>1241</v>
      </c>
      <c r="J311">
        <v>1</v>
      </c>
      <c r="K311" s="298">
        <f>VLOOKUP(Tabel16[[#This Row],[Code taak]],InvulMJOP[],3,FALSE)*Tabel16[[#This Row],[Oppervlakte/Stuks]]*Tabel16[[#This Row],[Frequentie (uitv./jaar)]]</f>
        <v>0</v>
      </c>
      <c r="L311" s="306"/>
    </row>
    <row r="312" spans="1:12">
      <c r="A312">
        <v>6</v>
      </c>
      <c r="B312" t="str">
        <f>VLOOKUP(A312,Locaties[[#All],[Code]:[Locatie]],2,FALSE)</f>
        <v>Het Reliëf</v>
      </c>
      <c r="C312" t="s">
        <v>1224</v>
      </c>
      <c r="D312" t="s">
        <v>1175</v>
      </c>
      <c r="E312">
        <v>13</v>
      </c>
      <c r="F312" t="s">
        <v>1187</v>
      </c>
      <c r="G312" s="302">
        <v>2024</v>
      </c>
      <c r="H312">
        <v>790</v>
      </c>
      <c r="I312" t="s">
        <v>1241</v>
      </c>
      <c r="J312">
        <v>1</v>
      </c>
      <c r="K312" s="298">
        <f>VLOOKUP(Tabel16[[#This Row],[Code taak]],InvulMJOP[],3,FALSE)*Tabel16[[#This Row],[Oppervlakte/Stuks]]*Tabel16[[#This Row],[Frequentie (uitv./jaar)]]</f>
        <v>0</v>
      </c>
      <c r="L312" s="306"/>
    </row>
    <row r="313" spans="1:12">
      <c r="A313">
        <v>6</v>
      </c>
      <c r="B313" t="str">
        <f>VLOOKUP(A313,Locaties[[#All],[Code]:[Locatie]],2,FALSE)</f>
        <v>Het Reliëf</v>
      </c>
      <c r="C313" t="s">
        <v>1224</v>
      </c>
      <c r="D313" t="s">
        <v>1175</v>
      </c>
      <c r="E313">
        <v>13</v>
      </c>
      <c r="F313" t="s">
        <v>1187</v>
      </c>
      <c r="G313" s="302">
        <v>2028</v>
      </c>
      <c r="H313">
        <v>790</v>
      </c>
      <c r="I313" t="s">
        <v>1241</v>
      </c>
      <c r="J313">
        <v>1</v>
      </c>
      <c r="K313" s="298">
        <f>VLOOKUP(Tabel16[[#This Row],[Code taak]],InvulMJOP[],3,FALSE)*Tabel16[[#This Row],[Oppervlakte/Stuks]]*Tabel16[[#This Row],[Frequentie (uitv./jaar)]]</f>
        <v>0</v>
      </c>
      <c r="L313" s="306"/>
    </row>
    <row r="314" spans="1:12">
      <c r="A314">
        <v>6</v>
      </c>
      <c r="B314" t="str">
        <f>VLOOKUP(A314,Locaties[[#All],[Code]:[Locatie]],2,FALSE)</f>
        <v>Het Reliëf</v>
      </c>
      <c r="C314" t="s">
        <v>1224</v>
      </c>
      <c r="D314" t="s">
        <v>1175</v>
      </c>
      <c r="E314">
        <v>14</v>
      </c>
      <c r="F314" t="s">
        <v>1188</v>
      </c>
      <c r="G314" s="302">
        <v>2022</v>
      </c>
      <c r="H314">
        <v>790</v>
      </c>
      <c r="I314" t="s">
        <v>1241</v>
      </c>
      <c r="J314">
        <v>1</v>
      </c>
      <c r="K314" s="298">
        <f>VLOOKUP(Tabel16[[#This Row],[Code taak]],InvulMJOP[],3,FALSE)*Tabel16[[#This Row],[Oppervlakte/Stuks]]*Tabel16[[#This Row],[Frequentie (uitv./jaar)]]</f>
        <v>0</v>
      </c>
      <c r="L314" s="306"/>
    </row>
    <row r="315" spans="1:12">
      <c r="A315">
        <v>6</v>
      </c>
      <c r="B315" t="str">
        <f>VLOOKUP(A315,Locaties[[#All],[Code]:[Locatie]],2,FALSE)</f>
        <v>Het Reliëf</v>
      </c>
      <c r="C315" t="s">
        <v>1224</v>
      </c>
      <c r="D315" t="s">
        <v>1175</v>
      </c>
      <c r="E315">
        <v>14</v>
      </c>
      <c r="F315" t="s">
        <v>1188</v>
      </c>
      <c r="G315" s="302">
        <v>2026</v>
      </c>
      <c r="H315">
        <v>790</v>
      </c>
      <c r="I315" t="s">
        <v>1241</v>
      </c>
      <c r="J315">
        <v>1</v>
      </c>
      <c r="K315" s="298">
        <f>VLOOKUP(Tabel16[[#This Row],[Code taak]],InvulMJOP[],3,FALSE)*Tabel16[[#This Row],[Oppervlakte/Stuks]]*Tabel16[[#This Row],[Frequentie (uitv./jaar)]]</f>
        <v>0</v>
      </c>
      <c r="L315" s="306"/>
    </row>
    <row r="316" spans="1:12">
      <c r="A316">
        <v>6</v>
      </c>
      <c r="B316" t="str">
        <f>VLOOKUP(A316,Locaties[[#All],[Code]:[Locatie]],2,FALSE)</f>
        <v>Het Reliëf</v>
      </c>
      <c r="C316" t="s">
        <v>1224</v>
      </c>
      <c r="D316" t="s">
        <v>1175</v>
      </c>
      <c r="E316">
        <v>15</v>
      </c>
      <c r="F316" t="s">
        <v>1189</v>
      </c>
      <c r="G316" s="302">
        <v>2023</v>
      </c>
      <c r="H316">
        <v>1</v>
      </c>
      <c r="I316" t="s">
        <v>1242</v>
      </c>
      <c r="J316">
        <v>1</v>
      </c>
      <c r="K316" s="298">
        <f>VLOOKUP(Tabel16[[#This Row],[Code taak]],InvulMJOP[],3,FALSE)*Tabel16[[#This Row],[Oppervlakte/Stuks]]*Tabel16[[#This Row],[Frequentie (uitv./jaar)]]</f>
        <v>0</v>
      </c>
      <c r="L316" s="299" t="s">
        <v>1247</v>
      </c>
    </row>
    <row r="317" spans="1:12">
      <c r="A317">
        <v>6</v>
      </c>
      <c r="B317" t="str">
        <f>VLOOKUP(A317,Locaties[[#All],[Code]:[Locatie]],2,FALSE)</f>
        <v>Het Reliëf</v>
      </c>
      <c r="C317" t="s">
        <v>1224</v>
      </c>
      <c r="D317" t="s">
        <v>1175</v>
      </c>
      <c r="E317">
        <v>15</v>
      </c>
      <c r="F317" t="s">
        <v>1189</v>
      </c>
      <c r="G317" s="302">
        <v>2028</v>
      </c>
      <c r="H317">
        <v>1</v>
      </c>
      <c r="I317" t="s">
        <v>1242</v>
      </c>
      <c r="J317">
        <v>1</v>
      </c>
      <c r="K317" s="298">
        <f>VLOOKUP(Tabel16[[#This Row],[Code taak]],InvulMJOP[],3,FALSE)*Tabel16[[#This Row],[Oppervlakte/Stuks]]*Tabel16[[#This Row],[Frequentie (uitv./jaar)]]</f>
        <v>0</v>
      </c>
      <c r="L317" s="299" t="s">
        <v>1247</v>
      </c>
    </row>
    <row r="318" spans="1:12">
      <c r="A318">
        <v>6</v>
      </c>
      <c r="B318" t="str">
        <f>VLOOKUP(A318,Locaties[[#All],[Code]:[Locatie]],2,FALSE)</f>
        <v>Het Reliëf</v>
      </c>
      <c r="C318" t="s">
        <v>1226</v>
      </c>
      <c r="D318" t="s">
        <v>1179</v>
      </c>
      <c r="E318">
        <v>6</v>
      </c>
      <c r="F318" t="s">
        <v>1180</v>
      </c>
      <c r="G318" s="302">
        <v>2021</v>
      </c>
      <c r="H318">
        <v>30.3</v>
      </c>
      <c r="I318" t="s">
        <v>1239</v>
      </c>
      <c r="J318">
        <v>1</v>
      </c>
      <c r="K318" s="298">
        <f>VLOOKUP(Tabel16[[#This Row],[Code taak]],InvulMJOP[],3,FALSE)*Tabel16[[#This Row],[Oppervlakte/Stuks]]*Tabel16[[#This Row],[Frequentie (uitv./jaar)]]</f>
        <v>0</v>
      </c>
      <c r="L318" s="306"/>
    </row>
    <row r="319" spans="1:12">
      <c r="A319">
        <v>6</v>
      </c>
      <c r="B319" t="str">
        <f>VLOOKUP(A319,Locaties[[#All],[Code]:[Locatie]],2,FALSE)</f>
        <v>Het Reliëf</v>
      </c>
      <c r="C319" t="s">
        <v>1226</v>
      </c>
      <c r="D319" t="s">
        <v>1179</v>
      </c>
      <c r="E319">
        <v>6</v>
      </c>
      <c r="F319" t="s">
        <v>1180</v>
      </c>
      <c r="G319" s="302">
        <v>2027</v>
      </c>
      <c r="H319">
        <v>30.3</v>
      </c>
      <c r="I319" t="s">
        <v>1239</v>
      </c>
      <c r="J319">
        <v>1</v>
      </c>
      <c r="K319" s="298">
        <f>VLOOKUP(Tabel16[[#This Row],[Code taak]],InvulMJOP[],3,FALSE)*Tabel16[[#This Row],[Oppervlakte/Stuks]]*Tabel16[[#This Row],[Frequentie (uitv./jaar)]]</f>
        <v>0</v>
      </c>
      <c r="L319" s="306"/>
    </row>
    <row r="320" spans="1:12">
      <c r="A320">
        <v>6</v>
      </c>
      <c r="B320" t="str">
        <f>VLOOKUP(A320,Locaties[[#All],[Code]:[Locatie]],2,FALSE)</f>
        <v>Het Reliëf</v>
      </c>
      <c r="C320" t="s">
        <v>1226</v>
      </c>
      <c r="D320" t="s">
        <v>1179</v>
      </c>
      <c r="E320">
        <v>7</v>
      </c>
      <c r="F320" t="s">
        <v>1181</v>
      </c>
      <c r="G320" s="302">
        <v>2021</v>
      </c>
      <c r="H320">
        <v>15</v>
      </c>
      <c r="I320" t="s">
        <v>1239</v>
      </c>
      <c r="J320">
        <v>1</v>
      </c>
      <c r="K320" s="298">
        <f>VLOOKUP(Tabel16[[#This Row],[Code taak]],InvulMJOP[],3,FALSE)*Tabel16[[#This Row],[Oppervlakte/Stuks]]*Tabel16[[#This Row],[Frequentie (uitv./jaar)]]</f>
        <v>0</v>
      </c>
      <c r="L320" s="306"/>
    </row>
    <row r="321" spans="1:12">
      <c r="A321">
        <v>6</v>
      </c>
      <c r="B321" t="str">
        <f>VLOOKUP(A321,Locaties[[#All],[Code]:[Locatie]],2,FALSE)</f>
        <v>Het Reliëf</v>
      </c>
      <c r="C321" t="s">
        <v>1226</v>
      </c>
      <c r="D321" t="s">
        <v>1179</v>
      </c>
      <c r="E321">
        <v>7</v>
      </c>
      <c r="F321" t="s">
        <v>1181</v>
      </c>
      <c r="G321" s="302">
        <v>2027</v>
      </c>
      <c r="H321">
        <v>15</v>
      </c>
      <c r="I321" t="s">
        <v>1239</v>
      </c>
      <c r="J321">
        <v>1</v>
      </c>
      <c r="K321" s="298">
        <f>VLOOKUP(Tabel16[[#This Row],[Code taak]],InvulMJOP[],3,FALSE)*Tabel16[[#This Row],[Oppervlakte/Stuks]]*Tabel16[[#This Row],[Frequentie (uitv./jaar)]]</f>
        <v>0</v>
      </c>
      <c r="L321" s="306"/>
    </row>
    <row r="322" spans="1:12">
      <c r="A322">
        <v>6</v>
      </c>
      <c r="B322" t="str">
        <f>VLOOKUP(A322,Locaties[[#All],[Code]:[Locatie]],2,FALSE)</f>
        <v>Het Reliëf</v>
      </c>
      <c r="C322" t="s">
        <v>1226</v>
      </c>
      <c r="D322" t="s">
        <v>1179</v>
      </c>
      <c r="E322">
        <v>9</v>
      </c>
      <c r="F322" t="s">
        <v>1183</v>
      </c>
      <c r="G322" s="302">
        <v>2021</v>
      </c>
      <c r="H322">
        <v>27.3</v>
      </c>
      <c r="I322" t="s">
        <v>1241</v>
      </c>
      <c r="J322">
        <v>1</v>
      </c>
      <c r="K322" s="298">
        <f>VLOOKUP(Tabel16[[#This Row],[Code taak]],InvulMJOP[],3,FALSE)*Tabel16[[#This Row],[Oppervlakte/Stuks]]*Tabel16[[#This Row],[Frequentie (uitv./jaar)]]</f>
        <v>0</v>
      </c>
      <c r="L322" s="306"/>
    </row>
    <row r="323" spans="1:12">
      <c r="A323">
        <v>6</v>
      </c>
      <c r="B323" t="str">
        <f>VLOOKUP(A323,Locaties[[#All],[Code]:[Locatie]],2,FALSE)</f>
        <v>Het Reliëf</v>
      </c>
      <c r="C323" t="s">
        <v>1226</v>
      </c>
      <c r="D323" t="s">
        <v>1179</v>
      </c>
      <c r="E323">
        <v>9</v>
      </c>
      <c r="F323" t="s">
        <v>1183</v>
      </c>
      <c r="G323" s="302">
        <v>2027</v>
      </c>
      <c r="H323">
        <v>27.3</v>
      </c>
      <c r="I323" t="s">
        <v>1241</v>
      </c>
      <c r="J323">
        <v>1</v>
      </c>
      <c r="K323" s="298">
        <f>VLOOKUP(Tabel16[[#This Row],[Code taak]],InvulMJOP[],3,FALSE)*Tabel16[[#This Row],[Oppervlakte/Stuks]]*Tabel16[[#This Row],[Frequentie (uitv./jaar)]]</f>
        <v>0</v>
      </c>
      <c r="L323" s="306"/>
    </row>
    <row r="324" spans="1:12">
      <c r="A324">
        <v>4</v>
      </c>
      <c r="B324" t="str">
        <f>VLOOKUP(A324,Locaties[[#All],[Code]:[Locatie]],2,FALSE)</f>
        <v>Stafbureau Attendiz</v>
      </c>
      <c r="C324" t="s">
        <v>1227</v>
      </c>
      <c r="D324" t="s">
        <v>1170</v>
      </c>
      <c r="E324">
        <v>22</v>
      </c>
      <c r="F324" t="s">
        <v>1200</v>
      </c>
      <c r="G324" s="302">
        <v>2022</v>
      </c>
      <c r="H324">
        <v>6.2</v>
      </c>
      <c r="I324" t="s">
        <v>1239</v>
      </c>
      <c r="J324">
        <v>1</v>
      </c>
      <c r="K324" s="298">
        <f>VLOOKUP(Tabel16[[#This Row],[Code taak]],InvulMJOP[],3,FALSE)*Tabel16[[#This Row],[Oppervlakte/Stuks]]*Tabel16[[#This Row],[Frequentie (uitv./jaar)]]</f>
        <v>0</v>
      </c>
      <c r="L324" s="306"/>
    </row>
    <row r="325" spans="1:12">
      <c r="A325">
        <v>4</v>
      </c>
      <c r="B325" t="str">
        <f>VLOOKUP(A325,Locaties[[#All],[Code]:[Locatie]],2,FALSE)</f>
        <v>Stafbureau Attendiz</v>
      </c>
      <c r="C325" t="s">
        <v>1227</v>
      </c>
      <c r="D325" t="s">
        <v>1170</v>
      </c>
      <c r="E325">
        <v>22</v>
      </c>
      <c r="F325" t="s">
        <v>1200</v>
      </c>
      <c r="G325" s="302">
        <v>2028</v>
      </c>
      <c r="H325">
        <v>6.2</v>
      </c>
      <c r="I325" t="s">
        <v>1239</v>
      </c>
      <c r="J325">
        <v>1</v>
      </c>
      <c r="K325" s="298">
        <f>VLOOKUP(Tabel16[[#This Row],[Code taak]],InvulMJOP[],3,FALSE)*Tabel16[[#This Row],[Oppervlakte/Stuks]]*Tabel16[[#This Row],[Frequentie (uitv./jaar)]]</f>
        <v>0</v>
      </c>
      <c r="L325" s="306"/>
    </row>
    <row r="326" spans="1:12">
      <c r="A326">
        <v>4</v>
      </c>
      <c r="B326" t="str">
        <f>VLOOKUP(A326,Locaties[[#All],[Code]:[Locatie]],2,FALSE)</f>
        <v>Stafbureau Attendiz</v>
      </c>
      <c r="C326" t="s">
        <v>1227</v>
      </c>
      <c r="D326" t="s">
        <v>1170</v>
      </c>
      <c r="E326">
        <v>5</v>
      </c>
      <c r="F326" t="s">
        <v>1178</v>
      </c>
      <c r="G326" s="302">
        <v>2026</v>
      </c>
      <c r="H326">
        <v>104</v>
      </c>
      <c r="I326" t="s">
        <v>1241</v>
      </c>
      <c r="J326">
        <v>1</v>
      </c>
      <c r="K326" s="298">
        <f>VLOOKUP(Tabel16[[#This Row],[Code taak]],InvulMJOP[],3,FALSE)*Tabel16[[#This Row],[Oppervlakte/Stuks]]*Tabel16[[#This Row],[Frequentie (uitv./jaar)]]</f>
        <v>0</v>
      </c>
      <c r="L326" s="306"/>
    </row>
    <row r="327" spans="1:12">
      <c r="A327">
        <v>4</v>
      </c>
      <c r="B327" t="str">
        <f>VLOOKUP(A327,Locaties[[#All],[Code]:[Locatie]],2,FALSE)</f>
        <v>Stafbureau Attendiz</v>
      </c>
      <c r="C327" t="s">
        <v>1227</v>
      </c>
      <c r="D327" t="s">
        <v>1170</v>
      </c>
      <c r="E327">
        <v>1</v>
      </c>
      <c r="F327" t="s">
        <v>1171</v>
      </c>
      <c r="G327" s="302">
        <v>2026</v>
      </c>
      <c r="H327">
        <v>150.19999999999999</v>
      </c>
      <c r="I327" t="s">
        <v>1239</v>
      </c>
      <c r="J327">
        <v>1</v>
      </c>
      <c r="K327" s="298">
        <f>VLOOKUP(Tabel16[[#This Row],[Code taak]],InvulMJOP[],3,FALSE)*Tabel16[[#This Row],[Oppervlakte/Stuks]]*Tabel16[[#This Row],[Frequentie (uitv./jaar)]]</f>
        <v>0</v>
      </c>
      <c r="L327" s="306"/>
    </row>
    <row r="328" spans="1:12">
      <c r="A328">
        <v>4</v>
      </c>
      <c r="B328" t="str">
        <f>VLOOKUP(A328,Locaties[[#All],[Code]:[Locatie]],2,FALSE)</f>
        <v>Stafbureau Attendiz</v>
      </c>
      <c r="C328" t="s">
        <v>1227</v>
      </c>
      <c r="D328" t="s">
        <v>1170</v>
      </c>
      <c r="E328">
        <v>2</v>
      </c>
      <c r="F328" t="s">
        <v>1172</v>
      </c>
      <c r="G328" s="302">
        <v>2026</v>
      </c>
      <c r="H328">
        <v>150.19999999999999</v>
      </c>
      <c r="I328" t="s">
        <v>1239</v>
      </c>
      <c r="J328">
        <v>1</v>
      </c>
      <c r="K328" s="298">
        <f>VLOOKUP(Tabel16[[#This Row],[Code taak]],InvulMJOP[],3,FALSE)*Tabel16[[#This Row],[Oppervlakte/Stuks]]*Tabel16[[#This Row],[Frequentie (uitv./jaar)]]</f>
        <v>0</v>
      </c>
      <c r="L328" s="306"/>
    </row>
    <row r="329" spans="1:12">
      <c r="A329">
        <v>4</v>
      </c>
      <c r="B329" t="str">
        <f>VLOOKUP(A329,Locaties[[#All],[Code]:[Locatie]],2,FALSE)</f>
        <v>Stafbureau Attendiz</v>
      </c>
      <c r="C329" t="s">
        <v>1227</v>
      </c>
      <c r="D329" t="s">
        <v>1173</v>
      </c>
      <c r="E329">
        <v>3</v>
      </c>
      <c r="F329" t="s">
        <v>1174</v>
      </c>
      <c r="G329" s="302">
        <v>2026</v>
      </c>
      <c r="H329">
        <v>955</v>
      </c>
      <c r="I329" t="s">
        <v>1240</v>
      </c>
      <c r="J329">
        <v>1</v>
      </c>
      <c r="K329" s="298">
        <f>VLOOKUP(Tabel16[[#This Row],[Code taak]],InvulMJOP[],3,FALSE)*Tabel16[[#This Row],[Oppervlakte/Stuks]]*Tabel16[[#This Row],[Frequentie (uitv./jaar)]]</f>
        <v>0</v>
      </c>
      <c r="L329" s="306"/>
    </row>
    <row r="330" spans="1:12">
      <c r="A330">
        <v>4</v>
      </c>
      <c r="B330" t="str">
        <f>VLOOKUP(A330,Locaties[[#All],[Code]:[Locatie]],2,FALSE)</f>
        <v>Stafbureau Attendiz</v>
      </c>
      <c r="C330" t="s">
        <v>1227</v>
      </c>
      <c r="D330" t="s">
        <v>1179</v>
      </c>
      <c r="E330">
        <v>26</v>
      </c>
      <c r="F330" t="s">
        <v>1214</v>
      </c>
      <c r="G330" s="302">
        <v>2021</v>
      </c>
      <c r="H330">
        <v>10.5</v>
      </c>
      <c r="I330" t="s">
        <v>1239</v>
      </c>
      <c r="J330">
        <v>1</v>
      </c>
      <c r="K330" s="298">
        <f>VLOOKUP(Tabel16[[#This Row],[Code taak]],InvulMJOP[],3,FALSE)*Tabel16[[#This Row],[Oppervlakte/Stuks]]*Tabel16[[#This Row],[Frequentie (uitv./jaar)]]</f>
        <v>0</v>
      </c>
      <c r="L330" s="306"/>
    </row>
    <row r="331" spans="1:12">
      <c r="A331">
        <v>4</v>
      </c>
      <c r="B331" t="str">
        <f>VLOOKUP(A331,Locaties[[#All],[Code]:[Locatie]],2,FALSE)</f>
        <v>Stafbureau Attendiz</v>
      </c>
      <c r="C331" t="s">
        <v>1227</v>
      </c>
      <c r="D331" t="s">
        <v>1179</v>
      </c>
      <c r="E331">
        <v>26</v>
      </c>
      <c r="F331" t="s">
        <v>1214</v>
      </c>
      <c r="G331" s="302">
        <v>2027</v>
      </c>
      <c r="H331">
        <v>10.5</v>
      </c>
      <c r="I331" t="s">
        <v>1239</v>
      </c>
      <c r="J331">
        <v>1</v>
      </c>
      <c r="K331" s="298">
        <f>VLOOKUP(Tabel16[[#This Row],[Code taak]],InvulMJOP[],3,FALSE)*Tabel16[[#This Row],[Oppervlakte/Stuks]]*Tabel16[[#This Row],[Frequentie (uitv./jaar)]]</f>
        <v>0</v>
      </c>
      <c r="L331" s="306"/>
    </row>
    <row r="332" spans="1:12">
      <c r="A332">
        <v>4</v>
      </c>
      <c r="B332" t="str">
        <f>VLOOKUP(A332,Locaties[[#All],[Code]:[Locatie]],2,FALSE)</f>
        <v>Stafbureau Attendiz</v>
      </c>
      <c r="C332" t="s">
        <v>1227</v>
      </c>
      <c r="D332" t="s">
        <v>1179</v>
      </c>
      <c r="E332">
        <v>32</v>
      </c>
      <c r="F332" t="s">
        <v>1228</v>
      </c>
      <c r="G332" s="302">
        <v>2021</v>
      </c>
      <c r="H332">
        <v>7</v>
      </c>
      <c r="I332" t="s">
        <v>1239</v>
      </c>
      <c r="J332">
        <v>1</v>
      </c>
      <c r="K332" s="298">
        <f>VLOOKUP(Tabel16[[#This Row],[Code taak]],InvulMJOP[],3,FALSE)*Tabel16[[#This Row],[Oppervlakte/Stuks]]*Tabel16[[#This Row],[Frequentie (uitv./jaar)]]</f>
        <v>0</v>
      </c>
      <c r="L332" s="306"/>
    </row>
    <row r="333" spans="1:12">
      <c r="A333">
        <v>4</v>
      </c>
      <c r="B333" t="str">
        <f>VLOOKUP(A333,Locaties[[#All],[Code]:[Locatie]],2,FALSE)</f>
        <v>Stafbureau Attendiz</v>
      </c>
      <c r="C333" t="s">
        <v>1227</v>
      </c>
      <c r="D333" t="s">
        <v>1179</v>
      </c>
      <c r="E333">
        <v>32</v>
      </c>
      <c r="F333" t="s">
        <v>1228</v>
      </c>
      <c r="G333" s="302">
        <v>2027</v>
      </c>
      <c r="H333">
        <v>7</v>
      </c>
      <c r="I333" t="s">
        <v>1239</v>
      </c>
      <c r="J333">
        <v>1</v>
      </c>
      <c r="K333" s="298">
        <f>VLOOKUP(Tabel16[[#This Row],[Code taak]],InvulMJOP[],3,FALSE)*Tabel16[[#This Row],[Oppervlakte/Stuks]]*Tabel16[[#This Row],[Frequentie (uitv./jaar)]]</f>
        <v>0</v>
      </c>
      <c r="L333" s="306"/>
    </row>
    <row r="334" spans="1:12">
      <c r="A334">
        <v>4</v>
      </c>
      <c r="B334" t="str">
        <f>VLOOKUP(A334,Locaties[[#All],[Code]:[Locatie]],2,FALSE)</f>
        <v>Stafbureau Attendiz</v>
      </c>
      <c r="C334" t="s">
        <v>1227</v>
      </c>
      <c r="D334" t="s">
        <v>1179</v>
      </c>
      <c r="E334">
        <v>24</v>
      </c>
      <c r="F334" t="s">
        <v>1211</v>
      </c>
      <c r="G334" s="302">
        <v>2021</v>
      </c>
      <c r="H334">
        <v>26</v>
      </c>
      <c r="I334" t="s">
        <v>1241</v>
      </c>
      <c r="J334">
        <v>1</v>
      </c>
      <c r="K334" s="298">
        <f>VLOOKUP(Tabel16[[#This Row],[Code taak]],InvulMJOP[],3,FALSE)*Tabel16[[#This Row],[Oppervlakte/Stuks]]*Tabel16[[#This Row],[Frequentie (uitv./jaar)]]</f>
        <v>0</v>
      </c>
      <c r="L334" s="306"/>
    </row>
    <row r="335" spans="1:12">
      <c r="A335">
        <v>4</v>
      </c>
      <c r="B335" t="str">
        <f>VLOOKUP(A335,Locaties[[#All],[Code]:[Locatie]],2,FALSE)</f>
        <v>Stafbureau Attendiz</v>
      </c>
      <c r="C335" t="s">
        <v>1227</v>
      </c>
      <c r="D335" t="s">
        <v>1179</v>
      </c>
      <c r="E335">
        <v>24</v>
      </c>
      <c r="F335" t="s">
        <v>1211</v>
      </c>
      <c r="G335" s="302">
        <v>2027</v>
      </c>
      <c r="H335">
        <v>26</v>
      </c>
      <c r="I335" t="s">
        <v>1241</v>
      </c>
      <c r="J335">
        <v>1</v>
      </c>
      <c r="K335" s="298">
        <f>VLOOKUP(Tabel16[[#This Row],[Code taak]],InvulMJOP[],3,FALSE)*Tabel16[[#This Row],[Oppervlakte/Stuks]]*Tabel16[[#This Row],[Frequentie (uitv./jaar)]]</f>
        <v>0</v>
      </c>
      <c r="L335" s="306"/>
    </row>
    <row r="336" spans="1:12">
      <c r="A336">
        <v>4</v>
      </c>
      <c r="B336" t="str">
        <f>VLOOKUP(A336,Locaties[[#All],[Code]:[Locatie]],2,FALSE)</f>
        <v>Stafbureau Attendiz</v>
      </c>
      <c r="C336" t="s">
        <v>1227</v>
      </c>
      <c r="D336" t="s">
        <v>1179</v>
      </c>
      <c r="E336">
        <v>25</v>
      </c>
      <c r="F336" t="s">
        <v>1212</v>
      </c>
      <c r="G336" s="302">
        <v>2021</v>
      </c>
      <c r="H336">
        <v>48</v>
      </c>
      <c r="I336" t="s">
        <v>1241</v>
      </c>
      <c r="J336">
        <v>1</v>
      </c>
      <c r="K336" s="298">
        <f>VLOOKUP(Tabel16[[#This Row],[Code taak]],InvulMJOP[],3,FALSE)*Tabel16[[#This Row],[Oppervlakte/Stuks]]*Tabel16[[#This Row],[Frequentie (uitv./jaar)]]</f>
        <v>0</v>
      </c>
      <c r="L336" s="306"/>
    </row>
    <row r="337" spans="1:12">
      <c r="A337">
        <v>4</v>
      </c>
      <c r="B337" t="str">
        <f>VLOOKUP(A337,Locaties[[#All],[Code]:[Locatie]],2,FALSE)</f>
        <v>Stafbureau Attendiz</v>
      </c>
      <c r="C337" t="s">
        <v>1227</v>
      </c>
      <c r="D337" t="s">
        <v>1179</v>
      </c>
      <c r="E337">
        <v>25</v>
      </c>
      <c r="F337" t="s">
        <v>1212</v>
      </c>
      <c r="G337" s="302">
        <v>2027</v>
      </c>
      <c r="H337">
        <v>48</v>
      </c>
      <c r="I337" t="s">
        <v>1241</v>
      </c>
      <c r="J337">
        <v>1</v>
      </c>
      <c r="K337" s="298">
        <f>VLOOKUP(Tabel16[[#This Row],[Code taak]],InvulMJOP[],3,FALSE)*Tabel16[[#This Row],[Oppervlakte/Stuks]]*Tabel16[[#This Row],[Frequentie (uitv./jaar)]]</f>
        <v>0</v>
      </c>
      <c r="L337" s="306"/>
    </row>
    <row r="338" spans="1:12">
      <c r="A338">
        <v>4</v>
      </c>
      <c r="B338" t="str">
        <f>VLOOKUP(A338,Locaties[[#All],[Code]:[Locatie]],2,FALSE)</f>
        <v>Stafbureau Attendiz</v>
      </c>
      <c r="C338" t="s">
        <v>1227</v>
      </c>
      <c r="D338" t="s">
        <v>1175</v>
      </c>
      <c r="E338">
        <v>13</v>
      </c>
      <c r="F338" t="s">
        <v>1187</v>
      </c>
      <c r="G338" s="302">
        <v>2024</v>
      </c>
      <c r="H338">
        <v>330</v>
      </c>
      <c r="I338" t="s">
        <v>1241</v>
      </c>
      <c r="J338">
        <v>1</v>
      </c>
      <c r="K338" s="298">
        <f>VLOOKUP(Tabel16[[#This Row],[Code taak]],InvulMJOP[],3,FALSE)*Tabel16[[#This Row],[Oppervlakte/Stuks]]*Tabel16[[#This Row],[Frequentie (uitv./jaar)]]</f>
        <v>0</v>
      </c>
      <c r="L338" s="306"/>
    </row>
    <row r="339" spans="1:12">
      <c r="A339">
        <v>4</v>
      </c>
      <c r="B339" t="str">
        <f>VLOOKUP(A339,Locaties[[#All],[Code]:[Locatie]],2,FALSE)</f>
        <v>Stafbureau Attendiz</v>
      </c>
      <c r="C339" t="s">
        <v>1227</v>
      </c>
      <c r="D339" t="s">
        <v>1175</v>
      </c>
      <c r="E339">
        <v>13</v>
      </c>
      <c r="F339" t="s">
        <v>1187</v>
      </c>
      <c r="G339" s="302">
        <v>2028</v>
      </c>
      <c r="H339">
        <v>330</v>
      </c>
      <c r="I339" t="s">
        <v>1241</v>
      </c>
      <c r="J339">
        <v>1</v>
      </c>
      <c r="K339" s="298">
        <f>VLOOKUP(Tabel16[[#This Row],[Code taak]],InvulMJOP[],3,FALSE)*Tabel16[[#This Row],[Oppervlakte/Stuks]]*Tabel16[[#This Row],[Frequentie (uitv./jaar)]]</f>
        <v>0</v>
      </c>
      <c r="L339" s="306"/>
    </row>
    <row r="340" spans="1:12">
      <c r="A340">
        <v>4</v>
      </c>
      <c r="B340" t="str">
        <f>VLOOKUP(A340,Locaties[[#All],[Code]:[Locatie]],2,FALSE)</f>
        <v>Stafbureau Attendiz</v>
      </c>
      <c r="C340" t="s">
        <v>1227</v>
      </c>
      <c r="D340" t="s">
        <v>1175</v>
      </c>
      <c r="E340">
        <v>14</v>
      </c>
      <c r="F340" t="s">
        <v>1188</v>
      </c>
      <c r="G340" s="302">
        <v>2022</v>
      </c>
      <c r="H340">
        <v>330</v>
      </c>
      <c r="I340" t="s">
        <v>1241</v>
      </c>
      <c r="J340">
        <v>1</v>
      </c>
      <c r="K340" s="298">
        <f>VLOOKUP(Tabel16[[#This Row],[Code taak]],InvulMJOP[],3,FALSE)*Tabel16[[#This Row],[Oppervlakte/Stuks]]*Tabel16[[#This Row],[Frequentie (uitv./jaar)]]</f>
        <v>0</v>
      </c>
      <c r="L340" s="306"/>
    </row>
    <row r="341" spans="1:12">
      <c r="A341">
        <v>4</v>
      </c>
      <c r="B341" t="str">
        <f>VLOOKUP(A341,Locaties[[#All],[Code]:[Locatie]],2,FALSE)</f>
        <v>Stafbureau Attendiz</v>
      </c>
      <c r="C341" t="s">
        <v>1227</v>
      </c>
      <c r="D341" t="s">
        <v>1175</v>
      </c>
      <c r="E341">
        <v>14</v>
      </c>
      <c r="F341" t="s">
        <v>1188</v>
      </c>
      <c r="G341" s="302">
        <v>2026</v>
      </c>
      <c r="H341">
        <v>330</v>
      </c>
      <c r="I341" t="s">
        <v>1241</v>
      </c>
      <c r="J341">
        <v>1</v>
      </c>
      <c r="K341" s="298">
        <f>VLOOKUP(Tabel16[[#This Row],[Code taak]],InvulMJOP[],3,FALSE)*Tabel16[[#This Row],[Oppervlakte/Stuks]]*Tabel16[[#This Row],[Frequentie (uitv./jaar)]]</f>
        <v>0</v>
      </c>
      <c r="L341" s="306"/>
    </row>
    <row r="342" spans="1:12">
      <c r="A342">
        <v>4</v>
      </c>
      <c r="B342" t="str">
        <f>VLOOKUP(A342,Locaties[[#All],[Code]:[Locatie]],2,FALSE)</f>
        <v>Stafbureau Attendiz</v>
      </c>
      <c r="C342" t="s">
        <v>1227</v>
      </c>
      <c r="D342" t="s">
        <v>1175</v>
      </c>
      <c r="E342">
        <v>33</v>
      </c>
      <c r="F342" t="s">
        <v>1229</v>
      </c>
      <c r="G342" s="302">
        <v>2021</v>
      </c>
      <c r="H342">
        <v>500</v>
      </c>
      <c r="I342" t="s">
        <v>1241</v>
      </c>
      <c r="J342">
        <v>1</v>
      </c>
      <c r="K342" s="298">
        <f>VLOOKUP(Tabel16[[#This Row],[Code taak]],InvulMJOP[],3,FALSE)*Tabel16[[#This Row],[Oppervlakte/Stuks]]*Tabel16[[#This Row],[Frequentie (uitv./jaar)]]</f>
        <v>0</v>
      </c>
      <c r="L342" s="306"/>
    </row>
    <row r="343" spans="1:12">
      <c r="A343">
        <v>4</v>
      </c>
      <c r="B343" t="str">
        <f>VLOOKUP(A343,Locaties[[#All],[Code]:[Locatie]],2,FALSE)</f>
        <v>Stafbureau Attendiz</v>
      </c>
      <c r="C343" t="s">
        <v>1227</v>
      </c>
      <c r="D343" t="s">
        <v>1175</v>
      </c>
      <c r="E343">
        <v>12</v>
      </c>
      <c r="F343" t="s">
        <v>1186</v>
      </c>
      <c r="G343" s="302">
        <v>2022</v>
      </c>
      <c r="H343">
        <v>104</v>
      </c>
      <c r="I343" t="s">
        <v>1241</v>
      </c>
      <c r="J343">
        <v>1</v>
      </c>
      <c r="K343" s="298">
        <f>VLOOKUP(Tabel16[[#This Row],[Code taak]],InvulMJOP[],3,FALSE)*Tabel16[[#This Row],[Oppervlakte/Stuks]]*Tabel16[[#This Row],[Frequentie (uitv./jaar)]]</f>
        <v>0</v>
      </c>
      <c r="L343" s="306"/>
    </row>
    <row r="344" spans="1:12">
      <c r="A344">
        <v>4</v>
      </c>
      <c r="B344" t="str">
        <f>VLOOKUP(A344,Locaties[[#All],[Code]:[Locatie]],2,FALSE)</f>
        <v>Stafbureau Attendiz</v>
      </c>
      <c r="C344" t="s">
        <v>1227</v>
      </c>
      <c r="D344" t="s">
        <v>1175</v>
      </c>
      <c r="E344">
        <v>12</v>
      </c>
      <c r="F344" t="s">
        <v>1186</v>
      </c>
      <c r="G344" s="302">
        <v>2024</v>
      </c>
      <c r="H344">
        <v>104</v>
      </c>
      <c r="I344" t="s">
        <v>1241</v>
      </c>
      <c r="J344">
        <v>1</v>
      </c>
      <c r="K344" s="298">
        <f>VLOOKUP(Tabel16[[#This Row],[Code taak]],InvulMJOP[],3,FALSE)*Tabel16[[#This Row],[Oppervlakte/Stuks]]*Tabel16[[#This Row],[Frequentie (uitv./jaar)]]</f>
        <v>0</v>
      </c>
      <c r="L344" s="306"/>
    </row>
    <row r="345" spans="1:12">
      <c r="A345">
        <v>4</v>
      </c>
      <c r="B345" t="str">
        <f>VLOOKUP(A345,Locaties[[#All],[Code]:[Locatie]],2,FALSE)</f>
        <v>Stafbureau Attendiz</v>
      </c>
      <c r="C345" t="s">
        <v>1227</v>
      </c>
      <c r="D345" t="s">
        <v>1175</v>
      </c>
      <c r="E345">
        <v>12</v>
      </c>
      <c r="F345" t="s">
        <v>1186</v>
      </c>
      <c r="G345" s="302">
        <v>2026</v>
      </c>
      <c r="H345">
        <v>104</v>
      </c>
      <c r="I345" t="s">
        <v>1241</v>
      </c>
      <c r="J345">
        <v>1</v>
      </c>
      <c r="K345" s="298">
        <f>VLOOKUP(Tabel16[[#This Row],[Code taak]],InvulMJOP[],3,FALSE)*Tabel16[[#This Row],[Oppervlakte/Stuks]]*Tabel16[[#This Row],[Frequentie (uitv./jaar)]]</f>
        <v>0</v>
      </c>
      <c r="L345" s="306"/>
    </row>
    <row r="346" spans="1:12">
      <c r="A346">
        <v>4</v>
      </c>
      <c r="B346" t="str">
        <f>VLOOKUP(A346,Locaties[[#All],[Code]:[Locatie]],2,FALSE)</f>
        <v>Stafbureau Attendiz</v>
      </c>
      <c r="C346" t="s">
        <v>1227</v>
      </c>
      <c r="D346" t="s">
        <v>1175</v>
      </c>
      <c r="E346">
        <v>12</v>
      </c>
      <c r="F346" t="s">
        <v>1186</v>
      </c>
      <c r="G346" s="302">
        <v>2028</v>
      </c>
      <c r="H346">
        <v>104</v>
      </c>
      <c r="I346" t="s">
        <v>1241</v>
      </c>
      <c r="J346">
        <v>1</v>
      </c>
      <c r="K346" s="298">
        <f>VLOOKUP(Tabel16[[#This Row],[Code taak]],InvulMJOP[],3,FALSE)*Tabel16[[#This Row],[Oppervlakte/Stuks]]*Tabel16[[#This Row],[Frequentie (uitv./jaar)]]</f>
        <v>0</v>
      </c>
      <c r="L346" s="306"/>
    </row>
    <row r="347" spans="1:12">
      <c r="A347">
        <v>4</v>
      </c>
      <c r="B347" t="str">
        <f>VLOOKUP(A347,Locaties[[#All],[Code]:[Locatie]],2,FALSE)</f>
        <v>Stafbureau Attendiz</v>
      </c>
      <c r="C347" t="s">
        <v>1227</v>
      </c>
      <c r="D347" t="s">
        <v>1175</v>
      </c>
      <c r="E347">
        <v>2</v>
      </c>
      <c r="F347" t="s">
        <v>1172</v>
      </c>
      <c r="G347" s="302">
        <v>2021</v>
      </c>
      <c r="H347">
        <v>150.19999999999999</v>
      </c>
      <c r="I347" t="s">
        <v>1239</v>
      </c>
      <c r="J347">
        <v>1</v>
      </c>
      <c r="K347" s="298">
        <f>VLOOKUP(Tabel16[[#This Row],[Code taak]],InvulMJOP[],3,FALSE)*Tabel16[[#This Row],[Oppervlakte/Stuks]]*Tabel16[[#This Row],[Frequentie (uitv./jaar)]]</f>
        <v>0</v>
      </c>
      <c r="L347" s="306"/>
    </row>
    <row r="348" spans="1:12">
      <c r="A348">
        <v>17</v>
      </c>
      <c r="B348" t="str">
        <f>VLOOKUP(A348,Locaties[[#All],[Code]:[Locatie]],2,FALSE)</f>
        <v>Mota</v>
      </c>
      <c r="C348" t="s">
        <v>1230</v>
      </c>
      <c r="D348" t="s">
        <v>1175</v>
      </c>
      <c r="E348">
        <v>34</v>
      </c>
      <c r="F348" t="s">
        <v>1231</v>
      </c>
      <c r="G348" s="302">
        <v>2026</v>
      </c>
      <c r="H348">
        <v>27</v>
      </c>
      <c r="I348" t="s">
        <v>1239</v>
      </c>
      <c r="J348">
        <v>1</v>
      </c>
      <c r="K348" s="298">
        <f>VLOOKUP(Tabel16[[#This Row],[Code taak]],InvulMJOP[],3,FALSE)*Tabel16[[#This Row],[Oppervlakte/Stuks]]*Tabel16[[#This Row],[Frequentie (uitv./jaar)]]</f>
        <v>0</v>
      </c>
      <c r="L348" s="306"/>
    </row>
    <row r="349" spans="1:12">
      <c r="A349">
        <v>17</v>
      </c>
      <c r="B349" t="str">
        <f>VLOOKUP(A349,Locaties[[#All],[Code]:[Locatie]],2,FALSE)</f>
        <v>Mota</v>
      </c>
      <c r="C349" t="s">
        <v>1230</v>
      </c>
      <c r="D349" t="s">
        <v>1175</v>
      </c>
      <c r="E349">
        <v>35</v>
      </c>
      <c r="F349" t="s">
        <v>1232</v>
      </c>
      <c r="G349" s="302">
        <v>2022</v>
      </c>
      <c r="H349">
        <v>82.5</v>
      </c>
      <c r="I349" t="s">
        <v>1241</v>
      </c>
      <c r="J349">
        <v>1</v>
      </c>
      <c r="K349" s="298">
        <f>VLOOKUP(Tabel16[[#This Row],[Code taak]],InvulMJOP[],3,FALSE)*Tabel16[[#This Row],[Oppervlakte/Stuks]]*Tabel16[[#This Row],[Frequentie (uitv./jaar)]]</f>
        <v>0</v>
      </c>
      <c r="L349" s="306"/>
    </row>
    <row r="350" spans="1:12">
      <c r="A350">
        <v>17</v>
      </c>
      <c r="B350" t="str">
        <f>VLOOKUP(A350,Locaties[[#All],[Code]:[Locatie]],2,FALSE)</f>
        <v>Mota</v>
      </c>
      <c r="C350" t="s">
        <v>1230</v>
      </c>
      <c r="D350" t="s">
        <v>1175</v>
      </c>
      <c r="E350">
        <v>35</v>
      </c>
      <c r="F350" t="s">
        <v>1232</v>
      </c>
      <c r="G350" s="302">
        <v>2024</v>
      </c>
      <c r="H350">
        <v>82.5</v>
      </c>
      <c r="I350" t="s">
        <v>1241</v>
      </c>
      <c r="J350">
        <v>1</v>
      </c>
      <c r="K350" s="298">
        <f>VLOOKUP(Tabel16[[#This Row],[Code taak]],InvulMJOP[],3,FALSE)*Tabel16[[#This Row],[Oppervlakte/Stuks]]*Tabel16[[#This Row],[Frequentie (uitv./jaar)]]</f>
        <v>0</v>
      </c>
      <c r="L350" s="306"/>
    </row>
    <row r="351" spans="1:12">
      <c r="A351">
        <v>17</v>
      </c>
      <c r="B351" t="str">
        <f>VLOOKUP(A351,Locaties[[#All],[Code]:[Locatie]],2,FALSE)</f>
        <v>Mota</v>
      </c>
      <c r="C351" t="s">
        <v>1230</v>
      </c>
      <c r="D351" t="s">
        <v>1175</v>
      </c>
      <c r="E351">
        <v>35</v>
      </c>
      <c r="F351" t="s">
        <v>1232</v>
      </c>
      <c r="G351" s="302">
        <v>2026</v>
      </c>
      <c r="H351">
        <v>82.5</v>
      </c>
      <c r="I351" t="s">
        <v>1241</v>
      </c>
      <c r="J351">
        <v>1</v>
      </c>
      <c r="K351" s="298">
        <f>VLOOKUP(Tabel16[[#This Row],[Code taak]],InvulMJOP[],3,FALSE)*Tabel16[[#This Row],[Oppervlakte/Stuks]]*Tabel16[[#This Row],[Frequentie (uitv./jaar)]]</f>
        <v>0</v>
      </c>
      <c r="L351" s="306"/>
    </row>
    <row r="352" spans="1:12">
      <c r="A352">
        <v>17</v>
      </c>
      <c r="B352" t="str">
        <f>VLOOKUP(A352,Locaties[[#All],[Code]:[Locatie]],2,FALSE)</f>
        <v>Mota</v>
      </c>
      <c r="C352" t="s">
        <v>1230</v>
      </c>
      <c r="D352" t="s">
        <v>1175</v>
      </c>
      <c r="E352">
        <v>35</v>
      </c>
      <c r="F352" t="s">
        <v>1232</v>
      </c>
      <c r="G352" s="302">
        <v>2028</v>
      </c>
      <c r="H352">
        <v>82.5</v>
      </c>
      <c r="I352" t="s">
        <v>1241</v>
      </c>
      <c r="J352">
        <v>1</v>
      </c>
      <c r="K352" s="298">
        <f>VLOOKUP(Tabel16[[#This Row],[Code taak]],InvulMJOP[],3,FALSE)*Tabel16[[#This Row],[Oppervlakte/Stuks]]*Tabel16[[#This Row],[Frequentie (uitv./jaar)]]</f>
        <v>0</v>
      </c>
      <c r="L352" s="306"/>
    </row>
    <row r="353" spans="1:12">
      <c r="A353">
        <v>17</v>
      </c>
      <c r="B353" t="str">
        <f>VLOOKUP(A353,Locaties[[#All],[Code]:[Locatie]],2,FALSE)</f>
        <v>Mota</v>
      </c>
      <c r="C353" t="s">
        <v>1230</v>
      </c>
      <c r="D353" t="s">
        <v>1175</v>
      </c>
      <c r="E353">
        <v>18</v>
      </c>
      <c r="F353" t="s">
        <v>1194</v>
      </c>
      <c r="G353" s="302">
        <v>2026</v>
      </c>
      <c r="H353">
        <v>2</v>
      </c>
      <c r="I353" t="s">
        <v>1241</v>
      </c>
      <c r="J353">
        <v>1</v>
      </c>
      <c r="K353" s="298">
        <f>VLOOKUP(Tabel16[[#This Row],[Code taak]],InvulMJOP[],3,FALSE)*Tabel16[[#This Row],[Oppervlakte/Stuks]]*Tabel16[[#This Row],[Frequentie (uitv./jaar)]]</f>
        <v>0</v>
      </c>
      <c r="L353" s="306"/>
    </row>
    <row r="354" spans="1:12">
      <c r="A354">
        <v>17</v>
      </c>
      <c r="B354" t="str">
        <f>VLOOKUP(A354,Locaties[[#All],[Code]:[Locatie]],2,FALSE)</f>
        <v>Mota</v>
      </c>
      <c r="C354" t="s">
        <v>1230</v>
      </c>
      <c r="D354" t="s">
        <v>1175</v>
      </c>
      <c r="E354">
        <v>10</v>
      </c>
      <c r="F354" t="s">
        <v>1184</v>
      </c>
      <c r="G354" s="302">
        <v>2025</v>
      </c>
      <c r="H354">
        <v>14</v>
      </c>
      <c r="I354" t="s">
        <v>1241</v>
      </c>
      <c r="J354">
        <v>1</v>
      </c>
      <c r="K354" s="298">
        <f>VLOOKUP(Tabel16[[#This Row],[Code taak]],InvulMJOP[],3,FALSE)*Tabel16[[#This Row],[Oppervlakte/Stuks]]*Tabel16[[#This Row],[Frequentie (uitv./jaar)]]</f>
        <v>0</v>
      </c>
      <c r="L354" s="306"/>
    </row>
    <row r="355" spans="1:12">
      <c r="A355">
        <v>17</v>
      </c>
      <c r="B355" t="str">
        <f>VLOOKUP(A355,Locaties[[#All],[Code]:[Locatie]],2,FALSE)</f>
        <v>Mota</v>
      </c>
      <c r="C355" t="s">
        <v>1230</v>
      </c>
      <c r="D355" t="s">
        <v>1175</v>
      </c>
      <c r="E355">
        <v>1</v>
      </c>
      <c r="F355" t="s">
        <v>1171</v>
      </c>
      <c r="G355" s="302">
        <v>2026</v>
      </c>
      <c r="H355">
        <v>10.5</v>
      </c>
      <c r="I355" t="s">
        <v>1239</v>
      </c>
      <c r="J355">
        <v>1</v>
      </c>
      <c r="K355" s="298">
        <f>VLOOKUP(Tabel16[[#This Row],[Code taak]],InvulMJOP[],3,FALSE)*Tabel16[[#This Row],[Oppervlakte/Stuks]]*Tabel16[[#This Row],[Frequentie (uitv./jaar)]]</f>
        <v>0</v>
      </c>
      <c r="L355" s="306"/>
    </row>
    <row r="356" spans="1:12">
      <c r="A356">
        <v>17</v>
      </c>
      <c r="B356" t="str">
        <f>VLOOKUP(A356,Locaties[[#All],[Code]:[Locatie]],2,FALSE)</f>
        <v>Mota</v>
      </c>
      <c r="C356" t="s">
        <v>1230</v>
      </c>
      <c r="D356" t="s">
        <v>1175</v>
      </c>
      <c r="E356">
        <v>2</v>
      </c>
      <c r="F356" t="s">
        <v>1172</v>
      </c>
      <c r="G356" s="302">
        <v>2022</v>
      </c>
      <c r="H356">
        <v>10.5</v>
      </c>
      <c r="I356" t="s">
        <v>1239</v>
      </c>
      <c r="J356">
        <v>1</v>
      </c>
      <c r="K356" s="298">
        <f>VLOOKUP(Tabel16[[#This Row],[Code taak]],InvulMJOP[],3,FALSE)*Tabel16[[#This Row],[Oppervlakte/Stuks]]*Tabel16[[#This Row],[Frequentie (uitv./jaar)]]</f>
        <v>0</v>
      </c>
      <c r="L356" s="306"/>
    </row>
    <row r="357" spans="1:12">
      <c r="A357">
        <v>17</v>
      </c>
      <c r="B357" t="str">
        <f>VLOOKUP(A357,Locaties[[#All],[Code]:[Locatie]],2,FALSE)</f>
        <v>Mota</v>
      </c>
      <c r="C357" t="s">
        <v>1230</v>
      </c>
      <c r="D357" t="s">
        <v>1175</v>
      </c>
      <c r="E357">
        <v>2</v>
      </c>
      <c r="F357" t="s">
        <v>1172</v>
      </c>
      <c r="G357" s="302">
        <v>2024</v>
      </c>
      <c r="H357">
        <v>10.5</v>
      </c>
      <c r="I357" t="s">
        <v>1239</v>
      </c>
      <c r="J357">
        <v>1</v>
      </c>
      <c r="K357" s="298">
        <f>VLOOKUP(Tabel16[[#This Row],[Code taak]],InvulMJOP[],3,FALSE)*Tabel16[[#This Row],[Oppervlakte/Stuks]]*Tabel16[[#This Row],[Frequentie (uitv./jaar)]]</f>
        <v>0</v>
      </c>
      <c r="L357" s="306"/>
    </row>
    <row r="358" spans="1:12">
      <c r="A358">
        <v>17</v>
      </c>
      <c r="B358" t="str">
        <f>VLOOKUP(A358,Locaties[[#All],[Code]:[Locatie]],2,FALSE)</f>
        <v>Mota</v>
      </c>
      <c r="C358" t="s">
        <v>1230</v>
      </c>
      <c r="D358" t="s">
        <v>1175</v>
      </c>
      <c r="E358">
        <v>2</v>
      </c>
      <c r="F358" t="s">
        <v>1172</v>
      </c>
      <c r="G358" s="302">
        <v>2026</v>
      </c>
      <c r="H358">
        <v>10.5</v>
      </c>
      <c r="I358" t="s">
        <v>1239</v>
      </c>
      <c r="J358">
        <v>1</v>
      </c>
      <c r="K358" s="298">
        <f>VLOOKUP(Tabel16[[#This Row],[Code taak]],InvulMJOP[],3,FALSE)*Tabel16[[#This Row],[Oppervlakte/Stuks]]*Tabel16[[#This Row],[Frequentie (uitv./jaar)]]</f>
        <v>0</v>
      </c>
      <c r="L358" s="306"/>
    </row>
    <row r="359" spans="1:12">
      <c r="A359">
        <v>17</v>
      </c>
      <c r="B359" t="str">
        <f>VLOOKUP(A359,Locaties[[#All],[Code]:[Locatie]],2,FALSE)</f>
        <v>Mota</v>
      </c>
      <c r="C359" t="s">
        <v>1230</v>
      </c>
      <c r="D359" t="s">
        <v>1175</v>
      </c>
      <c r="E359">
        <v>2</v>
      </c>
      <c r="F359" t="s">
        <v>1172</v>
      </c>
      <c r="G359" s="302">
        <v>2028</v>
      </c>
      <c r="H359">
        <v>10.5</v>
      </c>
      <c r="I359" t="s">
        <v>1239</v>
      </c>
      <c r="J359">
        <v>1</v>
      </c>
      <c r="K359" s="298">
        <f>VLOOKUP(Tabel16[[#This Row],[Code taak]],InvulMJOP[],3,FALSE)*Tabel16[[#This Row],[Oppervlakte/Stuks]]*Tabel16[[#This Row],[Frequentie (uitv./jaar)]]</f>
        <v>0</v>
      </c>
      <c r="L359" s="306"/>
    </row>
    <row r="360" spans="1:12">
      <c r="A360">
        <v>3</v>
      </c>
      <c r="B360" t="str">
        <f>VLOOKUP(A360,Locaties[[#All],[Code]:[Locatie]],2,FALSE)</f>
        <v xml:space="preserve">Panta Rhei College </v>
      </c>
      <c r="C360" t="s">
        <v>1233</v>
      </c>
      <c r="D360" t="s">
        <v>1170</v>
      </c>
      <c r="E360">
        <v>2</v>
      </c>
      <c r="F360" t="s">
        <v>1172</v>
      </c>
      <c r="G360" s="302">
        <v>2026</v>
      </c>
      <c r="H360">
        <v>363.3</v>
      </c>
      <c r="I360" t="s">
        <v>1239</v>
      </c>
      <c r="J360">
        <v>1</v>
      </c>
      <c r="K360" s="298">
        <f>VLOOKUP(Tabel16[[#This Row],[Code taak]],InvulMJOP[],3,FALSE)*Tabel16[[#This Row],[Oppervlakte/Stuks]]*Tabel16[[#This Row],[Frequentie (uitv./jaar)]]</f>
        <v>0</v>
      </c>
      <c r="L360" s="306"/>
    </row>
    <row r="361" spans="1:12">
      <c r="A361">
        <v>3</v>
      </c>
      <c r="B361" t="str">
        <f>VLOOKUP(A361,Locaties[[#All],[Code]:[Locatie]],2,FALSE)</f>
        <v xml:space="preserve">Panta Rhei College </v>
      </c>
      <c r="C361" t="s">
        <v>1233</v>
      </c>
      <c r="D361" t="s">
        <v>1173</v>
      </c>
      <c r="E361">
        <v>3</v>
      </c>
      <c r="F361" t="s">
        <v>1174</v>
      </c>
      <c r="G361" s="302">
        <v>2026</v>
      </c>
      <c r="H361">
        <v>1453</v>
      </c>
      <c r="I361" t="s">
        <v>1240</v>
      </c>
      <c r="J361">
        <v>1</v>
      </c>
      <c r="K361" s="298">
        <f>VLOOKUP(Tabel16[[#This Row],[Code taak]],InvulMJOP[],3,FALSE)*Tabel16[[#This Row],[Oppervlakte/Stuks]]*Tabel16[[#This Row],[Frequentie (uitv./jaar)]]</f>
        <v>0</v>
      </c>
      <c r="L361" s="306"/>
    </row>
    <row r="362" spans="1:12">
      <c r="A362">
        <v>3</v>
      </c>
      <c r="B362" t="str">
        <f>VLOOKUP(A362,Locaties[[#All],[Code]:[Locatie]],2,FALSE)</f>
        <v xml:space="preserve">Panta Rhei College </v>
      </c>
      <c r="C362" t="s">
        <v>1233</v>
      </c>
      <c r="D362" t="s">
        <v>1179</v>
      </c>
      <c r="E362">
        <v>16</v>
      </c>
      <c r="F362" t="s">
        <v>1192</v>
      </c>
      <c r="G362" s="302">
        <v>2021</v>
      </c>
      <c r="H362">
        <v>39</v>
      </c>
      <c r="I362" t="s">
        <v>1241</v>
      </c>
      <c r="J362">
        <v>1</v>
      </c>
      <c r="K362" s="298">
        <f>VLOOKUP(Tabel16[[#This Row],[Code taak]],InvulMJOP[],3,FALSE)*Tabel16[[#This Row],[Oppervlakte/Stuks]]*Tabel16[[#This Row],[Frequentie (uitv./jaar)]]</f>
        <v>0</v>
      </c>
      <c r="L362" s="306"/>
    </row>
    <row r="363" spans="1:12">
      <c r="A363">
        <v>3</v>
      </c>
      <c r="B363" t="str">
        <f>VLOOKUP(A363,Locaties[[#All],[Code]:[Locatie]],2,FALSE)</f>
        <v xml:space="preserve">Panta Rhei College </v>
      </c>
      <c r="C363" t="s">
        <v>1233</v>
      </c>
      <c r="D363" t="s">
        <v>1179</v>
      </c>
      <c r="E363">
        <v>16</v>
      </c>
      <c r="F363" t="s">
        <v>1192</v>
      </c>
      <c r="G363" s="302">
        <v>2027</v>
      </c>
      <c r="H363">
        <v>39</v>
      </c>
      <c r="I363" t="s">
        <v>1241</v>
      </c>
      <c r="J363">
        <v>1</v>
      </c>
      <c r="K363" s="298">
        <f>VLOOKUP(Tabel16[[#This Row],[Code taak]],InvulMJOP[],3,FALSE)*Tabel16[[#This Row],[Oppervlakte/Stuks]]*Tabel16[[#This Row],[Frequentie (uitv./jaar)]]</f>
        <v>0</v>
      </c>
      <c r="L363" s="306"/>
    </row>
    <row r="364" spans="1:12">
      <c r="A364">
        <v>3</v>
      </c>
      <c r="B364" t="str">
        <f>VLOOKUP(A364,Locaties[[#All],[Code]:[Locatie]],2,FALSE)</f>
        <v xml:space="preserve">Panta Rhei College </v>
      </c>
      <c r="C364" t="s">
        <v>1233</v>
      </c>
      <c r="D364" t="s">
        <v>1175</v>
      </c>
      <c r="E364">
        <v>6</v>
      </c>
      <c r="F364" t="s">
        <v>1180</v>
      </c>
      <c r="G364" s="302">
        <v>2027</v>
      </c>
      <c r="H364">
        <v>415.5</v>
      </c>
      <c r="I364" t="s">
        <v>1239</v>
      </c>
      <c r="J364">
        <v>1</v>
      </c>
      <c r="K364" s="298">
        <f>VLOOKUP(Tabel16[[#This Row],[Code taak]],InvulMJOP[],3,FALSE)*Tabel16[[#This Row],[Oppervlakte/Stuks]]*Tabel16[[#This Row],[Frequentie (uitv./jaar)]]</f>
        <v>0</v>
      </c>
      <c r="L364" s="306"/>
    </row>
    <row r="365" spans="1:12">
      <c r="A365">
        <v>3</v>
      </c>
      <c r="B365" t="str">
        <f>VLOOKUP(A365,Locaties[[#All],[Code]:[Locatie]],2,FALSE)</f>
        <v xml:space="preserve">Panta Rhei College </v>
      </c>
      <c r="C365" t="s">
        <v>1233</v>
      </c>
      <c r="D365" t="s">
        <v>1175</v>
      </c>
      <c r="E365">
        <v>13</v>
      </c>
      <c r="F365" t="s">
        <v>1187</v>
      </c>
      <c r="G365" s="302">
        <v>2024</v>
      </c>
      <c r="H365">
        <v>326</v>
      </c>
      <c r="I365" t="s">
        <v>1241</v>
      </c>
      <c r="J365">
        <v>1</v>
      </c>
      <c r="K365" s="298">
        <f>VLOOKUP(Tabel16[[#This Row],[Code taak]],InvulMJOP[],3,FALSE)*Tabel16[[#This Row],[Oppervlakte/Stuks]]*Tabel16[[#This Row],[Frequentie (uitv./jaar)]]</f>
        <v>0</v>
      </c>
      <c r="L365" s="306"/>
    </row>
    <row r="366" spans="1:12">
      <c r="A366">
        <v>3</v>
      </c>
      <c r="B366" t="str">
        <f>VLOOKUP(A366,Locaties[[#All],[Code]:[Locatie]],2,FALSE)</f>
        <v xml:space="preserve">Panta Rhei College </v>
      </c>
      <c r="C366" t="s">
        <v>1233</v>
      </c>
      <c r="D366" t="s">
        <v>1175</v>
      </c>
      <c r="E366">
        <v>13</v>
      </c>
      <c r="F366" t="s">
        <v>1187</v>
      </c>
      <c r="G366" s="302">
        <v>2028</v>
      </c>
      <c r="H366">
        <v>326</v>
      </c>
      <c r="I366" t="s">
        <v>1241</v>
      </c>
      <c r="J366">
        <v>1</v>
      </c>
      <c r="K366" s="298">
        <f>VLOOKUP(Tabel16[[#This Row],[Code taak]],InvulMJOP[],3,FALSE)*Tabel16[[#This Row],[Oppervlakte/Stuks]]*Tabel16[[#This Row],[Frequentie (uitv./jaar)]]</f>
        <v>0</v>
      </c>
      <c r="L366" s="306"/>
    </row>
    <row r="367" spans="1:12">
      <c r="A367">
        <v>3</v>
      </c>
      <c r="B367" t="str">
        <f>VLOOKUP(A367,Locaties[[#All],[Code]:[Locatie]],2,FALSE)</f>
        <v xml:space="preserve">Panta Rhei College </v>
      </c>
      <c r="C367" t="s">
        <v>1233</v>
      </c>
      <c r="D367" t="s">
        <v>1175</v>
      </c>
      <c r="E367">
        <v>14</v>
      </c>
      <c r="F367" t="s">
        <v>1188</v>
      </c>
      <c r="G367" s="302">
        <v>2022</v>
      </c>
      <c r="H367">
        <v>326</v>
      </c>
      <c r="I367" t="s">
        <v>1241</v>
      </c>
      <c r="J367">
        <v>1</v>
      </c>
      <c r="K367" s="298">
        <f>VLOOKUP(Tabel16[[#This Row],[Code taak]],InvulMJOP[],3,FALSE)*Tabel16[[#This Row],[Oppervlakte/Stuks]]*Tabel16[[#This Row],[Frequentie (uitv./jaar)]]</f>
        <v>0</v>
      </c>
      <c r="L367" s="306"/>
    </row>
    <row r="368" spans="1:12">
      <c r="A368">
        <v>3</v>
      </c>
      <c r="B368" t="str">
        <f>VLOOKUP(A368,Locaties[[#All],[Code]:[Locatie]],2,FALSE)</f>
        <v xml:space="preserve">Panta Rhei College </v>
      </c>
      <c r="C368" t="s">
        <v>1233</v>
      </c>
      <c r="D368" t="s">
        <v>1175</v>
      </c>
      <c r="E368">
        <v>14</v>
      </c>
      <c r="F368" t="s">
        <v>1188</v>
      </c>
      <c r="G368" s="302">
        <v>2026</v>
      </c>
      <c r="H368">
        <v>326</v>
      </c>
      <c r="I368" t="s">
        <v>1241</v>
      </c>
      <c r="J368">
        <v>1</v>
      </c>
      <c r="K368" s="298">
        <f>VLOOKUP(Tabel16[[#This Row],[Code taak]],InvulMJOP[],3,FALSE)*Tabel16[[#This Row],[Oppervlakte/Stuks]]*Tabel16[[#This Row],[Frequentie (uitv./jaar)]]</f>
        <v>0</v>
      </c>
      <c r="L368" s="306"/>
    </row>
    <row r="369" spans="1:12">
      <c r="A369">
        <v>3</v>
      </c>
      <c r="B369" t="str">
        <f>VLOOKUP(A369,Locaties[[#All],[Code]:[Locatie]],2,FALSE)</f>
        <v xml:space="preserve">Panta Rhei College </v>
      </c>
      <c r="C369" t="s">
        <v>1233</v>
      </c>
      <c r="D369" t="s">
        <v>1175</v>
      </c>
      <c r="E369">
        <v>15</v>
      </c>
      <c r="F369" t="s">
        <v>1189</v>
      </c>
      <c r="G369" s="302">
        <v>2024</v>
      </c>
      <c r="H369">
        <v>1</v>
      </c>
      <c r="I369" t="s">
        <v>1242</v>
      </c>
      <c r="J369">
        <v>1</v>
      </c>
      <c r="K369" s="298">
        <f>VLOOKUP(Tabel16[[#This Row],[Code taak]],InvulMJOP[],3,FALSE)*Tabel16[[#This Row],[Oppervlakte/Stuks]]*Tabel16[[#This Row],[Frequentie (uitv./jaar)]]</f>
        <v>0</v>
      </c>
      <c r="L369" s="299" t="s">
        <v>1247</v>
      </c>
    </row>
    <row r="370" spans="1:12">
      <c r="A370">
        <v>3</v>
      </c>
      <c r="B370" t="str">
        <f>VLOOKUP(A370,Locaties[[#All],[Code]:[Locatie]],2,FALSE)</f>
        <v xml:space="preserve">Panta Rhei College </v>
      </c>
      <c r="C370" t="s">
        <v>1233</v>
      </c>
      <c r="D370" t="s">
        <v>1175</v>
      </c>
      <c r="E370">
        <v>15</v>
      </c>
      <c r="F370" t="s">
        <v>1189</v>
      </c>
      <c r="G370" s="302">
        <v>2029</v>
      </c>
      <c r="H370">
        <v>1</v>
      </c>
      <c r="I370" t="s">
        <v>1242</v>
      </c>
      <c r="J370">
        <v>1</v>
      </c>
      <c r="K370" s="298">
        <f>VLOOKUP(Tabel16[[#This Row],[Code taak]],InvulMJOP[],3,FALSE)*Tabel16[[#This Row],[Oppervlakte/Stuks]]*Tabel16[[#This Row],[Frequentie (uitv./jaar)]]</f>
        <v>0</v>
      </c>
      <c r="L370" s="299" t="s">
        <v>1247</v>
      </c>
    </row>
    <row r="371" spans="1:12">
      <c r="A371">
        <v>3</v>
      </c>
      <c r="B371" t="str">
        <f>VLOOKUP(A371,Locaties[[#All],[Code]:[Locatie]],2,FALSE)</f>
        <v xml:space="preserve">Panta Rhei College </v>
      </c>
      <c r="C371" t="s">
        <v>1233</v>
      </c>
      <c r="D371" t="s">
        <v>1175</v>
      </c>
      <c r="E371">
        <v>1</v>
      </c>
      <c r="F371" t="s">
        <v>1171</v>
      </c>
      <c r="G371" s="302">
        <v>2021</v>
      </c>
      <c r="H371">
        <v>363.3</v>
      </c>
      <c r="I371" t="s">
        <v>1239</v>
      </c>
      <c r="J371">
        <v>1</v>
      </c>
      <c r="K371" s="298">
        <f>VLOOKUP(Tabel16[[#This Row],[Code taak]],InvulMJOP[],3,FALSE)*Tabel16[[#This Row],[Oppervlakte/Stuks]]*Tabel16[[#This Row],[Frequentie (uitv./jaar)]]</f>
        <v>0</v>
      </c>
      <c r="L371" s="306"/>
    </row>
    <row r="372" spans="1:12">
      <c r="A372">
        <v>3</v>
      </c>
      <c r="B372" t="str">
        <f>VLOOKUP(A372,Locaties[[#All],[Code]:[Locatie]],2,FALSE)</f>
        <v xml:space="preserve">Panta Rhei College </v>
      </c>
      <c r="C372" t="s">
        <v>1233</v>
      </c>
      <c r="D372" t="s">
        <v>1175</v>
      </c>
      <c r="E372">
        <v>1</v>
      </c>
      <c r="F372" t="s">
        <v>1171</v>
      </c>
      <c r="G372" s="302">
        <v>2027</v>
      </c>
      <c r="H372">
        <v>363.3</v>
      </c>
      <c r="I372" t="s">
        <v>1239</v>
      </c>
      <c r="J372">
        <v>1</v>
      </c>
      <c r="K372" s="298">
        <f>VLOOKUP(Tabel16[[#This Row],[Code taak]],InvulMJOP[],3,FALSE)*Tabel16[[#This Row],[Oppervlakte/Stuks]]*Tabel16[[#This Row],[Frequentie (uitv./jaar)]]</f>
        <v>0</v>
      </c>
    </row>
    <row r="373" spans="1:12">
      <c r="A373">
        <v>3</v>
      </c>
      <c r="B373" t="str">
        <f>VLOOKUP(A373,Locaties[[#All],[Code]:[Locatie]],2,FALSE)</f>
        <v xml:space="preserve">Panta Rhei College </v>
      </c>
      <c r="C373" t="s">
        <v>1233</v>
      </c>
      <c r="D373" t="s">
        <v>1175</v>
      </c>
      <c r="E373">
        <v>2</v>
      </c>
      <c r="F373" t="s">
        <v>1172</v>
      </c>
      <c r="G373" s="302">
        <v>2021</v>
      </c>
      <c r="H373">
        <v>363.3</v>
      </c>
      <c r="I373" t="s">
        <v>1239</v>
      </c>
      <c r="J373">
        <v>1</v>
      </c>
      <c r="K373" s="298">
        <f>VLOOKUP(Tabel16[[#This Row],[Code taak]],InvulMJOP[],3,FALSE)*Tabel16[[#This Row],[Oppervlakte/Stuks]]*Tabel16[[#This Row],[Frequentie (uitv./jaar)]]</f>
        <v>0</v>
      </c>
    </row>
    <row r="374" spans="1:12">
      <c r="D374" t="s">
        <v>33</v>
      </c>
      <c r="K374" s="307">
        <f>SUBTOTAL(109,Tabel16[Kosten/jaar excl. BTW])</f>
        <v>0</v>
      </c>
    </row>
  </sheetData>
  <mergeCells count="3">
    <mergeCell ref="A1:H1"/>
    <mergeCell ref="A2:H2"/>
    <mergeCell ref="E7:I7"/>
  </mergeCells>
  <pageMargins left="0.7" right="0.7" top="0.75" bottom="0.75" header="0.3" footer="0.3"/>
  <pageSetup paperSize="8" orientation="landscape" horizontalDpi="1200" verticalDpi="120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I84"/>
  <sheetViews>
    <sheetView view="pageBreakPreview" zoomScaleNormal="100" zoomScaleSheetLayoutView="100" workbookViewId="0">
      <selection activeCell="B9" sqref="B9"/>
    </sheetView>
  </sheetViews>
  <sheetFormatPr defaultColWidth="9.1328125" defaultRowHeight="18.75" customHeight="1"/>
  <cols>
    <col min="1" max="1" width="9.1328125" style="70"/>
    <col min="2" max="2" width="80.3984375" style="2" customWidth="1"/>
    <col min="3" max="3" width="23.3984375" style="2" customWidth="1"/>
    <col min="4" max="4" width="15.1328125" style="2" customWidth="1"/>
    <col min="5" max="9" width="17.73046875" style="2" bestFit="1" customWidth="1"/>
    <col min="10" max="16384" width="9.1328125" style="2"/>
  </cols>
  <sheetData>
    <row r="1" spans="1:9" s="9" customFormat="1" ht="18.75" customHeight="1">
      <c r="A1" s="355" t="s">
        <v>180</v>
      </c>
      <c r="B1" s="355"/>
      <c r="C1" s="355"/>
      <c r="D1" s="355"/>
      <c r="E1" s="355"/>
      <c r="F1" s="355"/>
      <c r="G1" s="355"/>
      <c r="H1" s="355"/>
      <c r="I1" s="355"/>
    </row>
    <row r="2" spans="1:9" s="9" customFormat="1" ht="13.5" customHeight="1">
      <c r="A2" s="356" t="s">
        <v>214</v>
      </c>
      <c r="B2" s="341"/>
      <c r="C2" s="341"/>
      <c r="D2" s="341"/>
      <c r="E2" s="341"/>
      <c r="F2" s="341"/>
      <c r="G2" s="341"/>
      <c r="H2" s="341"/>
      <c r="I2" s="357"/>
    </row>
    <row r="3" spans="1:9" s="78" customFormat="1" ht="8.25" customHeight="1">
      <c r="A3" s="77"/>
    </row>
    <row r="4" spans="1:9" s="78" customFormat="1" ht="15" customHeight="1">
      <c r="A4" s="78" t="s">
        <v>179</v>
      </c>
    </row>
    <row r="5" spans="1:9" s="78" customFormat="1" ht="15" customHeight="1">
      <c r="A5" s="78" t="s">
        <v>181</v>
      </c>
    </row>
    <row r="6" spans="1:9" s="78" customFormat="1" ht="15" customHeight="1">
      <c r="A6" s="78" t="s">
        <v>227</v>
      </c>
    </row>
    <row r="7" spans="1:9" s="78" customFormat="1" ht="18.75" customHeight="1">
      <c r="A7" s="77"/>
      <c r="E7" s="354" t="s">
        <v>392</v>
      </c>
      <c r="F7" s="354"/>
      <c r="G7" s="354"/>
      <c r="H7" s="354"/>
      <c r="I7" s="354"/>
    </row>
    <row r="8" spans="1:9" s="31" customFormat="1" ht="26.25" customHeight="1">
      <c r="A8" s="75"/>
      <c r="B8" s="74" t="s">
        <v>182</v>
      </c>
      <c r="C8" s="74" t="s">
        <v>151</v>
      </c>
      <c r="D8" s="33" t="s">
        <v>178</v>
      </c>
      <c r="E8" s="67">
        <v>2023</v>
      </c>
      <c r="F8" s="67">
        <v>2024</v>
      </c>
      <c r="G8" s="67">
        <v>2025</v>
      </c>
      <c r="H8" s="67">
        <v>2026</v>
      </c>
      <c r="I8" s="67">
        <v>2027</v>
      </c>
    </row>
    <row r="9" spans="1:9" ht="18.75" customHeight="1">
      <c r="A9" s="358" t="s">
        <v>196</v>
      </c>
      <c r="B9" s="74" t="s">
        <v>184</v>
      </c>
      <c r="C9" s="74" t="s">
        <v>183</v>
      </c>
      <c r="D9" s="76">
        <v>0</v>
      </c>
      <c r="E9" s="202" t="e">
        <f>InvulRegie[[#This Row],[Prijs excl. BTW]]*Tariefsopbouw!$I$37+InvulRegie[[#This Row],[Prijs excl. BTW]]</f>
        <v>#DIV/0!</v>
      </c>
      <c r="F9" s="202" t="e">
        <f>E9*Tariefsopbouw!$K$37+'Regie en afroep'!E9</f>
        <v>#DIV/0!</v>
      </c>
      <c r="G9" s="202" t="e">
        <f>F9*Tariefsopbouw!$M$37+'Regie en afroep'!F9</f>
        <v>#DIV/0!</v>
      </c>
      <c r="H9" s="202" t="e">
        <f>G9*Tariefsopbouw!$O$37+'Regie en afroep'!G9</f>
        <v>#DIV/0!</v>
      </c>
      <c r="I9" s="202" t="e">
        <f>H9*Tariefsopbouw!$Q$37+H9</f>
        <v>#DIV/0!</v>
      </c>
    </row>
    <row r="10" spans="1:9" ht="18.75" customHeight="1">
      <c r="A10" s="359"/>
      <c r="B10" s="74" t="s">
        <v>185</v>
      </c>
      <c r="C10" s="74" t="s">
        <v>183</v>
      </c>
      <c r="D10" s="76">
        <v>0</v>
      </c>
      <c r="E10" s="203" t="e">
        <f>InvulRegie[[#This Row],[Prijs excl. BTW]]*Tariefsopbouw!$I$37+InvulRegie[[#This Row],[Prijs excl. BTW]]</f>
        <v>#DIV/0!</v>
      </c>
      <c r="F10" s="203" t="e">
        <f>E10*Tariefsopbouw!$K$37+'Regie en afroep'!E10</f>
        <v>#DIV/0!</v>
      </c>
      <c r="G10" s="203" t="e">
        <f>F10*Tariefsopbouw!$M$37+'Regie en afroep'!F10</f>
        <v>#DIV/0!</v>
      </c>
      <c r="H10" s="203" t="e">
        <f>G10*Tariefsopbouw!$O$37+'Regie en afroep'!G10</f>
        <v>#DIV/0!</v>
      </c>
      <c r="I10" s="203" t="e">
        <f>H10*Tariefsopbouw!$Q$37+H10</f>
        <v>#DIV/0!</v>
      </c>
    </row>
    <row r="11" spans="1:9" ht="18.75" customHeight="1">
      <c r="A11" s="359"/>
      <c r="B11" s="73" t="s">
        <v>186</v>
      </c>
      <c r="C11" s="74" t="s">
        <v>183</v>
      </c>
      <c r="D11" s="76">
        <v>0</v>
      </c>
      <c r="E11" s="203" t="e">
        <f>InvulRegie[[#This Row],[Prijs excl. BTW]]*Tariefsopbouw!$I$37+InvulRegie[[#This Row],[Prijs excl. BTW]]</f>
        <v>#DIV/0!</v>
      </c>
      <c r="F11" s="203" t="e">
        <f>E11*Tariefsopbouw!$K$37+'Regie en afroep'!E11</f>
        <v>#DIV/0!</v>
      </c>
      <c r="G11" s="203" t="e">
        <f>F11*Tariefsopbouw!$M$37+'Regie en afroep'!F11</f>
        <v>#DIV/0!</v>
      </c>
      <c r="H11" s="203" t="e">
        <f>G11*Tariefsopbouw!$O$37+'Regie en afroep'!G11</f>
        <v>#DIV/0!</v>
      </c>
      <c r="I11" s="203" t="e">
        <f>H11*Tariefsopbouw!$Q$37+H11</f>
        <v>#DIV/0!</v>
      </c>
    </row>
    <row r="12" spans="1:9" ht="18.75" customHeight="1">
      <c r="A12" s="359"/>
      <c r="B12" s="73" t="s">
        <v>203</v>
      </c>
      <c r="C12" s="74" t="s">
        <v>183</v>
      </c>
      <c r="D12" s="76">
        <v>0</v>
      </c>
      <c r="E12" s="204" t="e">
        <f>InvulRegie[[#This Row],[Prijs excl. BTW]]*Tariefsopbouw!$I$37+InvulRegie[[#This Row],[Prijs excl. BTW]]</f>
        <v>#DIV/0!</v>
      </c>
      <c r="F12" s="204" t="e">
        <f>E12*Tariefsopbouw!$K$37+'Regie en afroep'!E12</f>
        <v>#DIV/0!</v>
      </c>
      <c r="G12" s="204" t="e">
        <f>F12*Tariefsopbouw!$M$37+'Regie en afroep'!F12</f>
        <v>#DIV/0!</v>
      </c>
      <c r="H12" s="204" t="e">
        <f>G12*Tariefsopbouw!$O$37+'Regie en afroep'!G12</f>
        <v>#DIV/0!</v>
      </c>
      <c r="I12" s="204" t="e">
        <f>H12*Tariefsopbouw!$Q$37+H12</f>
        <v>#DIV/0!</v>
      </c>
    </row>
    <row r="13" spans="1:9" ht="18.75" customHeight="1">
      <c r="A13" s="360"/>
      <c r="B13" s="74" t="s">
        <v>192</v>
      </c>
      <c r="C13" s="74" t="s">
        <v>183</v>
      </c>
      <c r="D13" s="76">
        <v>0</v>
      </c>
      <c r="E13" s="203" t="e">
        <f>InvulRegie[[#This Row],[Prijs excl. BTW]]*Tariefsopbouw!$I$37+InvulRegie[[#This Row],[Prijs excl. BTW]]</f>
        <v>#DIV/0!</v>
      </c>
      <c r="F13" s="203" t="e">
        <f>E13*Tariefsopbouw!$K$37+'Regie en afroep'!E13</f>
        <v>#DIV/0!</v>
      </c>
      <c r="G13" s="203" t="e">
        <f>F13*Tariefsopbouw!$M$37+'Regie en afroep'!F13</f>
        <v>#DIV/0!</v>
      </c>
      <c r="H13" s="203" t="e">
        <f>G13*Tariefsopbouw!$O$37+'Regie en afroep'!G13</f>
        <v>#DIV/0!</v>
      </c>
      <c r="I13" s="203" t="e">
        <f>H13*Tariefsopbouw!$Q$37+H13</f>
        <v>#DIV/0!</v>
      </c>
    </row>
    <row r="14" spans="1:9" ht="18.75" customHeight="1">
      <c r="A14" s="358" t="s">
        <v>130</v>
      </c>
      <c r="B14" s="74" t="s">
        <v>42</v>
      </c>
      <c r="C14" s="74" t="s">
        <v>43</v>
      </c>
      <c r="D14" s="76">
        <v>0</v>
      </c>
      <c r="E14" s="204" t="e">
        <f>InvulRegie[[#This Row],[Prijs excl. BTW]]*Tariefsopbouw!$I$37+InvulRegie[[#This Row],[Prijs excl. BTW]]</f>
        <v>#DIV/0!</v>
      </c>
      <c r="F14" s="204" t="e">
        <f>E14*Tariefsopbouw!$K$37+'Regie en afroep'!E14</f>
        <v>#DIV/0!</v>
      </c>
      <c r="G14" s="204" t="e">
        <f>F14*Tariefsopbouw!$M$37+'Regie en afroep'!F14</f>
        <v>#DIV/0!</v>
      </c>
      <c r="H14" s="204" t="e">
        <f>G14*Tariefsopbouw!$O$37+'Regie en afroep'!G14</f>
        <v>#DIV/0!</v>
      </c>
      <c r="I14" s="204" t="e">
        <f>H14*Tariefsopbouw!$Q$37+H14</f>
        <v>#DIV/0!</v>
      </c>
    </row>
    <row r="15" spans="1:9" ht="18.75" customHeight="1">
      <c r="A15" s="359"/>
      <c r="B15" s="74" t="s">
        <v>44</v>
      </c>
      <c r="C15" s="74" t="s">
        <v>187</v>
      </c>
      <c r="D15" s="76">
        <v>0</v>
      </c>
      <c r="E15" s="203" t="e">
        <f>InvulRegie[[#This Row],[Prijs excl. BTW]]*Tariefsopbouw!$I$37+InvulRegie[[#This Row],[Prijs excl. BTW]]</f>
        <v>#DIV/0!</v>
      </c>
      <c r="F15" s="203" t="e">
        <f>E15*Tariefsopbouw!$K$37+'Regie en afroep'!E15</f>
        <v>#DIV/0!</v>
      </c>
      <c r="G15" s="203" t="e">
        <f>F15*Tariefsopbouw!$M$37+'Regie en afroep'!F15</f>
        <v>#DIV/0!</v>
      </c>
      <c r="H15" s="203" t="e">
        <f>G15*Tariefsopbouw!$O$37+'Regie en afroep'!G15</f>
        <v>#DIV/0!</v>
      </c>
      <c r="I15" s="203" t="e">
        <f>H15*Tariefsopbouw!$Q$37+H15</f>
        <v>#DIV/0!</v>
      </c>
    </row>
    <row r="16" spans="1:9" ht="18.75" customHeight="1">
      <c r="A16" s="359"/>
      <c r="B16" s="74" t="s">
        <v>188</v>
      </c>
      <c r="C16" s="74" t="s">
        <v>187</v>
      </c>
      <c r="D16" s="76">
        <v>0</v>
      </c>
      <c r="E16" s="204" t="e">
        <f>InvulRegie[[#This Row],[Prijs excl. BTW]]*Tariefsopbouw!$I$37+InvulRegie[[#This Row],[Prijs excl. BTW]]</f>
        <v>#DIV/0!</v>
      </c>
      <c r="F16" s="204" t="e">
        <f>E16*Tariefsopbouw!$K$37+'Regie en afroep'!E16</f>
        <v>#DIV/0!</v>
      </c>
      <c r="G16" s="204" t="e">
        <f>F16*Tariefsopbouw!$M$37+'Regie en afroep'!F16</f>
        <v>#DIV/0!</v>
      </c>
      <c r="H16" s="204" t="e">
        <f>G16*Tariefsopbouw!$O$37+'Regie en afroep'!G16</f>
        <v>#DIV/0!</v>
      </c>
      <c r="I16" s="204" t="e">
        <f>H16*Tariefsopbouw!$Q$37+H16</f>
        <v>#DIV/0!</v>
      </c>
    </row>
    <row r="17" spans="1:9" ht="18.75" customHeight="1">
      <c r="A17" s="359"/>
      <c r="B17" s="74" t="s">
        <v>189</v>
      </c>
      <c r="C17" s="74" t="s">
        <v>45</v>
      </c>
      <c r="D17" s="76">
        <v>0</v>
      </c>
      <c r="E17" s="203" t="e">
        <f>InvulRegie[[#This Row],[Prijs excl. BTW]]*Tariefsopbouw!$I$37+InvulRegie[[#This Row],[Prijs excl. BTW]]</f>
        <v>#DIV/0!</v>
      </c>
      <c r="F17" s="203" t="e">
        <f>E17*Tariefsopbouw!$K$37+'Regie en afroep'!E17</f>
        <v>#DIV/0!</v>
      </c>
      <c r="G17" s="203" t="e">
        <f>F17*Tariefsopbouw!$M$37+'Regie en afroep'!F17</f>
        <v>#DIV/0!</v>
      </c>
      <c r="H17" s="203" t="e">
        <f>G17*Tariefsopbouw!$O$37+'Regie en afroep'!G17</f>
        <v>#DIV/0!</v>
      </c>
      <c r="I17" s="203" t="e">
        <f>H17*Tariefsopbouw!$Q$37+H17</f>
        <v>#DIV/0!</v>
      </c>
    </row>
    <row r="18" spans="1:9" ht="18.75" customHeight="1">
      <c r="A18" s="359"/>
      <c r="B18" s="74" t="s">
        <v>248</v>
      </c>
      <c r="C18" s="74" t="s">
        <v>45</v>
      </c>
      <c r="D18" s="76">
        <v>0</v>
      </c>
      <c r="E18" s="204" t="e">
        <f>InvulRegie[[#This Row],[Prijs excl. BTW]]*Tariefsopbouw!$I$37+InvulRegie[[#This Row],[Prijs excl. BTW]]</f>
        <v>#DIV/0!</v>
      </c>
      <c r="F18" s="204" t="e">
        <f>E18*Tariefsopbouw!$K$37+'Regie en afroep'!E18</f>
        <v>#DIV/0!</v>
      </c>
      <c r="G18" s="204" t="e">
        <f>F18*Tariefsopbouw!$M$37+'Regie en afroep'!F18</f>
        <v>#DIV/0!</v>
      </c>
      <c r="H18" s="204" t="e">
        <f>G18*Tariefsopbouw!$O$37+'Regie en afroep'!G18</f>
        <v>#DIV/0!</v>
      </c>
      <c r="I18" s="204" t="e">
        <f>H18*Tariefsopbouw!$Q$37+H18</f>
        <v>#DIV/0!</v>
      </c>
    </row>
    <row r="19" spans="1:9" ht="18.75" customHeight="1">
      <c r="A19" s="359"/>
      <c r="B19" s="74" t="s">
        <v>190</v>
      </c>
      <c r="C19" s="74" t="s">
        <v>45</v>
      </c>
      <c r="D19" s="76">
        <v>0</v>
      </c>
      <c r="E19" s="203" t="e">
        <f>InvulRegie[[#This Row],[Prijs excl. BTW]]*Tariefsopbouw!$I$37+InvulRegie[[#This Row],[Prijs excl. BTW]]</f>
        <v>#DIV/0!</v>
      </c>
      <c r="F19" s="203" t="e">
        <f>E19*Tariefsopbouw!$K$37+'Regie en afroep'!E19</f>
        <v>#DIV/0!</v>
      </c>
      <c r="G19" s="203" t="e">
        <f>F19*Tariefsopbouw!$M$37+'Regie en afroep'!F19</f>
        <v>#DIV/0!</v>
      </c>
      <c r="H19" s="203" t="e">
        <f>G19*Tariefsopbouw!$O$37+'Regie en afroep'!G19</f>
        <v>#DIV/0!</v>
      </c>
      <c r="I19" s="203" t="e">
        <f>H19*Tariefsopbouw!$Q$37+H19</f>
        <v>#DIV/0!</v>
      </c>
    </row>
    <row r="20" spans="1:9" ht="18.75" customHeight="1">
      <c r="A20" s="360"/>
      <c r="B20" s="74" t="s">
        <v>191</v>
      </c>
      <c r="C20" s="74" t="s">
        <v>45</v>
      </c>
      <c r="D20" s="76">
        <v>0</v>
      </c>
      <c r="E20" s="204" t="e">
        <f>InvulRegie[[#This Row],[Prijs excl. BTW]]*Tariefsopbouw!$I$37+InvulRegie[[#This Row],[Prijs excl. BTW]]</f>
        <v>#DIV/0!</v>
      </c>
      <c r="F20" s="204" t="e">
        <f>E20*Tariefsopbouw!$K$37+'Regie en afroep'!E20</f>
        <v>#DIV/0!</v>
      </c>
      <c r="G20" s="204" t="e">
        <f>F20*Tariefsopbouw!$M$37+'Regie en afroep'!F20</f>
        <v>#DIV/0!</v>
      </c>
      <c r="H20" s="204" t="e">
        <f>G20*Tariefsopbouw!$O$37+'Regie en afroep'!G20</f>
        <v>#DIV/0!</v>
      </c>
      <c r="I20" s="204" t="e">
        <f>H20*Tariefsopbouw!$Q$37+H20</f>
        <v>#DIV/0!</v>
      </c>
    </row>
    <row r="21" spans="1:9" ht="18.75" customHeight="1">
      <c r="A21" s="358" t="s">
        <v>193</v>
      </c>
      <c r="B21" s="74" t="s">
        <v>58</v>
      </c>
      <c r="C21" s="74" t="s">
        <v>50</v>
      </c>
      <c r="D21" s="76">
        <v>0</v>
      </c>
      <c r="E21" s="203" t="e">
        <f>InvulRegie[[#This Row],[Prijs excl. BTW]]*Tariefsopbouw!$I$37+InvulRegie[[#This Row],[Prijs excl. BTW]]</f>
        <v>#DIV/0!</v>
      </c>
      <c r="F21" s="203" t="e">
        <f>E21*Tariefsopbouw!$K$37+'Regie en afroep'!E21</f>
        <v>#DIV/0!</v>
      </c>
      <c r="G21" s="203" t="e">
        <f>F21*Tariefsopbouw!$M$37+'Regie en afroep'!F21</f>
        <v>#DIV/0!</v>
      </c>
      <c r="H21" s="203" t="e">
        <f>G21*Tariefsopbouw!$O$37+'Regie en afroep'!G21</f>
        <v>#DIV/0!</v>
      </c>
      <c r="I21" s="203" t="e">
        <f>H21*Tariefsopbouw!$Q$37+H21</f>
        <v>#DIV/0!</v>
      </c>
    </row>
    <row r="22" spans="1:9" ht="18.75" customHeight="1">
      <c r="A22" s="360"/>
      <c r="B22" s="74" t="s">
        <v>46</v>
      </c>
      <c r="C22" s="74" t="s">
        <v>74</v>
      </c>
      <c r="D22" s="76">
        <v>0</v>
      </c>
      <c r="E22" s="204" t="e">
        <f>InvulRegie[[#This Row],[Prijs excl. BTW]]*Tariefsopbouw!$I$37+InvulRegie[[#This Row],[Prijs excl. BTW]]</f>
        <v>#DIV/0!</v>
      </c>
      <c r="F22" s="204" t="e">
        <f>E22*Tariefsopbouw!$K$37+'Regie en afroep'!E22</f>
        <v>#DIV/0!</v>
      </c>
      <c r="G22" s="204" t="e">
        <f>F22*Tariefsopbouw!$M$37+'Regie en afroep'!F22</f>
        <v>#DIV/0!</v>
      </c>
      <c r="H22" s="204" t="e">
        <f>G22*Tariefsopbouw!$O$37+'Regie en afroep'!G22</f>
        <v>#DIV/0!</v>
      </c>
      <c r="I22" s="204" t="e">
        <f>H22*Tariefsopbouw!$Q$37+H22</f>
        <v>#DIV/0!</v>
      </c>
    </row>
    <row r="23" spans="1:9" ht="18.75" customHeight="1">
      <c r="A23" s="361" t="s">
        <v>204</v>
      </c>
      <c r="B23" s="74" t="s">
        <v>194</v>
      </c>
      <c r="C23" s="74" t="s">
        <v>195</v>
      </c>
      <c r="D23" s="76">
        <v>0</v>
      </c>
      <c r="E23" s="203" t="e">
        <f>InvulRegie[[#This Row],[Prijs excl. BTW]]*Tariefsopbouw!$I$37+InvulRegie[[#This Row],[Prijs excl. BTW]]</f>
        <v>#DIV/0!</v>
      </c>
      <c r="F23" s="203" t="e">
        <f>E23*Tariefsopbouw!$K$37+'Regie en afroep'!E23</f>
        <v>#DIV/0!</v>
      </c>
      <c r="G23" s="203" t="e">
        <f>F23*Tariefsopbouw!$M$37+'Regie en afroep'!F23</f>
        <v>#DIV/0!</v>
      </c>
      <c r="H23" s="203" t="e">
        <f>G23*Tariefsopbouw!$O$37+'Regie en afroep'!G23</f>
        <v>#DIV/0!</v>
      </c>
      <c r="I23" s="203" t="e">
        <f>H23*Tariefsopbouw!$Q$37+H23</f>
        <v>#DIV/0!</v>
      </c>
    </row>
    <row r="24" spans="1:9" ht="18.75" customHeight="1">
      <c r="A24" s="362"/>
      <c r="B24" s="74" t="s">
        <v>241</v>
      </c>
      <c r="C24" s="74" t="s">
        <v>195</v>
      </c>
      <c r="D24" s="76">
        <v>0</v>
      </c>
      <c r="E24" s="204" t="e">
        <f>InvulRegie[[#This Row],[Prijs excl. BTW]]*Tariefsopbouw!$I$37+InvulRegie[[#This Row],[Prijs excl. BTW]]</f>
        <v>#DIV/0!</v>
      </c>
      <c r="F24" s="204" t="e">
        <f>E24*Tariefsopbouw!$K$37+'Regie en afroep'!E24</f>
        <v>#DIV/0!</v>
      </c>
      <c r="G24" s="204" t="e">
        <f>F24*Tariefsopbouw!$M$37+'Regie en afroep'!F24</f>
        <v>#DIV/0!</v>
      </c>
      <c r="H24" s="204" t="e">
        <f>G24*Tariefsopbouw!$O$37+'Regie en afroep'!G24</f>
        <v>#DIV/0!</v>
      </c>
      <c r="I24" s="204" t="e">
        <f>H24*Tariefsopbouw!$Q$37+H24</f>
        <v>#DIV/0!</v>
      </c>
    </row>
    <row r="25" spans="1:9" ht="18.75" customHeight="1">
      <c r="A25" s="362"/>
      <c r="B25" s="74" t="s">
        <v>243</v>
      </c>
      <c r="C25" s="74" t="s">
        <v>195</v>
      </c>
      <c r="D25" s="76">
        <v>0</v>
      </c>
      <c r="E25" s="203" t="e">
        <f>InvulRegie[[#This Row],[Prijs excl. BTW]]*Tariefsopbouw!$I$37+InvulRegie[[#This Row],[Prijs excl. BTW]]</f>
        <v>#DIV/0!</v>
      </c>
      <c r="F25" s="203" t="e">
        <f>E25*Tariefsopbouw!$K$37+'Regie en afroep'!E25</f>
        <v>#DIV/0!</v>
      </c>
      <c r="G25" s="203" t="e">
        <f>F25*Tariefsopbouw!$M$37+'Regie en afroep'!F25</f>
        <v>#DIV/0!</v>
      </c>
      <c r="H25" s="203" t="e">
        <f>G25*Tariefsopbouw!$O$37+'Regie en afroep'!G25</f>
        <v>#DIV/0!</v>
      </c>
      <c r="I25" s="203" t="e">
        <f>H25*Tariefsopbouw!$Q$37+H25</f>
        <v>#DIV/0!</v>
      </c>
    </row>
    <row r="26" spans="1:9" ht="18.75" customHeight="1">
      <c r="A26" s="362"/>
      <c r="B26" s="74" t="s">
        <v>242</v>
      </c>
      <c r="C26" s="74" t="s">
        <v>195</v>
      </c>
      <c r="D26" s="76">
        <v>0</v>
      </c>
      <c r="E26" s="204" t="e">
        <f>InvulRegie[[#This Row],[Prijs excl. BTW]]*Tariefsopbouw!$I$37+InvulRegie[[#This Row],[Prijs excl. BTW]]</f>
        <v>#DIV/0!</v>
      </c>
      <c r="F26" s="204" t="e">
        <f>E26*Tariefsopbouw!$K$37+'Regie en afroep'!E26</f>
        <v>#DIV/0!</v>
      </c>
      <c r="G26" s="204" t="e">
        <f>F26*Tariefsopbouw!$M$37+'Regie en afroep'!F26</f>
        <v>#DIV/0!</v>
      </c>
      <c r="H26" s="204" t="e">
        <f>G26*Tariefsopbouw!$O$37+'Regie en afroep'!G26</f>
        <v>#DIV/0!</v>
      </c>
      <c r="I26" s="204" t="e">
        <f>H26*Tariefsopbouw!$Q$37+H26</f>
        <v>#DIV/0!</v>
      </c>
    </row>
    <row r="27" spans="1:9" ht="18.75" customHeight="1">
      <c r="A27" s="363"/>
      <c r="B27" s="74" t="s">
        <v>49</v>
      </c>
      <c r="C27" s="74" t="s">
        <v>195</v>
      </c>
      <c r="D27" s="76">
        <v>0</v>
      </c>
      <c r="E27" s="203" t="e">
        <f>InvulRegie[[#This Row],[Prijs excl. BTW]]*Tariefsopbouw!$I$37+InvulRegie[[#This Row],[Prijs excl. BTW]]</f>
        <v>#DIV/0!</v>
      </c>
      <c r="F27" s="203" t="e">
        <f>E27*Tariefsopbouw!$K$37+'Regie en afroep'!E27</f>
        <v>#DIV/0!</v>
      </c>
      <c r="G27" s="203" t="e">
        <f>F27*Tariefsopbouw!$M$37+'Regie en afroep'!F27</f>
        <v>#DIV/0!</v>
      </c>
      <c r="H27" s="203" t="e">
        <f>G27*Tariefsopbouw!$O$37+'Regie en afroep'!G27</f>
        <v>#DIV/0!</v>
      </c>
      <c r="I27" s="203" t="e">
        <f>H27*Tariefsopbouw!$Q$37+H27</f>
        <v>#DIV/0!</v>
      </c>
    </row>
    <row r="28" spans="1:9" ht="18.75" customHeight="1">
      <c r="A28" s="358" t="s">
        <v>199</v>
      </c>
      <c r="B28" s="74" t="s">
        <v>51</v>
      </c>
      <c r="C28" s="74" t="s">
        <v>50</v>
      </c>
      <c r="D28" s="76">
        <v>0</v>
      </c>
      <c r="E28" s="204" t="e">
        <f>InvulRegie[[#This Row],[Prijs excl. BTW]]*Tariefsopbouw!$I$37+InvulRegie[[#This Row],[Prijs excl. BTW]]</f>
        <v>#DIV/0!</v>
      </c>
      <c r="F28" s="204" t="e">
        <f>E28*Tariefsopbouw!$K$37+'Regie en afroep'!E28</f>
        <v>#DIV/0!</v>
      </c>
      <c r="G28" s="204" t="e">
        <f>F28*Tariefsopbouw!$M$37+'Regie en afroep'!F28</f>
        <v>#DIV/0!</v>
      </c>
      <c r="H28" s="204" t="e">
        <f>G28*Tariefsopbouw!$O$37+'Regie en afroep'!G28</f>
        <v>#DIV/0!</v>
      </c>
      <c r="I28" s="204" t="e">
        <f>H28*Tariefsopbouw!$Q$37+H28</f>
        <v>#DIV/0!</v>
      </c>
    </row>
    <row r="29" spans="1:9" ht="18.75" customHeight="1">
      <c r="A29" s="359"/>
      <c r="B29" s="74" t="s">
        <v>52</v>
      </c>
      <c r="C29" s="74" t="s">
        <v>50</v>
      </c>
      <c r="D29" s="76">
        <v>0</v>
      </c>
      <c r="E29" s="203" t="e">
        <f>InvulRegie[[#This Row],[Prijs excl. BTW]]*Tariefsopbouw!$I$37+InvulRegie[[#This Row],[Prijs excl. BTW]]</f>
        <v>#DIV/0!</v>
      </c>
      <c r="F29" s="203" t="e">
        <f>E29*Tariefsopbouw!$K$37+'Regie en afroep'!E29</f>
        <v>#DIV/0!</v>
      </c>
      <c r="G29" s="203" t="e">
        <f>F29*Tariefsopbouw!$M$37+'Regie en afroep'!F29</f>
        <v>#DIV/0!</v>
      </c>
      <c r="H29" s="203" t="e">
        <f>G29*Tariefsopbouw!$O$37+'Regie en afroep'!G29</f>
        <v>#DIV/0!</v>
      </c>
      <c r="I29" s="203" t="e">
        <f>H29*Tariefsopbouw!$Q$37+H29</f>
        <v>#DIV/0!</v>
      </c>
    </row>
    <row r="30" spans="1:9" ht="18.75" customHeight="1">
      <c r="A30" s="359"/>
      <c r="B30" s="74" t="s">
        <v>53</v>
      </c>
      <c r="C30" s="74" t="s">
        <v>50</v>
      </c>
      <c r="D30" s="76">
        <v>0</v>
      </c>
      <c r="E30" s="204" t="e">
        <f>InvulRegie[[#This Row],[Prijs excl. BTW]]*Tariefsopbouw!$I$37+InvulRegie[[#This Row],[Prijs excl. BTW]]</f>
        <v>#DIV/0!</v>
      </c>
      <c r="F30" s="204" t="e">
        <f>E30*Tariefsopbouw!$K$37+'Regie en afroep'!E30</f>
        <v>#DIV/0!</v>
      </c>
      <c r="G30" s="204" t="e">
        <f>F30*Tariefsopbouw!$M$37+'Regie en afroep'!F30</f>
        <v>#DIV/0!</v>
      </c>
      <c r="H30" s="204" t="e">
        <f>G30*Tariefsopbouw!$O$37+'Regie en afroep'!G30</f>
        <v>#DIV/0!</v>
      </c>
      <c r="I30" s="204" t="e">
        <f>H30*Tariefsopbouw!$Q$37+H30</f>
        <v>#DIV/0!</v>
      </c>
    </row>
    <row r="31" spans="1:9" ht="18.75" customHeight="1">
      <c r="A31" s="359"/>
      <c r="B31" s="74" t="s">
        <v>54</v>
      </c>
      <c r="C31" s="74" t="s">
        <v>50</v>
      </c>
      <c r="D31" s="76">
        <v>0</v>
      </c>
      <c r="E31" s="203" t="e">
        <f>InvulRegie[[#This Row],[Prijs excl. BTW]]*Tariefsopbouw!$I$37+InvulRegie[[#This Row],[Prijs excl. BTW]]</f>
        <v>#DIV/0!</v>
      </c>
      <c r="F31" s="203" t="e">
        <f>E31*Tariefsopbouw!$K$37+'Regie en afroep'!E31</f>
        <v>#DIV/0!</v>
      </c>
      <c r="G31" s="203" t="e">
        <f>F31*Tariefsopbouw!$M$37+'Regie en afroep'!F31</f>
        <v>#DIV/0!</v>
      </c>
      <c r="H31" s="203" t="e">
        <f>G31*Tariefsopbouw!$O$37+'Regie en afroep'!G31</f>
        <v>#DIV/0!</v>
      </c>
      <c r="I31" s="203" t="e">
        <f>H31*Tariefsopbouw!$Q$37+H31</f>
        <v>#DIV/0!</v>
      </c>
    </row>
    <row r="32" spans="1:9" ht="18.75" customHeight="1">
      <c r="A32" s="360"/>
      <c r="B32" s="74" t="s">
        <v>47</v>
      </c>
      <c r="C32" s="74" t="s">
        <v>48</v>
      </c>
      <c r="D32" s="76">
        <v>0</v>
      </c>
      <c r="E32" s="204" t="e">
        <f>InvulRegie[[#This Row],[Prijs excl. BTW]]*Tariefsopbouw!$I$37+InvulRegie[[#This Row],[Prijs excl. BTW]]</f>
        <v>#DIV/0!</v>
      </c>
      <c r="F32" s="204" t="e">
        <f>E32*Tariefsopbouw!$K$37+'Regie en afroep'!E32</f>
        <v>#DIV/0!</v>
      </c>
      <c r="G32" s="204" t="e">
        <f>F32*Tariefsopbouw!$M$37+'Regie en afroep'!F32</f>
        <v>#DIV/0!</v>
      </c>
      <c r="H32" s="204" t="e">
        <f>G32*Tariefsopbouw!$O$37+'Regie en afroep'!G32</f>
        <v>#DIV/0!</v>
      </c>
      <c r="I32" s="204" t="e">
        <f>H32*Tariefsopbouw!$Q$37+H32</f>
        <v>#DIV/0!</v>
      </c>
    </row>
    <row r="33" spans="1:9" ht="18.75" customHeight="1">
      <c r="A33" s="361" t="s">
        <v>200</v>
      </c>
      <c r="B33" s="74" t="s">
        <v>55</v>
      </c>
      <c r="C33" s="74" t="s">
        <v>226</v>
      </c>
      <c r="D33" s="76">
        <v>0</v>
      </c>
      <c r="E33" s="203" t="e">
        <f>InvulRegie[[#This Row],[Prijs excl. BTW]]*Tariefsopbouw!$I$37+InvulRegie[[#This Row],[Prijs excl. BTW]]</f>
        <v>#DIV/0!</v>
      </c>
      <c r="F33" s="203" t="e">
        <f>E33*Tariefsopbouw!$K$37+'Regie en afroep'!E33</f>
        <v>#DIV/0!</v>
      </c>
      <c r="G33" s="203" t="e">
        <f>F33*Tariefsopbouw!$M$37+'Regie en afroep'!F33</f>
        <v>#DIV/0!</v>
      </c>
      <c r="H33" s="203" t="e">
        <f>G33*Tariefsopbouw!$O$37+'Regie en afroep'!G33</f>
        <v>#DIV/0!</v>
      </c>
      <c r="I33" s="203" t="e">
        <f>H33*Tariefsopbouw!$Q$37+H33</f>
        <v>#DIV/0!</v>
      </c>
    </row>
    <row r="34" spans="1:9" ht="18.75" customHeight="1">
      <c r="A34" s="362"/>
      <c r="B34" s="74" t="s">
        <v>56</v>
      </c>
      <c r="C34" s="74" t="s">
        <v>57</v>
      </c>
      <c r="D34" s="76">
        <v>0</v>
      </c>
      <c r="E34" s="204" t="e">
        <f>InvulRegie[[#This Row],[Prijs excl. BTW]]*Tariefsopbouw!$I$37+InvulRegie[[#This Row],[Prijs excl. BTW]]</f>
        <v>#DIV/0!</v>
      </c>
      <c r="F34" s="204" t="e">
        <f>E34*Tariefsopbouw!$K$37+'Regie en afroep'!E34</f>
        <v>#DIV/0!</v>
      </c>
      <c r="G34" s="204" t="e">
        <f>F34*Tariefsopbouw!$M$37+'Regie en afroep'!F34</f>
        <v>#DIV/0!</v>
      </c>
      <c r="H34" s="204" t="e">
        <f>G34*Tariefsopbouw!$O$37+'Regie en afroep'!G34</f>
        <v>#DIV/0!</v>
      </c>
      <c r="I34" s="204" t="e">
        <f>H34*Tariefsopbouw!$Q$37+H34</f>
        <v>#DIV/0!</v>
      </c>
    </row>
    <row r="35" spans="1:9" ht="18.75" customHeight="1">
      <c r="A35" s="362"/>
      <c r="B35" s="74" t="s">
        <v>201</v>
      </c>
      <c r="C35" s="74" t="s">
        <v>57</v>
      </c>
      <c r="D35" s="76">
        <v>0</v>
      </c>
      <c r="E35" s="203" t="e">
        <f>InvulRegie[[#This Row],[Prijs excl. BTW]]*Tariefsopbouw!$I$37+InvulRegie[[#This Row],[Prijs excl. BTW]]</f>
        <v>#DIV/0!</v>
      </c>
      <c r="F35" s="203" t="e">
        <f>E35*Tariefsopbouw!$K$37+'Regie en afroep'!E35</f>
        <v>#DIV/0!</v>
      </c>
      <c r="G35" s="203" t="e">
        <f>F35*Tariefsopbouw!$M$37+'Regie en afroep'!F35</f>
        <v>#DIV/0!</v>
      </c>
      <c r="H35" s="203" t="e">
        <f>G35*Tariefsopbouw!$O$37+'Regie en afroep'!G35</f>
        <v>#DIV/0!</v>
      </c>
      <c r="I35" s="203" t="e">
        <f>H35*Tariefsopbouw!$Q$37+H35</f>
        <v>#DIV/0!</v>
      </c>
    </row>
    <row r="36" spans="1:9" ht="18.75" customHeight="1" thickBot="1">
      <c r="A36" s="363"/>
      <c r="B36" s="74" t="s">
        <v>202</v>
      </c>
      <c r="C36" s="74" t="s">
        <v>57</v>
      </c>
      <c r="D36" s="76">
        <v>0</v>
      </c>
      <c r="E36" s="204" t="e">
        <f>InvulRegie[[#This Row],[Prijs excl. BTW]]*Tariefsopbouw!$I$37+InvulRegie[[#This Row],[Prijs excl. BTW]]</f>
        <v>#DIV/0!</v>
      </c>
      <c r="F36" s="204" t="e">
        <f>E36*Tariefsopbouw!$K$37+'Regie en afroep'!E36</f>
        <v>#DIV/0!</v>
      </c>
      <c r="G36" s="204" t="e">
        <f>F36*Tariefsopbouw!$M$37+'Regie en afroep'!F36</f>
        <v>#DIV/0!</v>
      </c>
      <c r="H36" s="204" t="e">
        <f>G36*Tariefsopbouw!$O$37+'Regie en afroep'!G36</f>
        <v>#DIV/0!</v>
      </c>
      <c r="I36" s="204" t="e">
        <f>H36*Tariefsopbouw!$Q$37+H36</f>
        <v>#DIV/0!</v>
      </c>
    </row>
    <row r="37" spans="1:9" s="134" customFormat="1" ht="26.25" customHeight="1" thickTop="1">
      <c r="A37" s="132"/>
      <c r="B37" s="133" t="s">
        <v>33</v>
      </c>
      <c r="C37" s="133"/>
      <c r="D37" s="133"/>
      <c r="E37" s="201"/>
      <c r="F37" s="201"/>
      <c r="G37" s="201"/>
      <c r="H37" s="201"/>
      <c r="I37" s="201"/>
    </row>
    <row r="72" spans="1:1" ht="18.75" customHeight="1">
      <c r="A72" s="71"/>
    </row>
    <row r="73" spans="1:1" ht="18.75" customHeight="1">
      <c r="A73" s="71"/>
    </row>
    <row r="74" spans="1:1" ht="18.75" customHeight="1">
      <c r="A74" s="71"/>
    </row>
    <row r="75" spans="1:1" ht="18.75" customHeight="1">
      <c r="A75" s="71"/>
    </row>
    <row r="76" spans="1:1" ht="18.75" customHeight="1">
      <c r="A76" s="71"/>
    </row>
    <row r="77" spans="1:1" ht="18.75" customHeight="1">
      <c r="A77" s="71"/>
    </row>
    <row r="78" spans="1:1" ht="18.75" customHeight="1">
      <c r="A78" s="71"/>
    </row>
    <row r="79" spans="1:1" ht="18.75" customHeight="1">
      <c r="A79" s="71"/>
    </row>
    <row r="80" spans="1:1" ht="18.75" customHeight="1">
      <c r="A80" s="71"/>
    </row>
    <row r="81" spans="1:1" ht="18.75" customHeight="1">
      <c r="A81" s="71"/>
    </row>
    <row r="82" spans="1:1" ht="18.75" customHeight="1">
      <c r="A82" s="71"/>
    </row>
    <row r="83" spans="1:1" ht="18.75" customHeight="1">
      <c r="A83" s="71"/>
    </row>
    <row r="84" spans="1:1" ht="18.75" customHeight="1">
      <c r="A84" s="71"/>
    </row>
  </sheetData>
  <mergeCells count="9">
    <mergeCell ref="A1:I1"/>
    <mergeCell ref="A2:I2"/>
    <mergeCell ref="A28:A32"/>
    <mergeCell ref="A33:A36"/>
    <mergeCell ref="A23:A27"/>
    <mergeCell ref="A14:A20"/>
    <mergeCell ref="A21:A22"/>
    <mergeCell ref="E7:I7"/>
    <mergeCell ref="A9:A1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Footer>&amp;L&amp;F&amp;C&amp;D&amp;R&amp;A</oddFooter>
  </headerFooter>
  <rowBreaks count="1" manualBreakCount="1">
    <brk id="86" max="16383" man="1"/>
  </row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  <pageSetUpPr fitToPage="1"/>
  </sheetPr>
  <dimension ref="A1:H54"/>
  <sheetViews>
    <sheetView showGridLines="0" tabSelected="1" view="pageBreakPreview" zoomScaleNormal="100" zoomScaleSheetLayoutView="100" workbookViewId="0">
      <selection activeCell="B3" sqref="B3"/>
    </sheetView>
  </sheetViews>
  <sheetFormatPr defaultColWidth="9.1328125" defaultRowHeight="18.75" customHeight="1"/>
  <cols>
    <col min="1" max="1" width="13.73046875" style="3" customWidth="1"/>
    <col min="2" max="2" width="32.86328125" style="129" customWidth="1"/>
    <col min="3" max="5" width="23.265625" style="3" customWidth="1"/>
    <col min="6" max="6" width="28.1328125" style="3" bestFit="1" customWidth="1"/>
    <col min="7" max="7" width="19.1328125" style="3" customWidth="1"/>
    <col min="8" max="8" width="23.265625" style="3" customWidth="1"/>
    <col min="9" max="11" width="15.86328125" style="3" customWidth="1"/>
    <col min="12" max="16384" width="9.1328125" style="3"/>
  </cols>
  <sheetData>
    <row r="1" spans="1:8" s="9" customFormat="1" ht="17.25" customHeight="1">
      <c r="A1" s="314" t="s">
        <v>216</v>
      </c>
      <c r="B1" s="314"/>
      <c r="C1" s="314"/>
      <c r="D1" s="314"/>
      <c r="E1" s="314"/>
      <c r="F1" s="314"/>
      <c r="G1" s="314"/>
      <c r="H1" s="314"/>
    </row>
    <row r="2" spans="1:8" s="9" customFormat="1" ht="15" customHeight="1">
      <c r="A2" s="353" t="s">
        <v>228</v>
      </c>
      <c r="B2" s="316"/>
      <c r="C2" s="316"/>
      <c r="D2" s="316"/>
      <c r="E2" s="316"/>
      <c r="F2" s="316"/>
      <c r="G2" s="316"/>
      <c r="H2" s="316"/>
    </row>
    <row r="3" spans="1:8" s="4" customFormat="1" ht="11.25">
      <c r="B3" s="21"/>
    </row>
    <row r="4" spans="1:8" ht="11.25">
      <c r="A4" s="129"/>
      <c r="B4" s="3"/>
    </row>
    <row r="5" spans="1:8" ht="11.25">
      <c r="A5" s="86" t="s">
        <v>225</v>
      </c>
      <c r="B5" s="3"/>
    </row>
    <row r="6" spans="1:8" s="45" customFormat="1" ht="25.5" customHeight="1">
      <c r="A6" s="125" t="s">
        <v>209</v>
      </c>
      <c r="B6" s="126" t="s">
        <v>145</v>
      </c>
      <c r="C6" s="125" t="s">
        <v>170</v>
      </c>
      <c r="D6" s="127" t="s">
        <v>127</v>
      </c>
      <c r="E6" s="127" t="s">
        <v>171</v>
      </c>
      <c r="F6" s="128" t="s">
        <v>172</v>
      </c>
    </row>
    <row r="7" spans="1:8" ht="18.75" customHeight="1">
      <c r="A7" s="283">
        <v>1</v>
      </c>
      <c r="B7" s="277" t="str">
        <f>VLOOKUP(Samenvattingschoonmaak[[#This Row],[Code Locatie]],Locaties[],2,0)</f>
        <v xml:space="preserve">Het Meerik </v>
      </c>
      <c r="C7" s="284">
        <f>SUMIF('Ruimtestaat'!$A:$A,Totalisatie!$A7,'Ruimtestaat'!$O:$O)</f>
        <v>1484</v>
      </c>
      <c r="D7" s="284">
        <f>SUMIF('Ruimtestaat'!$A:$A,Totalisatie!$A7,'Ruimtestaat'!$AF:$AF)</f>
        <v>274040</v>
      </c>
      <c r="E7" s="285">
        <f>SUMIF('Ruimtestaat'!$A:$A,Totalisatie!$A7,'Ruimtestaat'!$AG:$AG)</f>
        <v>0</v>
      </c>
      <c r="F7" s="278">
        <f>SUMIF('Ruimtestaat'!$A:$A,Totalisatie!$A7,'Ruimtestaat'!$AH:$AH)</f>
        <v>0</v>
      </c>
    </row>
    <row r="8" spans="1:8" ht="18.75" customHeight="1">
      <c r="A8" s="283">
        <v>2</v>
      </c>
      <c r="B8" s="277" t="str">
        <f>VLOOKUP(Samenvattingschoonmaak[[#This Row],[Code Locatie]],Locaties[],2,0)</f>
        <v>Neon College – Enschede</v>
      </c>
      <c r="C8" s="284">
        <f>SUMIF('Ruimtestaat'!$A:$A,Totalisatie!$A8,'Ruimtestaat'!$O:$O)</f>
        <v>2066.5</v>
      </c>
      <c r="D8" s="284">
        <f>SUMIF('Ruimtestaat'!$A:$A,Totalisatie!$A8,'Ruimtestaat'!$AF:$AF)</f>
        <v>397332</v>
      </c>
      <c r="E8" s="285">
        <f>SUMIF('Ruimtestaat'!$A:$A,Totalisatie!$A8,'Ruimtestaat'!$AG:$AG)</f>
        <v>0</v>
      </c>
      <c r="F8" s="278">
        <f>SUMIF('Ruimtestaat'!$A:$A,Totalisatie!$A8,'Ruimtestaat'!$AH:$AH)</f>
        <v>0</v>
      </c>
    </row>
    <row r="9" spans="1:8" ht="18.75" customHeight="1">
      <c r="A9" s="286">
        <v>3</v>
      </c>
      <c r="B9" s="277" t="str">
        <f>VLOOKUP(Samenvattingschoonmaak[[#This Row],[Code Locatie]],Locaties[],2,0)</f>
        <v xml:space="preserve">Panta Rhei College </v>
      </c>
      <c r="C9" s="284">
        <f>SUMIF('Ruimtestaat'!$A:$A,Totalisatie!$A9,'Ruimtestaat'!$O:$O)</f>
        <v>1217</v>
      </c>
      <c r="D9" s="284">
        <f>SUMIF('Ruimtestaat'!$A:$A,Totalisatie!$A9,'Ruimtestaat'!$AF:$AF)</f>
        <v>226928</v>
      </c>
      <c r="E9" s="285">
        <f>SUMIF('Ruimtestaat'!$A:$A,Totalisatie!$A9,'Ruimtestaat'!$AG:$AG)</f>
        <v>0</v>
      </c>
      <c r="F9" s="278">
        <f>SUMIF('Ruimtestaat'!$A:$A,Totalisatie!$A9,'Ruimtestaat'!$AH:$AH)</f>
        <v>0</v>
      </c>
    </row>
    <row r="10" spans="1:8" ht="18.75" customHeight="1">
      <c r="A10" s="286">
        <v>4</v>
      </c>
      <c r="B10" s="277" t="str">
        <f>VLOOKUP(Samenvattingschoonmaak[[#This Row],[Code Locatie]],Locaties[],2,0)</f>
        <v>Stafbureau Attendiz</v>
      </c>
      <c r="C10" s="284">
        <f>SUMIF('Ruimtestaat'!$A:$A,Totalisatie!$A10,'Ruimtestaat'!$O:$O)</f>
        <v>859.70000000000016</v>
      </c>
      <c r="D10" s="284">
        <f>SUMIF('Ruimtestaat'!$A:$A,Totalisatie!$A10,'Ruimtestaat'!$AF:$AF)</f>
        <v>87861.2</v>
      </c>
      <c r="E10" s="285">
        <f>SUMIF('Ruimtestaat'!$A:$A,Totalisatie!$A10,'Ruimtestaat'!$AG:$AG)</f>
        <v>0</v>
      </c>
      <c r="F10" s="278">
        <f>SUMIF('Ruimtestaat'!$A:$A,Totalisatie!$A10,'Ruimtestaat'!$AH:$AH)</f>
        <v>0</v>
      </c>
    </row>
    <row r="11" spans="1:8" ht="18.75" customHeight="1">
      <c r="A11" s="283">
        <v>5</v>
      </c>
      <c r="B11" s="277" t="str">
        <f>VLOOKUP(Samenvattingschoonmaak[[#This Row],[Code Locatie]],Locaties[],2,0)</f>
        <v>VSO Het Mozaïek Almelo</v>
      </c>
      <c r="C11" s="284">
        <f>SUMIF('Ruimtestaat'!$A:$A,Totalisatie!$A11,'Ruimtestaat'!$O:$O)</f>
        <v>2134.08</v>
      </c>
      <c r="D11" s="284">
        <f>SUMIF('Ruimtestaat'!$A:$A,Totalisatie!$A11,'Ruimtestaat'!$AF:$AF)</f>
        <v>339050.4</v>
      </c>
      <c r="E11" s="285">
        <f>SUMIF('Ruimtestaat'!$A:$A,Totalisatie!$A11,'Ruimtestaat'!$AG:$AG)</f>
        <v>0</v>
      </c>
      <c r="F11" s="278">
        <f>SUMIF('Ruimtestaat'!$A:$A,Totalisatie!$A11,'Ruimtestaat'!$AH:$AH)</f>
        <v>0</v>
      </c>
    </row>
    <row r="12" spans="1:8" ht="18.75" customHeight="1">
      <c r="A12" s="286">
        <v>6</v>
      </c>
      <c r="B12" s="277" t="str">
        <f>VLOOKUP(Samenvattingschoonmaak[[#This Row],[Code Locatie]],Locaties[],2,0)</f>
        <v>Het Reliëf</v>
      </c>
      <c r="C12" s="284">
        <f>SUMIF('Ruimtestaat'!$A:$A,Totalisatie!$A12,'Ruimtestaat'!$O:$O)</f>
        <v>2584.3700000000008</v>
      </c>
      <c r="D12" s="284">
        <f>SUMIF('Ruimtestaat'!$A:$A,Totalisatie!$A12,'Ruimtestaat'!$AF:$AF)</f>
        <v>475420</v>
      </c>
      <c r="E12" s="285">
        <f>SUMIF('Ruimtestaat'!$A:$A,Totalisatie!$A12,'Ruimtestaat'!$AG:$AG)</f>
        <v>0</v>
      </c>
      <c r="F12" s="278">
        <f>SUMIF('Ruimtestaat'!$A:$A,Totalisatie!$A12,'Ruimtestaat'!$AH:$AH)</f>
        <v>0</v>
      </c>
    </row>
    <row r="13" spans="1:8" ht="18.75" customHeight="1">
      <c r="A13" s="286">
        <v>7</v>
      </c>
      <c r="B13" s="277" t="str">
        <f>VLOOKUP(Samenvattingschoonmaak[[#This Row],[Code Locatie]],Locaties[],2,0)</f>
        <v>De Kapstok AGL</v>
      </c>
      <c r="C13" s="284">
        <f>SUMIF('Ruimtestaat'!$A:$A,Totalisatie!$A13,'Ruimtestaat'!$O:$O)</f>
        <v>1259.5999999999997</v>
      </c>
      <c r="D13" s="284">
        <f>SUMIF('Ruimtestaat'!$A:$A,Totalisatie!$A13,'Ruimtestaat'!$AF:$AF)</f>
        <v>235364</v>
      </c>
      <c r="E13" s="285">
        <f>SUMIF('Ruimtestaat'!$A:$A,Totalisatie!$A13,'Ruimtestaat'!$AG:$AG)</f>
        <v>0</v>
      </c>
      <c r="F13" s="278">
        <f>SUMIF('Ruimtestaat'!$A:$A,Totalisatie!$A13,'Ruimtestaat'!$AH:$AH)</f>
        <v>0</v>
      </c>
    </row>
    <row r="14" spans="1:8" ht="18.75" customHeight="1">
      <c r="A14" s="283">
        <v>8</v>
      </c>
      <c r="B14" s="277" t="str">
        <f>VLOOKUP(Samenvattingschoonmaak[[#This Row],[Code Locatie]],Locaties[],2,0)</f>
        <v>Het Mozaïek</v>
      </c>
      <c r="C14" s="284">
        <f>SUMIF('Ruimtestaat'!$A:$A,Totalisatie!$A14,'Ruimtestaat'!$O:$O)</f>
        <v>1090.7799999999997</v>
      </c>
      <c r="D14" s="284">
        <f>SUMIF('Ruimtestaat'!$A:$A,Totalisatie!$A14,'Ruimtestaat'!$AF:$AF)</f>
        <v>214684</v>
      </c>
      <c r="E14" s="285">
        <f>SUMIF('Ruimtestaat'!$A:$A,Totalisatie!$A14,'Ruimtestaat'!$AG:$AG)</f>
        <v>0</v>
      </c>
      <c r="F14" s="278">
        <f>SUMIF('Ruimtestaat'!$A:$A,Totalisatie!$A14,'Ruimtestaat'!$AH:$AH)</f>
        <v>0</v>
      </c>
    </row>
    <row r="15" spans="1:8" ht="18.75" customHeight="1">
      <c r="A15" s="283">
        <v>9</v>
      </c>
      <c r="B15" s="277" t="str">
        <f>VLOOKUP(Samenvattingschoonmaak[[#This Row],[Code Locatie]],Locaties[],2,0)</f>
        <v>De Stapsteen (De Zevensprong)</v>
      </c>
      <c r="C15" s="284">
        <f>SUMIF('Ruimtestaat'!$A:$A,Totalisatie!$A15,'Ruimtestaat'!$O:$O)</f>
        <v>1101.6999999999998</v>
      </c>
      <c r="D15" s="284">
        <f>SUMIF('Ruimtestaat'!$A:$A,Totalisatie!$A15,'Ruimtestaat'!$AF:$AF)</f>
        <v>171333.2</v>
      </c>
      <c r="E15" s="285">
        <f>SUMIF('Ruimtestaat'!$A:$A,Totalisatie!$A15,'Ruimtestaat'!$AG:$AG)</f>
        <v>0</v>
      </c>
      <c r="F15" s="278">
        <f>SUMIF('Ruimtestaat'!$A:$A,Totalisatie!$A15,'Ruimtestaat'!$AH:$AH)</f>
        <v>0</v>
      </c>
    </row>
    <row r="16" spans="1:8" ht="18.75" customHeight="1">
      <c r="A16" s="286">
        <v>10</v>
      </c>
      <c r="B16" s="277" t="str">
        <f>VLOOKUP(Samenvattingschoonmaak[[#This Row],[Code Locatie]],Locaties[],2,0)</f>
        <v>De Stapsteen (2 gebouwen)</v>
      </c>
      <c r="C16" s="284">
        <f>SUMIF('Ruimtestaat'!$A:$A,Totalisatie!$A16,'Ruimtestaat'!$O:$O)</f>
        <v>2025.1</v>
      </c>
      <c r="D16" s="284">
        <f>SUMIF('Ruimtestaat'!$A:$A,Totalisatie!$A16,'Ruimtestaat'!$AF:$AF)</f>
        <v>364820</v>
      </c>
      <c r="E16" s="285">
        <f>SUMIF('Ruimtestaat'!$A:$A,Totalisatie!$A16,'Ruimtestaat'!$AG:$AG)</f>
        <v>0</v>
      </c>
      <c r="F16" s="278">
        <f>SUMIF('Ruimtestaat'!$A:$A,Totalisatie!$A16,'Ruimtestaat'!$AH:$AH)</f>
        <v>0</v>
      </c>
    </row>
    <row r="17" spans="1:8" ht="18.75" customHeight="1">
      <c r="A17" s="283">
        <v>11</v>
      </c>
      <c r="B17" s="277" t="str">
        <f>VLOOKUP(Samenvattingschoonmaak[[#This Row],[Code Locatie]],Locaties[],2,0)</f>
        <v>De Bouwsteen / Het Fundament</v>
      </c>
      <c r="C17" s="284">
        <f>SUMIF('Ruimtestaat'!$A:$A,Totalisatie!$A17,'Ruimtestaat'!$O:$O)</f>
        <v>2270.4999999999991</v>
      </c>
      <c r="D17" s="284">
        <f>SUMIF('Ruimtestaat'!$A:$A,Totalisatie!$A17,'Ruimtestaat'!$AF:$AF)</f>
        <v>419525.6</v>
      </c>
      <c r="E17" s="285">
        <f>SUMIF('Ruimtestaat'!$A:$A,Totalisatie!$A17,'Ruimtestaat'!$AG:$AG)</f>
        <v>0</v>
      </c>
      <c r="F17" s="278">
        <f>SUMIF('Ruimtestaat'!$A:$A,Totalisatie!$A17,'Ruimtestaat'!$AH:$AH)</f>
        <v>0</v>
      </c>
    </row>
    <row r="18" spans="1:8" ht="22.5">
      <c r="A18" s="286">
        <v>12</v>
      </c>
      <c r="B18" s="304" t="str">
        <f>VLOOKUP(Samenvattingschoonmaak[[#This Row],[Code Locatie]],Locaties[],2,0)</f>
        <v>Onderwijscentrum Het Roessingh &amp; De Huifkar</v>
      </c>
      <c r="C18" s="284">
        <f>SUMIF('Ruimtestaat'!$A:$A,Totalisatie!$A18,'Ruimtestaat'!$O:$O)</f>
        <v>7829.7999999999984</v>
      </c>
      <c r="D18" s="284">
        <f>SUMIF('Ruimtestaat'!$A:$A,Totalisatie!$A18,'Ruimtestaat'!$AF:$AF)</f>
        <v>1518880</v>
      </c>
      <c r="E18" s="285">
        <f>SUMIF('Ruimtestaat'!$A:$A,Totalisatie!$A18,'Ruimtestaat'!$AG:$AG)</f>
        <v>0</v>
      </c>
      <c r="F18" s="278">
        <f>SUMIF('Ruimtestaat'!$A:$A,Totalisatie!$A18,'Ruimtestaat'!$AH:$AH)</f>
        <v>0</v>
      </c>
    </row>
    <row r="19" spans="1:8" ht="18.75" customHeight="1">
      <c r="A19" s="283">
        <v>13</v>
      </c>
      <c r="B19" s="277" t="str">
        <f>VLOOKUP(Samenvattingschoonmaak[[#This Row],[Code Locatie]],Locaties[],2,0)</f>
        <v>Neon College – Hengelo</v>
      </c>
      <c r="C19" s="284">
        <f>SUMIF('Ruimtestaat'!$A:$A,Totalisatie!$A19,'Ruimtestaat'!$O:$O)</f>
        <v>879</v>
      </c>
      <c r="D19" s="284">
        <f>SUMIF('Ruimtestaat'!$A:$A,Totalisatie!$A19,'Ruimtestaat'!$AF:$AF)</f>
        <v>163280</v>
      </c>
      <c r="E19" s="285">
        <f>SUMIF('Ruimtestaat'!$A:$A,Totalisatie!$A19,'Ruimtestaat'!$AG:$AG)</f>
        <v>0</v>
      </c>
      <c r="F19" s="278">
        <f>SUMIF('Ruimtestaat'!$A:$A,Totalisatie!$A19,'Ruimtestaat'!$AH:$AH)</f>
        <v>0</v>
      </c>
    </row>
    <row r="20" spans="1:8" ht="18.75" customHeight="1">
      <c r="A20" s="286">
        <v>14</v>
      </c>
      <c r="B20" s="277" t="str">
        <f>VLOOKUP(Samenvattingschoonmaak[[#This Row],[Code Locatie]],Locaties[],2,0)</f>
        <v>De Meander</v>
      </c>
      <c r="C20" s="284">
        <f>SUMIF('Ruimtestaat'!$A:$A,Totalisatie!$A20,'Ruimtestaat'!$O:$O)</f>
        <v>590</v>
      </c>
      <c r="D20" s="284">
        <f>SUMIF('Ruimtestaat'!$A:$A,Totalisatie!$A20,'Ruimtestaat'!$AF:$AF)</f>
        <v>132840</v>
      </c>
      <c r="E20" s="285">
        <f>SUMIF('Ruimtestaat'!$A:$A,Totalisatie!$A20,'Ruimtestaat'!$AG:$AG)</f>
        <v>0</v>
      </c>
      <c r="F20" s="278">
        <f>SUMIF('Ruimtestaat'!$A:$A,Totalisatie!$A20,'Ruimtestaat'!$AH:$AH)</f>
        <v>0</v>
      </c>
    </row>
    <row r="21" spans="1:8" ht="18.75" customHeight="1">
      <c r="A21" s="286">
        <v>15</v>
      </c>
      <c r="B21" s="277" t="str">
        <f>VLOOKUP(Samenvattingschoonmaak[[#This Row],[Code Locatie]],Locaties[],2,0)</f>
        <v>Gymzaal Lijsterstraat</v>
      </c>
      <c r="C21" s="284">
        <f>SUMIF('Ruimtestaat'!$A:$A,Totalisatie!$A21,'Ruimtestaat'!$O:$O)</f>
        <v>336.11</v>
      </c>
      <c r="D21" s="284">
        <f>SUMIF('Ruimtestaat'!$A:$A,Totalisatie!$A21,'Ruimtestaat'!$AF:$AF)</f>
        <v>37666.800000000003</v>
      </c>
      <c r="E21" s="285">
        <f>SUMIF('Ruimtestaat'!$A:$A,Totalisatie!$A21,'Ruimtestaat'!$AG:$AG)</f>
        <v>0</v>
      </c>
      <c r="F21" s="278">
        <f>SUMIF('Ruimtestaat'!$A:$A,Totalisatie!$A21,'Ruimtestaat'!$AH:$AH)</f>
        <v>0</v>
      </c>
    </row>
    <row r="22" spans="1:8" ht="18.75" customHeight="1">
      <c r="A22" s="283">
        <v>16</v>
      </c>
      <c r="B22" s="277" t="str">
        <f>VLOOKUP(Samenvattingschoonmaak[[#This Row],[Code Locatie]],Locaties[],2,0)</f>
        <v>Hassinkweg</v>
      </c>
      <c r="C22" s="284">
        <f>SUMIF('Ruimtestaat'!$A:$A,Totalisatie!$A22,'Ruimtestaat'!$O:$O)</f>
        <v>462.40000000000009</v>
      </c>
      <c r="D22" s="284">
        <f>SUMIF('Ruimtestaat'!$A:$A,Totalisatie!$A22,'Ruimtestaat'!$AF:$AF)</f>
        <v>23292</v>
      </c>
      <c r="E22" s="285">
        <f>SUMIF('Ruimtestaat'!$A:$A,Totalisatie!$A22,'Ruimtestaat'!$AG:$AG)</f>
        <v>0</v>
      </c>
      <c r="F22" s="278">
        <f>SUMIF('Ruimtestaat'!$A:$A,Totalisatie!$A22,'Ruimtestaat'!$AH:$AH)</f>
        <v>0</v>
      </c>
    </row>
    <row r="23" spans="1:8" ht="18.75" customHeight="1">
      <c r="A23" s="286">
        <v>17</v>
      </c>
      <c r="B23" s="277" t="str">
        <f>VLOOKUP(Samenvattingschoonmaak[[#This Row],[Code Locatie]],Locaties[],2,0)</f>
        <v>Mota</v>
      </c>
      <c r="C23" s="284">
        <f>SUMIF('Ruimtestaat'!$A:$A,Totalisatie!$A23,'Ruimtestaat'!$O:$O)</f>
        <v>29.96</v>
      </c>
      <c r="D23" s="284">
        <f>SUMIF('Ruimtestaat'!$A:$A,Totalisatie!$A23,'Ruimtestaat'!$AF:$AF)</f>
        <v>3595.2000000000003</v>
      </c>
      <c r="E23" s="285">
        <f>SUMIF('Ruimtestaat'!$A:$A,Totalisatie!$A23,'Ruimtestaat'!$AG:$AG)</f>
        <v>0</v>
      </c>
      <c r="F23" s="278">
        <f>SUMIF('Ruimtestaat'!$A:$A,Totalisatie!$A23,'Ruimtestaat'!$AH:$AH)</f>
        <v>0</v>
      </c>
    </row>
    <row r="24" spans="1:8" s="45" customFormat="1" ht="25.5" customHeight="1">
      <c r="A24" s="161"/>
      <c r="B24" s="162" t="s">
        <v>33</v>
      </c>
      <c r="C24" s="163">
        <f>SUBTOTAL(109,Samenvattingschoonmaak[Oppervlakte i/o])</f>
        <v>28220.600000000002</v>
      </c>
      <c r="D24" s="163">
        <f>SUBTOTAL(109,Samenvattingschoonmaak[Prest. (m2 /jaar)])</f>
        <v>5085912.4000000004</v>
      </c>
      <c r="E24" s="164">
        <f>SUBTOTAL(109,Samenvattingschoonmaak[Uren / jaar])</f>
        <v>0</v>
      </c>
      <c r="F24" s="165">
        <f>SUBTOTAL(109,Samenvattingschoonmaak[Kosten / jaar])</f>
        <v>0</v>
      </c>
    </row>
    <row r="25" spans="1:8" ht="18.75" customHeight="1">
      <c r="A25" s="129"/>
      <c r="B25" s="3"/>
    </row>
    <row r="26" spans="1:8" ht="18.75" customHeight="1">
      <c r="A26" s="86" t="s">
        <v>175</v>
      </c>
      <c r="B26" s="44"/>
      <c r="C26" s="44"/>
      <c r="D26" s="44"/>
      <c r="E26" s="44"/>
      <c r="F26" s="44"/>
      <c r="H26" s="44"/>
    </row>
    <row r="27" spans="1:8" ht="37.5" customHeight="1">
      <c r="A27" s="125" t="s">
        <v>209</v>
      </c>
      <c r="B27" s="126" t="s">
        <v>218</v>
      </c>
      <c r="C27" s="125" t="s">
        <v>177</v>
      </c>
      <c r="D27" s="128" t="s">
        <v>173</v>
      </c>
      <c r="E27" s="128" t="s">
        <v>174</v>
      </c>
      <c r="F27" s="128" t="s">
        <v>426</v>
      </c>
      <c r="G27" s="218" t="s">
        <v>1246</v>
      </c>
      <c r="H27" s="218" t="s">
        <v>217</v>
      </c>
    </row>
    <row r="28" spans="1:8" ht="18.75" customHeight="1">
      <c r="A28" s="276">
        <v>1</v>
      </c>
      <c r="B28" s="277" t="str">
        <f>VLOOKUP(Totalisatie[[#This Row],[Code Locatie]],Locaties[],2,0)</f>
        <v xml:space="preserve">Het Meerik </v>
      </c>
      <c r="C28" s="278">
        <f>SUMIF('Ruimtestaat'!A:A,Totalisatie[[#This Row],[Code Locatie]],'Ruimtestaat'!AH:AH)</f>
        <v>0</v>
      </c>
      <c r="D28" s="279">
        <f>SUMIF(Glasbewassing!$A$22:$A$99,Totalisatie[[#This Row],[Code Locatie]],Glasbewassing!$G$22:$G$99)</f>
        <v>0</v>
      </c>
      <c r="E28" s="280">
        <f>SUMIF(Vloeronderhoud!$A$19:$A$138,Totalisatie[[#This Row],[Code Locatie]],Vloeronderhoud!$H$19:$H$138)</f>
        <v>0</v>
      </c>
      <c r="F28" s="280">
        <f ca="1">SUMIF(OverzichtExtraW[],Totalisatie[[#This Row],[Code Locatie]],OverzichtExtraW[Kosten/jaar excl. BTW])</f>
        <v>0</v>
      </c>
      <c r="G28" s="280">
        <v>0</v>
      </c>
      <c r="H28" s="278">
        <f ca="1">SUM(Totalisatie[[#This Row],[Schoonmaakonderhoud
Kosten / jaar]:[MJOP]])</f>
        <v>0</v>
      </c>
    </row>
    <row r="29" spans="1:8" ht="18.75" customHeight="1">
      <c r="A29" s="276">
        <v>2</v>
      </c>
      <c r="B29" s="281" t="str">
        <f>VLOOKUP(Totalisatie[[#This Row],[Code Locatie]],Locaties[],2,0)</f>
        <v>Neon College – Enschede</v>
      </c>
      <c r="C29" s="282">
        <f>SUMIF('Ruimtestaat'!A:A,Totalisatie[[#This Row],[Code Locatie]],'Ruimtestaat'!AH:AH)</f>
        <v>0</v>
      </c>
      <c r="D29" s="282">
        <f>SUMIF(Glasbewassing!$A$22:$A$99,Totalisatie[[#This Row],[Code Locatie]],Glasbewassing!$G$22:$G$99)</f>
        <v>0</v>
      </c>
      <c r="E29" s="282">
        <f>SUMIF(Vloeronderhoud!$A$19:$A$138,Totalisatie[[#This Row],[Code Locatie]],Vloeronderhoud!$H$19:$H$138)</f>
        <v>0</v>
      </c>
      <c r="F29" s="280">
        <f ca="1">SUMIF(OverzichtExtraW[],Totalisatie[[#This Row],[Code Locatie]],OverzichtExtraW[Kosten/jaar excl. BTW])</f>
        <v>0</v>
      </c>
      <c r="G29" s="280">
        <v>0</v>
      </c>
      <c r="H29" s="282">
        <f ca="1">SUM(Totalisatie[[#This Row],[Schoonmaakonderhoud
Kosten / jaar]:[MJOP]])</f>
        <v>0</v>
      </c>
    </row>
    <row r="30" spans="1:8" ht="18.75" customHeight="1">
      <c r="A30" s="276">
        <v>3</v>
      </c>
      <c r="B30" s="281" t="str">
        <f>VLOOKUP(Totalisatie[[#This Row],[Code Locatie]],Locaties[],2,0)</f>
        <v xml:space="preserve">Panta Rhei College </v>
      </c>
      <c r="C30" s="282">
        <f>SUMIF('Ruimtestaat'!A:A,Totalisatie[[#This Row],[Code Locatie]],'Ruimtestaat'!AH:AH)</f>
        <v>0</v>
      </c>
      <c r="D30" s="282">
        <f>SUMIF(Glasbewassing!$A$22:$A$99,Totalisatie[[#This Row],[Code Locatie]],Glasbewassing!$G$22:$G$99)</f>
        <v>0</v>
      </c>
      <c r="E30" s="282">
        <f>SUMIF(Vloeronderhoud!$A$19:$A$138,Totalisatie[[#This Row],[Code Locatie]],Vloeronderhoud!$H$19:$H$138)</f>
        <v>0</v>
      </c>
      <c r="F30" s="280">
        <f ca="1">SUMIF(OverzichtExtraW[],Totalisatie[[#This Row],[Code Locatie]],OverzichtExtraW[Kosten/jaar excl. BTW])</f>
        <v>0</v>
      </c>
      <c r="G30" s="280">
        <v>0</v>
      </c>
      <c r="H30" s="282">
        <f ca="1">SUM(Totalisatie[[#This Row],[Schoonmaakonderhoud
Kosten / jaar]:[MJOP]])</f>
        <v>0</v>
      </c>
    </row>
    <row r="31" spans="1:8" ht="18.75" customHeight="1">
      <c r="A31" s="276">
        <v>4</v>
      </c>
      <c r="B31" s="281" t="str">
        <f>VLOOKUP(Totalisatie[[#This Row],[Code Locatie]],Locaties[],2,0)</f>
        <v>Stafbureau Attendiz</v>
      </c>
      <c r="C31" s="282">
        <f>SUMIF('Ruimtestaat'!A:A,Totalisatie[[#This Row],[Code Locatie]],'Ruimtestaat'!AH:AH)</f>
        <v>0</v>
      </c>
      <c r="D31" s="282">
        <f>SUMIF(Glasbewassing!$A$22:$A$99,Totalisatie[[#This Row],[Code Locatie]],Glasbewassing!$G$22:$G$99)</f>
        <v>0</v>
      </c>
      <c r="E31" s="282">
        <f>SUMIF(Vloeronderhoud!$A$19:$A$138,Totalisatie[[#This Row],[Code Locatie]],Vloeronderhoud!$H$19:$H$138)</f>
        <v>0</v>
      </c>
      <c r="F31" s="280">
        <f ca="1">SUMIF(OverzichtExtraW[],Totalisatie[[#This Row],[Code Locatie]],OverzichtExtraW[Kosten/jaar excl. BTW])</f>
        <v>0</v>
      </c>
      <c r="G31" s="280">
        <v>0</v>
      </c>
      <c r="H31" s="282">
        <f ca="1">SUM(Totalisatie[[#This Row],[Schoonmaakonderhoud
Kosten / jaar]:[MJOP]])</f>
        <v>0</v>
      </c>
    </row>
    <row r="32" spans="1:8" ht="18.75" customHeight="1">
      <c r="A32" s="276">
        <v>5</v>
      </c>
      <c r="B32" s="281" t="str">
        <f>VLOOKUP(Totalisatie[[#This Row],[Code Locatie]],Locaties[],2,0)</f>
        <v>VSO Het Mozaïek Almelo</v>
      </c>
      <c r="C32" s="282">
        <f>SUMIF('Ruimtestaat'!A:A,Totalisatie[[#This Row],[Code Locatie]],'Ruimtestaat'!AH:AH)</f>
        <v>0</v>
      </c>
      <c r="D32" s="282">
        <f>SUMIF(Glasbewassing!$A$22:$A$99,Totalisatie[[#This Row],[Code Locatie]],Glasbewassing!$G$22:$G$99)</f>
        <v>0</v>
      </c>
      <c r="E32" s="282">
        <f>SUMIF(Vloeronderhoud!$A$19:$A$138,Totalisatie[[#This Row],[Code Locatie]],Vloeronderhoud!$H$19:$H$138)</f>
        <v>0</v>
      </c>
      <c r="F32" s="280">
        <f ca="1">SUMIF(OverzichtExtraW[],Totalisatie[[#This Row],[Code Locatie]],OverzichtExtraW[Kosten/jaar excl. BTW])</f>
        <v>0</v>
      </c>
      <c r="G32" s="280">
        <v>0</v>
      </c>
      <c r="H32" s="282">
        <f ca="1">SUM(Totalisatie[[#This Row],[Schoonmaakonderhoud
Kosten / jaar]:[MJOP]])</f>
        <v>0</v>
      </c>
    </row>
    <row r="33" spans="1:8" ht="18.75" customHeight="1">
      <c r="A33" s="276">
        <v>6</v>
      </c>
      <c r="B33" s="281" t="str">
        <f>VLOOKUP(Totalisatie[[#This Row],[Code Locatie]],Locaties[],2,0)</f>
        <v>Het Reliëf</v>
      </c>
      <c r="C33" s="282">
        <f>SUMIF('Ruimtestaat'!A:A,Totalisatie[[#This Row],[Code Locatie]],'Ruimtestaat'!AH:AH)</f>
        <v>0</v>
      </c>
      <c r="D33" s="282">
        <f>SUMIF(Glasbewassing!$A$22:$A$99,Totalisatie[[#This Row],[Code Locatie]],Glasbewassing!$G$22:$G$99)</f>
        <v>0</v>
      </c>
      <c r="E33" s="282">
        <f>SUMIF(Vloeronderhoud!$A$19:$A$138,Totalisatie[[#This Row],[Code Locatie]],Vloeronderhoud!$H$19:$H$138)</f>
        <v>0</v>
      </c>
      <c r="F33" s="280">
        <f ca="1">SUMIF(OverzichtExtraW[],Totalisatie[[#This Row],[Code Locatie]],OverzichtExtraW[Kosten/jaar excl. BTW])</f>
        <v>0</v>
      </c>
      <c r="G33" s="280">
        <v>0</v>
      </c>
      <c r="H33" s="282">
        <f ca="1">SUM(Totalisatie[[#This Row],[Schoonmaakonderhoud
Kosten / jaar]:[MJOP]])</f>
        <v>0</v>
      </c>
    </row>
    <row r="34" spans="1:8" ht="18.75" customHeight="1">
      <c r="A34" s="276">
        <v>7</v>
      </c>
      <c r="B34" s="281" t="str">
        <f>VLOOKUP(Totalisatie[[#This Row],[Code Locatie]],Locaties[],2,0)</f>
        <v>De Kapstok AGL</v>
      </c>
      <c r="C34" s="282">
        <f>SUMIF('Ruimtestaat'!A:A,Totalisatie[[#This Row],[Code Locatie]],'Ruimtestaat'!AH:AH)</f>
        <v>0</v>
      </c>
      <c r="D34" s="282">
        <f>SUMIF(Glasbewassing!$A$22:$A$99,Totalisatie[[#This Row],[Code Locatie]],Glasbewassing!$G$22:$G$99)</f>
        <v>0</v>
      </c>
      <c r="E34" s="282">
        <f>SUMIF(Vloeronderhoud!$A$19:$A$138,Totalisatie[[#This Row],[Code Locatie]],Vloeronderhoud!$H$19:$H$138)</f>
        <v>0</v>
      </c>
      <c r="F34" s="280">
        <f ca="1">SUMIF(OverzichtExtraW[],Totalisatie[[#This Row],[Code Locatie]],OverzichtExtraW[Kosten/jaar excl. BTW])</f>
        <v>0</v>
      </c>
      <c r="G34" s="280">
        <v>0</v>
      </c>
      <c r="H34" s="282">
        <f ca="1">SUM(Totalisatie[[#This Row],[Schoonmaakonderhoud
Kosten / jaar]:[MJOP]])</f>
        <v>0</v>
      </c>
    </row>
    <row r="35" spans="1:8" ht="18.75" customHeight="1">
      <c r="A35" s="276">
        <v>8</v>
      </c>
      <c r="B35" s="281" t="str">
        <f>VLOOKUP(Totalisatie[[#This Row],[Code Locatie]],Locaties[],2,0)</f>
        <v>Het Mozaïek</v>
      </c>
      <c r="C35" s="282">
        <f>SUMIF('Ruimtestaat'!A:A,Totalisatie[[#This Row],[Code Locatie]],'Ruimtestaat'!AH:AH)</f>
        <v>0</v>
      </c>
      <c r="D35" s="282">
        <f>SUMIF(Glasbewassing!$A$22:$A$99,Totalisatie[[#This Row],[Code Locatie]],Glasbewassing!$G$22:$G$99)</f>
        <v>0</v>
      </c>
      <c r="E35" s="282">
        <f>SUMIF(Vloeronderhoud!$A$19:$A$138,Totalisatie[[#This Row],[Code Locatie]],Vloeronderhoud!$H$19:$H$138)</f>
        <v>0</v>
      </c>
      <c r="F35" s="280">
        <f ca="1">SUMIF(OverzichtExtraW[],Totalisatie[[#This Row],[Code Locatie]],OverzichtExtraW[Kosten/jaar excl. BTW])</f>
        <v>0</v>
      </c>
      <c r="G35" s="280">
        <v>0</v>
      </c>
      <c r="H35" s="282">
        <f ca="1">SUM(Totalisatie[[#This Row],[Schoonmaakonderhoud
Kosten / jaar]:[MJOP]])</f>
        <v>0</v>
      </c>
    </row>
    <row r="36" spans="1:8" ht="18.75" customHeight="1">
      <c r="A36" s="276">
        <v>9</v>
      </c>
      <c r="B36" s="281" t="str">
        <f>VLOOKUP(Totalisatie[[#This Row],[Code Locatie]],Locaties[],2,0)</f>
        <v>De Stapsteen (De Zevensprong)</v>
      </c>
      <c r="C36" s="282">
        <f>SUMIF('Ruimtestaat'!A:A,Totalisatie[[#This Row],[Code Locatie]],'Ruimtestaat'!AH:AH)</f>
        <v>0</v>
      </c>
      <c r="D36" s="282">
        <f>SUMIF(Glasbewassing!$A$22:$A$99,Totalisatie[[#This Row],[Code Locatie]],Glasbewassing!$G$22:$G$99)</f>
        <v>0</v>
      </c>
      <c r="E36" s="282">
        <f>SUMIF(Vloeronderhoud!$A$19:$A$138,Totalisatie[[#This Row],[Code Locatie]],Vloeronderhoud!$H$19:$H$138)</f>
        <v>0</v>
      </c>
      <c r="F36" s="280">
        <f ca="1">SUMIF(OverzichtExtraW[],Totalisatie[[#This Row],[Code Locatie]],OverzichtExtraW[Kosten/jaar excl. BTW])</f>
        <v>0</v>
      </c>
      <c r="G36" s="280">
        <v>0</v>
      </c>
      <c r="H36" s="282">
        <f ca="1">SUM(Totalisatie[[#This Row],[Schoonmaakonderhoud
Kosten / jaar]:[MJOP]])</f>
        <v>0</v>
      </c>
    </row>
    <row r="37" spans="1:8" ht="18.75" customHeight="1">
      <c r="A37" s="276">
        <v>10</v>
      </c>
      <c r="B37" s="281" t="str">
        <f>VLOOKUP(Totalisatie[[#This Row],[Code Locatie]],Locaties[],2,0)</f>
        <v>De Stapsteen (2 gebouwen)</v>
      </c>
      <c r="C37" s="282">
        <f>SUMIF('Ruimtestaat'!A:A,Totalisatie[[#This Row],[Code Locatie]],'Ruimtestaat'!AH:AH)</f>
        <v>0</v>
      </c>
      <c r="D37" s="282">
        <f>SUMIF(Glasbewassing!$A$22:$A$99,Totalisatie[[#This Row],[Code Locatie]],Glasbewassing!$G$22:$G$99)</f>
        <v>0</v>
      </c>
      <c r="E37" s="282">
        <f>SUMIF(Vloeronderhoud!$A$19:$A$138,Totalisatie[[#This Row],[Code Locatie]],Vloeronderhoud!$H$19:$H$138)</f>
        <v>0</v>
      </c>
      <c r="F37" s="280">
        <f ca="1">SUMIF(OverzichtExtraW[],Totalisatie[[#This Row],[Code Locatie]],OverzichtExtraW[Kosten/jaar excl. BTW])</f>
        <v>0</v>
      </c>
      <c r="G37" s="280">
        <v>0</v>
      </c>
      <c r="H37" s="282">
        <f ca="1">SUM(Totalisatie[[#This Row],[Schoonmaakonderhoud
Kosten / jaar]:[MJOP]])</f>
        <v>0</v>
      </c>
    </row>
    <row r="38" spans="1:8" ht="18.75" customHeight="1">
      <c r="A38" s="276">
        <v>11</v>
      </c>
      <c r="B38" s="281" t="str">
        <f>VLOOKUP(Totalisatie[[#This Row],[Code Locatie]],Locaties[],2,0)</f>
        <v>De Bouwsteen / Het Fundament</v>
      </c>
      <c r="C38" s="282">
        <f>SUMIF('Ruimtestaat'!A:A,Totalisatie[[#This Row],[Code Locatie]],'Ruimtestaat'!AH:AH)</f>
        <v>0</v>
      </c>
      <c r="D38" s="282">
        <f>SUMIF(Glasbewassing!$A$22:$A$99,Totalisatie[[#This Row],[Code Locatie]],Glasbewassing!$G$22:$G$99)</f>
        <v>0</v>
      </c>
      <c r="E38" s="282">
        <f>SUMIF(Vloeronderhoud!$A$19:$A$138,Totalisatie[[#This Row],[Code Locatie]],Vloeronderhoud!$H$19:$H$138)</f>
        <v>0</v>
      </c>
      <c r="F38" s="280">
        <f ca="1">SUMIF(OverzichtExtraW[],Totalisatie[[#This Row],[Code Locatie]],OverzichtExtraW[Kosten/jaar excl. BTW])</f>
        <v>0</v>
      </c>
      <c r="G38" s="280">
        <v>0</v>
      </c>
      <c r="H38" s="282">
        <f ca="1">SUM(Totalisatie[[#This Row],[Schoonmaakonderhoud
Kosten / jaar]:[MJOP]])</f>
        <v>0</v>
      </c>
    </row>
    <row r="39" spans="1:8" ht="18.75" customHeight="1">
      <c r="A39" s="276">
        <v>12</v>
      </c>
      <c r="B39" s="305" t="str">
        <f>VLOOKUP(Totalisatie[[#This Row],[Code Locatie]],Locaties[],2,0)</f>
        <v>Onderwijscentrum Het Roessingh &amp; De Huifkar</v>
      </c>
      <c r="C39" s="282">
        <f>SUMIF('Ruimtestaat'!A:A,Totalisatie[[#This Row],[Code Locatie]],'Ruimtestaat'!AH:AH)</f>
        <v>0</v>
      </c>
      <c r="D39" s="282">
        <f>SUMIF(Glasbewassing!$A$22:$A$99,Totalisatie[[#This Row],[Code Locatie]],Glasbewassing!$G$22:$G$99)</f>
        <v>0</v>
      </c>
      <c r="E39" s="282">
        <f>SUMIF(Vloeronderhoud!$A$19:$A$138,Totalisatie[[#This Row],[Code Locatie]],Vloeronderhoud!$H$19:$H$138)</f>
        <v>0</v>
      </c>
      <c r="F39" s="280">
        <f ca="1">SUMIF(OverzichtExtraW[],Totalisatie[[#This Row],[Code Locatie]],OverzichtExtraW[Kosten/jaar excl. BTW])</f>
        <v>0</v>
      </c>
      <c r="G39" s="280">
        <v>0</v>
      </c>
      <c r="H39" s="282">
        <f ca="1">SUM(Totalisatie[[#This Row],[Schoonmaakonderhoud
Kosten / jaar]:[MJOP]])</f>
        <v>0</v>
      </c>
    </row>
    <row r="40" spans="1:8" ht="18.75" customHeight="1">
      <c r="A40" s="276">
        <v>13</v>
      </c>
      <c r="B40" s="281" t="str">
        <f>VLOOKUP(Totalisatie[[#This Row],[Code Locatie]],Locaties[],2,0)</f>
        <v>Neon College – Hengelo</v>
      </c>
      <c r="C40" s="282">
        <f>SUMIF('Ruimtestaat'!A:A,Totalisatie[[#This Row],[Code Locatie]],'Ruimtestaat'!AH:AH)</f>
        <v>0</v>
      </c>
      <c r="D40" s="282">
        <f>SUMIF(Glasbewassing!$A$22:$A$99,Totalisatie[[#This Row],[Code Locatie]],Glasbewassing!$G$22:$G$99)</f>
        <v>0</v>
      </c>
      <c r="E40" s="282">
        <f>SUMIF(Vloeronderhoud!$A$19:$A$138,Totalisatie[[#This Row],[Code Locatie]],Vloeronderhoud!$H$19:$H$138)</f>
        <v>0</v>
      </c>
      <c r="F40" s="280">
        <f ca="1">SUMIF(OverzichtExtraW[],Totalisatie[[#This Row],[Code Locatie]],OverzichtExtraW[Kosten/jaar excl. BTW])</f>
        <v>0</v>
      </c>
      <c r="G40" s="280">
        <v>0</v>
      </c>
      <c r="H40" s="282">
        <f ca="1">SUM(Totalisatie[[#This Row],[Schoonmaakonderhoud
Kosten / jaar]:[MJOP]])</f>
        <v>0</v>
      </c>
    </row>
    <row r="41" spans="1:8" ht="18.75" customHeight="1">
      <c r="A41" s="276">
        <v>14</v>
      </c>
      <c r="B41" s="281" t="str">
        <f>VLOOKUP(Totalisatie[[#This Row],[Code Locatie]],Locaties[],2,0)</f>
        <v>De Meander</v>
      </c>
      <c r="C41" s="282">
        <f>SUMIF('Ruimtestaat'!A:A,Totalisatie[[#This Row],[Code Locatie]],'Ruimtestaat'!AH:AH)</f>
        <v>0</v>
      </c>
      <c r="D41" s="282">
        <f>SUMIF(Glasbewassing!$A$22:$A$99,Totalisatie[[#This Row],[Code Locatie]],Glasbewassing!$G$22:$G$99)</f>
        <v>0</v>
      </c>
      <c r="E41" s="282">
        <f>SUMIF(Vloeronderhoud!$A$19:$A$138,Totalisatie[[#This Row],[Code Locatie]],Vloeronderhoud!$H$19:$H$138)</f>
        <v>0</v>
      </c>
      <c r="F41" s="280">
        <f ca="1">SUMIF(OverzichtExtraW[],Totalisatie[[#This Row],[Code Locatie]],OverzichtExtraW[Kosten/jaar excl. BTW])</f>
        <v>0</v>
      </c>
      <c r="G41" s="280">
        <v>0</v>
      </c>
      <c r="H41" s="282">
        <f ca="1">SUM(Totalisatie[[#This Row],[Schoonmaakonderhoud
Kosten / jaar]:[MJOP]])</f>
        <v>0</v>
      </c>
    </row>
    <row r="42" spans="1:8" ht="18.75" customHeight="1">
      <c r="A42" s="276">
        <v>15</v>
      </c>
      <c r="B42" s="281" t="str">
        <f>VLOOKUP(Totalisatie[[#This Row],[Code Locatie]],Locaties[],2,0)</f>
        <v>Gymzaal Lijsterstraat</v>
      </c>
      <c r="C42" s="282">
        <f>SUMIF('Ruimtestaat'!A:A,Totalisatie[[#This Row],[Code Locatie]],'Ruimtestaat'!AH:AH)</f>
        <v>0</v>
      </c>
      <c r="D42" s="282">
        <f>SUMIF(Glasbewassing!$A$22:$A$99,Totalisatie[[#This Row],[Code Locatie]],Glasbewassing!$G$22:$G$99)</f>
        <v>0</v>
      </c>
      <c r="E42" s="282">
        <f>SUMIF(Vloeronderhoud!$A$19:$A$138,Totalisatie[[#This Row],[Code Locatie]],Vloeronderhoud!$H$19:$H$138)</f>
        <v>0</v>
      </c>
      <c r="F42" s="280">
        <f ca="1">SUMIF(OverzichtExtraW[],Totalisatie[[#This Row],[Code Locatie]],OverzichtExtraW[Kosten/jaar excl. BTW])</f>
        <v>0</v>
      </c>
      <c r="G42" s="280">
        <v>0</v>
      </c>
      <c r="H42" s="282">
        <f ca="1">SUM(Totalisatie[[#This Row],[Schoonmaakonderhoud
Kosten / jaar]:[MJOP]])</f>
        <v>0</v>
      </c>
    </row>
    <row r="43" spans="1:8" ht="18.75" customHeight="1">
      <c r="A43" s="276">
        <v>16</v>
      </c>
      <c r="B43" s="281" t="str">
        <f>VLOOKUP(Totalisatie[[#This Row],[Code Locatie]],Locaties[],2,0)</f>
        <v>Hassinkweg</v>
      </c>
      <c r="C43" s="282">
        <f>SUMIF('Ruimtestaat'!A:A,Totalisatie[[#This Row],[Code Locatie]],'Ruimtestaat'!AH:AH)</f>
        <v>0</v>
      </c>
      <c r="D43" s="282">
        <f>SUMIF(Glasbewassing!$A$22:$A$99,Totalisatie[[#This Row],[Code Locatie]],Glasbewassing!$G$22:$G$99)</f>
        <v>0</v>
      </c>
      <c r="E43" s="282">
        <f>SUMIF(Vloeronderhoud!$A$19:$A$138,Totalisatie[[#This Row],[Code Locatie]],Vloeronderhoud!$H$19:$H$138)</f>
        <v>0</v>
      </c>
      <c r="F43" s="280">
        <f ca="1">SUMIF(OverzichtExtraW[],Totalisatie[[#This Row],[Code Locatie]],OverzichtExtraW[Kosten/jaar excl. BTW])</f>
        <v>0</v>
      </c>
      <c r="G43" s="280">
        <v>0</v>
      </c>
      <c r="H43" s="282">
        <f ca="1">SUM(Totalisatie[[#This Row],[Schoonmaakonderhoud
Kosten / jaar]:[MJOP]])</f>
        <v>0</v>
      </c>
    </row>
    <row r="44" spans="1:8" ht="18.75" customHeight="1">
      <c r="A44" s="276">
        <v>17</v>
      </c>
      <c r="B44" s="281" t="str">
        <f>VLOOKUP(Totalisatie[[#This Row],[Code Locatie]],Locaties[],2,0)</f>
        <v>Mota</v>
      </c>
      <c r="C44" s="282">
        <f>SUMIF('Ruimtestaat'!A:A,Totalisatie[[#This Row],[Code Locatie]],'Ruimtestaat'!AH:AH)</f>
        <v>0</v>
      </c>
      <c r="D44" s="282">
        <f>SUMIF(Glasbewassing!$A$22:$A$99,Totalisatie[[#This Row],[Code Locatie]],Glasbewassing!$G$22:$G$99)</f>
        <v>0</v>
      </c>
      <c r="E44" s="282">
        <f>SUMIF(Vloeronderhoud!$A$19:$A$138,Totalisatie[[#This Row],[Code Locatie]],Vloeronderhoud!$H$19:$H$138)</f>
        <v>0</v>
      </c>
      <c r="F44" s="280">
        <f ca="1">SUMIF(OverzichtExtraW[],Totalisatie[[#This Row],[Code Locatie]],OverzichtExtraW[Kosten/jaar excl. BTW])</f>
        <v>0</v>
      </c>
      <c r="G44" s="280">
        <v>0</v>
      </c>
      <c r="H44" s="282">
        <f ca="1">SUM(Totalisatie[[#This Row],[Schoonmaakonderhoud
Kosten / jaar]:[MJOP]])</f>
        <v>0</v>
      </c>
    </row>
    <row r="45" spans="1:8" ht="18.75" customHeight="1">
      <c r="A45" s="276">
        <v>18</v>
      </c>
      <c r="B45" s="281" t="str">
        <f>VLOOKUP(Totalisatie[[#This Row],[Code Locatie]],Locaties[],2,0)</f>
        <v>De Kapstok/Tuindorp</v>
      </c>
      <c r="C45" s="282">
        <f>SUMIF('Ruimtestaat'!A:A,Totalisatie[[#This Row],[Code Locatie]],'Ruimtestaat'!AH:AH)</f>
        <v>0</v>
      </c>
      <c r="D45" s="282">
        <f>SUMIF(Glasbewassing!$A$22:$A$99,Totalisatie[[#This Row],[Code Locatie]],Glasbewassing!$G$22:$G$99)</f>
        <v>0</v>
      </c>
      <c r="E45" s="282">
        <f>SUMIF(Vloeronderhoud!$A$19:$A$138,Totalisatie[[#This Row],[Code Locatie]],Vloeronderhoud!$H$19:$H$138)</f>
        <v>0</v>
      </c>
      <c r="F45" s="280">
        <f ca="1">SUMIF(OverzichtExtraW[],Totalisatie[[#This Row],[Code Locatie]],OverzichtExtraW[Kosten/jaar excl. BTW])</f>
        <v>0</v>
      </c>
      <c r="G45" s="280">
        <v>0</v>
      </c>
      <c r="H45" s="282">
        <f ca="1">SUM(Totalisatie[[#This Row],[Schoonmaakonderhoud
Kosten / jaar]:[MJOP]])</f>
        <v>0</v>
      </c>
    </row>
    <row r="46" spans="1:8" ht="18.75" customHeight="1">
      <c r="A46" s="161"/>
      <c r="B46" s="162" t="s">
        <v>33</v>
      </c>
      <c r="C46" s="165">
        <f>SUBTOTAL(109,Totalisatie[Schoonmaakonderhoud
Kosten / jaar])</f>
        <v>0</v>
      </c>
      <c r="D46" s="165">
        <f>SUBTOTAL(109,Totalisatie[Glasbewassing
Kosten / jaar])</f>
        <v>0</v>
      </c>
      <c r="E46" s="165">
        <f>SUBTOTAL(109,Totalisatie[Vloeronderhoud
Kosten / jaar])</f>
        <v>0</v>
      </c>
      <c r="F46" s="165">
        <f ca="1">SUBTOTAL(109,Totalisatie[Extra werkzaamheden
Kosten / jaar])</f>
        <v>0</v>
      </c>
      <c r="G46" s="165" t="s">
        <v>1288</v>
      </c>
      <c r="H46" s="165">
        <f ca="1">SUBTOTAL(109,Totalisatie[Totaalprijs
Kosten / jaar])</f>
        <v>0</v>
      </c>
    </row>
    <row r="47" spans="1:8" ht="18.75" customHeight="1">
      <c r="A47" s="129"/>
      <c r="B47" s="3"/>
    </row>
    <row r="48" spans="1:8" ht="18.75" customHeight="1">
      <c r="A48" s="129"/>
      <c r="B48" s="3"/>
    </row>
    <row r="49" spans="1:8" ht="12.4">
      <c r="A49" s="86" t="s">
        <v>219</v>
      </c>
      <c r="B49" s="3"/>
      <c r="H49" s="141"/>
    </row>
    <row r="50" spans="1:8" ht="18.75" customHeight="1">
      <c r="A50" s="367" t="s">
        <v>223</v>
      </c>
      <c r="B50" s="368"/>
      <c r="C50" s="369" t="s">
        <v>415</v>
      </c>
      <c r="D50" s="369"/>
      <c r="E50" s="369"/>
      <c r="F50" s="369"/>
      <c r="G50" s="370"/>
    </row>
    <row r="51" spans="1:8" ht="18.75" customHeight="1">
      <c r="A51" s="130" t="s">
        <v>131</v>
      </c>
      <c r="B51" s="371" t="s">
        <v>229</v>
      </c>
      <c r="C51" s="372"/>
      <c r="D51" s="130" t="s">
        <v>131</v>
      </c>
      <c r="E51" s="371" t="s">
        <v>229</v>
      </c>
      <c r="F51" s="375"/>
      <c r="G51" s="372"/>
    </row>
    <row r="52" spans="1:8" ht="18.75" customHeight="1">
      <c r="A52" s="131" t="s">
        <v>220</v>
      </c>
      <c r="B52" s="373" t="s">
        <v>229</v>
      </c>
      <c r="C52" s="374"/>
      <c r="D52" s="131" t="s">
        <v>220</v>
      </c>
      <c r="E52" s="373" t="s">
        <v>229</v>
      </c>
      <c r="F52" s="376"/>
      <c r="G52" s="374"/>
    </row>
    <row r="53" spans="1:8" ht="18.75" customHeight="1">
      <c r="A53" s="130" t="s">
        <v>221</v>
      </c>
      <c r="B53" s="371" t="s">
        <v>229</v>
      </c>
      <c r="C53" s="372"/>
      <c r="D53" s="130" t="s">
        <v>221</v>
      </c>
      <c r="E53" s="371" t="s">
        <v>229</v>
      </c>
      <c r="F53" s="375"/>
      <c r="G53" s="372"/>
    </row>
    <row r="54" spans="1:8" ht="37.5" customHeight="1">
      <c r="A54" s="131" t="s">
        <v>222</v>
      </c>
      <c r="B54" s="373" t="s">
        <v>229</v>
      </c>
      <c r="C54" s="374"/>
      <c r="D54" s="131" t="s">
        <v>222</v>
      </c>
      <c r="E54" s="364" t="s">
        <v>229</v>
      </c>
      <c r="F54" s="365"/>
      <c r="G54" s="366"/>
    </row>
  </sheetData>
  <mergeCells count="12">
    <mergeCell ref="A1:H1"/>
    <mergeCell ref="A2:H2"/>
    <mergeCell ref="E54:G54"/>
    <mergeCell ref="A50:B50"/>
    <mergeCell ref="C50:G50"/>
    <mergeCell ref="B51:C51"/>
    <mergeCell ref="B52:C52"/>
    <mergeCell ref="B53:C53"/>
    <mergeCell ref="B54:C54"/>
    <mergeCell ref="E51:G51"/>
    <mergeCell ref="E52:G52"/>
    <mergeCell ref="E53:G5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A2CE-E853-43DD-BE77-77E79055D275}">
  <sheetPr>
    <pageSetUpPr fitToPage="1"/>
  </sheetPr>
  <dimension ref="A1:C42"/>
  <sheetViews>
    <sheetView zoomScaleNormal="100" workbookViewId="0">
      <selection sqref="A1:C1"/>
    </sheetView>
  </sheetViews>
  <sheetFormatPr defaultColWidth="9" defaultRowHeight="12.75"/>
  <cols>
    <col min="1" max="1" width="52" style="179" customWidth="1"/>
    <col min="2" max="2" width="19.59765625" style="179" customWidth="1"/>
    <col min="3" max="3" width="37.3984375" style="179" bestFit="1" customWidth="1"/>
    <col min="4" max="16384" width="9" style="173"/>
  </cols>
  <sheetData>
    <row r="1" spans="1:3">
      <c r="A1" s="309" t="s">
        <v>414</v>
      </c>
      <c r="B1" s="310"/>
      <c r="C1" s="311"/>
    </row>
    <row r="2" spans="1:3">
      <c r="A2" s="197" t="s">
        <v>267</v>
      </c>
      <c r="B2" s="197" t="s">
        <v>268</v>
      </c>
      <c r="C2" s="197" t="s">
        <v>378</v>
      </c>
    </row>
    <row r="3" spans="1:3">
      <c r="A3" s="197" t="s">
        <v>272</v>
      </c>
      <c r="B3" s="197"/>
      <c r="C3" s="197"/>
    </row>
    <row r="4" spans="1:3">
      <c r="A4" s="174" t="s">
        <v>275</v>
      </c>
      <c r="B4" s="174" t="s">
        <v>276</v>
      </c>
      <c r="C4" s="175" t="s">
        <v>379</v>
      </c>
    </row>
    <row r="5" spans="1:3">
      <c r="A5" s="174" t="s">
        <v>281</v>
      </c>
      <c r="B5" s="174" t="s">
        <v>276</v>
      </c>
      <c r="C5" s="175" t="s">
        <v>379</v>
      </c>
    </row>
    <row r="6" spans="1:3">
      <c r="A6" s="174" t="s">
        <v>289</v>
      </c>
      <c r="B6" s="174" t="s">
        <v>276</v>
      </c>
      <c r="C6" s="175" t="s">
        <v>379</v>
      </c>
    </row>
    <row r="7" spans="1:3">
      <c r="A7" s="174" t="s">
        <v>291</v>
      </c>
      <c r="B7" s="174" t="s">
        <v>276</v>
      </c>
      <c r="C7" s="175" t="s">
        <v>379</v>
      </c>
    </row>
    <row r="8" spans="1:3">
      <c r="A8" s="176" t="s">
        <v>293</v>
      </c>
      <c r="B8" s="176" t="s">
        <v>276</v>
      </c>
      <c r="C8" s="177" t="s">
        <v>379</v>
      </c>
    </row>
    <row r="9" spans="1:3">
      <c r="A9" s="174" t="s">
        <v>295</v>
      </c>
      <c r="B9" s="174" t="s">
        <v>276</v>
      </c>
      <c r="C9" s="175" t="s">
        <v>379</v>
      </c>
    </row>
    <row r="10" spans="1:3">
      <c r="A10" s="174" t="s">
        <v>297</v>
      </c>
      <c r="B10" s="174" t="s">
        <v>285</v>
      </c>
      <c r="C10" s="175" t="s">
        <v>379</v>
      </c>
    </row>
    <row r="11" spans="1:3">
      <c r="A11" s="174" t="s">
        <v>299</v>
      </c>
      <c r="B11" s="174" t="s">
        <v>276</v>
      </c>
      <c r="C11" s="175" t="s">
        <v>379</v>
      </c>
    </row>
    <row r="12" spans="1:3">
      <c r="A12" s="174" t="s">
        <v>301</v>
      </c>
      <c r="B12" s="174" t="s">
        <v>276</v>
      </c>
      <c r="C12" s="175" t="s">
        <v>379</v>
      </c>
    </row>
    <row r="13" spans="1:3">
      <c r="A13" s="174" t="s">
        <v>303</v>
      </c>
      <c r="B13" s="174" t="s">
        <v>285</v>
      </c>
      <c r="C13" s="175" t="s">
        <v>379</v>
      </c>
    </row>
    <row r="14" spans="1:3">
      <c r="A14" s="174" t="s">
        <v>304</v>
      </c>
      <c r="B14" s="174" t="s">
        <v>276</v>
      </c>
      <c r="C14" s="175" t="s">
        <v>379</v>
      </c>
    </row>
    <row r="15" spans="1:3">
      <c r="A15" s="174" t="s">
        <v>305</v>
      </c>
      <c r="B15" s="174" t="s">
        <v>276</v>
      </c>
      <c r="C15" s="175" t="s">
        <v>379</v>
      </c>
    </row>
    <row r="16" spans="1:3">
      <c r="A16" s="174" t="s">
        <v>310</v>
      </c>
      <c r="B16" s="174" t="s">
        <v>276</v>
      </c>
      <c r="C16" s="175" t="s">
        <v>379</v>
      </c>
    </row>
    <row r="17" spans="1:3">
      <c r="A17" s="174" t="s">
        <v>312</v>
      </c>
      <c r="B17" s="174" t="s">
        <v>285</v>
      </c>
      <c r="C17" s="175" t="s">
        <v>379</v>
      </c>
    </row>
    <row r="18" spans="1:3">
      <c r="A18" s="174" t="s">
        <v>315</v>
      </c>
      <c r="B18" s="174" t="s">
        <v>285</v>
      </c>
      <c r="C18" s="175" t="s">
        <v>379</v>
      </c>
    </row>
    <row r="19" spans="1:3">
      <c r="A19" s="174" t="s">
        <v>317</v>
      </c>
      <c r="B19" s="174" t="s">
        <v>285</v>
      </c>
      <c r="C19" s="175" t="s">
        <v>379</v>
      </c>
    </row>
    <row r="20" spans="1:3">
      <c r="A20" s="174" t="s">
        <v>318</v>
      </c>
      <c r="B20" s="174" t="s">
        <v>276</v>
      </c>
      <c r="C20" s="175" t="s">
        <v>379</v>
      </c>
    </row>
    <row r="21" spans="1:3">
      <c r="A21" s="174" t="s">
        <v>319</v>
      </c>
      <c r="B21" s="174" t="s">
        <v>285</v>
      </c>
      <c r="C21" s="175" t="s">
        <v>379</v>
      </c>
    </row>
    <row r="22" spans="1:3">
      <c r="A22" s="174" t="s">
        <v>327</v>
      </c>
      <c r="B22" s="174" t="s">
        <v>285</v>
      </c>
      <c r="C22" s="175" t="s">
        <v>379</v>
      </c>
    </row>
    <row r="23" spans="1:3">
      <c r="A23" s="174" t="s">
        <v>331</v>
      </c>
      <c r="B23" s="174" t="s">
        <v>276</v>
      </c>
      <c r="C23" s="175" t="s">
        <v>379</v>
      </c>
    </row>
    <row r="24" spans="1:3">
      <c r="A24" s="174" t="s">
        <v>333</v>
      </c>
      <c r="B24" s="174" t="s">
        <v>285</v>
      </c>
      <c r="C24" s="175" t="s">
        <v>379</v>
      </c>
    </row>
    <row r="25" spans="1:3">
      <c r="A25" s="174" t="s">
        <v>342</v>
      </c>
      <c r="B25" s="174" t="s">
        <v>285</v>
      </c>
      <c r="C25" s="175" t="s">
        <v>379</v>
      </c>
    </row>
    <row r="26" spans="1:3">
      <c r="A26" s="174" t="s">
        <v>335</v>
      </c>
      <c r="B26" s="174" t="s">
        <v>285</v>
      </c>
      <c r="C26" s="175" t="s">
        <v>379</v>
      </c>
    </row>
    <row r="27" spans="1:3">
      <c r="A27" s="174" t="s">
        <v>380</v>
      </c>
      <c r="B27" s="174" t="s">
        <v>276</v>
      </c>
      <c r="C27" s="175" t="s">
        <v>379</v>
      </c>
    </row>
    <row r="28" spans="1:3">
      <c r="A28" s="197" t="s">
        <v>344</v>
      </c>
      <c r="B28" s="197"/>
      <c r="C28" s="197"/>
    </row>
    <row r="29" spans="1:3">
      <c r="A29" s="174" t="s">
        <v>351</v>
      </c>
      <c r="B29" s="174" t="s">
        <v>285</v>
      </c>
      <c r="C29" s="175" t="s">
        <v>379</v>
      </c>
    </row>
    <row r="30" spans="1:3">
      <c r="A30" s="174" t="s">
        <v>354</v>
      </c>
      <c r="B30" s="174" t="s">
        <v>285</v>
      </c>
      <c r="C30" s="175" t="s">
        <v>379</v>
      </c>
    </row>
    <row r="31" spans="1:3">
      <c r="A31" s="174" t="s">
        <v>356</v>
      </c>
      <c r="B31" s="174" t="s">
        <v>285</v>
      </c>
      <c r="C31" s="175" t="s">
        <v>379</v>
      </c>
    </row>
    <row r="32" spans="1:3">
      <c r="A32" s="174" t="s">
        <v>357</v>
      </c>
      <c r="B32" s="174" t="s">
        <v>285</v>
      </c>
      <c r="C32" s="175" t="s">
        <v>379</v>
      </c>
    </row>
    <row r="33" spans="1:3">
      <c r="A33" s="174" t="s">
        <v>359</v>
      </c>
      <c r="B33" s="174" t="s">
        <v>285</v>
      </c>
      <c r="C33" s="175" t="s">
        <v>379</v>
      </c>
    </row>
    <row r="34" spans="1:3">
      <c r="A34" s="174" t="s">
        <v>361</v>
      </c>
      <c r="B34" s="174" t="s">
        <v>285</v>
      </c>
      <c r="C34" s="175" t="s">
        <v>379</v>
      </c>
    </row>
    <row r="35" spans="1:3">
      <c r="A35" s="174" t="s">
        <v>363</v>
      </c>
      <c r="B35" s="174" t="s">
        <v>285</v>
      </c>
      <c r="C35" s="175" t="s">
        <v>379</v>
      </c>
    </row>
    <row r="36" spans="1:3">
      <c r="A36" s="174" t="s">
        <v>364</v>
      </c>
      <c r="B36" s="174" t="s">
        <v>285</v>
      </c>
      <c r="C36" s="175" t="s">
        <v>379</v>
      </c>
    </row>
    <row r="37" spans="1:3">
      <c r="A37" s="174" t="s">
        <v>408</v>
      </c>
      <c r="B37" s="174" t="s">
        <v>285</v>
      </c>
      <c r="C37" s="175" t="s">
        <v>407</v>
      </c>
    </row>
    <row r="38" spans="1:3">
      <c r="A38" s="197" t="s">
        <v>366</v>
      </c>
      <c r="B38" s="197"/>
      <c r="C38" s="197"/>
    </row>
    <row r="39" spans="1:3">
      <c r="A39" s="174" t="s">
        <v>368</v>
      </c>
      <c r="B39" s="174" t="s">
        <v>285</v>
      </c>
      <c r="C39" s="175" t="s">
        <v>381</v>
      </c>
    </row>
    <row r="40" spans="1:3">
      <c r="A40" s="174" t="s">
        <v>265</v>
      </c>
      <c r="B40" s="174" t="s">
        <v>285</v>
      </c>
      <c r="C40" s="175" t="s">
        <v>381</v>
      </c>
    </row>
    <row r="41" spans="1:3">
      <c r="A41" s="174" t="s">
        <v>38</v>
      </c>
      <c r="B41" s="174" t="s">
        <v>285</v>
      </c>
      <c r="C41" s="175" t="s">
        <v>381</v>
      </c>
    </row>
    <row r="42" spans="1:3">
      <c r="A42" s="174"/>
      <c r="B42" s="174"/>
      <c r="C42" s="175"/>
    </row>
  </sheetData>
  <mergeCells count="1">
    <mergeCell ref="A1:C1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A17"/>
  <sheetViews>
    <sheetView showGridLines="0" view="pageBreakPreview" zoomScale="110" zoomScaleNormal="100" zoomScaleSheetLayoutView="110" workbookViewId="0">
      <selection sqref="A1:A2"/>
    </sheetView>
  </sheetViews>
  <sheetFormatPr defaultColWidth="9.1328125" defaultRowHeight="15" customHeight="1"/>
  <cols>
    <col min="1" max="1" width="133.73046875" style="9" bestFit="1" customWidth="1"/>
    <col min="2" max="2" width="125.3984375" style="9" customWidth="1"/>
    <col min="3" max="3" width="7.59765625" style="9" customWidth="1"/>
    <col min="4" max="4" width="29" style="9" bestFit="1" customWidth="1"/>
    <col min="5" max="5" width="5.73046875" style="9" customWidth="1"/>
    <col min="6" max="6" width="9.1328125" style="9"/>
    <col min="7" max="7" width="17.86328125" style="9" bestFit="1" customWidth="1"/>
    <col min="8" max="10" width="9.1328125" style="9"/>
    <col min="11" max="11" width="19.73046875" style="9" customWidth="1"/>
    <col min="12" max="16384" width="9.1328125" style="9"/>
  </cols>
  <sheetData>
    <row r="1" spans="1:1" ht="15" customHeight="1">
      <c r="A1" s="312" t="s">
        <v>413</v>
      </c>
    </row>
    <row r="2" spans="1:1" ht="15" customHeight="1">
      <c r="A2" s="313"/>
    </row>
    <row r="3" spans="1:1" ht="15.75" customHeight="1">
      <c r="A3" s="244" t="s">
        <v>435</v>
      </c>
    </row>
    <row r="4" spans="1:1" ht="15" customHeight="1">
      <c r="A4" s="42" t="s">
        <v>396</v>
      </c>
    </row>
    <row r="5" spans="1:1" ht="15" customHeight="1">
      <c r="A5" s="42" t="s">
        <v>397</v>
      </c>
    </row>
    <row r="6" spans="1:1" ht="15" customHeight="1">
      <c r="A6" s="42" t="s">
        <v>398</v>
      </c>
    </row>
    <row r="7" spans="1:1" ht="15" customHeight="1">
      <c r="A7" s="42" t="s">
        <v>399</v>
      </c>
    </row>
    <row r="8" spans="1:1" ht="15" customHeight="1">
      <c r="A8" s="42" t="s">
        <v>205</v>
      </c>
    </row>
    <row r="9" spans="1:1" ht="15" customHeight="1">
      <c r="A9" s="170" t="s">
        <v>400</v>
      </c>
    </row>
    <row r="10" spans="1:1" ht="15" customHeight="1">
      <c r="A10" s="170" t="s">
        <v>401</v>
      </c>
    </row>
    <row r="11" spans="1:1" ht="15" customHeight="1">
      <c r="A11" s="170" t="s">
        <v>402</v>
      </c>
    </row>
    <row r="12" spans="1:1" ht="15" customHeight="1">
      <c r="A12" s="170" t="s">
        <v>403</v>
      </c>
    </row>
    <row r="13" spans="1:1" ht="15" customHeight="1">
      <c r="A13" s="170" t="s">
        <v>404</v>
      </c>
    </row>
    <row r="14" spans="1:1" ht="15" customHeight="1">
      <c r="A14" s="170" t="s">
        <v>405</v>
      </c>
    </row>
    <row r="15" spans="1:1" ht="15" customHeight="1">
      <c r="A15" s="42" t="s">
        <v>406</v>
      </c>
    </row>
    <row r="16" spans="1:1" ht="15" customHeight="1">
      <c r="A16" s="43" t="s">
        <v>410</v>
      </c>
    </row>
    <row r="17" spans="1:1" ht="15" customHeight="1">
      <c r="A17" s="170"/>
    </row>
  </sheetData>
  <dataConsolidate/>
  <mergeCells count="1">
    <mergeCell ref="A1:A2"/>
  </mergeCells>
  <phoneticPr fontId="20" type="noConversion"/>
  <pageMargins left="0.2" right="0.21" top="0.57999999999999996" bottom="0.59" header="0.5" footer="0.5"/>
  <pageSetup paperSize="9" scale="81" fitToHeight="0" orientation="portrait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>
    <tabColor theme="0" tint="-0.14999847407452621"/>
  </sheetPr>
  <dimension ref="A1:Q60"/>
  <sheetViews>
    <sheetView showGridLines="0" view="pageBreakPreview" topLeftCell="A13" zoomScaleNormal="100" zoomScaleSheetLayoutView="100" workbookViewId="0">
      <selection activeCell="M37" sqref="M37"/>
    </sheetView>
  </sheetViews>
  <sheetFormatPr defaultColWidth="7.86328125" defaultRowHeight="15" customHeight="1"/>
  <cols>
    <col min="1" max="1" width="15.1328125" style="4" bestFit="1" customWidth="1"/>
    <col min="2" max="2" width="26" style="4" customWidth="1"/>
    <col min="3" max="3" width="18.265625" style="4" customWidth="1"/>
    <col min="4" max="4" width="17.73046875" style="4" bestFit="1" customWidth="1"/>
    <col min="5" max="5" width="18.265625" style="18" customWidth="1"/>
    <col min="6" max="6" width="2.86328125" style="4" customWidth="1"/>
    <col min="7" max="7" width="11" style="4" bestFit="1" customWidth="1"/>
    <col min="8" max="8" width="12" style="4" bestFit="1" customWidth="1"/>
    <col min="9" max="9" width="17.73046875" style="4" bestFit="1" customWidth="1"/>
    <col min="10" max="10" width="12" style="4" bestFit="1" customWidth="1"/>
    <col min="11" max="11" width="17.73046875" style="4" bestFit="1" customWidth="1"/>
    <col min="12" max="12" width="12" style="4" bestFit="1" customWidth="1"/>
    <col min="13" max="13" width="17.73046875" style="4" bestFit="1" customWidth="1"/>
    <col min="14" max="14" width="12" style="4" bestFit="1" customWidth="1"/>
    <col min="15" max="15" width="17.73046875" style="4" bestFit="1" customWidth="1"/>
    <col min="16" max="16" width="12" style="4" bestFit="1" customWidth="1"/>
    <col min="17" max="17" width="15.86328125" style="4" customWidth="1"/>
    <col min="18" max="16384" width="7.86328125" style="4"/>
  </cols>
  <sheetData>
    <row r="1" spans="1:17" s="9" customFormat="1" ht="26.25" customHeight="1">
      <c r="A1" s="314" t="s">
        <v>35</v>
      </c>
      <c r="B1" s="314"/>
      <c r="C1" s="314"/>
      <c r="D1" s="314"/>
      <c r="E1" s="314"/>
    </row>
    <row r="2" spans="1:17" s="9" customFormat="1" ht="15" customHeight="1">
      <c r="A2" s="316" t="s">
        <v>213</v>
      </c>
      <c r="B2" s="316"/>
      <c r="C2" s="316"/>
      <c r="D2" s="316"/>
      <c r="E2" s="316"/>
      <c r="G2" s="329" t="s">
        <v>392</v>
      </c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7" ht="15" customHeight="1">
      <c r="E3" s="4"/>
      <c r="G3" s="197"/>
      <c r="H3" s="332">
        <v>2023</v>
      </c>
      <c r="I3" s="332"/>
      <c r="J3" s="330">
        <v>2024</v>
      </c>
      <c r="K3" s="331"/>
      <c r="L3" s="330">
        <v>2025</v>
      </c>
      <c r="M3" s="331"/>
      <c r="N3" s="330">
        <v>2026</v>
      </c>
      <c r="O3" s="331"/>
      <c r="P3" s="330">
        <v>2026</v>
      </c>
      <c r="Q3" s="331"/>
    </row>
    <row r="4" spans="1:17" s="8" customFormat="1" ht="26.25" customHeight="1">
      <c r="A4" s="317" t="s">
        <v>80</v>
      </c>
      <c r="B4" s="318"/>
      <c r="C4" s="90" t="s">
        <v>208</v>
      </c>
      <c r="D4" s="90" t="s">
        <v>224</v>
      </c>
      <c r="E4" s="90" t="s">
        <v>87</v>
      </c>
      <c r="G4" s="197" t="s">
        <v>391</v>
      </c>
      <c r="H4" s="197" t="s">
        <v>390</v>
      </c>
      <c r="I4" s="197" t="s">
        <v>389</v>
      </c>
      <c r="J4" s="197" t="s">
        <v>390</v>
      </c>
      <c r="K4" s="197" t="s">
        <v>389</v>
      </c>
      <c r="L4" s="197" t="s">
        <v>390</v>
      </c>
      <c r="M4" s="197" t="s">
        <v>389</v>
      </c>
      <c r="N4" s="197" t="s">
        <v>390</v>
      </c>
      <c r="O4" s="197" t="s">
        <v>389</v>
      </c>
      <c r="P4" s="197" t="s">
        <v>390</v>
      </c>
      <c r="Q4" s="197" t="s">
        <v>389</v>
      </c>
    </row>
    <row r="5" spans="1:17" ht="15" customHeight="1">
      <c r="A5" s="322" t="s">
        <v>103</v>
      </c>
      <c r="B5" s="323"/>
      <c r="C5" s="10">
        <v>0</v>
      </c>
      <c r="D5" s="11">
        <v>0</v>
      </c>
      <c r="E5" s="12">
        <f>C5*D5</f>
        <v>0</v>
      </c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17" ht="15" customHeight="1">
      <c r="A6" s="322" t="s">
        <v>70</v>
      </c>
      <c r="B6" s="323"/>
      <c r="C6" s="10">
        <v>0</v>
      </c>
      <c r="D6" s="11">
        <v>0</v>
      </c>
      <c r="E6" s="12">
        <f>C6*D6</f>
        <v>0</v>
      </c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</row>
    <row r="7" spans="1:17" ht="15" customHeight="1">
      <c r="A7" s="324" t="s">
        <v>71</v>
      </c>
      <c r="B7" s="326"/>
      <c r="C7" s="10">
        <v>0</v>
      </c>
      <c r="D7" s="11">
        <v>0</v>
      </c>
      <c r="E7" s="12">
        <f>C7*D7</f>
        <v>0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</row>
    <row r="8" spans="1:17" ht="15" customHeight="1">
      <c r="A8" s="327" t="s">
        <v>72</v>
      </c>
      <c r="B8" s="328"/>
      <c r="C8" s="10">
        <v>0</v>
      </c>
      <c r="D8" s="11">
        <v>0</v>
      </c>
      <c r="E8" s="12">
        <f>C8*D8</f>
        <v>0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</row>
    <row r="9" spans="1:17" ht="15" customHeight="1">
      <c r="A9" s="324" t="s">
        <v>104</v>
      </c>
      <c r="B9" s="325"/>
      <c r="C9" s="326"/>
      <c r="D9" s="13">
        <f>SUM(D5:D8)</f>
        <v>0</v>
      </c>
      <c r="E9" s="12" t="str">
        <f>IF(SUM($D$5:$D$8)=100%,SUM(E5:E8),"    GEEN 100%")</f>
        <v xml:space="preserve">    GEEN 100%</v>
      </c>
      <c r="G9" s="186"/>
      <c r="H9" s="195"/>
      <c r="I9" s="186"/>
      <c r="J9" s="186"/>
      <c r="K9" s="186"/>
      <c r="L9" s="186"/>
      <c r="M9" s="186"/>
      <c r="N9" s="186"/>
      <c r="O9" s="186"/>
      <c r="P9" s="186"/>
      <c r="Q9" s="186"/>
    </row>
    <row r="10" spans="1:17" ht="15" customHeight="1">
      <c r="A10" s="315" t="s">
        <v>73</v>
      </c>
      <c r="B10" s="315"/>
      <c r="C10" s="315"/>
      <c r="D10" s="136" t="s">
        <v>3</v>
      </c>
      <c r="E10" s="138">
        <f>SUM(E9:E9)</f>
        <v>0</v>
      </c>
      <c r="G10" s="186" t="s">
        <v>388</v>
      </c>
      <c r="H10" s="195"/>
      <c r="I10" s="138">
        <f>(E10*H10)+E10</f>
        <v>0</v>
      </c>
      <c r="J10" s="195">
        <v>0</v>
      </c>
      <c r="K10" s="138">
        <f>(I10*J10)+I10</f>
        <v>0</v>
      </c>
      <c r="L10" s="195">
        <v>0</v>
      </c>
      <c r="M10" s="138">
        <f>(K10*L10)+K10</f>
        <v>0</v>
      </c>
      <c r="N10" s="195">
        <v>0</v>
      </c>
      <c r="O10" s="138">
        <f>(M10*N10)+M10</f>
        <v>0</v>
      </c>
      <c r="P10" s="195">
        <v>0</v>
      </c>
      <c r="Q10" s="138">
        <f>(O10*P10)+O10</f>
        <v>0</v>
      </c>
    </row>
    <row r="11" spans="1:17" ht="15" customHeight="1">
      <c r="A11" s="16"/>
      <c r="B11" s="17"/>
      <c r="C11" s="17"/>
      <c r="D11" s="17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1:17" s="8" customFormat="1" ht="26.25" customHeight="1">
      <c r="A12" s="317" t="s">
        <v>75</v>
      </c>
      <c r="B12" s="319"/>
      <c r="C12" s="318"/>
      <c r="D12" s="91" t="s">
        <v>84</v>
      </c>
      <c r="E12" s="90" t="s">
        <v>87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" customHeight="1">
      <c r="A13" s="320" t="s">
        <v>4</v>
      </c>
      <c r="B13" s="321"/>
      <c r="C13" s="321"/>
      <c r="D13" s="187">
        <v>0</v>
      </c>
      <c r="E13" s="15">
        <f>SUM($E$10*D13)</f>
        <v>0</v>
      </c>
      <c r="G13" s="205" t="s">
        <v>387</v>
      </c>
      <c r="H13" s="195"/>
      <c r="I13" s="190">
        <f>(E13*H13)+E13</f>
        <v>0</v>
      </c>
      <c r="J13" s="191"/>
      <c r="K13" s="190">
        <f>(I13*J13)+I13</f>
        <v>0</v>
      </c>
      <c r="L13" s="191"/>
      <c r="M13" s="190">
        <f>(K13*L13)+K13</f>
        <v>0</v>
      </c>
      <c r="N13" s="191"/>
      <c r="O13" s="190">
        <f>(M13*N13)+M13</f>
        <v>0</v>
      </c>
      <c r="P13" s="191"/>
      <c r="Q13" s="190">
        <f>(O13*P13)+O13</f>
        <v>0</v>
      </c>
    </row>
    <row r="14" spans="1:17" ht="15" customHeight="1">
      <c r="A14" s="321" t="s">
        <v>89</v>
      </c>
      <c r="B14" s="321"/>
      <c r="C14" s="321"/>
      <c r="D14" s="187">
        <v>0</v>
      </c>
      <c r="E14" s="15">
        <f>SUM($E$10*D14)</f>
        <v>0</v>
      </c>
      <c r="G14" s="205" t="s">
        <v>387</v>
      </c>
      <c r="H14" s="195"/>
      <c r="I14" s="190">
        <f>(E14*H14)+E14</f>
        <v>0</v>
      </c>
      <c r="J14" s="191"/>
      <c r="K14" s="190">
        <f>(I14*J14)+I14</f>
        <v>0</v>
      </c>
      <c r="L14" s="191"/>
      <c r="M14" s="190">
        <f>(K14*L14)+K14</f>
        <v>0</v>
      </c>
      <c r="N14" s="191"/>
      <c r="O14" s="190">
        <f>(M14*N14)+M14</f>
        <v>0</v>
      </c>
      <c r="P14" s="191"/>
      <c r="Q14" s="190">
        <f>(O14*P14)+O14</f>
        <v>0</v>
      </c>
    </row>
    <row r="15" spans="1:17" ht="15" customHeight="1">
      <c r="A15" s="321" t="s">
        <v>5</v>
      </c>
      <c r="B15" s="321"/>
      <c r="C15" s="321"/>
      <c r="D15" s="187">
        <v>0</v>
      </c>
      <c r="E15" s="15">
        <f>SUM($E$10*D15)</f>
        <v>0</v>
      </c>
      <c r="G15" s="205" t="s">
        <v>387</v>
      </c>
      <c r="H15" s="195"/>
      <c r="I15" s="190">
        <f>(E15*H15)+E15</f>
        <v>0</v>
      </c>
      <c r="J15" s="191"/>
      <c r="K15" s="190">
        <f>(I15*J15)+I15</f>
        <v>0</v>
      </c>
      <c r="L15" s="191"/>
      <c r="M15" s="190">
        <f>(K15*L15)+K15</f>
        <v>0</v>
      </c>
      <c r="N15" s="191"/>
      <c r="O15" s="190">
        <f>(M15*N15)+M15</f>
        <v>0</v>
      </c>
      <c r="P15" s="191"/>
      <c r="Q15" s="190">
        <f>(O15*P15)+O15</f>
        <v>0</v>
      </c>
    </row>
    <row r="16" spans="1:17" ht="15" customHeight="1">
      <c r="A16" s="321" t="s">
        <v>6</v>
      </c>
      <c r="B16" s="321"/>
      <c r="C16" s="321"/>
      <c r="D16" s="187">
        <v>0</v>
      </c>
      <c r="E16" s="15">
        <f>SUM($E$10*D16)</f>
        <v>0</v>
      </c>
      <c r="G16" s="205" t="s">
        <v>387</v>
      </c>
      <c r="H16" s="195"/>
      <c r="I16" s="190">
        <f>(E16*H16)+E16</f>
        <v>0</v>
      </c>
      <c r="J16" s="191"/>
      <c r="K16" s="190">
        <f>(I16*J16)+I16</f>
        <v>0</v>
      </c>
      <c r="L16" s="191"/>
      <c r="M16" s="190">
        <f>(K16*L16)+K16</f>
        <v>0</v>
      </c>
      <c r="N16" s="191"/>
      <c r="O16" s="190">
        <f>(M16*N16)+M16</f>
        <v>0</v>
      </c>
      <c r="P16" s="191"/>
      <c r="Q16" s="190">
        <f>(O16*P16)+O16</f>
        <v>0</v>
      </c>
    </row>
    <row r="17" spans="1:17" ht="15" customHeight="1">
      <c r="A17" s="337" t="s">
        <v>92</v>
      </c>
      <c r="B17" s="338"/>
      <c r="C17" s="339"/>
      <c r="D17" s="187">
        <v>0</v>
      </c>
      <c r="E17" s="15">
        <f>SUM($E$10*D17)</f>
        <v>0</v>
      </c>
      <c r="G17" s="205" t="s">
        <v>387</v>
      </c>
      <c r="H17" s="195"/>
      <c r="I17" s="190">
        <f>(E17*H17)+E17</f>
        <v>0</v>
      </c>
      <c r="J17" s="191"/>
      <c r="K17" s="190">
        <f>(I17*J17)+I17</f>
        <v>0</v>
      </c>
      <c r="L17" s="191"/>
      <c r="M17" s="190">
        <f>(K17*L17)+K17</f>
        <v>0</v>
      </c>
      <c r="N17" s="191"/>
      <c r="O17" s="190">
        <f>(M17*N17)+M17</f>
        <v>0</v>
      </c>
      <c r="P17" s="191"/>
      <c r="Q17" s="190">
        <f>(O17*P17)+O17</f>
        <v>0</v>
      </c>
    </row>
    <row r="18" spans="1:17" ht="15" customHeight="1">
      <c r="A18" s="315" t="s">
        <v>81</v>
      </c>
      <c r="B18" s="315"/>
      <c r="C18" s="315"/>
      <c r="D18" s="139"/>
      <c r="E18" s="140">
        <f>SUM(E13:E17)</f>
        <v>0</v>
      </c>
      <c r="G18" s="186"/>
      <c r="H18" s="186"/>
      <c r="I18" s="140">
        <f>SUM(I13:I17)</f>
        <v>0</v>
      </c>
      <c r="J18" s="186"/>
      <c r="K18" s="140">
        <f>SUM(K13:K17)</f>
        <v>0</v>
      </c>
      <c r="L18" s="186"/>
      <c r="M18" s="140">
        <f>SUM(M13:M17)</f>
        <v>0</v>
      </c>
      <c r="N18" s="186"/>
      <c r="O18" s="140">
        <f>SUM(O13:O17)</f>
        <v>0</v>
      </c>
      <c r="P18" s="186"/>
      <c r="Q18" s="140">
        <f>SUM(Q13:Q17)</f>
        <v>0</v>
      </c>
    </row>
    <row r="19" spans="1:17" ht="15" customHeight="1">
      <c r="D19" s="19"/>
      <c r="E19" s="20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7" s="8" customFormat="1" ht="26.25" customHeight="1">
      <c r="A20" s="317" t="s">
        <v>76</v>
      </c>
      <c r="B20" s="319"/>
      <c r="C20" s="318"/>
      <c r="D20" s="91" t="s">
        <v>85</v>
      </c>
      <c r="E20" s="90" t="s">
        <v>87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15" customHeight="1">
      <c r="A21" s="321" t="s">
        <v>7</v>
      </c>
      <c r="B21" s="321"/>
      <c r="C21" s="321"/>
      <c r="D21" s="196" t="e">
        <f>E21/$E$35</f>
        <v>#DIV/0!</v>
      </c>
      <c r="E21" s="193">
        <v>0</v>
      </c>
      <c r="G21" s="186" t="s">
        <v>387</v>
      </c>
      <c r="H21" s="195"/>
      <c r="I21" s="190">
        <f>(E21*H21)+E21</f>
        <v>0</v>
      </c>
      <c r="J21" s="191"/>
      <c r="K21" s="190">
        <f>(I21*J21)+I21</f>
        <v>0</v>
      </c>
      <c r="L21" s="191"/>
      <c r="M21" s="190">
        <f>(K21*L21)+K21</f>
        <v>0</v>
      </c>
      <c r="N21" s="191"/>
      <c r="O21" s="190">
        <f>(M21*N21)+M21</f>
        <v>0</v>
      </c>
      <c r="P21" s="191"/>
      <c r="Q21" s="190">
        <f>(O21*P21)+O21</f>
        <v>0</v>
      </c>
    </row>
    <row r="22" spans="1:17" ht="15" customHeight="1">
      <c r="A22" s="320" t="s">
        <v>8</v>
      </c>
      <c r="B22" s="321"/>
      <c r="C22" s="321"/>
      <c r="D22" s="196" t="e">
        <f>E22/$E$35</f>
        <v>#DIV/0!</v>
      </c>
      <c r="E22" s="193">
        <v>0</v>
      </c>
      <c r="G22" s="186" t="s">
        <v>387</v>
      </c>
      <c r="H22" s="195"/>
      <c r="I22" s="190">
        <f>(E22*H22)+E22</f>
        <v>0</v>
      </c>
      <c r="J22" s="191"/>
      <c r="K22" s="190">
        <f>(I22*J22)+I22</f>
        <v>0</v>
      </c>
      <c r="L22" s="191"/>
      <c r="M22" s="190">
        <f>(K22*L22)+K22</f>
        <v>0</v>
      </c>
      <c r="N22" s="191"/>
      <c r="O22" s="190">
        <f>(M22*N22)+M22</f>
        <v>0</v>
      </c>
      <c r="P22" s="191"/>
      <c r="Q22" s="190">
        <f>(O22*P22)+O22</f>
        <v>0</v>
      </c>
    </row>
    <row r="23" spans="1:17" ht="15" customHeight="1">
      <c r="A23" s="321" t="s">
        <v>9</v>
      </c>
      <c r="B23" s="321"/>
      <c r="C23" s="321"/>
      <c r="D23" s="196" t="e">
        <f>E23/$E$35</f>
        <v>#DIV/0!</v>
      </c>
      <c r="E23" s="193">
        <v>0</v>
      </c>
      <c r="G23" s="186" t="s">
        <v>387</v>
      </c>
      <c r="H23" s="195"/>
      <c r="I23" s="192">
        <f>(E23*H23)+E23</f>
        <v>0</v>
      </c>
      <c r="J23" s="191"/>
      <c r="K23" s="190">
        <f>(I23*J23)+I23</f>
        <v>0</v>
      </c>
      <c r="L23" s="191"/>
      <c r="M23" s="190">
        <f>(K23*L23)+K23</f>
        <v>0</v>
      </c>
      <c r="N23" s="191"/>
      <c r="O23" s="190">
        <f>(M23*N23)+M23</f>
        <v>0</v>
      </c>
      <c r="P23" s="191"/>
      <c r="Q23" s="190">
        <f>(O23*P23)+O23</f>
        <v>0</v>
      </c>
    </row>
    <row r="24" spans="1:17" ht="15" customHeight="1">
      <c r="A24" s="327" t="s">
        <v>10</v>
      </c>
      <c r="B24" s="336"/>
      <c r="C24" s="328"/>
      <c r="D24" s="187">
        <v>0</v>
      </c>
      <c r="E24" s="14">
        <f>D24*$E$10</f>
        <v>0</v>
      </c>
      <c r="G24" s="186" t="s">
        <v>388</v>
      </c>
      <c r="H24" s="195"/>
      <c r="I24" s="190">
        <f>(E24*H24)+E24</f>
        <v>0</v>
      </c>
      <c r="J24" s="191"/>
      <c r="K24" s="190">
        <f>(I24*J24)+I24</f>
        <v>0</v>
      </c>
      <c r="L24" s="191"/>
      <c r="M24" s="190">
        <f>(K24*L24)+K24</f>
        <v>0</v>
      </c>
      <c r="N24" s="191"/>
      <c r="O24" s="190">
        <f>(M24*N24)+M24</f>
        <v>0</v>
      </c>
      <c r="P24" s="191"/>
      <c r="Q24" s="190">
        <f>(O24*P24)+O24</f>
        <v>0</v>
      </c>
    </row>
    <row r="25" spans="1:17" ht="15" customHeight="1">
      <c r="A25" s="337" t="s">
        <v>90</v>
      </c>
      <c r="B25" s="338"/>
      <c r="C25" s="339"/>
      <c r="D25" s="196" t="e">
        <f>E25/$E$35</f>
        <v>#DIV/0!</v>
      </c>
      <c r="E25" s="193">
        <v>0</v>
      </c>
      <c r="G25" s="186" t="s">
        <v>387</v>
      </c>
      <c r="H25" s="195"/>
      <c r="I25" s="192">
        <f>(E25*H25)+E25</f>
        <v>0</v>
      </c>
      <c r="J25" s="191"/>
      <c r="K25" s="190">
        <f>(I25*J25)+I25</f>
        <v>0</v>
      </c>
      <c r="L25" s="191"/>
      <c r="M25" s="190">
        <f>(K25*L25)+K25</f>
        <v>0</v>
      </c>
      <c r="N25" s="191"/>
      <c r="O25" s="190">
        <f>(M25*N25)+M25</f>
        <v>0</v>
      </c>
      <c r="P25" s="191"/>
      <c r="Q25" s="190">
        <f>(O25*P25)+O25</f>
        <v>0</v>
      </c>
    </row>
    <row r="26" spans="1:17" ht="15" customHeight="1">
      <c r="A26" s="315" t="s">
        <v>82</v>
      </c>
      <c r="B26" s="315"/>
      <c r="C26" s="315"/>
      <c r="D26" s="136" t="s">
        <v>3</v>
      </c>
      <c r="E26" s="138">
        <f>SUM(E21:E25)</f>
        <v>0</v>
      </c>
      <c r="G26" s="186"/>
      <c r="H26" s="186"/>
      <c r="I26" s="138">
        <f>SUM(I21:I25)</f>
        <v>0</v>
      </c>
      <c r="J26" s="186"/>
      <c r="K26" s="138">
        <f>SUM(K21:K25)</f>
        <v>0</v>
      </c>
      <c r="L26" s="186"/>
      <c r="M26" s="138">
        <f>SUM(M21:M25)</f>
        <v>0</v>
      </c>
      <c r="N26" s="186"/>
      <c r="O26" s="138">
        <f>SUM(O21:O25)</f>
        <v>0</v>
      </c>
      <c r="P26" s="186"/>
      <c r="Q26" s="138">
        <f>SUM(Q21:Q25)</f>
        <v>0</v>
      </c>
    </row>
    <row r="27" spans="1:17" ht="15" customHeight="1">
      <c r="A27" s="21"/>
      <c r="B27" s="21"/>
      <c r="C27" s="21"/>
      <c r="D27" s="22"/>
      <c r="E27" s="23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</row>
    <row r="28" spans="1:17" s="8" customFormat="1" ht="26.25" customHeight="1">
      <c r="A28" s="317" t="s">
        <v>77</v>
      </c>
      <c r="B28" s="319"/>
      <c r="C28" s="318"/>
      <c r="D28" s="91" t="s">
        <v>85</v>
      </c>
      <c r="E28" s="90" t="s">
        <v>87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17" ht="15" customHeight="1">
      <c r="A29" s="320" t="s">
        <v>11</v>
      </c>
      <c r="B29" s="321"/>
      <c r="C29" s="321"/>
      <c r="D29" s="187">
        <v>0</v>
      </c>
      <c r="E29" s="14">
        <f>D29*($E$18+$E$10)</f>
        <v>0</v>
      </c>
      <c r="G29" s="205" t="s">
        <v>387</v>
      </c>
      <c r="H29" s="195"/>
      <c r="I29" s="190">
        <f>(E29*H29)+E29</f>
        <v>0</v>
      </c>
      <c r="J29" s="191"/>
      <c r="K29" s="190">
        <f>(I29*J29)+I29</f>
        <v>0</v>
      </c>
      <c r="L29" s="191"/>
      <c r="M29" s="190">
        <f>(K29*L29)+K29</f>
        <v>0</v>
      </c>
      <c r="N29" s="191"/>
      <c r="O29" s="190">
        <f>(M29*N29)+M29</f>
        <v>0</v>
      </c>
      <c r="P29" s="191"/>
      <c r="Q29" s="190">
        <f>(O29*P29)+O29</f>
        <v>0</v>
      </c>
    </row>
    <row r="30" spans="1:17" ht="15" customHeight="1">
      <c r="A30" s="320" t="s">
        <v>78</v>
      </c>
      <c r="B30" s="321"/>
      <c r="C30" s="321"/>
      <c r="D30" s="194" t="e">
        <f>E30/$E$35</f>
        <v>#DIV/0!</v>
      </c>
      <c r="E30" s="193">
        <v>0</v>
      </c>
      <c r="G30" s="186" t="s">
        <v>387</v>
      </c>
      <c r="H30" s="195"/>
      <c r="I30" s="192">
        <f>(E30*H30)+E30</f>
        <v>0</v>
      </c>
      <c r="J30" s="191"/>
      <c r="K30" s="190">
        <f>(I30*J30)+I30</f>
        <v>0</v>
      </c>
      <c r="L30" s="191"/>
      <c r="M30" s="190">
        <f>(K30*L30)+K30</f>
        <v>0</v>
      </c>
      <c r="N30" s="191"/>
      <c r="O30" s="190">
        <f>(M30*N30)+M30</f>
        <v>0</v>
      </c>
      <c r="P30" s="191"/>
      <c r="Q30" s="190">
        <f>(O30*P30)+O30</f>
        <v>0</v>
      </c>
    </row>
    <row r="31" spans="1:17" ht="15" customHeight="1">
      <c r="A31" s="337" t="s">
        <v>91</v>
      </c>
      <c r="B31" s="338"/>
      <c r="C31" s="339"/>
      <c r="D31" s="196" t="e">
        <f>E31/$E$35</f>
        <v>#DIV/0!</v>
      </c>
      <c r="E31" s="193">
        <v>0</v>
      </c>
      <c r="G31" s="186" t="s">
        <v>387</v>
      </c>
      <c r="H31" s="195"/>
      <c r="I31" s="192">
        <f>(E31*H31)+E31</f>
        <v>0</v>
      </c>
      <c r="J31" s="191"/>
      <c r="K31" s="190">
        <f>(I31*J31)+I31</f>
        <v>0</v>
      </c>
      <c r="L31" s="191"/>
      <c r="M31" s="190">
        <f>(K31*L31)+K31</f>
        <v>0</v>
      </c>
      <c r="N31" s="191"/>
      <c r="O31" s="190">
        <f>(M31*N31)+M31</f>
        <v>0</v>
      </c>
      <c r="P31" s="191"/>
      <c r="Q31" s="190">
        <f>(O31*P31)+O31</f>
        <v>0</v>
      </c>
    </row>
    <row r="32" spans="1:17" ht="15" customHeight="1">
      <c r="A32" s="321" t="s">
        <v>79</v>
      </c>
      <c r="B32" s="321"/>
      <c r="C32" s="321"/>
      <c r="D32" s="194" t="e">
        <f>E32/$E$35</f>
        <v>#DIV/0!</v>
      </c>
      <c r="E32" s="193">
        <v>0</v>
      </c>
      <c r="G32" s="186"/>
      <c r="H32" s="186"/>
      <c r="I32" s="192">
        <f>(E32*H32)+E32</f>
        <v>0</v>
      </c>
      <c r="J32" s="191"/>
      <c r="K32" s="190">
        <f>(I32*J32)+I32</f>
        <v>0</v>
      </c>
      <c r="L32" s="191"/>
      <c r="M32" s="190">
        <f>(K32*L32)+K32</f>
        <v>0</v>
      </c>
      <c r="N32" s="191"/>
      <c r="O32" s="190">
        <f>(M32*N32)+M32</f>
        <v>0</v>
      </c>
      <c r="P32" s="191"/>
      <c r="Q32" s="190">
        <f>(O32*P32)+O32</f>
        <v>0</v>
      </c>
    </row>
    <row r="33" spans="1:17" ht="15" customHeight="1">
      <c r="A33" s="315" t="s">
        <v>83</v>
      </c>
      <c r="B33" s="315"/>
      <c r="C33" s="315"/>
      <c r="D33" s="136"/>
      <c r="E33" s="137">
        <f>SUM(E29:E32)</f>
        <v>0</v>
      </c>
      <c r="G33" s="186"/>
      <c r="H33" s="186"/>
      <c r="I33" s="137">
        <f>SUM(I29:I32)</f>
        <v>0</v>
      </c>
      <c r="J33" s="186"/>
      <c r="K33" s="137">
        <f>SUM(K29:K32)</f>
        <v>0</v>
      </c>
      <c r="L33" s="186"/>
      <c r="M33" s="137">
        <f>SUM(M29:M32)</f>
        <v>0</v>
      </c>
      <c r="N33" s="186"/>
      <c r="O33" s="137">
        <f>SUM(O29:O32)</f>
        <v>0</v>
      </c>
      <c r="P33" s="186"/>
      <c r="Q33" s="137">
        <f>SUM(Q29:Q32)</f>
        <v>0</v>
      </c>
    </row>
    <row r="34" spans="1:17" ht="15" customHeight="1">
      <c r="A34" s="21"/>
      <c r="B34" s="21"/>
      <c r="C34" s="21"/>
      <c r="D34" s="22"/>
      <c r="E34" s="24"/>
      <c r="H34" s="186"/>
      <c r="I34" s="186"/>
      <c r="J34" s="186"/>
      <c r="K34" s="186"/>
      <c r="L34" s="186"/>
      <c r="M34" s="186"/>
      <c r="N34" s="186"/>
      <c r="O34" s="186"/>
      <c r="P34" s="186"/>
      <c r="Q34" s="186"/>
    </row>
    <row r="35" spans="1:17" ht="26.25" customHeight="1">
      <c r="A35" s="333" t="s">
        <v>102</v>
      </c>
      <c r="B35" s="334"/>
      <c r="C35" s="334"/>
      <c r="D35" s="335"/>
      <c r="E35" s="135">
        <f>E33+E26+E18+E10</f>
        <v>0</v>
      </c>
      <c r="G35" s="28"/>
      <c r="H35" s="186"/>
      <c r="I35" s="135">
        <f>I33+I26+I18+I10</f>
        <v>0</v>
      </c>
      <c r="J35" s="186"/>
      <c r="K35" s="135">
        <f>K33+K26+K18+K10</f>
        <v>0</v>
      </c>
      <c r="L35" s="186"/>
      <c r="M35" s="135">
        <f>M33+M26+M18+M10</f>
        <v>0</v>
      </c>
      <c r="N35" s="186"/>
      <c r="O35" s="135">
        <f>O33+O26+O18+O10</f>
        <v>0</v>
      </c>
      <c r="P35" s="186"/>
      <c r="Q35" s="135">
        <f>Q33+Q26+Q18+Q10</f>
        <v>0</v>
      </c>
    </row>
    <row r="36" spans="1:17" ht="15" customHeight="1">
      <c r="D36" s="19"/>
      <c r="E36" s="20"/>
    </row>
    <row r="37" spans="1:17" ht="26.25" customHeight="1">
      <c r="A37" s="92" t="s">
        <v>86</v>
      </c>
      <c r="B37" s="93"/>
      <c r="C37" s="91" t="s">
        <v>101</v>
      </c>
      <c r="D37" s="91" t="s">
        <v>99</v>
      </c>
      <c r="E37" s="91" t="s">
        <v>100</v>
      </c>
      <c r="H37" s="91" t="s">
        <v>386</v>
      </c>
      <c r="I37" s="189" t="e">
        <f>(I35/E35)-100%</f>
        <v>#DIV/0!</v>
      </c>
      <c r="J37" s="91"/>
      <c r="K37" s="189" t="e">
        <f>(K35/I35)-100%</f>
        <v>#DIV/0!</v>
      </c>
      <c r="L37" s="91"/>
      <c r="M37" s="189" t="e">
        <f>(M35/K35)-100%</f>
        <v>#DIV/0!</v>
      </c>
      <c r="N37" s="91"/>
      <c r="O37" s="189" t="e">
        <f>(O35/M35)-100%</f>
        <v>#DIV/0!</v>
      </c>
      <c r="P37" s="91"/>
      <c r="Q37" s="189" t="e">
        <f>(Q35/O35)-100%</f>
        <v>#DIV/0!</v>
      </c>
    </row>
    <row r="38" spans="1:17" ht="15" customHeight="1">
      <c r="A38" s="186" t="s">
        <v>88</v>
      </c>
      <c r="B38" s="186" t="s">
        <v>94</v>
      </c>
      <c r="C38" s="25">
        <v>0</v>
      </c>
      <c r="D38" s="26">
        <f>SUM($E$10,$E$18,$E$26,$E$33)+(C38*($E$18+$E$10))</f>
        <v>0</v>
      </c>
      <c r="E38" s="27">
        <f>D38*121%</f>
        <v>0</v>
      </c>
      <c r="F38" s="28"/>
      <c r="H38" s="186"/>
      <c r="I38" s="12" t="e">
        <f>(D38*$I$37)+D38</f>
        <v>#DIV/0!</v>
      </c>
      <c r="J38" s="186"/>
      <c r="K38" s="12" t="e">
        <f>(I38*$K$37)+I38</f>
        <v>#DIV/0!</v>
      </c>
      <c r="L38" s="186"/>
      <c r="M38" s="12" t="e">
        <f>(K38*$M$37)+K38</f>
        <v>#DIV/0!</v>
      </c>
      <c r="N38" s="186"/>
      <c r="O38" s="12" t="e">
        <f>(M38*$O$37)+M38</f>
        <v>#DIV/0!</v>
      </c>
      <c r="P38" s="186"/>
      <c r="Q38" s="12" t="e">
        <f>(O38*$Q$37)+O38</f>
        <v>#DIV/0!</v>
      </c>
    </row>
    <row r="39" spans="1:17" ht="15" customHeight="1">
      <c r="A39" s="186" t="s">
        <v>93</v>
      </c>
      <c r="B39" s="186" t="s">
        <v>95</v>
      </c>
      <c r="C39" s="25">
        <v>0.3</v>
      </c>
      <c r="D39" s="26">
        <f>SUM($E$10,$E$18,$E$26,$E$33)+(C39*($E$18+$E$10))</f>
        <v>0</v>
      </c>
      <c r="E39" s="27">
        <f>D39*121%</f>
        <v>0</v>
      </c>
      <c r="F39" s="28"/>
      <c r="H39" s="12"/>
      <c r="I39" s="12" t="e">
        <f>(D39*$I$37)+D39</f>
        <v>#DIV/0!</v>
      </c>
      <c r="J39" s="186"/>
      <c r="K39" s="12" t="e">
        <f>(I39*$K$37)+I39</f>
        <v>#DIV/0!</v>
      </c>
      <c r="L39" s="186"/>
      <c r="M39" s="12" t="e">
        <f>(K39*$M$37)+K39</f>
        <v>#DIV/0!</v>
      </c>
      <c r="N39" s="186"/>
      <c r="O39" s="12" t="e">
        <f>(M39*$O$37)+M39</f>
        <v>#DIV/0!</v>
      </c>
      <c r="P39" s="186"/>
      <c r="Q39" s="12" t="e">
        <f>(O39*$Q$37)+O39</f>
        <v>#DIV/0!</v>
      </c>
    </row>
    <row r="40" spans="1:17" ht="15" customHeight="1">
      <c r="A40" s="186" t="s">
        <v>24</v>
      </c>
      <c r="B40" s="186" t="s">
        <v>96</v>
      </c>
      <c r="C40" s="25">
        <v>0.5</v>
      </c>
      <c r="D40" s="26">
        <f>SUM($E$10,$E$18,$E$26,$E$33)+(C40*($E$18+$E$10))</f>
        <v>0</v>
      </c>
      <c r="E40" s="27">
        <f>D40*121%</f>
        <v>0</v>
      </c>
      <c r="F40" s="28"/>
      <c r="H40" s="186"/>
      <c r="I40" s="12" t="e">
        <f>(D40*$I$37)+D40</f>
        <v>#DIV/0!</v>
      </c>
      <c r="J40" s="186"/>
      <c r="K40" s="12" t="e">
        <f>(I40*$K$37)+I40</f>
        <v>#DIV/0!</v>
      </c>
      <c r="L40" s="186"/>
      <c r="M40" s="12" t="e">
        <f>(K40*$M$37)+K40</f>
        <v>#DIV/0!</v>
      </c>
      <c r="N40" s="186"/>
      <c r="O40" s="12" t="e">
        <f>(M40*$O$37)+M40</f>
        <v>#DIV/0!</v>
      </c>
      <c r="P40" s="186"/>
      <c r="Q40" s="12" t="e">
        <f>(O40*$Q$37)+O40</f>
        <v>#DIV/0!</v>
      </c>
    </row>
    <row r="41" spans="1:17" ht="15" customHeight="1">
      <c r="A41" s="186" t="s">
        <v>97</v>
      </c>
      <c r="B41" s="188" t="s">
        <v>98</v>
      </c>
      <c r="C41" s="25">
        <v>1.5</v>
      </c>
      <c r="D41" s="26">
        <f>SUM($E$10,$E$18,$E$26,$E$33)+(C41*($E$18+$E$10))</f>
        <v>0</v>
      </c>
      <c r="E41" s="27">
        <f>D41*121%</f>
        <v>0</v>
      </c>
      <c r="F41" s="28"/>
      <c r="H41" s="186"/>
      <c r="I41" s="12" t="e">
        <f>(D41*$I$37)+D41</f>
        <v>#DIV/0!</v>
      </c>
      <c r="J41" s="186"/>
      <c r="K41" s="12" t="e">
        <f>(I41*$K$37)+I41</f>
        <v>#DIV/0!</v>
      </c>
      <c r="L41" s="186"/>
      <c r="M41" s="12" t="e">
        <f>(K41*$M$37)+K41</f>
        <v>#DIV/0!</v>
      </c>
      <c r="N41" s="186"/>
      <c r="O41" s="12" t="e">
        <f>(M41*$O$37)+M41</f>
        <v>#DIV/0!</v>
      </c>
      <c r="P41" s="186"/>
      <c r="Q41" s="12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  <row r="55" spans="5:5" ht="15" customHeight="1">
      <c r="E55" s="4"/>
    </row>
    <row r="56" spans="5:5" ht="15" customHeight="1">
      <c r="E56" s="4"/>
    </row>
    <row r="57" spans="5:5" ht="15" customHeight="1">
      <c r="E57" s="4"/>
    </row>
    <row r="58" spans="5:5" ht="15" customHeight="1">
      <c r="E58" s="4"/>
    </row>
    <row r="59" spans="5:5" ht="15" customHeight="1">
      <c r="E59" s="4"/>
    </row>
    <row r="60" spans="5:5" ht="15" customHeight="1">
      <c r="E60" s="4"/>
    </row>
  </sheetData>
  <mergeCells count="36"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  <mergeCell ref="A20:C20"/>
    <mergeCell ref="A7:B7"/>
    <mergeCell ref="A22:C22"/>
    <mergeCell ref="A10:C10"/>
    <mergeCell ref="G2:Q2"/>
    <mergeCell ref="J3:K3"/>
    <mergeCell ref="L3:M3"/>
    <mergeCell ref="N3:O3"/>
    <mergeCell ref="P3:Q3"/>
    <mergeCell ref="H3:I3"/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</mergeCells>
  <conditionalFormatting sqref="E9">
    <cfRule type="containsText" dxfId="209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3" orientation="portrait" r:id="rId1"/>
  <headerFooter alignWithMargins="0">
    <oddFooter>&amp;L&amp;F&amp;C&amp;D&amp;R&amp;A</oddFooter>
  </headerFooter>
  <colBreaks count="1" manualBreakCount="1">
    <brk id="6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N39"/>
  <sheetViews>
    <sheetView view="pageBreakPreview" zoomScaleNormal="100" zoomScaleSheetLayoutView="100" workbookViewId="0"/>
  </sheetViews>
  <sheetFormatPr defaultRowHeight="12.75"/>
  <cols>
    <col min="1" max="1" width="6" style="134" customWidth="1"/>
    <col min="2" max="2" width="11.59765625" style="134" customWidth="1"/>
    <col min="3" max="3" width="12" style="134" bestFit="1" customWidth="1"/>
    <col min="4" max="4" width="11.265625" style="134" bestFit="1" customWidth="1"/>
    <col min="5" max="5" width="17.73046875" style="134" bestFit="1" customWidth="1"/>
    <col min="6" max="6" width="14" style="167" bestFit="1" customWidth="1"/>
    <col min="7" max="7" width="15.73046875" style="167" customWidth="1"/>
    <col min="8" max="8" width="32.86328125" style="134" bestFit="1" customWidth="1"/>
    <col min="9" max="9" width="12.59765625" style="167" bestFit="1" customWidth="1"/>
    <col min="10" max="10" width="13.59765625" style="167" bestFit="1" customWidth="1"/>
    <col min="11" max="11" width="9" style="134" bestFit="1" customWidth="1"/>
    <col min="12" max="12" width="14.1328125" style="134" bestFit="1" customWidth="1"/>
    <col min="13" max="13" width="15.86328125" style="167" bestFit="1" customWidth="1"/>
    <col min="14" max="14" width="51.3984375" style="134" bestFit="1" customWidth="1"/>
  </cols>
  <sheetData>
    <row r="1" spans="1:14" ht="45" customHeight="1">
      <c r="A1" s="243" t="s">
        <v>433</v>
      </c>
      <c r="B1" s="197" t="s">
        <v>256</v>
      </c>
      <c r="C1" s="197" t="s">
        <v>409</v>
      </c>
      <c r="D1" s="197" t="s">
        <v>257</v>
      </c>
      <c r="E1" s="197" t="s">
        <v>258</v>
      </c>
      <c r="F1" s="242" t="s">
        <v>259</v>
      </c>
      <c r="G1" s="241" t="s">
        <v>431</v>
      </c>
      <c r="H1" s="197" t="s">
        <v>220</v>
      </c>
      <c r="I1" s="197" t="s">
        <v>260</v>
      </c>
      <c r="J1" s="197" t="s">
        <v>261</v>
      </c>
      <c r="K1" s="197" t="s">
        <v>262</v>
      </c>
      <c r="L1" s="241" t="s">
        <v>432</v>
      </c>
      <c r="M1" s="197" t="s">
        <v>263</v>
      </c>
      <c r="N1" s="197" t="s">
        <v>145</v>
      </c>
    </row>
    <row r="2" spans="1:14">
      <c r="A2" s="247">
        <v>1</v>
      </c>
      <c r="B2" s="300">
        <v>23626</v>
      </c>
      <c r="C2" s="215">
        <v>40729</v>
      </c>
      <c r="D2" s="215">
        <v>40729</v>
      </c>
      <c r="E2" s="216" t="s">
        <v>1249</v>
      </c>
      <c r="F2" s="248">
        <v>8.5</v>
      </c>
      <c r="G2" s="215" t="s">
        <v>1256</v>
      </c>
      <c r="H2" s="216" t="s">
        <v>1251</v>
      </c>
      <c r="I2" s="166">
        <v>651</v>
      </c>
      <c r="J2" s="166" t="s">
        <v>1252</v>
      </c>
      <c r="K2" s="249">
        <v>13.05</v>
      </c>
      <c r="L2" s="301" t="s">
        <v>1276</v>
      </c>
      <c r="M2" s="166" t="s">
        <v>1258</v>
      </c>
      <c r="N2" s="217" t="s">
        <v>1259</v>
      </c>
    </row>
    <row r="3" spans="1:14">
      <c r="A3" s="247">
        <v>2</v>
      </c>
      <c r="B3" s="300">
        <v>28119</v>
      </c>
      <c r="C3" s="215">
        <v>44137</v>
      </c>
      <c r="D3" s="215">
        <v>44137</v>
      </c>
      <c r="E3" s="216" t="s">
        <v>1250</v>
      </c>
      <c r="F3" s="248">
        <v>10</v>
      </c>
      <c r="G3" s="215" t="s">
        <v>1257</v>
      </c>
      <c r="H3" s="216" t="s">
        <v>1251</v>
      </c>
      <c r="I3" s="166">
        <v>651</v>
      </c>
      <c r="J3" s="166" t="s">
        <v>1252</v>
      </c>
      <c r="K3" s="249">
        <v>11.44</v>
      </c>
      <c r="L3" s="301" t="s">
        <v>1276</v>
      </c>
      <c r="M3" s="166"/>
      <c r="N3" s="217" t="s">
        <v>1260</v>
      </c>
    </row>
    <row r="4" spans="1:14">
      <c r="A4" s="247">
        <v>3</v>
      </c>
      <c r="B4" s="300">
        <v>25373</v>
      </c>
      <c r="C4" s="215">
        <v>44228</v>
      </c>
      <c r="D4" s="215">
        <v>44228</v>
      </c>
      <c r="E4" s="216" t="s">
        <v>1249</v>
      </c>
      <c r="F4" s="248">
        <v>10</v>
      </c>
      <c r="G4" s="215" t="s">
        <v>1257</v>
      </c>
      <c r="H4" s="216" t="s">
        <v>1251</v>
      </c>
      <c r="I4" s="166">
        <v>651</v>
      </c>
      <c r="J4" s="166" t="s">
        <v>1252</v>
      </c>
      <c r="K4" s="249">
        <v>11.44</v>
      </c>
      <c r="L4" s="301" t="s">
        <v>1276</v>
      </c>
      <c r="M4" s="166" t="s">
        <v>1258</v>
      </c>
      <c r="N4" s="217" t="s">
        <v>1260</v>
      </c>
    </row>
    <row r="5" spans="1:14">
      <c r="A5" s="247">
        <v>4</v>
      </c>
      <c r="B5" s="300">
        <v>23625</v>
      </c>
      <c r="C5" s="215">
        <v>40633</v>
      </c>
      <c r="D5" s="215">
        <v>40633</v>
      </c>
      <c r="E5" s="216" t="s">
        <v>1249</v>
      </c>
      <c r="F5" s="248">
        <v>12.5</v>
      </c>
      <c r="G5" s="215" t="s">
        <v>1256</v>
      </c>
      <c r="H5" s="216" t="s">
        <v>1251</v>
      </c>
      <c r="I5" s="166">
        <v>651</v>
      </c>
      <c r="J5" s="166" t="s">
        <v>1252</v>
      </c>
      <c r="K5" s="249">
        <v>13.05</v>
      </c>
      <c r="L5" s="301" t="s">
        <v>1276</v>
      </c>
      <c r="M5" s="166" t="s">
        <v>1258</v>
      </c>
      <c r="N5" s="217" t="s">
        <v>1261</v>
      </c>
    </row>
    <row r="6" spans="1:14">
      <c r="A6" s="247">
        <v>5</v>
      </c>
      <c r="B6" s="300">
        <v>26948</v>
      </c>
      <c r="C6" s="215">
        <v>42233</v>
      </c>
      <c r="D6" s="215">
        <v>42233</v>
      </c>
      <c r="E6" s="216" t="s">
        <v>1249</v>
      </c>
      <c r="F6" s="248">
        <v>12.5</v>
      </c>
      <c r="G6" s="215" t="s">
        <v>1256</v>
      </c>
      <c r="H6" s="216" t="s">
        <v>1251</v>
      </c>
      <c r="I6" s="166">
        <v>651</v>
      </c>
      <c r="J6" s="166" t="s">
        <v>1252</v>
      </c>
      <c r="K6" s="249">
        <v>13.05</v>
      </c>
      <c r="L6" s="301" t="s">
        <v>1276</v>
      </c>
      <c r="M6" s="166" t="s">
        <v>1258</v>
      </c>
      <c r="N6" s="217" t="s">
        <v>1261</v>
      </c>
    </row>
    <row r="7" spans="1:14">
      <c r="A7" s="247">
        <v>6</v>
      </c>
      <c r="B7" s="300">
        <v>24282</v>
      </c>
      <c r="C7" s="215">
        <v>41275</v>
      </c>
      <c r="D7" s="215">
        <v>39678</v>
      </c>
      <c r="E7" s="216" t="s">
        <v>1249</v>
      </c>
      <c r="F7" s="248">
        <v>10</v>
      </c>
      <c r="G7" s="215" t="s">
        <v>1256</v>
      </c>
      <c r="H7" s="216" t="s">
        <v>1251</v>
      </c>
      <c r="I7" s="166">
        <v>651</v>
      </c>
      <c r="J7" s="166" t="s">
        <v>1252</v>
      </c>
      <c r="K7" s="249">
        <v>13.05</v>
      </c>
      <c r="L7" s="301" t="s">
        <v>1276</v>
      </c>
      <c r="M7" s="166" t="s">
        <v>1258</v>
      </c>
      <c r="N7" s="217" t="s">
        <v>1262</v>
      </c>
    </row>
    <row r="8" spans="1:14">
      <c r="A8" s="247">
        <v>7</v>
      </c>
      <c r="B8" s="300">
        <v>28988</v>
      </c>
      <c r="C8" s="215">
        <v>42996</v>
      </c>
      <c r="D8" s="215">
        <v>42996</v>
      </c>
      <c r="E8" s="216" t="s">
        <v>1249</v>
      </c>
      <c r="F8" s="248">
        <v>10</v>
      </c>
      <c r="G8" s="215" t="s">
        <v>1256</v>
      </c>
      <c r="H8" s="216" t="s">
        <v>1251</v>
      </c>
      <c r="I8" s="166">
        <v>651</v>
      </c>
      <c r="J8" s="166" t="s">
        <v>1252</v>
      </c>
      <c r="K8" s="249">
        <v>12.66</v>
      </c>
      <c r="L8" s="301" t="s">
        <v>1276</v>
      </c>
      <c r="M8" s="166" t="s">
        <v>1258</v>
      </c>
      <c r="N8" s="217" t="s">
        <v>1262</v>
      </c>
    </row>
    <row r="9" spans="1:14">
      <c r="A9" s="247">
        <v>8</v>
      </c>
      <c r="B9" s="300">
        <v>35958</v>
      </c>
      <c r="C9" s="215">
        <v>44137</v>
      </c>
      <c r="D9" s="215">
        <v>44137</v>
      </c>
      <c r="E9" s="216" t="s">
        <v>1250</v>
      </c>
      <c r="F9" s="248">
        <v>7.5</v>
      </c>
      <c r="G9" s="215" t="s">
        <v>1257</v>
      </c>
      <c r="H9" s="216" t="s">
        <v>1251</v>
      </c>
      <c r="I9" s="166">
        <v>651</v>
      </c>
      <c r="J9" s="166" t="s">
        <v>1252</v>
      </c>
      <c r="K9" s="249">
        <v>11.44</v>
      </c>
      <c r="L9" s="301" t="s">
        <v>1276</v>
      </c>
      <c r="M9" s="166"/>
      <c r="N9" s="217" t="s">
        <v>1262</v>
      </c>
    </row>
    <row r="10" spans="1:14">
      <c r="A10" s="247">
        <v>9</v>
      </c>
      <c r="B10" s="300">
        <v>22935</v>
      </c>
      <c r="C10" s="215">
        <v>41641</v>
      </c>
      <c r="D10" s="215">
        <v>40945</v>
      </c>
      <c r="E10" s="216" t="s">
        <v>1249</v>
      </c>
      <c r="F10" s="248">
        <v>2.75</v>
      </c>
      <c r="G10" s="215" t="s">
        <v>1256</v>
      </c>
      <c r="H10" s="216" t="s">
        <v>1251</v>
      </c>
      <c r="I10" s="166">
        <v>651</v>
      </c>
      <c r="J10" s="166" t="s">
        <v>1252</v>
      </c>
      <c r="K10" s="249">
        <v>13.05</v>
      </c>
      <c r="L10" s="301" t="s">
        <v>1276</v>
      </c>
      <c r="M10" s="166" t="s">
        <v>1258</v>
      </c>
      <c r="N10" s="217" t="s">
        <v>1263</v>
      </c>
    </row>
    <row r="11" spans="1:14">
      <c r="A11" s="247">
        <v>10</v>
      </c>
      <c r="B11" s="300">
        <v>27343</v>
      </c>
      <c r="C11" s="215">
        <v>42005</v>
      </c>
      <c r="D11" s="215">
        <v>38236</v>
      </c>
      <c r="E11" s="216" t="s">
        <v>1249</v>
      </c>
      <c r="F11" s="248">
        <v>16.25</v>
      </c>
      <c r="G11" s="215" t="s">
        <v>1256</v>
      </c>
      <c r="H11" s="216" t="s">
        <v>1251</v>
      </c>
      <c r="I11" s="166">
        <v>651</v>
      </c>
      <c r="J11" s="166" t="s">
        <v>1252</v>
      </c>
      <c r="K11" s="249">
        <v>13.05</v>
      </c>
      <c r="L11" s="301" t="s">
        <v>1276</v>
      </c>
      <c r="M11" s="166" t="s">
        <v>1258</v>
      </c>
      <c r="N11" s="217" t="s">
        <v>1263</v>
      </c>
    </row>
    <row r="12" spans="1:14">
      <c r="A12" s="247">
        <v>11</v>
      </c>
      <c r="B12" s="300">
        <v>22647</v>
      </c>
      <c r="C12" s="215">
        <v>42005</v>
      </c>
      <c r="D12" s="215">
        <v>39273</v>
      </c>
      <c r="E12" s="216" t="s">
        <v>1249</v>
      </c>
      <c r="F12" s="248">
        <v>17.5</v>
      </c>
      <c r="G12" s="215" t="s">
        <v>1256</v>
      </c>
      <c r="H12" s="216" t="s">
        <v>1251</v>
      </c>
      <c r="I12" s="166">
        <v>651</v>
      </c>
      <c r="J12" s="166" t="s">
        <v>1252</v>
      </c>
      <c r="K12" s="249">
        <v>13.05</v>
      </c>
      <c r="L12" s="301" t="s">
        <v>1276</v>
      </c>
      <c r="M12" s="166" t="s">
        <v>1258</v>
      </c>
      <c r="N12" s="217" t="s">
        <v>1264</v>
      </c>
    </row>
    <row r="13" spans="1:14">
      <c r="A13" s="247">
        <v>12</v>
      </c>
      <c r="B13" s="300">
        <v>23280</v>
      </c>
      <c r="C13" s="215">
        <v>42604</v>
      </c>
      <c r="D13" s="215">
        <v>36773</v>
      </c>
      <c r="E13" s="216" t="s">
        <v>1249</v>
      </c>
      <c r="F13" s="248">
        <v>7.5</v>
      </c>
      <c r="G13" s="215" t="s">
        <v>1256</v>
      </c>
      <c r="H13" s="216" t="s">
        <v>1251</v>
      </c>
      <c r="I13" s="166">
        <v>651</v>
      </c>
      <c r="J13" s="166" t="s">
        <v>1252</v>
      </c>
      <c r="K13" s="249">
        <v>13.05</v>
      </c>
      <c r="L13" s="301" t="s">
        <v>1276</v>
      </c>
      <c r="M13" s="166" t="s">
        <v>1258</v>
      </c>
      <c r="N13" s="217" t="s">
        <v>1264</v>
      </c>
    </row>
    <row r="14" spans="1:14">
      <c r="A14" s="247">
        <v>13</v>
      </c>
      <c r="B14" s="300">
        <v>27180</v>
      </c>
      <c r="C14" s="215">
        <v>42444</v>
      </c>
      <c r="D14" s="215">
        <v>42444</v>
      </c>
      <c r="E14" s="216" t="s">
        <v>1249</v>
      </c>
      <c r="F14" s="248">
        <v>7.5</v>
      </c>
      <c r="G14" s="215" t="s">
        <v>1256</v>
      </c>
      <c r="H14" s="216" t="s">
        <v>1251</v>
      </c>
      <c r="I14" s="166">
        <v>651</v>
      </c>
      <c r="J14" s="166" t="s">
        <v>1252</v>
      </c>
      <c r="K14" s="249">
        <v>13.05</v>
      </c>
      <c r="L14" s="301" t="s">
        <v>1276</v>
      </c>
      <c r="M14" s="166" t="s">
        <v>1258</v>
      </c>
      <c r="N14" s="217" t="s">
        <v>1265</v>
      </c>
    </row>
    <row r="15" spans="1:14">
      <c r="A15" s="247">
        <v>14</v>
      </c>
      <c r="B15" s="300">
        <v>20105</v>
      </c>
      <c r="C15" s="215">
        <v>42670</v>
      </c>
      <c r="D15" s="215">
        <v>42670</v>
      </c>
      <c r="E15" s="216" t="s">
        <v>1249</v>
      </c>
      <c r="F15" s="248">
        <v>7.5</v>
      </c>
      <c r="G15" s="215" t="s">
        <v>1256</v>
      </c>
      <c r="H15" s="216" t="s">
        <v>1251</v>
      </c>
      <c r="I15" s="166">
        <v>651</v>
      </c>
      <c r="J15" s="166" t="s">
        <v>1252</v>
      </c>
      <c r="K15" s="249">
        <v>13.05</v>
      </c>
      <c r="L15" s="301" t="s">
        <v>1276</v>
      </c>
      <c r="M15" s="166" t="s">
        <v>1258</v>
      </c>
      <c r="N15" s="217" t="s">
        <v>1266</v>
      </c>
    </row>
    <row r="16" spans="1:14">
      <c r="A16" s="247">
        <v>15</v>
      </c>
      <c r="B16" s="300">
        <v>28416</v>
      </c>
      <c r="C16" s="215">
        <v>43487</v>
      </c>
      <c r="D16" s="215">
        <v>43487</v>
      </c>
      <c r="E16" s="216" t="s">
        <v>1249</v>
      </c>
      <c r="F16" s="248">
        <v>12.5</v>
      </c>
      <c r="G16" s="215" t="s">
        <v>1256</v>
      </c>
      <c r="H16" s="216" t="s">
        <v>1251</v>
      </c>
      <c r="I16" s="166">
        <v>651</v>
      </c>
      <c r="J16" s="166" t="s">
        <v>1252</v>
      </c>
      <c r="K16" s="249">
        <v>12.28</v>
      </c>
      <c r="L16" s="301" t="s">
        <v>1276</v>
      </c>
      <c r="M16" s="166" t="s">
        <v>1258</v>
      </c>
      <c r="N16" s="217" t="s">
        <v>1266</v>
      </c>
    </row>
    <row r="17" spans="1:14">
      <c r="A17" s="247">
        <v>16</v>
      </c>
      <c r="B17" s="300">
        <v>32399</v>
      </c>
      <c r="C17" s="215">
        <v>43529</v>
      </c>
      <c r="D17" s="215">
        <v>43529</v>
      </c>
      <c r="E17" s="216" t="s">
        <v>1249</v>
      </c>
      <c r="F17" s="248">
        <v>12.5</v>
      </c>
      <c r="G17" s="215" t="s">
        <v>1256</v>
      </c>
      <c r="H17" s="216" t="s">
        <v>1251</v>
      </c>
      <c r="I17" s="166">
        <v>651</v>
      </c>
      <c r="J17" s="166" t="s">
        <v>1252</v>
      </c>
      <c r="K17" s="249">
        <v>12.28</v>
      </c>
      <c r="L17" s="301" t="s">
        <v>1276</v>
      </c>
      <c r="M17" s="166" t="s">
        <v>1258</v>
      </c>
      <c r="N17" s="217" t="s">
        <v>1266</v>
      </c>
    </row>
    <row r="18" spans="1:14">
      <c r="A18" s="247">
        <v>17</v>
      </c>
      <c r="B18" s="300">
        <v>22167</v>
      </c>
      <c r="C18" s="215">
        <v>43101</v>
      </c>
      <c r="D18" s="215">
        <v>42011</v>
      </c>
      <c r="E18" s="216" t="s">
        <v>1249</v>
      </c>
      <c r="F18" s="248">
        <v>6.25</v>
      </c>
      <c r="G18" s="215" t="s">
        <v>1256</v>
      </c>
      <c r="H18" s="216" t="s">
        <v>1251</v>
      </c>
      <c r="I18" s="166">
        <v>651</v>
      </c>
      <c r="J18" s="166" t="s">
        <v>1252</v>
      </c>
      <c r="K18" s="249">
        <v>13.05</v>
      </c>
      <c r="L18" s="301" t="s">
        <v>1276</v>
      </c>
      <c r="M18" s="166"/>
      <c r="N18" s="217" t="s">
        <v>1267</v>
      </c>
    </row>
    <row r="19" spans="1:14">
      <c r="A19" s="247">
        <v>18</v>
      </c>
      <c r="B19" s="300">
        <v>27064</v>
      </c>
      <c r="C19" s="215">
        <v>42443</v>
      </c>
      <c r="D19" s="215">
        <v>42443</v>
      </c>
      <c r="E19" s="216" t="s">
        <v>1249</v>
      </c>
      <c r="F19" s="248">
        <v>15.75</v>
      </c>
      <c r="G19" s="215" t="s">
        <v>1256</v>
      </c>
      <c r="H19" s="216" t="s">
        <v>1251</v>
      </c>
      <c r="I19" s="166">
        <v>651</v>
      </c>
      <c r="J19" s="166" t="s">
        <v>1252</v>
      </c>
      <c r="K19" s="249">
        <v>13.05</v>
      </c>
      <c r="L19" s="301" t="s">
        <v>1276</v>
      </c>
      <c r="M19" s="166" t="s">
        <v>1258</v>
      </c>
      <c r="N19" s="217" t="s">
        <v>1268</v>
      </c>
    </row>
    <row r="20" spans="1:14">
      <c r="A20" s="247">
        <v>19</v>
      </c>
      <c r="B20" s="300">
        <v>26354</v>
      </c>
      <c r="C20" s="215">
        <v>40889</v>
      </c>
      <c r="D20" s="215">
        <v>40889</v>
      </c>
      <c r="E20" s="216" t="s">
        <v>1249</v>
      </c>
      <c r="F20" s="248">
        <v>7.5</v>
      </c>
      <c r="G20" s="215" t="s">
        <v>1256</v>
      </c>
      <c r="H20" s="216" t="s">
        <v>1251</v>
      </c>
      <c r="I20" s="166">
        <v>651</v>
      </c>
      <c r="J20" s="166" t="s">
        <v>1252</v>
      </c>
      <c r="K20" s="249">
        <v>13.05</v>
      </c>
      <c r="L20" s="301" t="s">
        <v>1276</v>
      </c>
      <c r="M20" s="166" t="s">
        <v>1258</v>
      </c>
      <c r="N20" s="217" t="s">
        <v>1269</v>
      </c>
    </row>
    <row r="21" spans="1:14">
      <c r="A21" s="247">
        <v>20</v>
      </c>
      <c r="B21" s="300">
        <v>25486</v>
      </c>
      <c r="C21" s="215">
        <v>42005</v>
      </c>
      <c r="D21" s="215">
        <v>38679</v>
      </c>
      <c r="E21" s="216" t="s">
        <v>1249</v>
      </c>
      <c r="F21" s="248">
        <v>9</v>
      </c>
      <c r="G21" s="215" t="s">
        <v>1256</v>
      </c>
      <c r="H21" s="216" t="s">
        <v>1251</v>
      </c>
      <c r="I21" s="166">
        <v>651</v>
      </c>
      <c r="J21" s="166" t="s">
        <v>1252</v>
      </c>
      <c r="K21" s="249">
        <v>13.05</v>
      </c>
      <c r="L21" s="301" t="s">
        <v>1276</v>
      </c>
      <c r="M21" s="166" t="s">
        <v>1258</v>
      </c>
      <c r="N21" s="217" t="s">
        <v>1269</v>
      </c>
    </row>
    <row r="22" spans="1:14">
      <c r="A22" s="247">
        <v>21</v>
      </c>
      <c r="B22" s="300">
        <v>26956</v>
      </c>
      <c r="C22" s="215">
        <v>40784</v>
      </c>
      <c r="D22" s="215">
        <v>40784</v>
      </c>
      <c r="E22" s="216" t="s">
        <v>1249</v>
      </c>
      <c r="F22" s="248">
        <v>17.5</v>
      </c>
      <c r="G22" s="215" t="s">
        <v>1256</v>
      </c>
      <c r="H22" s="216" t="s">
        <v>1251</v>
      </c>
      <c r="I22" s="166">
        <v>651</v>
      </c>
      <c r="J22" s="166" t="s">
        <v>1252</v>
      </c>
      <c r="K22" s="249">
        <v>13.05</v>
      </c>
      <c r="L22" s="301" t="s">
        <v>1276</v>
      </c>
      <c r="M22" s="166" t="s">
        <v>1258</v>
      </c>
      <c r="N22" s="217" t="s">
        <v>1270</v>
      </c>
    </row>
    <row r="23" spans="1:14">
      <c r="A23" s="247">
        <v>22</v>
      </c>
      <c r="B23" s="300">
        <v>23452</v>
      </c>
      <c r="C23" s="215">
        <v>37863</v>
      </c>
      <c r="D23" s="215">
        <v>37863</v>
      </c>
      <c r="E23" s="216" t="s">
        <v>1249</v>
      </c>
      <c r="F23" s="248">
        <v>3.75</v>
      </c>
      <c r="G23" s="215" t="s">
        <v>1257</v>
      </c>
      <c r="H23" s="216" t="s">
        <v>1251</v>
      </c>
      <c r="I23" s="166">
        <v>651</v>
      </c>
      <c r="J23" s="166" t="s">
        <v>1253</v>
      </c>
      <c r="K23" s="249">
        <v>14.38</v>
      </c>
      <c r="L23" s="301" t="s">
        <v>1276</v>
      </c>
      <c r="M23" s="166"/>
      <c r="N23" s="217" t="s">
        <v>1270</v>
      </c>
    </row>
    <row r="24" spans="1:14">
      <c r="A24" s="247">
        <v>23</v>
      </c>
      <c r="B24" s="300">
        <v>24282</v>
      </c>
      <c r="C24" s="215">
        <v>41275</v>
      </c>
      <c r="D24" s="215">
        <v>39678</v>
      </c>
      <c r="E24" s="216" t="s">
        <v>1249</v>
      </c>
      <c r="F24" s="248">
        <v>10</v>
      </c>
      <c r="G24" s="215" t="s">
        <v>1256</v>
      </c>
      <c r="H24" s="216" t="s">
        <v>1251</v>
      </c>
      <c r="I24" s="166">
        <v>651</v>
      </c>
      <c r="J24" s="166" t="s">
        <v>1252</v>
      </c>
      <c r="K24" s="249">
        <v>13.05</v>
      </c>
      <c r="L24" s="301" t="s">
        <v>1276</v>
      </c>
      <c r="M24" s="166" t="s">
        <v>1258</v>
      </c>
      <c r="N24" s="217" t="s">
        <v>1270</v>
      </c>
    </row>
    <row r="25" spans="1:14">
      <c r="A25" s="247">
        <v>24</v>
      </c>
      <c r="B25" s="300">
        <v>22821</v>
      </c>
      <c r="C25" s="215">
        <v>42005</v>
      </c>
      <c r="D25" s="215">
        <v>38961</v>
      </c>
      <c r="E25" s="216" t="s">
        <v>1249</v>
      </c>
      <c r="F25" s="248">
        <v>16.25</v>
      </c>
      <c r="G25" s="215" t="s">
        <v>1256</v>
      </c>
      <c r="H25" s="216" t="s">
        <v>1251</v>
      </c>
      <c r="I25" s="166">
        <v>651</v>
      </c>
      <c r="J25" s="166" t="s">
        <v>1252</v>
      </c>
      <c r="K25" s="249">
        <v>13.05</v>
      </c>
      <c r="L25" s="301" t="s">
        <v>1276</v>
      </c>
      <c r="M25" s="166" t="s">
        <v>1258</v>
      </c>
      <c r="N25" s="217" t="s">
        <v>1270</v>
      </c>
    </row>
    <row r="26" spans="1:14">
      <c r="A26" s="247">
        <v>25</v>
      </c>
      <c r="B26" s="300">
        <v>25181</v>
      </c>
      <c r="C26" s="215">
        <v>42005</v>
      </c>
      <c r="D26" s="215">
        <v>40826</v>
      </c>
      <c r="E26" s="216" t="s">
        <v>1249</v>
      </c>
      <c r="F26" s="248">
        <v>10</v>
      </c>
      <c r="G26" s="215" t="s">
        <v>1256</v>
      </c>
      <c r="H26" s="216" t="s">
        <v>1251</v>
      </c>
      <c r="I26" s="166">
        <v>651</v>
      </c>
      <c r="J26" s="166" t="s">
        <v>1252</v>
      </c>
      <c r="K26" s="249">
        <v>13.05</v>
      </c>
      <c r="L26" s="301" t="s">
        <v>1276</v>
      </c>
      <c r="M26" s="166" t="s">
        <v>1258</v>
      </c>
      <c r="N26" s="217" t="s">
        <v>1270</v>
      </c>
    </row>
    <row r="27" spans="1:14">
      <c r="A27" s="247">
        <v>26</v>
      </c>
      <c r="B27" s="300">
        <v>27030</v>
      </c>
      <c r="C27" s="215">
        <v>42005</v>
      </c>
      <c r="D27" s="215">
        <v>41458</v>
      </c>
      <c r="E27" s="216" t="s">
        <v>1249</v>
      </c>
      <c r="F27" s="248">
        <v>10</v>
      </c>
      <c r="G27" s="215" t="s">
        <v>1256</v>
      </c>
      <c r="H27" s="216" t="s">
        <v>1251</v>
      </c>
      <c r="I27" s="166">
        <v>651</v>
      </c>
      <c r="J27" s="166" t="s">
        <v>1252</v>
      </c>
      <c r="K27" s="249">
        <v>13.05</v>
      </c>
      <c r="L27" s="301" t="s">
        <v>1276</v>
      </c>
      <c r="M27" s="166" t="s">
        <v>1258</v>
      </c>
      <c r="N27" s="217" t="s">
        <v>1270</v>
      </c>
    </row>
    <row r="28" spans="1:14">
      <c r="A28" s="247">
        <v>27</v>
      </c>
      <c r="B28" s="300">
        <v>25251</v>
      </c>
      <c r="C28" s="215">
        <v>42685</v>
      </c>
      <c r="D28" s="215">
        <v>42685</v>
      </c>
      <c r="E28" s="216" t="s">
        <v>1249</v>
      </c>
      <c r="F28" s="248">
        <v>8</v>
      </c>
      <c r="G28" s="215" t="s">
        <v>1256</v>
      </c>
      <c r="H28" s="216" t="s">
        <v>1251</v>
      </c>
      <c r="I28" s="166">
        <v>651</v>
      </c>
      <c r="J28" s="166" t="s">
        <v>1252</v>
      </c>
      <c r="K28" s="249">
        <v>13.05</v>
      </c>
      <c r="L28" s="301" t="s">
        <v>1276</v>
      </c>
      <c r="M28" s="166" t="s">
        <v>1258</v>
      </c>
      <c r="N28" s="217" t="s">
        <v>1270</v>
      </c>
    </row>
    <row r="29" spans="1:14">
      <c r="A29" s="247">
        <v>28</v>
      </c>
      <c r="B29" s="300">
        <v>33960</v>
      </c>
      <c r="C29" s="215">
        <v>42800</v>
      </c>
      <c r="D29" s="215">
        <v>42696</v>
      </c>
      <c r="E29" s="216" t="s">
        <v>1249</v>
      </c>
      <c r="F29" s="248">
        <v>11.25</v>
      </c>
      <c r="G29" s="215" t="s">
        <v>1256</v>
      </c>
      <c r="H29" s="216" t="s">
        <v>1251</v>
      </c>
      <c r="I29" s="166">
        <v>651</v>
      </c>
      <c r="J29" s="166" t="s">
        <v>1252</v>
      </c>
      <c r="K29" s="249">
        <v>13.05</v>
      </c>
      <c r="L29" s="301" t="s">
        <v>1276</v>
      </c>
      <c r="M29" s="166" t="s">
        <v>1258</v>
      </c>
      <c r="N29" s="217" t="s">
        <v>1270</v>
      </c>
    </row>
    <row r="30" spans="1:14">
      <c r="A30" s="247">
        <v>29</v>
      </c>
      <c r="B30" s="300">
        <v>28988</v>
      </c>
      <c r="C30" s="215">
        <v>42996</v>
      </c>
      <c r="D30" s="215">
        <v>42996</v>
      </c>
      <c r="E30" s="216" t="s">
        <v>1249</v>
      </c>
      <c r="F30" s="248">
        <v>10</v>
      </c>
      <c r="G30" s="215" t="s">
        <v>1256</v>
      </c>
      <c r="H30" s="216" t="s">
        <v>1251</v>
      </c>
      <c r="I30" s="166">
        <v>651</v>
      </c>
      <c r="J30" s="166" t="s">
        <v>1252</v>
      </c>
      <c r="K30" s="249">
        <v>12.66</v>
      </c>
      <c r="L30" s="301" t="s">
        <v>1276</v>
      </c>
      <c r="M30" s="166" t="s">
        <v>1258</v>
      </c>
      <c r="N30" s="217" t="s">
        <v>1270</v>
      </c>
    </row>
    <row r="31" spans="1:14">
      <c r="A31" s="247">
        <v>30</v>
      </c>
      <c r="B31" s="300">
        <v>36629</v>
      </c>
      <c r="C31" s="215">
        <v>43717</v>
      </c>
      <c r="D31" s="215">
        <v>43717</v>
      </c>
      <c r="E31" s="216" t="s">
        <v>1249</v>
      </c>
      <c r="F31" s="248">
        <v>10</v>
      </c>
      <c r="G31" s="215" t="s">
        <v>1256</v>
      </c>
      <c r="H31" s="216" t="s">
        <v>1251</v>
      </c>
      <c r="I31" s="166">
        <v>651</v>
      </c>
      <c r="J31" s="166" t="s">
        <v>1252</v>
      </c>
      <c r="K31" s="249">
        <v>11.44</v>
      </c>
      <c r="L31" s="301" t="s">
        <v>1276</v>
      </c>
      <c r="M31" s="166"/>
      <c r="N31" s="217" t="s">
        <v>1270</v>
      </c>
    </row>
    <row r="32" spans="1:14">
      <c r="A32" s="247">
        <v>31</v>
      </c>
      <c r="B32" s="300">
        <v>21051</v>
      </c>
      <c r="C32" s="215">
        <v>38961</v>
      </c>
      <c r="D32" s="215">
        <v>34050</v>
      </c>
      <c r="E32" s="216" t="s">
        <v>1249</v>
      </c>
      <c r="F32" s="248">
        <v>10</v>
      </c>
      <c r="G32" s="215" t="s">
        <v>1256</v>
      </c>
      <c r="H32" s="216" t="s">
        <v>1251</v>
      </c>
      <c r="I32" s="166">
        <v>651</v>
      </c>
      <c r="J32" s="166" t="s">
        <v>1252</v>
      </c>
      <c r="K32" s="249">
        <v>13.05</v>
      </c>
      <c r="L32" s="301" t="s">
        <v>1276</v>
      </c>
      <c r="M32" s="166"/>
      <c r="N32" s="217" t="s">
        <v>1271</v>
      </c>
    </row>
    <row r="33" spans="1:14">
      <c r="A33" s="247">
        <v>32</v>
      </c>
      <c r="B33" s="300">
        <v>30877</v>
      </c>
      <c r="C33" s="215">
        <v>43738</v>
      </c>
      <c r="D33" s="215">
        <v>43738</v>
      </c>
      <c r="E33" s="216" t="s">
        <v>1249</v>
      </c>
      <c r="F33" s="248">
        <v>18.75</v>
      </c>
      <c r="G33" s="215" t="s">
        <v>1256</v>
      </c>
      <c r="H33" s="216" t="s">
        <v>1251</v>
      </c>
      <c r="I33" s="166">
        <v>651</v>
      </c>
      <c r="J33" s="166" t="s">
        <v>1252</v>
      </c>
      <c r="K33" s="249">
        <v>11.85</v>
      </c>
      <c r="L33" s="301" t="s">
        <v>1276</v>
      </c>
      <c r="M33" s="166" t="s">
        <v>1258</v>
      </c>
      <c r="N33" s="217" t="s">
        <v>1271</v>
      </c>
    </row>
    <row r="34" spans="1:14">
      <c r="A34" s="247">
        <v>33</v>
      </c>
      <c r="B34" s="300">
        <v>34346</v>
      </c>
      <c r="C34" s="215">
        <v>43586</v>
      </c>
      <c r="D34" s="215">
        <v>42919</v>
      </c>
      <c r="E34" s="216" t="s">
        <v>1249</v>
      </c>
      <c r="F34" s="248">
        <v>10</v>
      </c>
      <c r="G34" s="215" t="s">
        <v>1256</v>
      </c>
      <c r="H34" s="216" t="s">
        <v>1251</v>
      </c>
      <c r="I34" s="166">
        <v>651</v>
      </c>
      <c r="J34" s="166" t="s">
        <v>1254</v>
      </c>
      <c r="K34" s="249">
        <v>5.31</v>
      </c>
      <c r="L34" s="301" t="s">
        <v>1276</v>
      </c>
      <c r="M34" s="166" t="s">
        <v>1258</v>
      </c>
      <c r="N34" s="217" t="s">
        <v>1271</v>
      </c>
    </row>
    <row r="35" spans="1:14">
      <c r="A35" s="247">
        <v>34</v>
      </c>
      <c r="B35" s="300">
        <v>35085</v>
      </c>
      <c r="C35" s="215">
        <v>44287</v>
      </c>
      <c r="D35" s="215">
        <v>44287</v>
      </c>
      <c r="E35" s="216" t="s">
        <v>1250</v>
      </c>
      <c r="F35" s="248">
        <v>6.5</v>
      </c>
      <c r="G35" s="215" t="s">
        <v>1257</v>
      </c>
      <c r="H35" s="216" t="s">
        <v>1251</v>
      </c>
      <c r="I35" s="166">
        <v>651</v>
      </c>
      <c r="J35" s="166" t="s">
        <v>1255</v>
      </c>
      <c r="K35" s="249">
        <v>10.24</v>
      </c>
      <c r="L35" s="301" t="s">
        <v>1276</v>
      </c>
      <c r="M35" s="166"/>
      <c r="N35" s="217" t="s">
        <v>1271</v>
      </c>
    </row>
    <row r="36" spans="1:14">
      <c r="A36" s="247">
        <v>35</v>
      </c>
      <c r="B36" s="300">
        <v>26558</v>
      </c>
      <c r="C36" s="215">
        <v>40665</v>
      </c>
      <c r="D36" s="215">
        <v>40665</v>
      </c>
      <c r="E36" s="216" t="s">
        <v>1249</v>
      </c>
      <c r="F36" s="248">
        <v>10.75</v>
      </c>
      <c r="G36" s="215" t="s">
        <v>1256</v>
      </c>
      <c r="H36" s="216" t="s">
        <v>1251</v>
      </c>
      <c r="I36" s="166">
        <v>651</v>
      </c>
      <c r="J36" s="166" t="s">
        <v>1252</v>
      </c>
      <c r="K36" s="249">
        <v>13.05</v>
      </c>
      <c r="L36" s="301" t="s">
        <v>1276</v>
      </c>
      <c r="M36" s="166"/>
      <c r="N36" s="217" t="s">
        <v>1272</v>
      </c>
    </row>
    <row r="37" spans="1:14">
      <c r="A37" s="247">
        <v>36</v>
      </c>
      <c r="B37" s="300">
        <v>29136</v>
      </c>
      <c r="C37" s="215">
        <v>42684</v>
      </c>
      <c r="D37" s="215">
        <v>42684</v>
      </c>
      <c r="E37" s="216" t="s">
        <v>1249</v>
      </c>
      <c r="F37" s="248">
        <v>2.5</v>
      </c>
      <c r="G37" s="215" t="s">
        <v>1257</v>
      </c>
      <c r="H37" s="216" t="s">
        <v>1251</v>
      </c>
      <c r="I37" s="166">
        <v>651</v>
      </c>
      <c r="J37" s="166" t="s">
        <v>1252</v>
      </c>
      <c r="K37" s="249">
        <v>13.05</v>
      </c>
      <c r="L37" s="301" t="s">
        <v>1276</v>
      </c>
      <c r="M37" s="166" t="s">
        <v>1258</v>
      </c>
      <c r="N37" s="217" t="s">
        <v>1273</v>
      </c>
    </row>
    <row r="38" spans="1:14">
      <c r="A38" s="247">
        <v>37</v>
      </c>
      <c r="B38" s="300">
        <v>22167</v>
      </c>
      <c r="C38" s="215">
        <v>43101</v>
      </c>
      <c r="D38" s="215">
        <v>42011</v>
      </c>
      <c r="E38" s="216" t="s">
        <v>1249</v>
      </c>
      <c r="F38" s="248">
        <v>2.25</v>
      </c>
      <c r="G38" s="215" t="s">
        <v>1256</v>
      </c>
      <c r="H38" s="216" t="s">
        <v>1251</v>
      </c>
      <c r="I38" s="166">
        <v>651</v>
      </c>
      <c r="J38" s="166" t="s">
        <v>1252</v>
      </c>
      <c r="K38" s="249">
        <v>13.05</v>
      </c>
      <c r="L38" s="301" t="s">
        <v>1276</v>
      </c>
      <c r="M38" s="166"/>
      <c r="N38" s="217" t="s">
        <v>1274</v>
      </c>
    </row>
    <row r="39" spans="1:14">
      <c r="A39" s="247">
        <v>38</v>
      </c>
      <c r="B39" s="300">
        <v>21202</v>
      </c>
      <c r="C39" s="215">
        <v>41575</v>
      </c>
      <c r="D39" s="215">
        <v>41575</v>
      </c>
      <c r="E39" s="216" t="s">
        <v>1249</v>
      </c>
      <c r="F39" s="248">
        <v>2.25</v>
      </c>
      <c r="G39" s="215" t="s">
        <v>1256</v>
      </c>
      <c r="H39" s="216" t="s">
        <v>1251</v>
      </c>
      <c r="I39" s="166">
        <v>651</v>
      </c>
      <c r="J39" s="166" t="s">
        <v>1252</v>
      </c>
      <c r="K39" s="249">
        <v>13.05</v>
      </c>
      <c r="L39" s="301" t="s">
        <v>1276</v>
      </c>
      <c r="M39" s="166" t="s">
        <v>1258</v>
      </c>
      <c r="N39" s="217" t="s">
        <v>1275</v>
      </c>
    </row>
  </sheetData>
  <autoFilter ref="A1:N1" xr:uid="{A5DEB281-D80A-47A4-985E-227C43A487FC}"/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S175"/>
  <sheetViews>
    <sheetView view="pageBreakPreview" zoomScaleNormal="100" zoomScaleSheetLayoutView="100" workbookViewId="0">
      <selection activeCell="B19" sqref="B19"/>
    </sheetView>
  </sheetViews>
  <sheetFormatPr defaultColWidth="14.1328125" defaultRowHeight="15" customHeight="1"/>
  <cols>
    <col min="1" max="1" width="14.1328125" style="5"/>
    <col min="2" max="2" width="44.86328125" style="2" customWidth="1"/>
    <col min="3" max="3" width="14.1328125" style="2"/>
    <col min="4" max="4" width="32.59765625" style="7" customWidth="1"/>
    <col min="5" max="5" width="12.1328125" style="2" bestFit="1" customWidth="1"/>
    <col min="6" max="6" width="30.265625" style="2" customWidth="1"/>
    <col min="7" max="7" width="14.1328125" style="6"/>
    <col min="8" max="8" width="14.1328125" style="2"/>
    <col min="9" max="9" width="14.1328125" style="5"/>
    <col min="10" max="14" width="14.1328125" style="1"/>
    <col min="15" max="16384" width="14.1328125" style="2"/>
  </cols>
  <sheetData>
    <row r="1" spans="1:15" s="9" customFormat="1" ht="24" customHeight="1">
      <c r="A1" s="342" t="s">
        <v>120</v>
      </c>
      <c r="B1" s="342"/>
      <c r="C1" s="342"/>
      <c r="D1" s="342"/>
      <c r="E1" s="342"/>
      <c r="F1" s="342"/>
      <c r="G1" s="72"/>
      <c r="H1" s="72"/>
      <c r="I1" s="72"/>
      <c r="J1" s="72"/>
      <c r="K1" s="72"/>
      <c r="L1" s="72"/>
    </row>
    <row r="2" spans="1:15" s="9" customFormat="1" ht="15" customHeight="1">
      <c r="A2" s="340" t="s">
        <v>215</v>
      </c>
      <c r="B2" s="341"/>
      <c r="C2" s="341"/>
      <c r="D2" s="341"/>
      <c r="E2" s="341"/>
      <c r="F2" s="341"/>
      <c r="G2" s="118"/>
      <c r="H2" s="118"/>
      <c r="I2" s="118"/>
      <c r="J2" s="118"/>
      <c r="K2" s="118"/>
      <c r="L2" s="118"/>
      <c r="M2" s="118"/>
    </row>
    <row r="3" spans="1:15" s="63" customFormat="1" ht="15" customHeight="1">
      <c r="A3" s="64"/>
      <c r="E3" s="83"/>
      <c r="F3" s="83"/>
      <c r="H3" s="84"/>
      <c r="J3" s="85"/>
      <c r="K3" s="64"/>
      <c r="L3" s="64"/>
      <c r="M3" s="64"/>
      <c r="N3" s="64"/>
      <c r="O3" s="64"/>
    </row>
    <row r="4" spans="1:15" s="63" customFormat="1" ht="15" customHeight="1">
      <c r="A4" s="64"/>
      <c r="E4" s="83"/>
      <c r="F4" s="83"/>
      <c r="H4" s="84"/>
      <c r="J4" s="85"/>
      <c r="K4" s="64"/>
      <c r="L4" s="64"/>
      <c r="M4" s="64"/>
      <c r="N4" s="64"/>
      <c r="O4" s="64"/>
    </row>
    <row r="5" spans="1:15" s="63" customFormat="1" ht="26.25" customHeight="1">
      <c r="A5" s="86" t="s">
        <v>238</v>
      </c>
      <c r="B5" s="86"/>
      <c r="C5" s="86"/>
      <c r="D5" s="86"/>
      <c r="E5" s="78"/>
      <c r="F5" s="78"/>
      <c r="H5" s="84"/>
      <c r="J5" s="85"/>
      <c r="K5" s="64"/>
      <c r="L5" s="64"/>
      <c r="M5" s="64"/>
      <c r="N5" s="64"/>
      <c r="O5" s="64"/>
    </row>
    <row r="6" spans="1:15" s="63" customFormat="1" ht="22.9" thickBot="1">
      <c r="A6" s="112" t="s">
        <v>34</v>
      </c>
      <c r="B6" s="113" t="s">
        <v>145</v>
      </c>
      <c r="C6" s="110" t="s">
        <v>108</v>
      </c>
      <c r="D6" s="114" t="s">
        <v>68</v>
      </c>
      <c r="E6" s="115" t="s">
        <v>67</v>
      </c>
      <c r="F6" s="4" t="s">
        <v>30</v>
      </c>
      <c r="H6" s="84"/>
      <c r="J6" s="85"/>
      <c r="K6" s="64"/>
      <c r="L6" s="64"/>
      <c r="M6" s="64"/>
      <c r="N6" s="64"/>
      <c r="O6" s="64"/>
    </row>
    <row r="7" spans="1:15" s="63" customFormat="1" ht="15" customHeight="1" thickTop="1">
      <c r="A7" s="254">
        <v>1</v>
      </c>
      <c r="B7" s="288" t="s">
        <v>1152</v>
      </c>
      <c r="C7" s="111">
        <v>1</v>
      </c>
      <c r="D7" s="252" t="s">
        <v>1116</v>
      </c>
      <c r="E7" s="252" t="s">
        <v>1117</v>
      </c>
      <c r="F7" s="252" t="s">
        <v>1118</v>
      </c>
      <c r="H7" s="84"/>
      <c r="J7" s="85"/>
      <c r="K7" s="64"/>
      <c r="L7" s="64"/>
      <c r="M7" s="64"/>
      <c r="N7" s="64"/>
      <c r="O7" s="64"/>
    </row>
    <row r="8" spans="1:15" s="63" customFormat="1" ht="15" customHeight="1">
      <c r="A8" s="254">
        <v>2</v>
      </c>
      <c r="B8" s="288" t="s">
        <v>1153</v>
      </c>
      <c r="C8" s="111">
        <v>1</v>
      </c>
      <c r="D8" s="252" t="s">
        <v>1119</v>
      </c>
      <c r="E8" s="253" t="s">
        <v>1120</v>
      </c>
      <c r="F8" s="253" t="s">
        <v>1118</v>
      </c>
      <c r="H8" s="84"/>
      <c r="J8" s="85"/>
      <c r="K8" s="64"/>
      <c r="L8" s="64"/>
      <c r="M8" s="64"/>
      <c r="N8" s="64"/>
      <c r="O8" s="64"/>
    </row>
    <row r="9" spans="1:15" s="63" customFormat="1" ht="15" customHeight="1">
      <c r="A9" s="254">
        <v>3</v>
      </c>
      <c r="B9" s="288" t="s">
        <v>1154</v>
      </c>
      <c r="C9" s="111">
        <v>1</v>
      </c>
      <c r="D9" s="252" t="s">
        <v>1121</v>
      </c>
      <c r="E9" s="253" t="s">
        <v>1122</v>
      </c>
      <c r="F9" s="253" t="s">
        <v>1118</v>
      </c>
      <c r="H9" s="255"/>
      <c r="J9" s="85"/>
      <c r="K9" s="64"/>
      <c r="L9" s="64"/>
      <c r="M9" s="64"/>
      <c r="N9" s="64"/>
      <c r="O9" s="64"/>
    </row>
    <row r="10" spans="1:15" s="63" customFormat="1" ht="15" customHeight="1">
      <c r="A10" s="254">
        <v>4</v>
      </c>
      <c r="B10" s="251" t="s">
        <v>445</v>
      </c>
      <c r="C10" s="111">
        <v>1</v>
      </c>
      <c r="D10" s="252" t="s">
        <v>1123</v>
      </c>
      <c r="E10" s="253" t="s">
        <v>1124</v>
      </c>
      <c r="F10" s="253" t="s">
        <v>1125</v>
      </c>
      <c r="H10" s="84"/>
      <c r="J10" s="85"/>
      <c r="K10" s="64"/>
      <c r="L10" s="64"/>
      <c r="M10" s="64"/>
      <c r="N10" s="64"/>
      <c r="O10" s="64"/>
    </row>
    <row r="11" spans="1:15" s="63" customFormat="1" ht="15" customHeight="1">
      <c r="A11" s="254">
        <v>5</v>
      </c>
      <c r="B11" s="288" t="s">
        <v>1155</v>
      </c>
      <c r="C11" s="111">
        <v>1</v>
      </c>
      <c r="D11" s="252" t="s">
        <v>1126</v>
      </c>
      <c r="E11" s="253" t="s">
        <v>1127</v>
      </c>
      <c r="F11" s="253" t="s">
        <v>1128</v>
      </c>
      <c r="H11" s="84"/>
      <c r="J11" s="85"/>
      <c r="K11" s="64"/>
      <c r="L11" s="64"/>
      <c r="M11" s="64"/>
      <c r="N11" s="64"/>
      <c r="O11" s="64"/>
    </row>
    <row r="12" spans="1:15" s="63" customFormat="1" ht="15" customHeight="1">
      <c r="A12" s="254">
        <v>6</v>
      </c>
      <c r="B12" s="288" t="s">
        <v>1156</v>
      </c>
      <c r="C12" s="111">
        <v>1</v>
      </c>
      <c r="D12" s="252" t="s">
        <v>1129</v>
      </c>
      <c r="E12" s="262" t="s">
        <v>1130</v>
      </c>
      <c r="F12" s="262" t="s">
        <v>1118</v>
      </c>
      <c r="H12" s="84"/>
      <c r="J12" s="85"/>
      <c r="K12" s="64"/>
      <c r="L12" s="64"/>
      <c r="M12" s="64"/>
      <c r="N12" s="64"/>
      <c r="O12" s="64"/>
    </row>
    <row r="13" spans="1:15" s="63" customFormat="1" ht="15" customHeight="1">
      <c r="A13" s="254">
        <v>7</v>
      </c>
      <c r="B13" s="288" t="s">
        <v>1157</v>
      </c>
      <c r="C13" s="111">
        <v>1</v>
      </c>
      <c r="D13" s="252" t="s">
        <v>1131</v>
      </c>
      <c r="E13" s="253" t="s">
        <v>1132</v>
      </c>
      <c r="F13" s="253" t="s">
        <v>1125</v>
      </c>
      <c r="H13" s="84"/>
      <c r="J13" s="85"/>
      <c r="K13" s="64"/>
      <c r="L13" s="64"/>
      <c r="M13" s="64"/>
      <c r="N13" s="64"/>
      <c r="O13" s="64"/>
    </row>
    <row r="14" spans="1:15" s="63" customFormat="1" ht="15" customHeight="1">
      <c r="A14" s="254">
        <v>8</v>
      </c>
      <c r="B14" s="288" t="s">
        <v>1158</v>
      </c>
      <c r="C14" s="111">
        <v>1</v>
      </c>
      <c r="D14" s="252" t="s">
        <v>1133</v>
      </c>
      <c r="E14" s="253" t="s">
        <v>1134</v>
      </c>
      <c r="F14" s="253" t="s">
        <v>1128</v>
      </c>
      <c r="H14" s="84"/>
      <c r="J14" s="85"/>
      <c r="K14" s="64"/>
      <c r="L14" s="64"/>
      <c r="M14" s="64"/>
      <c r="N14" s="64"/>
      <c r="O14" s="64"/>
    </row>
    <row r="15" spans="1:15" s="63" customFormat="1" ht="15" customHeight="1">
      <c r="A15" s="254">
        <v>9</v>
      </c>
      <c r="B15" s="288" t="s">
        <v>1165</v>
      </c>
      <c r="C15" s="111">
        <v>1</v>
      </c>
      <c r="D15" s="252" t="s">
        <v>1135</v>
      </c>
      <c r="E15" s="253" t="s">
        <v>1136</v>
      </c>
      <c r="F15" s="253" t="s">
        <v>1125</v>
      </c>
      <c r="H15" s="84"/>
      <c r="J15" s="85"/>
      <c r="K15" s="64"/>
      <c r="L15" s="64"/>
      <c r="M15" s="64"/>
      <c r="N15" s="64"/>
      <c r="O15" s="64"/>
    </row>
    <row r="16" spans="1:15" s="63" customFormat="1" ht="15" customHeight="1">
      <c r="A16" s="254">
        <v>10</v>
      </c>
      <c r="B16" s="288" t="s">
        <v>1159</v>
      </c>
      <c r="C16" s="111">
        <v>1</v>
      </c>
      <c r="D16" s="252" t="s">
        <v>1160</v>
      </c>
      <c r="E16" s="253" t="s">
        <v>1137</v>
      </c>
      <c r="F16" s="253" t="s">
        <v>1125</v>
      </c>
      <c r="H16" s="84"/>
      <c r="J16" s="85"/>
      <c r="K16" s="64"/>
      <c r="L16" s="64"/>
      <c r="M16" s="64"/>
      <c r="N16" s="64"/>
      <c r="O16" s="64"/>
    </row>
    <row r="17" spans="1:15" s="63" customFormat="1" ht="15" customHeight="1">
      <c r="A17" s="254">
        <v>11</v>
      </c>
      <c r="B17" s="288" t="s">
        <v>1164</v>
      </c>
      <c r="C17" s="111">
        <v>1</v>
      </c>
      <c r="D17" s="252" t="s">
        <v>1138</v>
      </c>
      <c r="E17" s="253" t="s">
        <v>1139</v>
      </c>
      <c r="F17" s="253" t="s">
        <v>1125</v>
      </c>
      <c r="H17" s="84"/>
      <c r="J17" s="85"/>
      <c r="K17" s="64"/>
      <c r="L17" s="64"/>
      <c r="M17" s="64"/>
      <c r="N17" s="64"/>
      <c r="O17" s="64"/>
    </row>
    <row r="18" spans="1:15" s="63" customFormat="1" ht="15" customHeight="1">
      <c r="A18" s="254">
        <v>12</v>
      </c>
      <c r="B18" s="288" t="s">
        <v>1163</v>
      </c>
      <c r="C18" s="111">
        <v>1</v>
      </c>
      <c r="D18" s="252" t="s">
        <v>1140</v>
      </c>
      <c r="E18" s="253" t="s">
        <v>1141</v>
      </c>
      <c r="F18" s="253" t="s">
        <v>1118</v>
      </c>
      <c r="H18" s="84"/>
      <c r="J18" s="85"/>
      <c r="K18" s="64"/>
      <c r="L18" s="64"/>
      <c r="M18" s="64"/>
      <c r="N18" s="64"/>
      <c r="O18" s="64"/>
    </row>
    <row r="19" spans="1:15" s="63" customFormat="1" ht="15" customHeight="1">
      <c r="A19" s="254">
        <v>13</v>
      </c>
      <c r="B19" s="288" t="s">
        <v>1161</v>
      </c>
      <c r="C19" s="111">
        <v>1</v>
      </c>
      <c r="D19" s="252" t="s">
        <v>1142</v>
      </c>
      <c r="E19" s="253" t="s">
        <v>1143</v>
      </c>
      <c r="F19" s="253" t="s">
        <v>1125</v>
      </c>
      <c r="H19" s="84"/>
      <c r="J19" s="85"/>
      <c r="K19" s="64"/>
      <c r="L19" s="64"/>
      <c r="M19" s="64"/>
      <c r="N19" s="64"/>
      <c r="O19" s="64"/>
    </row>
    <row r="20" spans="1:15" s="63" customFormat="1" ht="15" customHeight="1">
      <c r="A20" s="254">
        <v>14</v>
      </c>
      <c r="B20" s="251" t="s">
        <v>443</v>
      </c>
      <c r="C20" s="111">
        <v>1</v>
      </c>
      <c r="D20" s="252" t="s">
        <v>1144</v>
      </c>
      <c r="E20" s="253" t="s">
        <v>1145</v>
      </c>
      <c r="F20" s="253" t="s">
        <v>1146</v>
      </c>
      <c r="H20" s="84"/>
      <c r="J20" s="85"/>
      <c r="K20" s="64"/>
      <c r="L20" s="64"/>
      <c r="M20" s="64"/>
      <c r="N20" s="64"/>
      <c r="O20" s="64"/>
    </row>
    <row r="21" spans="1:15" s="63" customFormat="1" ht="15" customHeight="1">
      <c r="A21" s="254">
        <v>15</v>
      </c>
      <c r="B21" s="288" t="s">
        <v>444</v>
      </c>
      <c r="C21" s="111">
        <v>1</v>
      </c>
      <c r="D21" s="252" t="s">
        <v>1116</v>
      </c>
      <c r="E21" s="253" t="s">
        <v>1147</v>
      </c>
      <c r="F21" s="253" t="s">
        <v>1118</v>
      </c>
      <c r="H21" s="84"/>
      <c r="J21" s="85"/>
      <c r="K21" s="64"/>
      <c r="L21" s="64"/>
      <c r="M21" s="64"/>
      <c r="N21" s="64"/>
      <c r="O21" s="64"/>
    </row>
    <row r="22" spans="1:15" s="63" customFormat="1" ht="15" customHeight="1">
      <c r="A22" s="254">
        <v>16</v>
      </c>
      <c r="B22" s="288" t="s">
        <v>1162</v>
      </c>
      <c r="C22" s="111">
        <v>1</v>
      </c>
      <c r="D22" s="252" t="s">
        <v>1148</v>
      </c>
      <c r="E22" s="253" t="s">
        <v>1149</v>
      </c>
      <c r="F22" s="253" t="s">
        <v>1125</v>
      </c>
      <c r="H22" s="84"/>
      <c r="J22" s="85"/>
      <c r="K22" s="64"/>
      <c r="L22" s="64"/>
      <c r="M22" s="64"/>
      <c r="N22" s="64"/>
      <c r="O22" s="64"/>
    </row>
    <row r="23" spans="1:15" s="63" customFormat="1" ht="15" customHeight="1">
      <c r="A23" s="254">
        <v>17</v>
      </c>
      <c r="B23" s="251" t="s">
        <v>1113</v>
      </c>
      <c r="C23" s="111">
        <v>1</v>
      </c>
      <c r="D23" s="252" t="s">
        <v>1150</v>
      </c>
      <c r="E23" s="253" t="s">
        <v>1151</v>
      </c>
      <c r="F23" s="253" t="s">
        <v>1128</v>
      </c>
      <c r="H23" s="84"/>
      <c r="J23" s="85"/>
      <c r="K23" s="64"/>
      <c r="L23" s="64"/>
      <c r="M23" s="64"/>
      <c r="N23" s="64"/>
      <c r="O23" s="64"/>
    </row>
    <row r="24" spans="1:15" s="63" customFormat="1" ht="15" customHeight="1">
      <c r="A24" s="254">
        <v>18</v>
      </c>
      <c r="B24" s="288" t="s">
        <v>1283</v>
      </c>
      <c r="C24" s="111">
        <v>1</v>
      </c>
      <c r="D24" s="252" t="s">
        <v>1281</v>
      </c>
      <c r="E24" s="262" t="s">
        <v>1282</v>
      </c>
      <c r="F24" s="262" t="s">
        <v>1125</v>
      </c>
      <c r="H24" s="84"/>
      <c r="J24" s="85"/>
      <c r="K24" s="64"/>
      <c r="L24" s="64"/>
      <c r="M24" s="64"/>
      <c r="N24" s="64"/>
      <c r="O24" s="64"/>
    </row>
    <row r="25" spans="1:15" s="63" customFormat="1" ht="15" customHeight="1">
      <c r="A25" s="180"/>
      <c r="B25" s="181"/>
      <c r="C25" s="181"/>
      <c r="D25" s="181"/>
      <c r="E25" s="182"/>
      <c r="F25" s="182"/>
      <c r="H25" s="84"/>
      <c r="J25" s="85"/>
      <c r="K25" s="64"/>
      <c r="L25" s="64"/>
      <c r="M25" s="64"/>
      <c r="N25" s="64"/>
      <c r="O25" s="64"/>
    </row>
    <row r="26" spans="1:15" s="63" customFormat="1" ht="15" customHeight="1">
      <c r="A26" s="95" t="s">
        <v>239</v>
      </c>
      <c r="B26" s="78"/>
      <c r="C26" s="78"/>
      <c r="D26" s="78"/>
      <c r="E26" s="83"/>
      <c r="F26" s="83"/>
      <c r="H26" s="84"/>
      <c r="J26" s="85"/>
      <c r="K26" s="64"/>
      <c r="L26" s="64"/>
      <c r="M26" s="64"/>
      <c r="N26" s="64"/>
      <c r="O26" s="64"/>
    </row>
    <row r="27" spans="1:15" s="63" customFormat="1" ht="15" customHeight="1">
      <c r="A27" s="94" t="s">
        <v>34</v>
      </c>
      <c r="B27" s="29" t="s">
        <v>106</v>
      </c>
      <c r="C27" s="8" t="s">
        <v>105</v>
      </c>
      <c r="D27" s="94" t="s">
        <v>207</v>
      </c>
      <c r="E27" s="83"/>
      <c r="F27" s="83"/>
      <c r="H27" s="84"/>
      <c r="J27" s="85"/>
      <c r="K27" s="64"/>
      <c r="L27" s="64"/>
      <c r="M27" s="64"/>
      <c r="N27" s="64"/>
      <c r="O27" s="64"/>
    </row>
    <row r="28" spans="1:15" s="63" customFormat="1" ht="15" customHeight="1">
      <c r="A28" s="30">
        <v>1</v>
      </c>
      <c r="B28" s="9" t="s">
        <v>59</v>
      </c>
      <c r="C28" s="96">
        <v>0</v>
      </c>
      <c r="D28" s="142" t="s">
        <v>232</v>
      </c>
      <c r="E28" s="83"/>
      <c r="F28" s="83"/>
      <c r="H28" s="84"/>
      <c r="J28" s="85"/>
      <c r="K28" s="64"/>
      <c r="L28" s="64"/>
      <c r="M28" s="64"/>
      <c r="N28" s="64"/>
      <c r="O28" s="64"/>
    </row>
    <row r="29" spans="1:15" s="63" customFormat="1" ht="15" customHeight="1">
      <c r="A29" s="30">
        <v>2</v>
      </c>
      <c r="B29" s="9" t="s">
        <v>60</v>
      </c>
      <c r="C29" s="96">
        <v>0</v>
      </c>
      <c r="D29" s="142" t="s">
        <v>235</v>
      </c>
      <c r="E29" s="83"/>
      <c r="F29" s="78"/>
      <c r="H29" s="84"/>
      <c r="J29" s="85"/>
      <c r="K29" s="64"/>
      <c r="L29" s="64"/>
      <c r="M29" s="64"/>
      <c r="N29" s="64"/>
      <c r="O29" s="64"/>
    </row>
    <row r="30" spans="1:15" s="63" customFormat="1" ht="11.25">
      <c r="A30" s="30">
        <v>3</v>
      </c>
      <c r="B30" s="9" t="s">
        <v>61</v>
      </c>
      <c r="C30" s="96">
        <v>0</v>
      </c>
      <c r="D30" s="142" t="s">
        <v>232</v>
      </c>
      <c r="E30" s="83"/>
      <c r="F30" s="65"/>
      <c r="H30" s="84"/>
      <c r="J30" s="85"/>
      <c r="K30" s="64"/>
      <c r="L30" s="64"/>
      <c r="M30" s="64"/>
      <c r="N30" s="64"/>
      <c r="O30" s="64"/>
    </row>
    <row r="31" spans="1:15" s="63" customFormat="1" ht="14.25" customHeight="1">
      <c r="A31" s="30">
        <v>4</v>
      </c>
      <c r="B31" s="9" t="s">
        <v>383</v>
      </c>
      <c r="C31" s="96">
        <v>0</v>
      </c>
      <c r="D31" s="142" t="s">
        <v>235</v>
      </c>
      <c r="E31" s="83"/>
      <c r="F31" s="78"/>
      <c r="H31" s="84"/>
      <c r="J31" s="85"/>
      <c r="K31" s="64"/>
      <c r="L31" s="64"/>
      <c r="M31" s="64"/>
      <c r="N31" s="64"/>
      <c r="O31" s="64"/>
    </row>
    <row r="32" spans="1:15" s="63" customFormat="1" ht="15" customHeight="1">
      <c r="A32" s="30">
        <v>5</v>
      </c>
      <c r="B32" s="9" t="s">
        <v>22</v>
      </c>
      <c r="C32" s="96">
        <v>0</v>
      </c>
      <c r="D32" s="142" t="s">
        <v>233</v>
      </c>
      <c r="E32" s="83"/>
      <c r="F32" s="78"/>
      <c r="H32" s="84"/>
      <c r="J32" s="85"/>
      <c r="K32" s="64"/>
      <c r="L32" s="64"/>
      <c r="M32" s="64"/>
      <c r="N32" s="64"/>
      <c r="O32" s="64"/>
    </row>
    <row r="33" spans="1:17" s="78" customFormat="1" ht="15" customHeight="1">
      <c r="A33" s="30">
        <v>6</v>
      </c>
      <c r="B33" s="9" t="s">
        <v>62</v>
      </c>
      <c r="C33" s="96">
        <v>0</v>
      </c>
      <c r="D33" s="142" t="s">
        <v>232</v>
      </c>
      <c r="E33" s="83"/>
      <c r="I33" s="87"/>
      <c r="N33" s="88"/>
      <c r="O33" s="88"/>
      <c r="P33" s="88"/>
    </row>
    <row r="34" spans="1:17" s="31" customFormat="1" ht="15" customHeight="1">
      <c r="A34" s="30">
        <v>7</v>
      </c>
      <c r="B34" s="9" t="s">
        <v>40</v>
      </c>
      <c r="C34" s="96">
        <v>0</v>
      </c>
      <c r="D34" s="142" t="s">
        <v>232</v>
      </c>
      <c r="E34" s="83"/>
      <c r="F34" s="78"/>
      <c r="G34" s="65"/>
      <c r="H34" s="65"/>
      <c r="I34" s="89"/>
      <c r="J34" s="65"/>
      <c r="K34" s="65"/>
      <c r="L34" s="65"/>
      <c r="M34" s="65"/>
      <c r="N34" s="120"/>
      <c r="O34" s="120"/>
      <c r="P34" s="120"/>
      <c r="Q34" s="120"/>
    </row>
    <row r="35" spans="1:17" s="4" customFormat="1" ht="15" customHeight="1">
      <c r="A35" s="30">
        <v>8</v>
      </c>
      <c r="B35" s="9" t="s">
        <v>719</v>
      </c>
      <c r="C35" s="96">
        <v>0</v>
      </c>
      <c r="D35" s="142" t="s">
        <v>235</v>
      </c>
      <c r="E35" s="83"/>
      <c r="F35" s="99"/>
      <c r="G35" s="78"/>
      <c r="H35" s="78"/>
      <c r="I35" s="87"/>
      <c r="J35" s="78"/>
      <c r="K35" s="78"/>
      <c r="L35" s="78"/>
      <c r="M35" s="78"/>
      <c r="N35" s="88"/>
      <c r="O35" s="88"/>
      <c r="P35" s="88"/>
      <c r="Q35" s="88"/>
    </row>
    <row r="36" spans="1:17" s="4" customFormat="1" ht="15" customHeight="1">
      <c r="A36" s="30">
        <v>9</v>
      </c>
      <c r="B36" s="9" t="s">
        <v>567</v>
      </c>
      <c r="C36" s="96">
        <v>0</v>
      </c>
      <c r="D36" s="142" t="s">
        <v>232</v>
      </c>
      <c r="E36" s="83"/>
      <c r="F36" s="99"/>
      <c r="G36" s="78"/>
      <c r="H36" s="78"/>
      <c r="I36" s="87"/>
      <c r="J36" s="78"/>
      <c r="K36" s="78"/>
      <c r="L36" s="78"/>
      <c r="M36" s="78"/>
      <c r="N36" s="88"/>
      <c r="O36" s="88"/>
      <c r="P36" s="88"/>
      <c r="Q36" s="88"/>
    </row>
    <row r="37" spans="1:17" s="4" customFormat="1" ht="15" customHeight="1">
      <c r="A37" s="30">
        <v>10</v>
      </c>
      <c r="B37" s="9" t="s">
        <v>63</v>
      </c>
      <c r="C37" s="96">
        <v>0</v>
      </c>
      <c r="D37" s="142" t="s">
        <v>232</v>
      </c>
      <c r="E37" s="83"/>
      <c r="F37" s="78"/>
      <c r="G37" s="78"/>
      <c r="H37" s="78"/>
      <c r="I37" s="87"/>
      <c r="J37" s="78"/>
      <c r="K37" s="78"/>
      <c r="L37" s="78"/>
      <c r="M37" s="78"/>
      <c r="N37" s="88"/>
      <c r="O37" s="88"/>
      <c r="P37" s="88"/>
      <c r="Q37" s="88"/>
    </row>
    <row r="38" spans="1:17" s="4" customFormat="1" ht="15" customHeight="1">
      <c r="A38" s="30">
        <v>11</v>
      </c>
      <c r="B38" s="9" t="s">
        <v>1106</v>
      </c>
      <c r="C38" s="96">
        <v>0</v>
      </c>
      <c r="D38" s="142" t="s">
        <v>232</v>
      </c>
      <c r="E38" s="83"/>
      <c r="F38" s="78"/>
      <c r="G38" s="78"/>
      <c r="H38" s="78"/>
      <c r="I38" s="87"/>
      <c r="J38" s="78"/>
      <c r="K38" s="78"/>
      <c r="L38" s="78"/>
      <c r="M38" s="78"/>
      <c r="N38" s="88"/>
      <c r="O38" s="88"/>
      <c r="P38" s="88"/>
      <c r="Q38" s="88"/>
    </row>
    <row r="39" spans="1:17" s="4" customFormat="1" ht="15" customHeight="1">
      <c r="A39" s="30">
        <v>12</v>
      </c>
      <c r="B39" s="9" t="s">
        <v>599</v>
      </c>
      <c r="C39" s="96">
        <v>0</v>
      </c>
      <c r="D39" s="142" t="s">
        <v>232</v>
      </c>
      <c r="E39" s="83"/>
      <c r="F39" s="78"/>
      <c r="G39" s="78"/>
      <c r="H39" s="78"/>
      <c r="I39" s="87"/>
      <c r="J39" s="78"/>
      <c r="K39" s="78"/>
      <c r="L39" s="78"/>
      <c r="M39" s="78"/>
      <c r="N39" s="88"/>
      <c r="O39" s="88"/>
      <c r="P39" s="88"/>
      <c r="Q39" s="88"/>
    </row>
    <row r="40" spans="1:17" s="4" customFormat="1" ht="15" customHeight="1">
      <c r="A40" s="30">
        <v>13</v>
      </c>
      <c r="B40" s="9" t="s">
        <v>816</v>
      </c>
      <c r="C40" s="96">
        <v>0</v>
      </c>
      <c r="D40" s="142" t="s">
        <v>235</v>
      </c>
      <c r="E40" s="83"/>
      <c r="F40" s="78"/>
      <c r="G40" s="78"/>
      <c r="H40" s="78"/>
      <c r="I40" s="87"/>
      <c r="J40" s="78"/>
      <c r="K40" s="78"/>
      <c r="L40" s="78"/>
      <c r="M40" s="78"/>
      <c r="N40" s="88"/>
      <c r="O40" s="88"/>
      <c r="P40" s="88"/>
      <c r="Q40" s="88"/>
    </row>
    <row r="41" spans="1:17" s="4" customFormat="1" ht="15" customHeight="1">
      <c r="A41" s="30">
        <v>14</v>
      </c>
      <c r="B41" s="9" t="s">
        <v>1107</v>
      </c>
      <c r="C41" s="96">
        <v>0</v>
      </c>
      <c r="D41" s="142" t="s">
        <v>234</v>
      </c>
      <c r="E41" s="83"/>
      <c r="F41" s="78"/>
      <c r="G41" s="78"/>
      <c r="H41" s="87"/>
      <c r="I41" s="78"/>
      <c r="J41" s="78"/>
      <c r="K41" s="78"/>
      <c r="L41" s="78"/>
      <c r="M41" s="78"/>
      <c r="N41" s="88"/>
      <c r="O41" s="88"/>
      <c r="P41" s="88"/>
      <c r="Q41" s="78"/>
    </row>
    <row r="42" spans="1:17" s="4" customFormat="1" ht="15" customHeight="1">
      <c r="A42" s="30">
        <v>15</v>
      </c>
      <c r="B42" s="9" t="s">
        <v>64</v>
      </c>
      <c r="C42" s="96">
        <v>0</v>
      </c>
      <c r="D42" s="142" t="s">
        <v>232</v>
      </c>
      <c r="E42" s="83"/>
      <c r="F42" s="78"/>
      <c r="G42" s="78"/>
      <c r="H42" s="78"/>
      <c r="I42" s="78"/>
      <c r="J42" s="78"/>
      <c r="K42" s="78"/>
      <c r="L42" s="78"/>
      <c r="M42" s="78"/>
      <c r="N42" s="88"/>
      <c r="O42" s="88"/>
      <c r="P42" s="88"/>
      <c r="Q42" s="78"/>
    </row>
    <row r="43" spans="1:17" s="4" customFormat="1" ht="15" customHeight="1">
      <c r="A43" s="30">
        <v>16</v>
      </c>
      <c r="B43" s="9" t="s">
        <v>372</v>
      </c>
      <c r="C43" s="96">
        <v>0</v>
      </c>
      <c r="D43" s="142" t="s">
        <v>234</v>
      </c>
      <c r="E43" s="83"/>
      <c r="F43" s="78"/>
      <c r="G43" s="78"/>
      <c r="H43" s="78"/>
      <c r="I43" s="78"/>
      <c r="J43" s="78"/>
      <c r="K43" s="78"/>
      <c r="L43" s="78"/>
      <c r="M43" s="78"/>
      <c r="N43" s="88"/>
      <c r="O43" s="88"/>
      <c r="P43" s="88"/>
      <c r="Q43" s="78"/>
    </row>
    <row r="44" spans="1:17" s="4" customFormat="1" ht="15" customHeight="1">
      <c r="A44" s="30">
        <v>17</v>
      </c>
      <c r="B44" s="9" t="s">
        <v>579</v>
      </c>
      <c r="C44" s="96">
        <v>0</v>
      </c>
      <c r="D44" s="142" t="s">
        <v>232</v>
      </c>
      <c r="E44" s="83"/>
      <c r="F44" s="78"/>
      <c r="G44" s="78"/>
      <c r="H44" s="78"/>
      <c r="I44" s="78"/>
      <c r="J44" s="78"/>
      <c r="K44" s="78"/>
      <c r="L44" s="78"/>
      <c r="M44" s="78"/>
      <c r="N44" s="88"/>
      <c r="O44" s="88"/>
      <c r="P44" s="88"/>
      <c r="Q44" s="78"/>
    </row>
    <row r="45" spans="1:17" s="4" customFormat="1" ht="15" customHeight="1">
      <c r="A45" s="30">
        <v>18</v>
      </c>
      <c r="B45" s="9" t="s">
        <v>580</v>
      </c>
      <c r="C45" s="96">
        <v>0</v>
      </c>
      <c r="D45" s="142" t="s">
        <v>236</v>
      </c>
      <c r="E45" s="83"/>
      <c r="F45" s="78"/>
      <c r="G45" s="78"/>
      <c r="H45" s="78"/>
      <c r="I45" s="78"/>
      <c r="J45" s="78"/>
      <c r="K45" s="78"/>
      <c r="L45" s="78"/>
      <c r="M45" s="78"/>
      <c r="N45" s="88"/>
      <c r="O45" s="88"/>
      <c r="P45" s="78"/>
      <c r="Q45" s="78"/>
    </row>
    <row r="46" spans="1:17" s="4" customFormat="1" ht="15" customHeight="1">
      <c r="A46" s="30">
        <v>19</v>
      </c>
      <c r="B46" s="9" t="s">
        <v>65</v>
      </c>
      <c r="C46" s="96">
        <v>0</v>
      </c>
      <c r="D46" s="142" t="s">
        <v>232</v>
      </c>
      <c r="E46" s="83"/>
      <c r="F46" s="78"/>
      <c r="G46" s="78"/>
      <c r="H46" s="78"/>
      <c r="I46" s="78"/>
      <c r="J46" s="78"/>
      <c r="K46" s="88"/>
      <c r="L46" s="88"/>
      <c r="M46" s="88"/>
      <c r="N46" s="88"/>
      <c r="O46" s="88"/>
      <c r="P46" s="78"/>
      <c r="Q46" s="78"/>
    </row>
    <row r="47" spans="1:17" s="4" customFormat="1" ht="15" customHeight="1">
      <c r="A47" s="30">
        <v>20</v>
      </c>
      <c r="B47" s="9" t="s">
        <v>66</v>
      </c>
      <c r="C47" s="96">
        <v>0</v>
      </c>
      <c r="D47" s="142" t="s">
        <v>1112</v>
      </c>
      <c r="E47" s="83"/>
      <c r="F47" s="78"/>
      <c r="G47" s="78"/>
      <c r="H47" s="78"/>
      <c r="I47" s="78"/>
      <c r="J47" s="78"/>
      <c r="K47" s="88"/>
      <c r="L47" s="88"/>
      <c r="M47" s="88"/>
      <c r="N47" s="88"/>
      <c r="O47" s="88"/>
      <c r="P47" s="78"/>
      <c r="Q47" s="78"/>
    </row>
    <row r="48" spans="1:17" s="4" customFormat="1" ht="15" customHeight="1">
      <c r="A48" s="78"/>
      <c r="B48" s="78"/>
      <c r="C48" s="78"/>
      <c r="D48" s="78"/>
      <c r="E48" s="99"/>
      <c r="F48" s="78"/>
      <c r="G48" s="78"/>
      <c r="H48" s="78"/>
      <c r="I48" s="78"/>
      <c r="J48" s="78"/>
      <c r="K48" s="88"/>
      <c r="L48" s="88"/>
      <c r="M48" s="88"/>
      <c r="N48" s="88"/>
      <c r="O48" s="88"/>
      <c r="P48" s="78"/>
      <c r="Q48" s="78"/>
    </row>
    <row r="49" spans="1:19" s="4" customFormat="1" ht="15" customHeight="1">
      <c r="A49" s="86" t="s">
        <v>240</v>
      </c>
      <c r="B49" s="86"/>
      <c r="C49" s="78"/>
      <c r="D49" s="78"/>
      <c r="E49" s="99"/>
      <c r="F49" s="78"/>
      <c r="G49" s="78"/>
      <c r="H49" s="78"/>
      <c r="I49" s="78"/>
      <c r="J49" s="78"/>
      <c r="K49" s="88"/>
      <c r="L49" s="88"/>
      <c r="M49" s="88"/>
      <c r="N49" s="88"/>
      <c r="O49" s="88"/>
      <c r="P49" s="78"/>
      <c r="Q49" s="78"/>
    </row>
    <row r="50" spans="1:19" s="4" customFormat="1" ht="22.9" customHeight="1">
      <c r="A50" s="32" t="s">
        <v>34</v>
      </c>
      <c r="B50" s="116" t="s">
        <v>131</v>
      </c>
      <c r="C50" s="33" t="s">
        <v>108</v>
      </c>
      <c r="D50" s="8" t="s">
        <v>107</v>
      </c>
      <c r="E50" s="123" t="s">
        <v>206</v>
      </c>
      <c r="F50" s="124" t="s">
        <v>176</v>
      </c>
      <c r="G50" s="78"/>
      <c r="H50" s="78"/>
      <c r="I50" s="78"/>
      <c r="J50" s="78"/>
      <c r="K50" s="88"/>
      <c r="L50" s="88"/>
      <c r="M50" s="88"/>
      <c r="N50" s="88"/>
      <c r="O50" s="88"/>
      <c r="P50" s="78"/>
      <c r="Q50" s="78"/>
    </row>
    <row r="51" spans="1:19" s="4" customFormat="1" ht="12.75" customHeight="1">
      <c r="A51" s="97" t="s">
        <v>110</v>
      </c>
      <c r="B51" s="30" t="s">
        <v>132</v>
      </c>
      <c r="C51" s="98">
        <v>1</v>
      </c>
      <c r="D51" s="9" t="s">
        <v>113</v>
      </c>
      <c r="E51" s="9"/>
      <c r="F51" s="9"/>
      <c r="G51" s="78"/>
      <c r="H51" s="78"/>
      <c r="I51" s="78"/>
      <c r="J51" s="78"/>
      <c r="K51" s="88"/>
      <c r="L51" s="88"/>
      <c r="M51" s="88"/>
      <c r="N51" s="88"/>
      <c r="O51" s="88"/>
      <c r="P51" s="78"/>
      <c r="Q51" s="78"/>
    </row>
    <row r="52" spans="1:19" s="4" customFormat="1" ht="12.75" customHeight="1">
      <c r="A52" s="97" t="s">
        <v>109</v>
      </c>
      <c r="B52" s="30" t="s">
        <v>38</v>
      </c>
      <c r="C52" s="98">
        <v>1</v>
      </c>
      <c r="D52" s="9" t="s">
        <v>114</v>
      </c>
      <c r="E52" s="9"/>
      <c r="F52" s="9"/>
      <c r="G52" s="78"/>
      <c r="H52" s="78"/>
      <c r="I52" s="78"/>
      <c r="J52" s="78"/>
      <c r="K52" s="88"/>
      <c r="L52" s="88"/>
      <c r="M52" s="88"/>
      <c r="N52" s="88"/>
      <c r="O52" s="88"/>
      <c r="P52" s="78"/>
      <c r="Q52" s="78"/>
    </row>
    <row r="53" spans="1:19" s="4" customFormat="1" ht="12.75" customHeight="1">
      <c r="A53" s="97" t="s">
        <v>111</v>
      </c>
      <c r="B53" s="30" t="s">
        <v>128</v>
      </c>
      <c r="C53" s="98">
        <v>1</v>
      </c>
      <c r="D53" s="9" t="s">
        <v>382</v>
      </c>
      <c r="E53" s="9"/>
      <c r="F53" s="9"/>
      <c r="G53" s="78"/>
      <c r="H53" s="78"/>
      <c r="I53" s="78"/>
      <c r="J53" s="78"/>
      <c r="K53" s="88"/>
      <c r="L53" s="88"/>
      <c r="M53" s="88"/>
      <c r="N53" s="88"/>
      <c r="O53" s="88"/>
      <c r="P53" s="78"/>
      <c r="Q53" s="78"/>
    </row>
    <row r="54" spans="1:19" s="4" customFormat="1" ht="12.75" customHeight="1">
      <c r="A54" s="97" t="s">
        <v>112</v>
      </c>
      <c r="B54" s="30" t="s">
        <v>129</v>
      </c>
      <c r="C54" s="98">
        <v>1</v>
      </c>
      <c r="D54" s="9" t="s">
        <v>115</v>
      </c>
      <c r="E54" s="9"/>
      <c r="F54" s="9"/>
      <c r="G54" s="78"/>
      <c r="H54" s="78"/>
      <c r="I54" s="78"/>
      <c r="J54" s="78"/>
      <c r="K54" s="78"/>
      <c r="L54" s="78"/>
      <c r="M54" s="88"/>
      <c r="N54" s="88"/>
      <c r="O54" s="88"/>
      <c r="P54" s="88"/>
      <c r="Q54" s="88"/>
      <c r="R54" s="78"/>
      <c r="S54" s="78"/>
    </row>
    <row r="55" spans="1:19" s="4" customFormat="1" ht="12.75" customHeight="1">
      <c r="A55" s="97" t="s">
        <v>439</v>
      </c>
      <c r="B55" s="30" t="s">
        <v>438</v>
      </c>
      <c r="C55" s="98">
        <v>1</v>
      </c>
      <c r="D55" s="9" t="s">
        <v>440</v>
      </c>
      <c r="E55" s="9"/>
      <c r="F55" s="9"/>
      <c r="G55" s="78"/>
      <c r="H55" s="78"/>
      <c r="I55" s="78"/>
      <c r="J55" s="78"/>
      <c r="K55" s="78"/>
      <c r="L55" s="78"/>
      <c r="M55" s="88"/>
      <c r="N55" s="88"/>
      <c r="O55" s="88"/>
      <c r="P55" s="88"/>
      <c r="Q55" s="88"/>
      <c r="R55" s="78"/>
      <c r="S55" s="78"/>
    </row>
    <row r="56" spans="1:19" s="4" customFormat="1" ht="15" customHeight="1">
      <c r="A56" s="78"/>
      <c r="B56" s="78"/>
      <c r="C56" s="78"/>
      <c r="D56" s="78"/>
      <c r="E56" s="99"/>
      <c r="F56" s="78"/>
      <c r="G56" s="78"/>
      <c r="H56" s="78"/>
      <c r="I56" s="78"/>
      <c r="J56" s="78"/>
      <c r="K56" s="78"/>
      <c r="L56" s="78"/>
      <c r="M56" s="88"/>
      <c r="N56" s="88"/>
      <c r="O56" s="88"/>
      <c r="P56" s="88"/>
      <c r="Q56" s="88"/>
      <c r="R56" s="78"/>
      <c r="S56" s="78"/>
    </row>
    <row r="57" spans="1:19" s="4" customFormat="1" ht="15" customHeight="1">
      <c r="A57" s="86" t="s">
        <v>116</v>
      </c>
      <c r="B57" s="78"/>
      <c r="C57" s="78"/>
      <c r="D57" s="88"/>
      <c r="E57" s="63"/>
      <c r="F57" s="63"/>
      <c r="G57" s="78"/>
      <c r="H57" s="78"/>
      <c r="I57" s="78"/>
      <c r="J57" s="78"/>
      <c r="K57" s="78"/>
      <c r="L57" s="78"/>
      <c r="M57" s="88"/>
      <c r="N57" s="88"/>
      <c r="O57" s="88"/>
      <c r="P57" s="88"/>
      <c r="Q57" s="88"/>
      <c r="R57" s="78"/>
      <c r="S57" s="78"/>
    </row>
    <row r="58" spans="1:19" s="4" customFormat="1" ht="22.5">
      <c r="A58" s="32" t="s">
        <v>34</v>
      </c>
      <c r="B58" s="8" t="s">
        <v>117</v>
      </c>
      <c r="C58" s="33" t="s">
        <v>108</v>
      </c>
      <c r="D58" s="33" t="s">
        <v>134</v>
      </c>
      <c r="E58" s="63"/>
      <c r="F58" s="63"/>
      <c r="G58" s="78"/>
      <c r="H58" s="78"/>
      <c r="I58" s="78"/>
      <c r="J58" s="78"/>
      <c r="K58" s="78"/>
      <c r="L58" s="78"/>
      <c r="M58" s="88"/>
      <c r="N58" s="88"/>
      <c r="O58" s="88"/>
      <c r="P58" s="88"/>
      <c r="Q58" s="88"/>
      <c r="R58" s="78"/>
      <c r="S58" s="78"/>
    </row>
    <row r="59" spans="1:19" s="4" customFormat="1" ht="15" customHeight="1">
      <c r="A59" s="46" t="s">
        <v>19</v>
      </c>
      <c r="B59" s="47" t="s">
        <v>29</v>
      </c>
      <c r="C59" s="98">
        <v>1</v>
      </c>
      <c r="D59" s="143">
        <v>400</v>
      </c>
      <c r="E59" s="63"/>
      <c r="F59" s="63"/>
      <c r="G59" s="78"/>
      <c r="H59" s="78"/>
      <c r="I59" s="78"/>
      <c r="J59" s="78"/>
      <c r="K59" s="78"/>
      <c r="L59" s="78"/>
      <c r="M59" s="88"/>
      <c r="N59" s="88"/>
      <c r="O59" s="88"/>
      <c r="P59" s="88"/>
      <c r="Q59" s="88"/>
      <c r="R59" s="78"/>
      <c r="S59" s="78"/>
    </row>
    <row r="60" spans="1:19" s="4" customFormat="1" ht="15" customHeight="1">
      <c r="A60" s="48" t="s">
        <v>2</v>
      </c>
      <c r="B60" s="49" t="s">
        <v>1</v>
      </c>
      <c r="C60" s="98">
        <v>1</v>
      </c>
      <c r="D60" s="143">
        <v>200</v>
      </c>
      <c r="E60" s="63"/>
      <c r="F60" s="63"/>
      <c r="G60" s="78"/>
      <c r="H60" s="78"/>
      <c r="I60" s="78"/>
      <c r="J60" s="78"/>
      <c r="K60" s="88"/>
      <c r="L60" s="88"/>
      <c r="M60" s="88"/>
      <c r="N60" s="88"/>
      <c r="O60" s="88"/>
      <c r="P60" s="78"/>
      <c r="Q60" s="78"/>
    </row>
    <row r="61" spans="1:19" s="63" customFormat="1" ht="11.25">
      <c r="A61" s="46" t="s">
        <v>20</v>
      </c>
      <c r="B61" s="47" t="s">
        <v>21</v>
      </c>
      <c r="C61" s="98">
        <v>1</v>
      </c>
      <c r="D61" s="143">
        <v>160</v>
      </c>
      <c r="G61" s="84"/>
      <c r="I61" s="121"/>
      <c r="J61" s="64"/>
      <c r="K61" s="64"/>
      <c r="L61" s="64"/>
      <c r="M61" s="64"/>
      <c r="N61" s="64"/>
    </row>
    <row r="62" spans="1:19" ht="11.25">
      <c r="A62" s="48" t="s">
        <v>18</v>
      </c>
      <c r="B62" s="49" t="s">
        <v>12</v>
      </c>
      <c r="C62" s="98">
        <v>1</v>
      </c>
      <c r="D62" s="143">
        <v>120</v>
      </c>
      <c r="E62" s="63"/>
      <c r="F62" s="63"/>
      <c r="G62" s="63"/>
      <c r="H62" s="122"/>
      <c r="I62" s="64"/>
      <c r="J62" s="64"/>
      <c r="K62" s="64"/>
      <c r="L62" s="64"/>
      <c r="M62" s="64"/>
      <c r="N62" s="63"/>
      <c r="O62" s="63"/>
      <c r="P62" s="63"/>
    </row>
    <row r="63" spans="1:19" ht="15" customHeight="1">
      <c r="A63" s="46" t="s">
        <v>118</v>
      </c>
      <c r="B63" s="47" t="s">
        <v>119</v>
      </c>
      <c r="C63" s="98">
        <v>1</v>
      </c>
      <c r="D63" s="143">
        <v>100</v>
      </c>
      <c r="E63" s="63"/>
      <c r="F63" s="63"/>
      <c r="G63" s="63"/>
      <c r="H63" s="122"/>
      <c r="I63" s="64"/>
      <c r="J63" s="64"/>
      <c r="K63" s="64"/>
      <c r="L63" s="64"/>
      <c r="M63" s="64"/>
      <c r="N63" s="63"/>
      <c r="O63" s="63"/>
      <c r="P63" s="63"/>
    </row>
    <row r="64" spans="1:19" ht="15" customHeight="1">
      <c r="A64" s="48" t="s">
        <v>17</v>
      </c>
      <c r="B64" s="49" t="s">
        <v>14</v>
      </c>
      <c r="C64" s="98">
        <v>1</v>
      </c>
      <c r="D64" s="143">
        <v>80</v>
      </c>
      <c r="E64" s="63"/>
      <c r="F64" s="63"/>
      <c r="G64" s="63"/>
      <c r="H64" s="122"/>
      <c r="I64" s="64"/>
      <c r="J64" s="64"/>
      <c r="K64" s="64"/>
      <c r="L64" s="64"/>
      <c r="M64" s="64"/>
      <c r="N64" s="63"/>
      <c r="O64" s="63"/>
      <c r="P64" s="63"/>
    </row>
    <row r="65" spans="1:17" ht="15" customHeight="1">
      <c r="A65" s="46" t="s">
        <v>15</v>
      </c>
      <c r="B65" s="47" t="s">
        <v>13</v>
      </c>
      <c r="C65" s="98">
        <v>1</v>
      </c>
      <c r="D65" s="143">
        <v>40</v>
      </c>
      <c r="E65" s="63"/>
      <c r="F65" s="63"/>
      <c r="G65" s="63"/>
      <c r="H65" s="122"/>
      <c r="I65" s="64"/>
      <c r="J65" s="64"/>
      <c r="K65" s="64"/>
      <c r="L65" s="64"/>
      <c r="M65" s="64"/>
      <c r="N65" s="63"/>
      <c r="O65" s="63"/>
      <c r="P65" s="63"/>
    </row>
    <row r="66" spans="1:17" ht="15" customHeight="1">
      <c r="A66" s="48" t="s">
        <v>25</v>
      </c>
      <c r="B66" s="49" t="s">
        <v>28</v>
      </c>
      <c r="C66" s="98">
        <v>1</v>
      </c>
      <c r="D66" s="143">
        <v>80</v>
      </c>
      <c r="E66" s="63"/>
      <c r="F66" s="63"/>
      <c r="G66" s="63"/>
      <c r="H66" s="122"/>
      <c r="I66" s="64"/>
      <c r="J66" s="64"/>
      <c r="K66" s="64"/>
      <c r="L66" s="64"/>
      <c r="M66" s="64"/>
      <c r="N66" s="63"/>
      <c r="O66" s="63"/>
      <c r="P66" s="63"/>
    </row>
    <row r="67" spans="1:17" ht="15" customHeight="1">
      <c r="A67" s="46" t="s">
        <v>26</v>
      </c>
      <c r="B67" s="47" t="s">
        <v>27</v>
      </c>
      <c r="C67" s="98">
        <v>1</v>
      </c>
      <c r="D67" s="143">
        <v>40</v>
      </c>
      <c r="E67" s="63"/>
      <c r="F67" s="63"/>
      <c r="G67" s="63"/>
      <c r="H67" s="122"/>
      <c r="I67" s="64"/>
      <c r="J67" s="64"/>
      <c r="K67" s="64"/>
      <c r="L67" s="64"/>
      <c r="M67" s="64"/>
      <c r="N67" s="63"/>
      <c r="O67" s="63"/>
      <c r="P67" s="63"/>
    </row>
    <row r="68" spans="1:17" ht="15" customHeight="1">
      <c r="A68" s="48" t="s">
        <v>16</v>
      </c>
      <c r="B68" s="49" t="s">
        <v>0</v>
      </c>
      <c r="C68" s="98">
        <v>1</v>
      </c>
      <c r="D68" s="143">
        <v>10</v>
      </c>
      <c r="E68" s="63"/>
      <c r="F68" s="63"/>
      <c r="G68" s="63"/>
      <c r="H68" s="122"/>
      <c r="I68" s="64"/>
      <c r="J68" s="64"/>
      <c r="K68" s="64"/>
      <c r="L68" s="64"/>
      <c r="M68" s="64"/>
      <c r="N68" s="63"/>
      <c r="O68" s="63"/>
      <c r="P68" s="63"/>
    </row>
    <row r="69" spans="1:17" ht="15" customHeight="1">
      <c r="A69" s="100"/>
      <c r="B69" s="88"/>
      <c r="C69" s="88"/>
      <c r="D69" s="88"/>
      <c r="E69" s="63"/>
      <c r="F69" s="63"/>
      <c r="G69" s="63"/>
      <c r="H69" s="122"/>
      <c r="I69" s="64"/>
      <c r="J69" s="64"/>
      <c r="K69" s="64"/>
      <c r="L69" s="64"/>
      <c r="M69" s="64"/>
      <c r="N69" s="63"/>
      <c r="O69" s="63"/>
      <c r="P69" s="63"/>
    </row>
    <row r="70" spans="1:17" ht="15" customHeight="1">
      <c r="A70" s="122"/>
      <c r="B70" s="63"/>
      <c r="C70" s="63"/>
      <c r="D70" s="83"/>
      <c r="E70" s="63"/>
      <c r="F70" s="63"/>
      <c r="G70" s="63"/>
      <c r="H70" s="122"/>
      <c r="I70" s="64"/>
      <c r="J70" s="64"/>
      <c r="K70" s="64"/>
      <c r="L70" s="64"/>
      <c r="M70" s="64"/>
      <c r="N70" s="63"/>
      <c r="O70" s="63"/>
      <c r="P70" s="63"/>
    </row>
    <row r="71" spans="1:17" ht="15" customHeight="1">
      <c r="A71" s="122"/>
      <c r="B71" s="63"/>
      <c r="C71" s="63"/>
      <c r="D71" s="83"/>
      <c r="E71" s="63"/>
      <c r="F71" s="63"/>
      <c r="G71" s="63"/>
      <c r="H71" s="122"/>
      <c r="I71" s="64"/>
      <c r="J71" s="64"/>
      <c r="K71" s="64"/>
      <c r="L71" s="64"/>
      <c r="M71" s="64"/>
      <c r="N71" s="63"/>
      <c r="O71" s="63"/>
      <c r="P71" s="63"/>
    </row>
    <row r="72" spans="1:17" ht="15" customHeight="1">
      <c r="A72" s="122"/>
      <c r="B72" s="63"/>
      <c r="C72" s="63"/>
      <c r="D72" s="83"/>
      <c r="E72" s="63"/>
      <c r="F72" s="63"/>
      <c r="G72" s="63"/>
      <c r="H72" s="122"/>
      <c r="I72" s="64"/>
      <c r="J72" s="64"/>
      <c r="K72" s="64"/>
      <c r="L72" s="64"/>
      <c r="M72" s="64"/>
      <c r="N72" s="63"/>
      <c r="O72" s="63"/>
      <c r="P72" s="63"/>
    </row>
    <row r="73" spans="1:17" ht="15" customHeight="1">
      <c r="A73" s="122"/>
      <c r="B73" s="63"/>
      <c r="C73" s="63"/>
      <c r="D73" s="83"/>
      <c r="E73" s="63"/>
      <c r="F73" s="63"/>
      <c r="G73" s="84"/>
      <c r="H73" s="63"/>
      <c r="I73" s="122"/>
      <c r="J73" s="64"/>
      <c r="K73" s="64"/>
      <c r="L73" s="64"/>
      <c r="M73" s="64"/>
      <c r="N73" s="64"/>
      <c r="O73" s="63"/>
      <c r="P73" s="63"/>
      <c r="Q73" s="63"/>
    </row>
    <row r="74" spans="1:17" ht="15" customHeight="1">
      <c r="F74" s="63"/>
      <c r="G74" s="84"/>
      <c r="H74" s="63"/>
      <c r="I74" s="122"/>
      <c r="J74" s="64"/>
      <c r="K74" s="64"/>
      <c r="L74" s="64"/>
      <c r="M74" s="64"/>
      <c r="N74" s="64"/>
      <c r="O74" s="63"/>
      <c r="P74" s="63"/>
      <c r="Q74" s="63"/>
    </row>
    <row r="75" spans="1:17" ht="15" customHeight="1">
      <c r="F75" s="63"/>
      <c r="G75" s="84"/>
      <c r="H75" s="63"/>
      <c r="I75" s="122"/>
      <c r="J75" s="64"/>
      <c r="K75" s="64"/>
      <c r="L75" s="64"/>
      <c r="M75" s="64"/>
      <c r="N75" s="64"/>
      <c r="O75" s="63"/>
      <c r="P75" s="63"/>
      <c r="Q75" s="63"/>
    </row>
    <row r="76" spans="1:17" ht="15" customHeight="1">
      <c r="F76" s="63"/>
      <c r="G76" s="84"/>
      <c r="H76" s="63"/>
      <c r="I76" s="122"/>
      <c r="J76" s="64"/>
      <c r="K76" s="64"/>
      <c r="L76" s="64"/>
      <c r="M76" s="64"/>
      <c r="N76" s="64"/>
      <c r="O76" s="63"/>
      <c r="P76" s="63"/>
      <c r="Q76" s="63"/>
    </row>
    <row r="77" spans="1:17" ht="15" customHeight="1">
      <c r="F77" s="63"/>
      <c r="G77" s="84"/>
      <c r="H77" s="63"/>
      <c r="I77" s="122"/>
      <c r="J77" s="64"/>
      <c r="K77" s="64"/>
      <c r="L77" s="64"/>
      <c r="M77" s="64"/>
      <c r="N77" s="64"/>
      <c r="O77" s="63"/>
      <c r="P77" s="63"/>
      <c r="Q77" s="63"/>
    </row>
    <row r="78" spans="1:17" ht="15" customHeight="1">
      <c r="F78" s="63"/>
      <c r="G78" s="84"/>
      <c r="H78" s="63"/>
      <c r="I78" s="122"/>
      <c r="J78" s="64"/>
      <c r="K78" s="64"/>
      <c r="L78" s="64"/>
      <c r="M78" s="64"/>
      <c r="N78" s="64"/>
      <c r="O78" s="63"/>
      <c r="P78" s="63"/>
      <c r="Q78" s="63"/>
    </row>
    <row r="79" spans="1:17" ht="15" customHeight="1">
      <c r="F79" s="63"/>
      <c r="G79" s="84"/>
      <c r="H79" s="63"/>
      <c r="I79" s="122"/>
      <c r="J79" s="64"/>
      <c r="K79" s="64"/>
      <c r="L79" s="64"/>
      <c r="M79" s="64"/>
      <c r="N79" s="64"/>
      <c r="O79" s="63"/>
      <c r="P79" s="63"/>
      <c r="Q79" s="63"/>
    </row>
    <row r="80" spans="1:17" ht="15" customHeight="1">
      <c r="F80" s="63"/>
      <c r="G80" s="84"/>
      <c r="H80" s="63"/>
      <c r="I80" s="122"/>
      <c r="J80" s="64"/>
      <c r="K80" s="64"/>
      <c r="L80" s="64"/>
      <c r="M80" s="64"/>
      <c r="N80" s="64"/>
      <c r="O80" s="63"/>
      <c r="P80" s="63"/>
      <c r="Q80" s="63"/>
    </row>
    <row r="81" spans="6:17" ht="15" customHeight="1">
      <c r="F81" s="63"/>
      <c r="G81" s="84"/>
      <c r="H81" s="63"/>
      <c r="I81" s="122"/>
      <c r="J81" s="64"/>
      <c r="K81" s="64"/>
      <c r="L81" s="64"/>
      <c r="M81" s="64"/>
      <c r="N81" s="64"/>
      <c r="O81" s="63"/>
      <c r="P81" s="63"/>
      <c r="Q81" s="63"/>
    </row>
    <row r="82" spans="6:17" ht="15" customHeight="1">
      <c r="F82" s="63"/>
      <c r="G82" s="84"/>
      <c r="H82" s="63"/>
      <c r="I82" s="122"/>
      <c r="J82" s="64"/>
      <c r="K82" s="64"/>
      <c r="L82" s="64"/>
      <c r="M82" s="64"/>
      <c r="N82" s="64"/>
      <c r="O82" s="63"/>
      <c r="P82" s="63"/>
      <c r="Q82" s="63"/>
    </row>
    <row r="83" spans="6:17" ht="15" customHeight="1">
      <c r="F83" s="63"/>
      <c r="G83" s="84"/>
      <c r="H83" s="63"/>
      <c r="I83" s="122"/>
      <c r="J83" s="64"/>
      <c r="K83" s="64"/>
      <c r="L83" s="64"/>
      <c r="M83" s="64"/>
      <c r="N83" s="64"/>
      <c r="O83" s="63"/>
      <c r="P83" s="63"/>
      <c r="Q83" s="63"/>
    </row>
    <row r="84" spans="6:17" ht="15" customHeight="1">
      <c r="F84" s="63"/>
      <c r="G84" s="84"/>
      <c r="H84" s="63"/>
      <c r="I84" s="122"/>
      <c r="J84" s="64"/>
      <c r="K84" s="64"/>
      <c r="L84" s="64"/>
      <c r="M84" s="64"/>
      <c r="N84" s="64"/>
      <c r="O84" s="63"/>
      <c r="P84" s="63"/>
      <c r="Q84" s="63"/>
    </row>
    <row r="85" spans="6:17" ht="15" customHeight="1">
      <c r="F85" s="63"/>
      <c r="G85" s="84"/>
      <c r="H85" s="63"/>
      <c r="I85" s="122"/>
      <c r="J85" s="64"/>
      <c r="K85" s="64"/>
      <c r="L85" s="64"/>
      <c r="M85" s="64"/>
      <c r="N85" s="64"/>
      <c r="O85" s="63"/>
      <c r="P85" s="63"/>
      <c r="Q85" s="63"/>
    </row>
    <row r="86" spans="6:17" ht="15" customHeight="1">
      <c r="F86" s="63"/>
      <c r="G86" s="84"/>
      <c r="H86" s="63"/>
      <c r="I86" s="122"/>
      <c r="J86" s="64"/>
      <c r="K86" s="64"/>
      <c r="L86" s="64"/>
      <c r="M86" s="64"/>
      <c r="N86" s="64"/>
      <c r="O86" s="63"/>
      <c r="P86" s="63"/>
      <c r="Q86" s="63"/>
    </row>
    <row r="87" spans="6:17" ht="15" customHeight="1">
      <c r="F87" s="63"/>
      <c r="G87" s="84"/>
      <c r="H87" s="63"/>
      <c r="I87" s="122"/>
      <c r="J87" s="64"/>
      <c r="K87" s="64"/>
      <c r="L87" s="64"/>
      <c r="M87" s="64"/>
      <c r="N87" s="64"/>
      <c r="O87" s="63"/>
      <c r="P87" s="63"/>
      <c r="Q87" s="63"/>
    </row>
    <row r="88" spans="6:17" ht="15" customHeight="1">
      <c r="F88" s="63"/>
      <c r="G88" s="84"/>
      <c r="H88" s="63"/>
      <c r="I88" s="122"/>
      <c r="J88" s="64"/>
      <c r="K88" s="64"/>
      <c r="L88" s="64"/>
      <c r="M88" s="64"/>
      <c r="N88" s="64"/>
      <c r="O88" s="63"/>
      <c r="P88" s="63"/>
      <c r="Q88" s="63"/>
    </row>
    <row r="89" spans="6:17" ht="15" customHeight="1">
      <c r="F89" s="63"/>
      <c r="G89" s="84"/>
      <c r="H89" s="63"/>
      <c r="I89" s="122"/>
      <c r="J89" s="64"/>
      <c r="K89" s="64"/>
      <c r="L89" s="64"/>
      <c r="M89" s="64"/>
      <c r="N89" s="64"/>
      <c r="O89" s="63"/>
      <c r="P89" s="63"/>
      <c r="Q89" s="63"/>
    </row>
    <row r="90" spans="6:17" ht="15" customHeight="1">
      <c r="F90" s="63"/>
      <c r="G90" s="84"/>
      <c r="H90" s="63"/>
      <c r="I90" s="122"/>
      <c r="J90" s="64"/>
      <c r="K90" s="64"/>
      <c r="L90" s="64"/>
      <c r="M90" s="64"/>
      <c r="N90" s="64"/>
      <c r="O90" s="63"/>
      <c r="P90" s="63"/>
      <c r="Q90" s="63"/>
    </row>
    <row r="91" spans="6:17" ht="15" customHeight="1">
      <c r="F91" s="63"/>
      <c r="G91" s="84"/>
      <c r="H91" s="63"/>
      <c r="I91" s="122"/>
      <c r="J91" s="64"/>
      <c r="K91" s="64"/>
      <c r="L91" s="64"/>
      <c r="M91" s="64"/>
      <c r="N91" s="64"/>
      <c r="O91" s="63"/>
      <c r="P91" s="63"/>
      <c r="Q91" s="63"/>
    </row>
    <row r="92" spans="6:17" ht="15" customHeight="1">
      <c r="F92" s="63"/>
      <c r="G92" s="84"/>
      <c r="H92" s="63"/>
      <c r="I92" s="122"/>
      <c r="J92" s="64"/>
      <c r="K92" s="64"/>
      <c r="L92" s="64"/>
      <c r="M92" s="64"/>
      <c r="N92" s="64"/>
      <c r="O92" s="63"/>
      <c r="P92" s="63"/>
      <c r="Q92" s="63"/>
    </row>
    <row r="93" spans="6:17" ht="15" customHeight="1">
      <c r="F93" s="63"/>
      <c r="G93" s="84"/>
      <c r="H93" s="63"/>
      <c r="I93" s="122"/>
      <c r="J93" s="64"/>
      <c r="K93" s="64"/>
      <c r="L93" s="64"/>
      <c r="M93" s="64"/>
      <c r="N93" s="64"/>
      <c r="O93" s="63"/>
      <c r="P93" s="63"/>
      <c r="Q93" s="63"/>
    </row>
    <row r="94" spans="6:17" ht="15" customHeight="1">
      <c r="F94" s="63"/>
      <c r="G94" s="84"/>
      <c r="H94" s="63"/>
      <c r="I94" s="122"/>
      <c r="J94" s="64"/>
      <c r="K94" s="64"/>
      <c r="L94" s="64"/>
      <c r="M94" s="64"/>
      <c r="N94" s="64"/>
      <c r="O94" s="63"/>
      <c r="P94" s="63"/>
      <c r="Q94" s="63"/>
    </row>
    <row r="95" spans="6:17" ht="15" customHeight="1">
      <c r="F95" s="63"/>
      <c r="G95" s="84"/>
      <c r="H95" s="63"/>
      <c r="I95" s="122"/>
      <c r="J95" s="64"/>
      <c r="K95" s="64"/>
      <c r="L95" s="64"/>
      <c r="M95" s="64"/>
      <c r="N95" s="64"/>
      <c r="O95" s="63"/>
      <c r="P95" s="63"/>
      <c r="Q95" s="63"/>
    </row>
    <row r="96" spans="6:17" ht="15" customHeight="1">
      <c r="F96" s="63"/>
      <c r="G96" s="84"/>
      <c r="H96" s="63"/>
      <c r="I96" s="122"/>
      <c r="J96" s="64"/>
      <c r="K96" s="64"/>
      <c r="L96" s="64"/>
      <c r="M96" s="64"/>
      <c r="N96" s="64"/>
      <c r="O96" s="63"/>
      <c r="P96" s="63"/>
      <c r="Q96" s="63"/>
    </row>
    <row r="97" spans="6:17" ht="15" customHeight="1">
      <c r="F97" s="63"/>
      <c r="G97" s="84"/>
      <c r="H97" s="63"/>
      <c r="I97" s="122"/>
      <c r="J97" s="64"/>
      <c r="K97" s="64"/>
      <c r="L97" s="64"/>
      <c r="M97" s="64"/>
      <c r="N97" s="64"/>
      <c r="O97" s="63"/>
      <c r="P97" s="63"/>
      <c r="Q97" s="63"/>
    </row>
    <row r="98" spans="6:17" ht="15" customHeight="1">
      <c r="F98" s="63"/>
      <c r="G98" s="84"/>
      <c r="H98" s="63"/>
      <c r="I98" s="122"/>
      <c r="J98" s="64"/>
      <c r="K98" s="64"/>
      <c r="L98" s="64"/>
      <c r="M98" s="64"/>
      <c r="N98" s="64"/>
      <c r="O98" s="63"/>
      <c r="P98" s="63"/>
      <c r="Q98" s="63"/>
    </row>
    <row r="99" spans="6:17" ht="15" customHeight="1">
      <c r="F99" s="63"/>
      <c r="G99" s="84"/>
      <c r="H99" s="63"/>
      <c r="I99" s="122"/>
      <c r="J99" s="64"/>
      <c r="K99" s="64"/>
      <c r="L99" s="64"/>
      <c r="M99" s="64"/>
      <c r="N99" s="64"/>
      <c r="O99" s="63"/>
      <c r="P99" s="63"/>
      <c r="Q99" s="63"/>
    </row>
    <row r="100" spans="6:17" ht="15" customHeight="1">
      <c r="F100" s="63"/>
      <c r="G100" s="84"/>
      <c r="H100" s="63"/>
      <c r="I100" s="122"/>
      <c r="J100" s="64"/>
      <c r="K100" s="64"/>
      <c r="L100" s="64"/>
      <c r="M100" s="64"/>
      <c r="N100" s="64"/>
      <c r="O100" s="63"/>
      <c r="P100" s="63"/>
      <c r="Q100" s="63"/>
    </row>
    <row r="101" spans="6:17" ht="15" customHeight="1">
      <c r="F101" s="63"/>
      <c r="G101" s="84"/>
      <c r="H101" s="63"/>
      <c r="I101" s="122"/>
      <c r="J101" s="64"/>
      <c r="K101" s="64"/>
      <c r="L101" s="64"/>
      <c r="M101" s="64"/>
      <c r="N101" s="64"/>
      <c r="O101" s="63"/>
      <c r="P101" s="63"/>
      <c r="Q101" s="63"/>
    </row>
    <row r="102" spans="6:17" ht="15" customHeight="1">
      <c r="F102" s="63"/>
      <c r="G102" s="84"/>
      <c r="H102" s="63"/>
      <c r="I102" s="122"/>
      <c r="J102" s="64"/>
      <c r="K102" s="64"/>
      <c r="L102" s="64"/>
      <c r="M102" s="64"/>
      <c r="N102" s="64"/>
      <c r="O102" s="63"/>
      <c r="P102" s="63"/>
      <c r="Q102" s="63"/>
    </row>
    <row r="103" spans="6:17" ht="15" customHeight="1">
      <c r="F103" s="63"/>
      <c r="G103" s="84"/>
      <c r="H103" s="63"/>
      <c r="I103" s="122"/>
      <c r="J103" s="64"/>
      <c r="K103" s="64"/>
      <c r="L103" s="64"/>
      <c r="M103" s="64"/>
      <c r="N103" s="64"/>
      <c r="O103" s="63"/>
      <c r="P103" s="63"/>
      <c r="Q103" s="63"/>
    </row>
    <row r="104" spans="6:17" ht="15" customHeight="1">
      <c r="F104" s="63"/>
      <c r="G104" s="84"/>
      <c r="H104" s="63"/>
      <c r="I104" s="122"/>
      <c r="J104" s="64"/>
      <c r="K104" s="64"/>
      <c r="L104" s="64"/>
      <c r="M104" s="64"/>
      <c r="N104" s="64"/>
      <c r="O104" s="63"/>
      <c r="P104" s="63"/>
      <c r="Q104" s="63"/>
    </row>
    <row r="105" spans="6:17" ht="15" customHeight="1">
      <c r="F105" s="63"/>
      <c r="G105" s="84"/>
      <c r="H105" s="63"/>
      <c r="I105" s="122"/>
      <c r="J105" s="64"/>
      <c r="K105" s="64"/>
      <c r="L105" s="64"/>
      <c r="M105" s="64"/>
      <c r="N105" s="64"/>
      <c r="O105" s="63"/>
      <c r="P105" s="63"/>
      <c r="Q105" s="63"/>
    </row>
    <row r="106" spans="6:17" ht="15" customHeight="1">
      <c r="F106" s="63"/>
      <c r="G106" s="84"/>
      <c r="H106" s="63"/>
      <c r="I106" s="122"/>
      <c r="J106" s="64"/>
      <c r="K106" s="64"/>
      <c r="L106" s="64"/>
      <c r="M106" s="64"/>
      <c r="N106" s="64"/>
      <c r="O106" s="63"/>
      <c r="P106" s="63"/>
      <c r="Q106" s="63"/>
    </row>
    <row r="107" spans="6:17" ht="15" customHeight="1">
      <c r="F107" s="63"/>
      <c r="G107" s="84"/>
      <c r="H107" s="63"/>
      <c r="I107" s="122"/>
      <c r="J107" s="64"/>
      <c r="K107" s="64"/>
      <c r="L107" s="64"/>
      <c r="M107" s="64"/>
      <c r="N107" s="64"/>
      <c r="O107" s="63"/>
      <c r="P107" s="63"/>
      <c r="Q107" s="63"/>
    </row>
    <row r="108" spans="6:17" ht="15" customHeight="1">
      <c r="F108" s="63"/>
      <c r="G108" s="84"/>
      <c r="H108" s="63"/>
      <c r="I108" s="122"/>
      <c r="J108" s="64"/>
      <c r="K108" s="64"/>
      <c r="L108" s="64"/>
      <c r="M108" s="64"/>
      <c r="N108" s="64"/>
      <c r="O108" s="63"/>
      <c r="P108" s="63"/>
      <c r="Q108" s="63"/>
    </row>
    <row r="109" spans="6:17" ht="15" customHeight="1">
      <c r="F109" s="63"/>
      <c r="G109" s="84"/>
      <c r="H109" s="63"/>
      <c r="I109" s="122"/>
      <c r="J109" s="64"/>
      <c r="K109" s="64"/>
      <c r="L109" s="64"/>
      <c r="M109" s="64"/>
      <c r="N109" s="64"/>
      <c r="O109" s="63"/>
      <c r="P109" s="63"/>
      <c r="Q109" s="63"/>
    </row>
    <row r="110" spans="6:17" ht="15" customHeight="1">
      <c r="F110" s="63"/>
      <c r="G110" s="84"/>
      <c r="H110" s="63"/>
      <c r="I110" s="122"/>
      <c r="J110" s="64"/>
      <c r="K110" s="64"/>
      <c r="L110" s="64"/>
      <c r="M110" s="64"/>
      <c r="N110" s="64"/>
      <c r="O110" s="63"/>
      <c r="P110" s="63"/>
      <c r="Q110" s="63"/>
    </row>
    <row r="111" spans="6:17" ht="15" customHeight="1">
      <c r="F111" s="63"/>
      <c r="G111" s="84"/>
      <c r="H111" s="63"/>
      <c r="I111" s="122"/>
      <c r="J111" s="64"/>
      <c r="K111" s="64"/>
      <c r="L111" s="64"/>
      <c r="M111" s="64"/>
      <c r="N111" s="64"/>
      <c r="O111" s="63"/>
      <c r="P111" s="63"/>
      <c r="Q111" s="63"/>
    </row>
    <row r="112" spans="6:17" ht="15" customHeight="1">
      <c r="F112" s="63"/>
      <c r="G112" s="84"/>
      <c r="H112" s="63"/>
      <c r="I112" s="122"/>
      <c r="J112" s="64"/>
      <c r="K112" s="64"/>
      <c r="L112" s="64"/>
      <c r="M112" s="64"/>
      <c r="N112" s="64"/>
      <c r="O112" s="63"/>
      <c r="P112" s="63"/>
      <c r="Q112" s="63"/>
    </row>
    <row r="113" spans="6:17" ht="15" customHeight="1">
      <c r="F113" s="63"/>
      <c r="G113" s="84"/>
      <c r="H113" s="63"/>
      <c r="I113" s="122"/>
      <c r="J113" s="64"/>
      <c r="K113" s="64"/>
      <c r="L113" s="64"/>
      <c r="M113" s="64"/>
      <c r="N113" s="64"/>
      <c r="O113" s="63"/>
      <c r="P113" s="63"/>
      <c r="Q113" s="63"/>
    </row>
    <row r="114" spans="6:17" ht="15" customHeight="1">
      <c r="F114" s="63"/>
      <c r="G114" s="84"/>
      <c r="H114" s="63"/>
      <c r="I114" s="122"/>
      <c r="J114" s="64"/>
      <c r="K114" s="64"/>
      <c r="L114" s="64"/>
      <c r="M114" s="64"/>
      <c r="N114" s="64"/>
      <c r="O114" s="63"/>
      <c r="P114" s="63"/>
      <c r="Q114" s="63"/>
    </row>
    <row r="115" spans="6:17" ht="15" customHeight="1">
      <c r="F115" s="63"/>
      <c r="G115" s="84"/>
      <c r="H115" s="63"/>
      <c r="I115" s="122"/>
      <c r="J115" s="64"/>
      <c r="K115" s="64"/>
      <c r="L115" s="64"/>
      <c r="M115" s="64"/>
      <c r="N115" s="64"/>
      <c r="O115" s="63"/>
      <c r="P115" s="63"/>
      <c r="Q115" s="63"/>
    </row>
    <row r="116" spans="6:17" ht="15" customHeight="1">
      <c r="F116" s="63"/>
      <c r="G116" s="84"/>
      <c r="H116" s="63"/>
      <c r="I116" s="122"/>
      <c r="J116" s="64"/>
      <c r="K116" s="64"/>
      <c r="L116" s="64"/>
      <c r="M116" s="64"/>
      <c r="N116" s="64"/>
      <c r="O116" s="63"/>
      <c r="P116" s="63"/>
      <c r="Q116" s="63"/>
    </row>
    <row r="117" spans="6:17" ht="15" customHeight="1">
      <c r="F117" s="63"/>
      <c r="G117" s="84"/>
      <c r="H117" s="63"/>
      <c r="I117" s="122"/>
      <c r="J117" s="64"/>
      <c r="K117" s="64"/>
      <c r="L117" s="64"/>
      <c r="M117" s="64"/>
      <c r="N117" s="64"/>
      <c r="O117" s="63"/>
      <c r="P117" s="63"/>
      <c r="Q117" s="63"/>
    </row>
    <row r="118" spans="6:17" ht="15" customHeight="1">
      <c r="F118" s="63"/>
      <c r="G118" s="84"/>
      <c r="H118" s="63"/>
      <c r="I118" s="122"/>
      <c r="J118" s="64"/>
      <c r="K118" s="64"/>
      <c r="L118" s="64"/>
      <c r="M118" s="64"/>
      <c r="N118" s="64"/>
      <c r="O118" s="63"/>
      <c r="P118" s="63"/>
      <c r="Q118" s="63"/>
    </row>
    <row r="119" spans="6:17" ht="15" customHeight="1">
      <c r="F119" s="63"/>
      <c r="G119" s="84"/>
      <c r="H119" s="63"/>
      <c r="I119" s="122"/>
      <c r="J119" s="64"/>
      <c r="K119" s="64"/>
      <c r="L119" s="64"/>
      <c r="M119" s="64"/>
      <c r="N119" s="64"/>
      <c r="O119" s="63"/>
      <c r="P119" s="63"/>
      <c r="Q119" s="63"/>
    </row>
    <row r="120" spans="6:17" ht="15" customHeight="1">
      <c r="F120" s="63"/>
      <c r="G120" s="84"/>
      <c r="H120" s="63"/>
      <c r="I120" s="122"/>
      <c r="J120" s="64"/>
      <c r="K120" s="64"/>
      <c r="L120" s="64"/>
      <c r="M120" s="64"/>
      <c r="N120" s="64"/>
      <c r="O120" s="63"/>
      <c r="P120" s="63"/>
      <c r="Q120" s="63"/>
    </row>
    <row r="121" spans="6:17" ht="15" customHeight="1">
      <c r="F121" s="63"/>
      <c r="G121" s="84"/>
      <c r="H121" s="63"/>
      <c r="I121" s="122"/>
      <c r="J121" s="64"/>
      <c r="K121" s="64"/>
      <c r="L121" s="64"/>
      <c r="M121" s="64"/>
      <c r="N121" s="64"/>
      <c r="O121" s="63"/>
      <c r="P121" s="63"/>
      <c r="Q121" s="63"/>
    </row>
    <row r="122" spans="6:17" ht="15" customHeight="1">
      <c r="F122" s="63"/>
      <c r="G122" s="84"/>
      <c r="H122" s="63"/>
      <c r="I122" s="122"/>
      <c r="J122" s="64"/>
      <c r="K122" s="64"/>
      <c r="L122" s="64"/>
      <c r="M122" s="64"/>
      <c r="N122" s="64"/>
      <c r="O122" s="63"/>
      <c r="P122" s="63"/>
      <c r="Q122" s="63"/>
    </row>
    <row r="123" spans="6:17" ht="15" customHeight="1">
      <c r="F123" s="63"/>
      <c r="G123" s="84"/>
      <c r="H123" s="63"/>
      <c r="I123" s="122"/>
      <c r="J123" s="64"/>
      <c r="K123" s="64"/>
      <c r="L123" s="64"/>
      <c r="M123" s="64"/>
      <c r="N123" s="64"/>
      <c r="O123" s="63"/>
      <c r="P123" s="63"/>
      <c r="Q123" s="63"/>
    </row>
    <row r="124" spans="6:17" ht="15" customHeight="1">
      <c r="F124" s="63"/>
      <c r="G124" s="84"/>
      <c r="H124" s="63"/>
      <c r="I124" s="122"/>
      <c r="J124" s="64"/>
      <c r="K124" s="64"/>
      <c r="L124" s="64"/>
      <c r="M124" s="64"/>
      <c r="N124" s="64"/>
      <c r="O124" s="63"/>
      <c r="P124" s="63"/>
      <c r="Q124" s="63"/>
    </row>
    <row r="125" spans="6:17" ht="15" customHeight="1">
      <c r="F125" s="63"/>
      <c r="G125" s="84"/>
      <c r="H125" s="63"/>
      <c r="I125" s="122"/>
      <c r="J125" s="64"/>
      <c r="K125" s="64"/>
      <c r="L125" s="64"/>
      <c r="M125" s="64"/>
      <c r="N125" s="64"/>
      <c r="O125" s="63"/>
      <c r="P125" s="63"/>
      <c r="Q125" s="63"/>
    </row>
    <row r="126" spans="6:17" ht="15" customHeight="1">
      <c r="F126" s="63"/>
      <c r="G126" s="84"/>
      <c r="H126" s="63"/>
      <c r="I126" s="122"/>
      <c r="J126" s="64"/>
      <c r="K126" s="64"/>
      <c r="L126" s="64"/>
      <c r="M126" s="64"/>
      <c r="N126" s="64"/>
      <c r="O126" s="63"/>
      <c r="P126" s="63"/>
      <c r="Q126" s="63"/>
    </row>
    <row r="127" spans="6:17" ht="15" customHeight="1">
      <c r="F127" s="63"/>
      <c r="G127" s="84"/>
      <c r="H127" s="63"/>
      <c r="I127" s="122"/>
      <c r="J127" s="64"/>
      <c r="K127" s="64"/>
      <c r="L127" s="64"/>
      <c r="M127" s="64"/>
      <c r="N127" s="64"/>
      <c r="O127" s="63"/>
      <c r="P127" s="63"/>
      <c r="Q127" s="63"/>
    </row>
    <row r="128" spans="6:17" ht="15" customHeight="1">
      <c r="F128" s="63"/>
      <c r="G128" s="84"/>
      <c r="H128" s="63"/>
      <c r="I128" s="122"/>
      <c r="J128" s="64"/>
      <c r="K128" s="64"/>
      <c r="L128" s="64"/>
      <c r="M128" s="64"/>
      <c r="N128" s="64"/>
      <c r="O128" s="63"/>
      <c r="P128" s="63"/>
      <c r="Q128" s="63"/>
    </row>
    <row r="129" spans="6:17" ht="15" customHeight="1">
      <c r="F129" s="63"/>
      <c r="G129" s="84"/>
      <c r="H129" s="63"/>
      <c r="I129" s="122"/>
      <c r="J129" s="64"/>
      <c r="K129" s="64"/>
      <c r="L129" s="64"/>
      <c r="M129" s="64"/>
      <c r="N129" s="64"/>
      <c r="O129" s="63"/>
      <c r="P129" s="63"/>
      <c r="Q129" s="63"/>
    </row>
    <row r="130" spans="6:17" ht="15" customHeight="1">
      <c r="F130" s="63"/>
      <c r="G130" s="84"/>
      <c r="H130" s="63"/>
      <c r="I130" s="122"/>
      <c r="J130" s="64"/>
      <c r="K130" s="64"/>
      <c r="L130" s="64"/>
      <c r="M130" s="64"/>
      <c r="N130" s="64"/>
      <c r="O130" s="63"/>
      <c r="P130" s="63"/>
      <c r="Q130" s="63"/>
    </row>
    <row r="131" spans="6:17" ht="15" customHeight="1">
      <c r="F131" s="63"/>
      <c r="G131" s="84"/>
      <c r="H131" s="63"/>
      <c r="I131" s="122"/>
      <c r="J131" s="64"/>
      <c r="K131" s="64"/>
      <c r="L131" s="64"/>
      <c r="M131" s="64"/>
      <c r="N131" s="64"/>
      <c r="O131" s="63"/>
      <c r="P131" s="63"/>
      <c r="Q131" s="63"/>
    </row>
    <row r="132" spans="6:17" ht="15" customHeight="1">
      <c r="F132" s="63"/>
      <c r="G132" s="84"/>
      <c r="H132" s="63"/>
      <c r="I132" s="122"/>
      <c r="J132" s="64"/>
      <c r="K132" s="64"/>
      <c r="L132" s="64"/>
      <c r="M132" s="64"/>
      <c r="N132" s="64"/>
      <c r="O132" s="63"/>
      <c r="P132" s="63"/>
      <c r="Q132" s="63"/>
    </row>
    <row r="133" spans="6:17" ht="15" customHeight="1">
      <c r="F133" s="63"/>
      <c r="G133" s="84"/>
      <c r="H133" s="63"/>
      <c r="I133" s="122"/>
      <c r="J133" s="64"/>
      <c r="K133" s="64"/>
      <c r="L133" s="64"/>
      <c r="M133" s="64"/>
      <c r="N133" s="64"/>
      <c r="O133" s="63"/>
      <c r="P133" s="63"/>
      <c r="Q133" s="63"/>
    </row>
    <row r="134" spans="6:17" ht="15" customHeight="1">
      <c r="F134" s="63"/>
      <c r="G134" s="84"/>
      <c r="H134" s="63"/>
      <c r="I134" s="122"/>
      <c r="J134" s="64"/>
      <c r="K134" s="64"/>
      <c r="L134" s="64"/>
      <c r="M134" s="64"/>
      <c r="N134" s="64"/>
      <c r="O134" s="63"/>
      <c r="P134" s="63"/>
      <c r="Q134" s="63"/>
    </row>
    <row r="135" spans="6:17" ht="15" customHeight="1">
      <c r="F135" s="63"/>
      <c r="G135" s="84"/>
      <c r="H135" s="63"/>
      <c r="I135" s="122"/>
      <c r="J135" s="64"/>
      <c r="K135" s="64"/>
      <c r="L135" s="64"/>
      <c r="M135" s="64"/>
      <c r="N135" s="64"/>
      <c r="O135" s="63"/>
      <c r="P135" s="63"/>
      <c r="Q135" s="63"/>
    </row>
    <row r="136" spans="6:17" ht="15" customHeight="1">
      <c r="F136" s="63"/>
      <c r="G136" s="84"/>
      <c r="H136" s="63"/>
      <c r="I136" s="122"/>
      <c r="J136" s="64"/>
      <c r="K136" s="64"/>
      <c r="L136" s="64"/>
      <c r="M136" s="64"/>
      <c r="N136" s="64"/>
      <c r="O136" s="63"/>
      <c r="P136" s="63"/>
      <c r="Q136" s="63"/>
    </row>
    <row r="137" spans="6:17" ht="15" customHeight="1">
      <c r="F137" s="63"/>
      <c r="G137" s="84"/>
      <c r="H137" s="63"/>
      <c r="I137" s="122"/>
      <c r="J137" s="64"/>
      <c r="K137" s="64"/>
      <c r="L137" s="64"/>
      <c r="M137" s="64"/>
      <c r="N137" s="64"/>
      <c r="O137" s="63"/>
      <c r="P137" s="63"/>
      <c r="Q137" s="63"/>
    </row>
    <row r="138" spans="6:17" ht="15" customHeight="1">
      <c r="F138" s="63"/>
      <c r="G138" s="84"/>
      <c r="H138" s="63"/>
      <c r="I138" s="122"/>
      <c r="J138" s="64"/>
      <c r="K138" s="64"/>
      <c r="L138" s="64"/>
      <c r="M138" s="64"/>
      <c r="N138" s="64"/>
      <c r="O138" s="63"/>
      <c r="P138" s="63"/>
      <c r="Q138" s="63"/>
    </row>
    <row r="139" spans="6:17" ht="15" customHeight="1">
      <c r="F139" s="63"/>
      <c r="G139" s="84"/>
      <c r="H139" s="63"/>
      <c r="I139" s="122"/>
      <c r="J139" s="64"/>
      <c r="K139" s="64"/>
      <c r="L139" s="64"/>
      <c r="M139" s="64"/>
      <c r="N139" s="64"/>
      <c r="O139" s="63"/>
      <c r="P139" s="63"/>
      <c r="Q139" s="63"/>
    </row>
    <row r="140" spans="6:17" ht="15" customHeight="1">
      <c r="F140" s="63"/>
      <c r="G140" s="84"/>
      <c r="H140" s="63"/>
      <c r="I140" s="122"/>
      <c r="J140" s="64"/>
      <c r="K140" s="64"/>
      <c r="L140" s="64"/>
      <c r="M140" s="64"/>
      <c r="N140" s="64"/>
      <c r="O140" s="63"/>
      <c r="P140" s="63"/>
      <c r="Q140" s="63"/>
    </row>
    <row r="141" spans="6:17" ht="15" customHeight="1">
      <c r="F141" s="63"/>
      <c r="G141" s="84"/>
      <c r="H141" s="63"/>
      <c r="I141" s="122"/>
      <c r="J141" s="64"/>
      <c r="K141" s="64"/>
      <c r="L141" s="64"/>
      <c r="M141" s="64"/>
      <c r="N141" s="64"/>
      <c r="O141" s="63"/>
      <c r="P141" s="63"/>
      <c r="Q141" s="63"/>
    </row>
    <row r="142" spans="6:17" ht="15" customHeight="1">
      <c r="F142" s="63"/>
      <c r="G142" s="84"/>
      <c r="H142" s="63"/>
      <c r="I142" s="122"/>
      <c r="J142" s="64"/>
      <c r="K142" s="64"/>
      <c r="L142" s="64"/>
      <c r="M142" s="64"/>
      <c r="N142" s="64"/>
      <c r="O142" s="63"/>
      <c r="P142" s="63"/>
      <c r="Q142" s="63"/>
    </row>
    <row r="143" spans="6:17" ht="15" customHeight="1">
      <c r="F143" s="63"/>
      <c r="G143" s="84"/>
      <c r="H143" s="63"/>
      <c r="I143" s="122"/>
      <c r="J143" s="64"/>
      <c r="K143" s="64"/>
      <c r="L143" s="64"/>
      <c r="M143" s="64"/>
      <c r="N143" s="64"/>
      <c r="O143" s="63"/>
      <c r="P143" s="63"/>
      <c r="Q143" s="63"/>
    </row>
    <row r="144" spans="6:17" ht="15" customHeight="1">
      <c r="F144" s="63"/>
      <c r="G144" s="84"/>
      <c r="H144" s="63"/>
      <c r="I144" s="122"/>
      <c r="J144" s="64"/>
      <c r="K144" s="64"/>
      <c r="L144" s="64"/>
      <c r="M144" s="64"/>
      <c r="N144" s="64"/>
      <c r="O144" s="63"/>
      <c r="P144" s="63"/>
      <c r="Q144" s="63"/>
    </row>
    <row r="145" spans="6:17" ht="15" customHeight="1">
      <c r="F145" s="63"/>
      <c r="G145" s="84"/>
      <c r="H145" s="63"/>
      <c r="I145" s="122"/>
      <c r="J145" s="64"/>
      <c r="K145" s="64"/>
      <c r="L145" s="64"/>
      <c r="M145" s="64"/>
      <c r="N145" s="64"/>
      <c r="O145" s="63"/>
      <c r="P145" s="63"/>
      <c r="Q145" s="63"/>
    </row>
    <row r="146" spans="6:17" ht="15" customHeight="1">
      <c r="F146" s="63"/>
      <c r="G146" s="84"/>
      <c r="H146" s="63"/>
      <c r="I146" s="122"/>
      <c r="J146" s="64"/>
      <c r="K146" s="64"/>
      <c r="L146" s="64"/>
      <c r="M146" s="64"/>
      <c r="N146" s="64"/>
      <c r="O146" s="63"/>
      <c r="P146" s="63"/>
      <c r="Q146" s="63"/>
    </row>
    <row r="147" spans="6:17" ht="15" customHeight="1">
      <c r="F147" s="63"/>
      <c r="G147" s="84"/>
      <c r="H147" s="63"/>
      <c r="I147" s="122"/>
      <c r="J147" s="64"/>
      <c r="K147" s="64"/>
      <c r="L147" s="64"/>
      <c r="M147" s="64"/>
      <c r="N147" s="64"/>
      <c r="O147" s="63"/>
      <c r="P147" s="63"/>
      <c r="Q147" s="63"/>
    </row>
    <row r="148" spans="6:17" ht="15" customHeight="1">
      <c r="F148" s="63"/>
      <c r="G148" s="84"/>
      <c r="H148" s="63"/>
      <c r="I148" s="122"/>
      <c r="J148" s="64"/>
      <c r="K148" s="64"/>
      <c r="L148" s="64"/>
      <c r="M148" s="64"/>
      <c r="N148" s="64"/>
      <c r="O148" s="63"/>
      <c r="P148" s="63"/>
      <c r="Q148" s="63"/>
    </row>
    <row r="149" spans="6:17" ht="15" customHeight="1">
      <c r="F149" s="63"/>
      <c r="G149" s="84"/>
      <c r="H149" s="63"/>
      <c r="I149" s="122"/>
      <c r="J149" s="64"/>
      <c r="K149" s="64"/>
      <c r="L149" s="64"/>
      <c r="M149" s="64"/>
      <c r="N149" s="64"/>
      <c r="O149" s="63"/>
      <c r="P149" s="63"/>
      <c r="Q149" s="63"/>
    </row>
    <row r="150" spans="6:17" ht="15" customHeight="1">
      <c r="F150" s="63"/>
      <c r="G150" s="84"/>
      <c r="H150" s="63"/>
      <c r="I150" s="122"/>
      <c r="J150" s="64"/>
      <c r="K150" s="64"/>
      <c r="L150" s="64"/>
      <c r="M150" s="64"/>
      <c r="N150" s="64"/>
      <c r="O150" s="63"/>
      <c r="P150" s="63"/>
      <c r="Q150" s="63"/>
    </row>
    <row r="151" spans="6:17" ht="15" customHeight="1">
      <c r="F151" s="63"/>
      <c r="G151" s="84"/>
      <c r="H151" s="63"/>
      <c r="I151" s="122"/>
      <c r="J151" s="64"/>
      <c r="K151" s="64"/>
      <c r="L151" s="64"/>
      <c r="M151" s="64"/>
      <c r="N151" s="64"/>
      <c r="O151" s="63"/>
      <c r="P151" s="63"/>
      <c r="Q151" s="63"/>
    </row>
    <row r="152" spans="6:17" ht="15" customHeight="1">
      <c r="F152" s="63"/>
      <c r="G152" s="84"/>
      <c r="H152" s="63"/>
      <c r="I152" s="122"/>
      <c r="J152" s="64"/>
      <c r="K152" s="64"/>
      <c r="L152" s="64"/>
      <c r="M152" s="64"/>
      <c r="N152" s="64"/>
      <c r="O152" s="63"/>
      <c r="P152" s="63"/>
      <c r="Q152" s="63"/>
    </row>
    <row r="153" spans="6:17" ht="15" customHeight="1">
      <c r="F153" s="63"/>
      <c r="G153" s="84"/>
      <c r="H153" s="63"/>
      <c r="I153" s="122"/>
      <c r="J153" s="64"/>
      <c r="K153" s="64"/>
      <c r="L153" s="64"/>
      <c r="M153" s="64"/>
      <c r="N153" s="64"/>
      <c r="O153" s="63"/>
      <c r="P153" s="63"/>
      <c r="Q153" s="63"/>
    </row>
    <row r="154" spans="6:17" ht="15" customHeight="1">
      <c r="F154" s="63"/>
      <c r="G154" s="84"/>
      <c r="H154" s="63"/>
      <c r="I154" s="122"/>
      <c r="J154" s="64"/>
      <c r="K154" s="64"/>
      <c r="L154" s="64"/>
      <c r="M154" s="64"/>
      <c r="N154" s="64"/>
      <c r="O154" s="63"/>
      <c r="P154" s="63"/>
      <c r="Q154" s="63"/>
    </row>
    <row r="155" spans="6:17" ht="15" customHeight="1">
      <c r="F155" s="63"/>
      <c r="G155" s="84"/>
      <c r="H155" s="63"/>
      <c r="I155" s="122"/>
      <c r="J155" s="64"/>
      <c r="K155" s="64"/>
      <c r="L155" s="64"/>
      <c r="M155" s="64"/>
      <c r="N155" s="64"/>
      <c r="O155" s="63"/>
      <c r="P155" s="63"/>
      <c r="Q155" s="63"/>
    </row>
    <row r="156" spans="6:17" ht="15" customHeight="1">
      <c r="F156" s="63"/>
      <c r="G156" s="84"/>
      <c r="H156" s="63"/>
      <c r="I156" s="122"/>
      <c r="J156" s="64"/>
      <c r="K156" s="64"/>
      <c r="L156" s="64"/>
      <c r="M156" s="64"/>
      <c r="N156" s="64"/>
      <c r="O156" s="63"/>
      <c r="P156" s="63"/>
      <c r="Q156" s="63"/>
    </row>
    <row r="157" spans="6:17" ht="15" customHeight="1">
      <c r="F157" s="63"/>
      <c r="G157" s="84"/>
      <c r="H157" s="63"/>
      <c r="I157" s="122"/>
      <c r="J157" s="64"/>
      <c r="K157" s="64"/>
      <c r="L157" s="64"/>
      <c r="M157" s="64"/>
      <c r="N157" s="64"/>
      <c r="O157" s="63"/>
      <c r="P157" s="63"/>
      <c r="Q157" s="63"/>
    </row>
    <row r="158" spans="6:17" ht="15" customHeight="1">
      <c r="F158" s="63"/>
      <c r="G158" s="84"/>
      <c r="H158" s="63"/>
      <c r="I158" s="122"/>
      <c r="J158" s="64"/>
      <c r="K158" s="64"/>
      <c r="L158" s="64"/>
      <c r="M158" s="64"/>
      <c r="N158" s="64"/>
      <c r="O158" s="63"/>
      <c r="P158" s="63"/>
      <c r="Q158" s="63"/>
    </row>
    <row r="159" spans="6:17" ht="15" customHeight="1">
      <c r="F159" s="63"/>
      <c r="G159" s="84"/>
      <c r="H159" s="63"/>
      <c r="I159" s="122"/>
      <c r="J159" s="64"/>
      <c r="K159" s="64"/>
      <c r="L159" s="64"/>
      <c r="M159" s="64"/>
      <c r="N159" s="64"/>
      <c r="O159" s="63"/>
      <c r="P159" s="63"/>
      <c r="Q159" s="63"/>
    </row>
    <row r="160" spans="6:17" ht="15" customHeight="1">
      <c r="F160" s="63"/>
      <c r="G160" s="84"/>
      <c r="H160" s="63"/>
      <c r="I160" s="122"/>
      <c r="J160" s="64"/>
      <c r="K160" s="64"/>
      <c r="L160" s="64"/>
      <c r="M160" s="64"/>
      <c r="N160" s="64"/>
      <c r="O160" s="63"/>
      <c r="P160" s="63"/>
      <c r="Q160" s="63"/>
    </row>
    <row r="161" spans="6:17" ht="15" customHeight="1">
      <c r="F161" s="63"/>
      <c r="G161" s="84"/>
      <c r="H161" s="63"/>
      <c r="I161" s="122"/>
      <c r="J161" s="64"/>
      <c r="K161" s="64"/>
      <c r="L161" s="64"/>
      <c r="M161" s="64"/>
      <c r="N161" s="64"/>
      <c r="O161" s="63"/>
      <c r="P161" s="63"/>
      <c r="Q161" s="63"/>
    </row>
    <row r="162" spans="6:17" ht="15" customHeight="1">
      <c r="F162" s="63"/>
      <c r="G162" s="84"/>
      <c r="H162" s="63"/>
      <c r="I162" s="122"/>
      <c r="J162" s="64"/>
      <c r="K162" s="64"/>
      <c r="L162" s="64"/>
      <c r="M162" s="64"/>
      <c r="N162" s="64"/>
      <c r="O162" s="63"/>
      <c r="P162" s="63"/>
      <c r="Q162" s="63"/>
    </row>
    <row r="163" spans="6:17" ht="15" customHeight="1">
      <c r="F163" s="63"/>
      <c r="G163" s="84"/>
      <c r="H163" s="63"/>
      <c r="I163" s="122"/>
      <c r="J163" s="64"/>
      <c r="K163" s="64"/>
      <c r="L163" s="64"/>
      <c r="M163" s="64"/>
      <c r="N163" s="64"/>
      <c r="O163" s="63"/>
      <c r="P163" s="63"/>
      <c r="Q163" s="63"/>
    </row>
    <row r="164" spans="6:17" ht="15" customHeight="1">
      <c r="F164" s="63"/>
      <c r="G164" s="84"/>
      <c r="H164" s="63"/>
      <c r="I164" s="122"/>
      <c r="J164" s="64"/>
      <c r="K164" s="64"/>
      <c r="L164" s="64"/>
      <c r="M164" s="64"/>
      <c r="N164" s="64"/>
      <c r="O164" s="63"/>
      <c r="P164" s="63"/>
      <c r="Q164" s="63"/>
    </row>
    <row r="165" spans="6:17" ht="15" customHeight="1">
      <c r="F165" s="63"/>
      <c r="G165" s="84"/>
      <c r="H165" s="63"/>
      <c r="I165" s="122"/>
      <c r="J165" s="64"/>
      <c r="K165" s="64"/>
      <c r="L165" s="64"/>
      <c r="M165" s="64"/>
      <c r="N165" s="64"/>
      <c r="O165" s="63"/>
      <c r="P165" s="63"/>
      <c r="Q165" s="63"/>
    </row>
    <row r="166" spans="6:17" ht="15" customHeight="1">
      <c r="F166" s="63"/>
      <c r="G166" s="84"/>
      <c r="H166" s="63"/>
      <c r="I166" s="122"/>
      <c r="J166" s="64"/>
      <c r="K166" s="64"/>
      <c r="L166" s="64"/>
      <c r="M166" s="64"/>
      <c r="N166" s="64"/>
      <c r="O166" s="63"/>
      <c r="P166" s="63"/>
      <c r="Q166" s="63"/>
    </row>
    <row r="167" spans="6:17" ht="15" customHeight="1">
      <c r="F167" s="63"/>
      <c r="G167" s="84"/>
      <c r="H167" s="63"/>
      <c r="I167" s="122"/>
      <c r="J167" s="64"/>
      <c r="K167" s="64"/>
      <c r="L167" s="64"/>
      <c r="M167" s="64"/>
      <c r="N167" s="64"/>
      <c r="O167" s="63"/>
      <c r="P167" s="63"/>
      <c r="Q167" s="63"/>
    </row>
    <row r="168" spans="6:17" ht="15" customHeight="1">
      <c r="F168" s="63"/>
      <c r="G168" s="84"/>
      <c r="H168" s="63"/>
      <c r="I168" s="122"/>
      <c r="J168" s="64"/>
      <c r="K168" s="64"/>
      <c r="L168" s="64"/>
      <c r="M168" s="64"/>
      <c r="N168" s="64"/>
      <c r="O168" s="63"/>
      <c r="P168" s="63"/>
      <c r="Q168" s="63"/>
    </row>
    <row r="169" spans="6:17" ht="15" customHeight="1">
      <c r="F169" s="63"/>
      <c r="G169" s="84"/>
      <c r="H169" s="63"/>
      <c r="I169" s="122"/>
      <c r="J169" s="64"/>
      <c r="K169" s="64"/>
      <c r="L169" s="64"/>
      <c r="M169" s="64"/>
      <c r="N169" s="64"/>
      <c r="O169" s="63"/>
      <c r="P169" s="63"/>
      <c r="Q169" s="63"/>
    </row>
    <row r="170" spans="6:17" ht="15" customHeight="1">
      <c r="F170" s="63"/>
      <c r="G170" s="84"/>
      <c r="H170" s="63"/>
      <c r="I170" s="122"/>
      <c r="J170" s="64"/>
      <c r="K170" s="64"/>
      <c r="L170" s="64"/>
      <c r="M170" s="64"/>
      <c r="N170" s="64"/>
      <c r="O170" s="63"/>
      <c r="P170" s="63"/>
      <c r="Q170" s="63"/>
    </row>
    <row r="171" spans="6:17" ht="15" customHeight="1">
      <c r="F171" s="63"/>
      <c r="G171" s="84"/>
      <c r="H171" s="63"/>
      <c r="I171" s="122"/>
      <c r="J171" s="64"/>
      <c r="K171" s="64"/>
      <c r="L171" s="64"/>
      <c r="M171" s="64"/>
      <c r="N171" s="64"/>
      <c r="O171" s="63"/>
      <c r="P171" s="63"/>
      <c r="Q171" s="63"/>
    </row>
    <row r="172" spans="6:17" ht="15" customHeight="1">
      <c r="G172" s="84"/>
      <c r="H172" s="63"/>
      <c r="I172" s="122"/>
      <c r="J172" s="64"/>
      <c r="K172" s="64"/>
      <c r="L172" s="64"/>
      <c r="M172" s="64"/>
      <c r="N172" s="64"/>
      <c r="O172" s="63"/>
      <c r="P172" s="63"/>
      <c r="Q172" s="63"/>
    </row>
    <row r="173" spans="6:17" ht="15" customHeight="1">
      <c r="G173" s="84"/>
      <c r="H173" s="63"/>
      <c r="I173" s="122"/>
      <c r="J173" s="64"/>
      <c r="K173" s="64"/>
      <c r="L173" s="64"/>
      <c r="M173" s="64"/>
      <c r="N173" s="64"/>
      <c r="O173" s="63"/>
      <c r="P173" s="63"/>
      <c r="Q173" s="63"/>
    </row>
    <row r="174" spans="6:17" ht="15" customHeight="1">
      <c r="G174" s="84"/>
      <c r="H174" s="63"/>
      <c r="I174" s="122"/>
      <c r="J174" s="64"/>
      <c r="K174" s="64"/>
      <c r="L174" s="64"/>
      <c r="M174" s="64"/>
      <c r="N174" s="64"/>
      <c r="O174" s="63"/>
      <c r="P174" s="63"/>
      <c r="Q174" s="63"/>
    </row>
    <row r="175" spans="6:17" ht="15" customHeight="1">
      <c r="G175" s="84"/>
      <c r="H175" s="63"/>
      <c r="I175" s="122"/>
      <c r="J175" s="64"/>
      <c r="K175" s="64"/>
      <c r="L175" s="64"/>
      <c r="M175" s="64"/>
      <c r="N175" s="64"/>
      <c r="O175" s="63"/>
      <c r="P175" s="63"/>
      <c r="Q175" s="63"/>
    </row>
  </sheetData>
  <mergeCells count="2">
    <mergeCell ref="A2:F2"/>
    <mergeCell ref="A1:F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HM1261"/>
  <sheetViews>
    <sheetView view="pageBreakPreview" topLeftCell="E1" zoomScale="90" zoomScaleNormal="40" zoomScaleSheetLayoutView="90" workbookViewId="0">
      <pane ySplit="4" topLeftCell="A5" activePane="bottomLeft" state="frozen"/>
      <selection pane="bottomLeft" activeCell="F1085" sqref="F1085"/>
    </sheetView>
  </sheetViews>
  <sheetFormatPr defaultColWidth="10.265625" defaultRowHeight="15" customHeight="1"/>
  <cols>
    <col min="1" max="1" width="10.59765625" style="4" bestFit="1" customWidth="1"/>
    <col min="2" max="2" width="23.59765625" style="4" customWidth="1"/>
    <col min="3" max="3" width="24.59765625" style="4" customWidth="1"/>
    <col min="4" max="4" width="10.59765625" style="4" customWidth="1"/>
    <col min="5" max="5" width="11.73046875" style="4" bestFit="1" customWidth="1"/>
    <col min="6" max="6" width="14" style="21" customWidth="1"/>
    <col min="7" max="7" width="13.86328125" style="21" bestFit="1" customWidth="1"/>
    <col min="8" max="8" width="13.86328125" style="21" customWidth="1"/>
    <col min="9" max="9" width="14.265625" style="21" bestFit="1" customWidth="1"/>
    <col min="10" max="10" width="25" style="73" customWidth="1"/>
    <col min="11" max="11" width="10" style="21" customWidth="1"/>
    <col min="12" max="12" width="23.1328125" style="73" bestFit="1" customWidth="1"/>
    <col min="13" max="13" width="10" style="21" customWidth="1"/>
    <col min="14" max="14" width="19.1328125" style="104" customWidth="1"/>
    <col min="15" max="15" width="10.3984375" style="104" customWidth="1"/>
    <col min="16" max="16" width="13.86328125" style="105" customWidth="1"/>
    <col min="17" max="17" width="18.73046875" style="155" bestFit="1" customWidth="1"/>
    <col min="18" max="18" width="19.265625" style="155" bestFit="1" customWidth="1"/>
    <col min="19" max="19" width="10" style="4" customWidth="1"/>
    <col min="20" max="20" width="12.3984375" style="17" customWidth="1"/>
    <col min="21" max="21" width="16.3984375" style="17" customWidth="1"/>
    <col min="22" max="22" width="16.3984375" style="107" customWidth="1"/>
    <col min="23" max="23" width="18" style="108" customWidth="1"/>
    <col min="24" max="24" width="16.3984375" style="207" customWidth="1"/>
    <col min="25" max="25" width="16.3984375" style="210" customWidth="1"/>
    <col min="26" max="26" width="16.3984375" style="107" customWidth="1"/>
    <col min="27" max="27" width="16.3984375" style="108" customWidth="1"/>
    <col min="28" max="28" width="16.3984375" style="106" customWidth="1"/>
    <col min="29" max="30" width="16.3984375" style="4" customWidth="1"/>
    <col min="31" max="32" width="16.3984375" style="109" customWidth="1"/>
    <col min="33" max="33" width="16.3984375" style="28" customWidth="1"/>
    <col min="34" max="34" width="16.3984375" style="78" customWidth="1"/>
    <col min="35" max="220" width="10.265625" style="78"/>
    <col min="221" max="16384" width="10.265625" style="4"/>
  </cols>
  <sheetData>
    <row r="1" spans="1:221" ht="15" customHeight="1">
      <c r="A1" s="343" t="s">
        <v>169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</row>
    <row r="2" spans="1:221" ht="15" customHeight="1">
      <c r="A2" s="78"/>
      <c r="B2" s="78"/>
      <c r="C2" s="78"/>
      <c r="D2" s="78"/>
      <c r="E2" s="78"/>
      <c r="F2" s="88"/>
      <c r="G2" s="88"/>
      <c r="H2" s="88"/>
      <c r="I2" s="88"/>
      <c r="J2" s="119"/>
      <c r="K2" s="88"/>
      <c r="L2" s="119"/>
      <c r="M2" s="88"/>
      <c r="N2" s="101"/>
      <c r="O2" s="101"/>
      <c r="P2" s="102"/>
      <c r="Q2" s="153"/>
      <c r="R2" s="153"/>
      <c r="S2" s="78"/>
      <c r="T2" s="78"/>
      <c r="U2" s="78"/>
      <c r="V2" s="78"/>
      <c r="W2" s="78"/>
      <c r="X2" s="206"/>
      <c r="Y2" s="208"/>
      <c r="Z2" s="78"/>
      <c r="AA2" s="78"/>
      <c r="AB2" s="78"/>
      <c r="AC2" s="78"/>
      <c r="AD2" s="78"/>
      <c r="AE2" s="78"/>
      <c r="AF2" s="78"/>
      <c r="AG2" s="78"/>
    </row>
    <row r="3" spans="1:221" s="78" customFormat="1" ht="15" customHeight="1">
      <c r="F3" s="88"/>
      <c r="G3" s="88"/>
      <c r="H3" s="88"/>
      <c r="I3" s="88"/>
      <c r="J3" s="119"/>
      <c r="K3" s="88"/>
      <c r="L3" s="119"/>
      <c r="M3" s="88"/>
      <c r="N3" s="101"/>
      <c r="O3" s="101"/>
      <c r="P3" s="102"/>
      <c r="Q3" s="153"/>
      <c r="R3" s="153"/>
      <c r="T3" s="344" t="s">
        <v>245</v>
      </c>
      <c r="U3" s="345"/>
      <c r="V3" s="345"/>
      <c r="W3" s="345"/>
      <c r="X3" s="345"/>
      <c r="Y3" s="346"/>
      <c r="Z3" s="347" t="s">
        <v>246</v>
      </c>
      <c r="AA3" s="348"/>
      <c r="AB3" s="348"/>
      <c r="AC3" s="348"/>
      <c r="AD3" s="348"/>
      <c r="AE3" s="349"/>
      <c r="AF3" s="350" t="s">
        <v>247</v>
      </c>
      <c r="AG3" s="351"/>
      <c r="AH3" s="352"/>
    </row>
    <row r="4" spans="1:221" s="8" customFormat="1" ht="46.5" customHeight="1">
      <c r="A4" s="117" t="s">
        <v>34</v>
      </c>
      <c r="B4" s="33" t="s">
        <v>145</v>
      </c>
      <c r="C4" s="33" t="s">
        <v>68</v>
      </c>
      <c r="D4" s="33" t="s">
        <v>67</v>
      </c>
      <c r="E4" s="33" t="s">
        <v>30</v>
      </c>
      <c r="F4" s="33" t="s">
        <v>31</v>
      </c>
      <c r="G4" s="33" t="s">
        <v>121</v>
      </c>
      <c r="H4" s="33" t="s">
        <v>436</v>
      </c>
      <c r="I4" s="33" t="s">
        <v>416</v>
      </c>
      <c r="J4" s="74" t="s">
        <v>106</v>
      </c>
      <c r="K4" s="33" t="s">
        <v>23</v>
      </c>
      <c r="L4" s="74" t="s">
        <v>122</v>
      </c>
      <c r="M4" s="33" t="s">
        <v>123</v>
      </c>
      <c r="N4" s="33" t="s">
        <v>39</v>
      </c>
      <c r="O4" s="33" t="s">
        <v>32</v>
      </c>
      <c r="P4" s="33" t="s">
        <v>133</v>
      </c>
      <c r="Q4" s="154" t="s">
        <v>69</v>
      </c>
      <c r="R4" s="154" t="s">
        <v>254</v>
      </c>
      <c r="S4" s="33" t="s">
        <v>125</v>
      </c>
      <c r="T4" s="33" t="s">
        <v>434</v>
      </c>
      <c r="U4" s="33" t="s">
        <v>137</v>
      </c>
      <c r="V4" s="33" t="s">
        <v>138</v>
      </c>
      <c r="W4" s="33" t="s">
        <v>139</v>
      </c>
      <c r="X4" s="79" t="s">
        <v>135</v>
      </c>
      <c r="Y4" s="209" t="s">
        <v>136</v>
      </c>
      <c r="Z4" s="33" t="s">
        <v>124</v>
      </c>
      <c r="AA4" s="33" t="s">
        <v>144</v>
      </c>
      <c r="AB4" s="33" t="s">
        <v>140</v>
      </c>
      <c r="AC4" s="33" t="s">
        <v>141</v>
      </c>
      <c r="AD4" s="33" t="s">
        <v>142</v>
      </c>
      <c r="AE4" s="33" t="s">
        <v>143</v>
      </c>
      <c r="AF4" s="79" t="s">
        <v>127</v>
      </c>
      <c r="AG4" s="79" t="s">
        <v>37</v>
      </c>
      <c r="AH4" s="80" t="s">
        <v>36</v>
      </c>
      <c r="AI4" s="81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</row>
    <row r="5" spans="1:221" s="8" customFormat="1" ht="15" customHeight="1">
      <c r="A5" s="185">
        <v>1</v>
      </c>
      <c r="B5" s="21" t="str">
        <f>VLOOKUP(Ruimtestaat[[#This Row],[Code]],Locaties[#All],2,FALSE)</f>
        <v xml:space="preserve">Het Meerik </v>
      </c>
      <c r="C5" s="212" t="str">
        <f>VLOOKUP(Ruimtestaat[[#This Row],[Code]],Locaties[#All],4,FALSE)</f>
        <v>Lijsterstraat 117</v>
      </c>
      <c r="D5" s="212" t="str">
        <f>VLOOKUP(Ruimtestaat[[#This Row],[Code]],Locaties[#All],5,FALSE)</f>
        <v>7523ES</v>
      </c>
      <c r="E5" s="212" t="str">
        <f>VLOOKUP(Ruimtestaat[[#This Row],[Code]],Locaties[#All],6,FALSE)</f>
        <v>Enschede</v>
      </c>
      <c r="F5" s="171"/>
      <c r="G5" s="185" t="s">
        <v>563</v>
      </c>
      <c r="H5" s="171"/>
      <c r="I5" s="185" t="s">
        <v>446</v>
      </c>
      <c r="J5" s="219" t="s">
        <v>717</v>
      </c>
      <c r="K5" s="224">
        <v>7</v>
      </c>
      <c r="L5" s="225" t="str">
        <f>VLOOKUP(Ruimtestaat[[#This Row],[Ruimte code]],Ruimtegroepen[#All],2,FALSE)</f>
        <v>Entree</v>
      </c>
      <c r="M5" s="212" t="s">
        <v>597</v>
      </c>
      <c r="N5" s="171" t="s">
        <v>38</v>
      </c>
      <c r="O5" s="172">
        <v>4.5</v>
      </c>
      <c r="P5" s="172"/>
      <c r="Q5" s="212" t="str">
        <f>VLOOKUP(Ruimtestaat[[#This Row],[Ruimte code]],Ruimtegroepen[#All],4,FALSE)</f>
        <v>V  (Verkeersruimte)</v>
      </c>
      <c r="R5" s="184"/>
      <c r="S5" s="185">
        <v>40</v>
      </c>
      <c r="T5" s="185" t="s">
        <v>2</v>
      </c>
      <c r="U5" s="185">
        <f>IF(S5&gt;0,IF(RIGHT(Ruimtestaat[[#This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" s="185">
        <f>IF(U5&gt;0,VLOOKUP($K5,Ruimtegroepen[],3,FALSE)*VLOOKUP($M5,Vloersoorten[],3,FALSE)*VLOOKUP($T5,Frequenties[],3,FALSE)*VLOOKUP($A5,Locaties[],3,FALSE),0)</f>
        <v>0</v>
      </c>
      <c r="W5" s="185">
        <f>Ruimtestaat[[#This Row],[Uitvoeringen werkdagen]]*Ruimtestaat[[#This Row],[Oppervlak (netto)]]</f>
        <v>900</v>
      </c>
      <c r="X5" s="220">
        <f>IF(V5&gt;0,Ruimtestaat[[#This Row],[Prest. (m2 /jaar) werkdagen]]/Ruimtestaat[[#This Row],[Norm (m2/uur) werkdagen]],0)</f>
        <v>0</v>
      </c>
      <c r="Y5" s="221">
        <f>Ruimtestaat[[#This Row],[uren / jaar werkdagen]]*Tariefsopbouw!$D$38</f>
        <v>0</v>
      </c>
      <c r="Z5" s="33"/>
      <c r="AA5" s="33">
        <f>IF(Ruimtestaat[[#This Row],[Frequentie weekend]]&gt;0,VALUE(LEFT(Z5,1))*S5,0)</f>
        <v>0</v>
      </c>
      <c r="AB5" s="33">
        <f>IF($AA5&gt;0,VLOOKUP($K5,Ruimtegroepen[],3,FALSE)*VLOOKUP($M5,Vloersoorten[],3,FALSE)*VLOOKUP($Z5,Frequenties[],3,FALSE)*VLOOKUP(#REF!,Locaties[],3,FALSE),0)</f>
        <v>0</v>
      </c>
      <c r="AC5" s="33"/>
      <c r="AD5" s="33"/>
      <c r="AE5" s="33">
        <f>Ruimtestaat[[#This Row],[uren / jaar weekend]]*Tariefsopbouw!$D$40</f>
        <v>0</v>
      </c>
      <c r="AF5" s="79">
        <f>Ruimtestaat[[#This Row],[Prest. (m2 /jaar) weekend]]+Ruimtestaat[[#This Row],[Prest. (m2 /jaar) werkdagen]]</f>
        <v>900</v>
      </c>
      <c r="AG5" s="79">
        <f>Ruimtestaat[[#This Row],[uren / jaar weekend]]+Ruimtestaat[[#This Row],[uren / jaar werkdagen]]</f>
        <v>0</v>
      </c>
      <c r="AH5" s="80">
        <f>Ruimtestaat[[#This Row],[kosten / jaar weekend]]+Ruimtestaat[[#This Row],[kosten / jaar werkdagen]]</f>
        <v>0</v>
      </c>
      <c r="AI5" s="81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</row>
    <row r="6" spans="1:221" s="8" customFormat="1" ht="15" customHeight="1">
      <c r="A6" s="185">
        <v>1</v>
      </c>
      <c r="B6" s="21" t="str">
        <f>VLOOKUP(Ruimtestaat[[#This Row],[Code]],Locaties[#All],2,FALSE)</f>
        <v xml:space="preserve">Het Meerik </v>
      </c>
      <c r="C6" s="212" t="str">
        <f>VLOOKUP(Ruimtestaat[[#This Row],[Code]],Locaties[#All],4,FALSE)</f>
        <v>Lijsterstraat 117</v>
      </c>
      <c r="D6" s="212" t="str">
        <f>VLOOKUP(Ruimtestaat[[#This Row],[Code]],Locaties[#All],5,FALSE)</f>
        <v>7523ES</v>
      </c>
      <c r="E6" s="212" t="str">
        <f>VLOOKUP(Ruimtestaat[[#This Row],[Code]],Locaties[#All],6,FALSE)</f>
        <v>Enschede</v>
      </c>
      <c r="F6" s="171"/>
      <c r="G6" s="185" t="s">
        <v>563</v>
      </c>
      <c r="H6" s="171"/>
      <c r="I6" s="185" t="s">
        <v>447</v>
      </c>
      <c r="J6" s="219" t="s">
        <v>718</v>
      </c>
      <c r="K6" s="224">
        <v>7</v>
      </c>
      <c r="L6" s="225" t="str">
        <f>VLOOKUP(Ruimtestaat[[#This Row],[Ruimte code]],Ruimtegroepen[#All],2,FALSE)</f>
        <v>Entree</v>
      </c>
      <c r="M6" s="212" t="s">
        <v>597</v>
      </c>
      <c r="N6" s="171" t="s">
        <v>38</v>
      </c>
      <c r="O6" s="172">
        <v>4.5</v>
      </c>
      <c r="P6" s="172"/>
      <c r="Q6" s="212" t="str">
        <f>VLOOKUP(Ruimtestaat[[#This Row],[Ruimte code]],Ruimtegroepen[#All],4,FALSE)</f>
        <v>V  (Verkeersruimte)</v>
      </c>
      <c r="R6" s="184"/>
      <c r="S6" s="185">
        <v>40</v>
      </c>
      <c r="T6" s="185" t="s">
        <v>2</v>
      </c>
      <c r="U6" s="185">
        <f>IF(S6&gt;0,IF(RIGHT(Ruimtestaat[[#This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" s="185">
        <f>IF(U6&gt;0,VLOOKUP($K6,Ruimtegroepen[],3,FALSE)*VLOOKUP($M6,Vloersoorten[],3,FALSE)*VLOOKUP($T6,Frequenties[],3,FALSE)*VLOOKUP($A6,Locaties[],3,FALSE),0)</f>
        <v>0</v>
      </c>
      <c r="W6" s="185">
        <f>Ruimtestaat[[#This Row],[Uitvoeringen werkdagen]]*Ruimtestaat[[#This Row],[Oppervlak (netto)]]</f>
        <v>900</v>
      </c>
      <c r="X6" s="220">
        <f>IF(V6&gt;0,Ruimtestaat[[#This Row],[Prest. (m2 /jaar) werkdagen]]/Ruimtestaat[[#This Row],[Norm (m2/uur) werkdagen]],0)</f>
        <v>0</v>
      </c>
      <c r="Y6" s="221">
        <f>Ruimtestaat[[#This Row],[uren / jaar werkdagen]]*Tariefsopbouw!$D$38</f>
        <v>0</v>
      </c>
      <c r="Z6" s="33"/>
      <c r="AA6" s="33">
        <f>IF(Ruimtestaat[[#This Row],[Frequentie weekend]]&gt;0,VALUE(LEFT(Z6,1))*S6,0)</f>
        <v>0</v>
      </c>
      <c r="AB6" s="33">
        <f>IF($AA6&gt;0,VLOOKUP($K6,Ruimtegroepen[],3,FALSE)*VLOOKUP($M6,Vloersoorten[],3,FALSE)*VLOOKUP($Z6,Frequenties[],3,FALSE)*VLOOKUP(#REF!,Locaties[],3,FALSE),0)</f>
        <v>0</v>
      </c>
      <c r="AC6" s="33"/>
      <c r="AD6" s="33"/>
      <c r="AE6" s="33">
        <f>Ruimtestaat[[#This Row],[uren / jaar weekend]]*Tariefsopbouw!$D$40</f>
        <v>0</v>
      </c>
      <c r="AF6" s="79">
        <f>Ruimtestaat[[#This Row],[Prest. (m2 /jaar) weekend]]+Ruimtestaat[[#This Row],[Prest. (m2 /jaar) werkdagen]]</f>
        <v>900</v>
      </c>
      <c r="AG6" s="79">
        <f>Ruimtestaat[[#This Row],[uren / jaar weekend]]+Ruimtestaat[[#This Row],[uren / jaar werkdagen]]</f>
        <v>0</v>
      </c>
      <c r="AH6" s="80">
        <f>Ruimtestaat[[#This Row],[kosten / jaar weekend]]+Ruimtestaat[[#This Row],[kosten / jaar werkdagen]]</f>
        <v>0</v>
      </c>
      <c r="AI6" s="81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</row>
    <row r="7" spans="1:221" s="8" customFormat="1" ht="15" customHeight="1">
      <c r="A7" s="185">
        <v>1</v>
      </c>
      <c r="B7" s="21" t="str">
        <f>VLOOKUP(Ruimtestaat[[#This Row],[Code]],Locaties[#All],2,FALSE)</f>
        <v xml:space="preserve">Het Meerik </v>
      </c>
      <c r="C7" s="212" t="str">
        <f>VLOOKUP(Ruimtestaat[[#This Row],[Code]],Locaties[#All],4,FALSE)</f>
        <v>Lijsterstraat 117</v>
      </c>
      <c r="D7" s="212" t="str">
        <f>VLOOKUP(Ruimtestaat[[#This Row],[Code]],Locaties[#All],5,FALSE)</f>
        <v>7523ES</v>
      </c>
      <c r="E7" s="212" t="str">
        <f>VLOOKUP(Ruimtestaat[[#This Row],[Code]],Locaties[#All],6,FALSE)</f>
        <v>Enschede</v>
      </c>
      <c r="F7" s="171"/>
      <c r="G7" s="185" t="s">
        <v>563</v>
      </c>
      <c r="H7" s="171"/>
      <c r="I7" s="185" t="s">
        <v>448</v>
      </c>
      <c r="J7" s="219" t="s">
        <v>719</v>
      </c>
      <c r="K7" s="224">
        <v>8</v>
      </c>
      <c r="L7" s="225" t="str">
        <f>VLOOKUP(Ruimtestaat[[#This Row],[Ruimte code]],Ruimtegroepen[#All],2,FALSE)</f>
        <v>Receptie</v>
      </c>
      <c r="M7" s="212" t="s">
        <v>597</v>
      </c>
      <c r="N7" s="171" t="s">
        <v>38</v>
      </c>
      <c r="O7" s="172">
        <v>20</v>
      </c>
      <c r="P7" s="172"/>
      <c r="Q7" s="212" t="str">
        <f>VLOOKUP(Ruimtestaat[[#This Row],[Ruimte code]],Ruimtegroepen[#All],4,FALSE)</f>
        <v>B  (Bureauruimte)</v>
      </c>
      <c r="R7" s="184"/>
      <c r="S7" s="185">
        <v>40</v>
      </c>
      <c r="T7" s="185" t="s">
        <v>2</v>
      </c>
      <c r="U7" s="185">
        <f>IF(S7&gt;0,IF(RIGHT(Ruimtestaat[[#This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" s="185">
        <f>IF(U7&gt;0,VLOOKUP($K7,Ruimtegroepen[],3,FALSE)*VLOOKUP($M7,Vloersoorten[],3,FALSE)*VLOOKUP($T7,Frequenties[],3,FALSE)*VLOOKUP($A7,Locaties[],3,FALSE),0)</f>
        <v>0</v>
      </c>
      <c r="W7" s="185">
        <f>Ruimtestaat[[#This Row],[Uitvoeringen werkdagen]]*Ruimtestaat[[#This Row],[Oppervlak (netto)]]</f>
        <v>4000</v>
      </c>
      <c r="X7" s="220">
        <f>IF(V7&gt;0,Ruimtestaat[[#This Row],[Prest. (m2 /jaar) werkdagen]]/Ruimtestaat[[#This Row],[Norm (m2/uur) werkdagen]],0)</f>
        <v>0</v>
      </c>
      <c r="Y7" s="221">
        <f>Ruimtestaat[[#This Row],[uren / jaar werkdagen]]*Tariefsopbouw!$D$38</f>
        <v>0</v>
      </c>
      <c r="Z7" s="33"/>
      <c r="AA7" s="33">
        <f>IF(Ruimtestaat[[#This Row],[Frequentie weekend]]&gt;0,VALUE(LEFT(Z7,1))*S7,0)</f>
        <v>0</v>
      </c>
      <c r="AB7" s="33">
        <f>IF($AA7&gt;0,VLOOKUP($K7,Ruimtegroepen[],3,FALSE)*VLOOKUP($M7,Vloersoorten[],3,FALSE)*VLOOKUP($Z7,Frequenties[],3,FALSE)*VLOOKUP(#REF!,Locaties[],3,FALSE),0)</f>
        <v>0</v>
      </c>
      <c r="AC7" s="33"/>
      <c r="AD7" s="33"/>
      <c r="AE7" s="33">
        <f>Ruimtestaat[[#This Row],[uren / jaar weekend]]*Tariefsopbouw!$D$40</f>
        <v>0</v>
      </c>
      <c r="AF7" s="79">
        <f>Ruimtestaat[[#This Row],[Prest. (m2 /jaar) weekend]]+Ruimtestaat[[#This Row],[Prest. (m2 /jaar) werkdagen]]</f>
        <v>4000</v>
      </c>
      <c r="AG7" s="79">
        <f>Ruimtestaat[[#This Row],[uren / jaar weekend]]+Ruimtestaat[[#This Row],[uren / jaar werkdagen]]</f>
        <v>0</v>
      </c>
      <c r="AH7" s="80">
        <f>Ruimtestaat[[#This Row],[kosten / jaar weekend]]+Ruimtestaat[[#This Row],[kosten / jaar werkdagen]]</f>
        <v>0</v>
      </c>
      <c r="AI7" s="81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</row>
    <row r="8" spans="1:221" s="8" customFormat="1" ht="15" customHeight="1">
      <c r="A8" s="185">
        <v>1</v>
      </c>
      <c r="B8" s="21" t="str">
        <f>VLOOKUP(Ruimtestaat[[#This Row],[Code]],Locaties[#All],2,FALSE)</f>
        <v xml:space="preserve">Het Meerik </v>
      </c>
      <c r="C8" s="212" t="str">
        <f>VLOOKUP(Ruimtestaat[[#This Row],[Code]],Locaties[#All],4,FALSE)</f>
        <v>Lijsterstraat 117</v>
      </c>
      <c r="D8" s="212" t="str">
        <f>VLOOKUP(Ruimtestaat[[#This Row],[Code]],Locaties[#All],5,FALSE)</f>
        <v>7523ES</v>
      </c>
      <c r="E8" s="212" t="str">
        <f>VLOOKUP(Ruimtestaat[[#This Row],[Code]],Locaties[#All],6,FALSE)</f>
        <v>Enschede</v>
      </c>
      <c r="F8" s="171"/>
      <c r="G8" s="185" t="s">
        <v>563</v>
      </c>
      <c r="H8" s="171"/>
      <c r="I8" s="185" t="s">
        <v>449</v>
      </c>
      <c r="J8" s="219" t="s">
        <v>574</v>
      </c>
      <c r="K8" s="224">
        <v>6</v>
      </c>
      <c r="L8" s="225" t="str">
        <f>VLOOKUP(Ruimtestaat[[#This Row],[Ruimte code]],Ruimtegroepen[#All],2,FALSE)</f>
        <v>Gangen/hallen</v>
      </c>
      <c r="M8" s="212" t="s">
        <v>111</v>
      </c>
      <c r="N8" s="171" t="s">
        <v>605</v>
      </c>
      <c r="O8" s="172">
        <v>8</v>
      </c>
      <c r="P8" s="172"/>
      <c r="Q8" s="212" t="str">
        <f>VLOOKUP(Ruimtestaat[[#This Row],[Ruimte code]],Ruimtegroepen[#All],4,FALSE)</f>
        <v>V  (Verkeersruimte)</v>
      </c>
      <c r="R8" s="184"/>
      <c r="S8" s="185">
        <v>40</v>
      </c>
      <c r="T8" s="185" t="s">
        <v>2</v>
      </c>
      <c r="U8" s="185">
        <f>IF(S8&gt;0,IF(RIGHT(Ruimtestaat[[#This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" s="185">
        <f>IF(U8&gt;0,VLOOKUP($K8,Ruimtegroepen[],3,FALSE)*VLOOKUP($M8,Vloersoorten[],3,FALSE)*VLOOKUP($T8,Frequenties[],3,FALSE)*VLOOKUP($A8,Locaties[],3,FALSE),0)</f>
        <v>0</v>
      </c>
      <c r="W8" s="185">
        <f>Ruimtestaat[[#This Row],[Uitvoeringen werkdagen]]*Ruimtestaat[[#This Row],[Oppervlak (netto)]]</f>
        <v>1600</v>
      </c>
      <c r="X8" s="220">
        <f>IF(V8&gt;0,Ruimtestaat[[#This Row],[Prest. (m2 /jaar) werkdagen]]/Ruimtestaat[[#This Row],[Norm (m2/uur) werkdagen]],0)</f>
        <v>0</v>
      </c>
      <c r="Y8" s="221">
        <f>Ruimtestaat[[#This Row],[uren / jaar werkdagen]]*Tariefsopbouw!$D$38</f>
        <v>0</v>
      </c>
      <c r="Z8" s="33"/>
      <c r="AA8" s="33">
        <f>IF(Ruimtestaat[[#This Row],[Frequentie weekend]]&gt;0,VALUE(LEFT(Z8,1))*S8,0)</f>
        <v>0</v>
      </c>
      <c r="AB8" s="33">
        <f>IF($AA8&gt;0,VLOOKUP($K8,Ruimtegroepen[],3,FALSE)*VLOOKUP($M8,Vloersoorten[],3,FALSE)*VLOOKUP($Z8,Frequenties[],3,FALSE)*VLOOKUP(#REF!,Locaties[],3,FALSE),0)</f>
        <v>0</v>
      </c>
      <c r="AC8" s="33"/>
      <c r="AD8" s="33"/>
      <c r="AE8" s="33">
        <f>Ruimtestaat[[#This Row],[uren / jaar weekend]]*Tariefsopbouw!$D$40</f>
        <v>0</v>
      </c>
      <c r="AF8" s="79">
        <f>Ruimtestaat[[#This Row],[Prest. (m2 /jaar) weekend]]+Ruimtestaat[[#This Row],[Prest. (m2 /jaar) werkdagen]]</f>
        <v>1600</v>
      </c>
      <c r="AG8" s="79">
        <f>Ruimtestaat[[#This Row],[uren / jaar weekend]]+Ruimtestaat[[#This Row],[uren / jaar werkdagen]]</f>
        <v>0</v>
      </c>
      <c r="AH8" s="80">
        <f>Ruimtestaat[[#This Row],[kosten / jaar weekend]]+Ruimtestaat[[#This Row],[kosten / jaar werkdagen]]</f>
        <v>0</v>
      </c>
      <c r="AI8" s="81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</row>
    <row r="9" spans="1:221" s="8" customFormat="1" ht="15" customHeight="1">
      <c r="A9" s="185">
        <v>1</v>
      </c>
      <c r="B9" s="21" t="str">
        <f>VLOOKUP(Ruimtestaat[[#This Row],[Code]],Locaties[#All],2,FALSE)</f>
        <v xml:space="preserve">Het Meerik </v>
      </c>
      <c r="C9" s="212" t="str">
        <f>VLOOKUP(Ruimtestaat[[#This Row],[Code]],Locaties[#All],4,FALSE)</f>
        <v>Lijsterstraat 117</v>
      </c>
      <c r="D9" s="212" t="str">
        <f>VLOOKUP(Ruimtestaat[[#This Row],[Code]],Locaties[#All],5,FALSE)</f>
        <v>7523ES</v>
      </c>
      <c r="E9" s="212" t="str">
        <f>VLOOKUP(Ruimtestaat[[#This Row],[Code]],Locaties[#All],6,FALSE)</f>
        <v>Enschede</v>
      </c>
      <c r="F9" s="171"/>
      <c r="G9" s="185" t="s">
        <v>563</v>
      </c>
      <c r="H9" s="171"/>
      <c r="I9" s="185" t="s">
        <v>720</v>
      </c>
      <c r="J9" s="219" t="s">
        <v>574</v>
      </c>
      <c r="K9" s="224">
        <v>6</v>
      </c>
      <c r="L9" s="225" t="str">
        <f>VLOOKUP(Ruimtestaat[[#This Row],[Ruimte code]],Ruimtegroepen[#All],2,FALSE)</f>
        <v>Gangen/hallen</v>
      </c>
      <c r="M9" s="212" t="s">
        <v>112</v>
      </c>
      <c r="N9" s="171" t="s">
        <v>776</v>
      </c>
      <c r="O9" s="172">
        <v>83</v>
      </c>
      <c r="P9" s="172"/>
      <c r="Q9" s="212" t="str">
        <f>VLOOKUP(Ruimtestaat[[#This Row],[Ruimte code]],Ruimtegroepen[#All],4,FALSE)</f>
        <v>V  (Verkeersruimte)</v>
      </c>
      <c r="R9" s="184"/>
      <c r="S9" s="185">
        <v>40</v>
      </c>
      <c r="T9" s="185" t="s">
        <v>2</v>
      </c>
      <c r="U9" s="185">
        <f>IF(S9&gt;0,IF(RIGHT(Ruimtestaat[[#This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" s="185">
        <f>IF(U9&gt;0,VLOOKUP($K9,Ruimtegroepen[],3,FALSE)*VLOOKUP($M9,Vloersoorten[],3,FALSE)*VLOOKUP($T9,Frequenties[],3,FALSE)*VLOOKUP($A9,Locaties[],3,FALSE),0)</f>
        <v>0</v>
      </c>
      <c r="W9" s="185">
        <f>Ruimtestaat[[#This Row],[Uitvoeringen werkdagen]]*Ruimtestaat[[#This Row],[Oppervlak (netto)]]</f>
        <v>16600</v>
      </c>
      <c r="X9" s="220">
        <f>IF(V9&gt;0,Ruimtestaat[[#This Row],[Prest. (m2 /jaar) werkdagen]]/Ruimtestaat[[#This Row],[Norm (m2/uur) werkdagen]],0)</f>
        <v>0</v>
      </c>
      <c r="Y9" s="221">
        <f>Ruimtestaat[[#This Row],[uren / jaar werkdagen]]*Tariefsopbouw!$D$38</f>
        <v>0</v>
      </c>
      <c r="Z9" s="33"/>
      <c r="AA9" s="33">
        <f>IF(Ruimtestaat[[#This Row],[Frequentie weekend]]&gt;0,VALUE(LEFT(Z9,1))*S9,0)</f>
        <v>0</v>
      </c>
      <c r="AB9" s="33">
        <f>IF($AA9&gt;0,VLOOKUP($K9,Ruimtegroepen[],3,FALSE)*VLOOKUP($M9,Vloersoorten[],3,FALSE)*VLOOKUP($Z9,Frequenties[],3,FALSE)*VLOOKUP(#REF!,Locaties[],3,FALSE),0)</f>
        <v>0</v>
      </c>
      <c r="AC9" s="33"/>
      <c r="AD9" s="33"/>
      <c r="AE9" s="33">
        <f>Ruimtestaat[[#This Row],[uren / jaar weekend]]*Tariefsopbouw!$D$40</f>
        <v>0</v>
      </c>
      <c r="AF9" s="79">
        <f>Ruimtestaat[[#This Row],[Prest. (m2 /jaar) weekend]]+Ruimtestaat[[#This Row],[Prest. (m2 /jaar) werkdagen]]</f>
        <v>16600</v>
      </c>
      <c r="AG9" s="79">
        <f>Ruimtestaat[[#This Row],[uren / jaar weekend]]+Ruimtestaat[[#This Row],[uren / jaar werkdagen]]</f>
        <v>0</v>
      </c>
      <c r="AH9" s="80">
        <f>Ruimtestaat[[#This Row],[kosten / jaar weekend]]+Ruimtestaat[[#This Row],[kosten / jaar werkdagen]]</f>
        <v>0</v>
      </c>
      <c r="AI9" s="81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</row>
    <row r="10" spans="1:221" s="8" customFormat="1" ht="15" customHeight="1">
      <c r="A10" s="185">
        <v>1</v>
      </c>
      <c r="B10" s="21" t="str">
        <f>VLOOKUP(Ruimtestaat[[#This Row],[Code]],Locaties[#All],2,FALSE)</f>
        <v xml:space="preserve">Het Meerik </v>
      </c>
      <c r="C10" s="212" t="str">
        <f>VLOOKUP(Ruimtestaat[[#This Row],[Code]],Locaties[#All],4,FALSE)</f>
        <v>Lijsterstraat 117</v>
      </c>
      <c r="D10" s="212" t="str">
        <f>VLOOKUP(Ruimtestaat[[#This Row],[Code]],Locaties[#All],5,FALSE)</f>
        <v>7523ES</v>
      </c>
      <c r="E10" s="212" t="str">
        <f>VLOOKUP(Ruimtestaat[[#This Row],[Code]],Locaties[#All],6,FALSE)</f>
        <v>Enschede</v>
      </c>
      <c r="F10" s="171"/>
      <c r="G10" s="185" t="s">
        <v>563</v>
      </c>
      <c r="H10" s="171"/>
      <c r="I10" s="185" t="s">
        <v>721</v>
      </c>
      <c r="J10" s="219" t="s">
        <v>574</v>
      </c>
      <c r="K10" s="224">
        <v>6</v>
      </c>
      <c r="L10" s="225" t="str">
        <f>VLOOKUP(Ruimtestaat[[#This Row],[Ruimte code]],Ruimtegroepen[#All],2,FALSE)</f>
        <v>Gangen/hallen</v>
      </c>
      <c r="M10" s="212" t="s">
        <v>597</v>
      </c>
      <c r="N10" s="171" t="s">
        <v>38</v>
      </c>
      <c r="O10" s="172">
        <v>4</v>
      </c>
      <c r="P10" s="172"/>
      <c r="Q10" s="212" t="str">
        <f>VLOOKUP(Ruimtestaat[[#This Row],[Ruimte code]],Ruimtegroepen[#All],4,FALSE)</f>
        <v>V  (Verkeersruimte)</v>
      </c>
      <c r="R10" s="184"/>
      <c r="S10" s="185">
        <v>40</v>
      </c>
      <c r="T10" s="185" t="s">
        <v>2</v>
      </c>
      <c r="U10" s="185">
        <f>IF(S10&gt;0,IF(RIGHT(Ruimtestaat[[#This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" s="185">
        <f>IF(U10&gt;0,VLOOKUP($K10,Ruimtegroepen[],3,FALSE)*VLOOKUP($M10,Vloersoorten[],3,FALSE)*VLOOKUP($T10,Frequenties[],3,FALSE)*VLOOKUP($A10,Locaties[],3,FALSE),0)</f>
        <v>0</v>
      </c>
      <c r="W10" s="185">
        <f>Ruimtestaat[[#This Row],[Uitvoeringen werkdagen]]*Ruimtestaat[[#This Row],[Oppervlak (netto)]]</f>
        <v>800</v>
      </c>
      <c r="X10" s="220">
        <f>IF(V10&gt;0,Ruimtestaat[[#This Row],[Prest. (m2 /jaar) werkdagen]]/Ruimtestaat[[#This Row],[Norm (m2/uur) werkdagen]],0)</f>
        <v>0</v>
      </c>
      <c r="Y10" s="221">
        <f>Ruimtestaat[[#This Row],[uren / jaar werkdagen]]*Tariefsopbouw!$D$38</f>
        <v>0</v>
      </c>
      <c r="Z10" s="33"/>
      <c r="AA10" s="33">
        <f>IF(Ruimtestaat[[#This Row],[Frequentie weekend]]&gt;0,VALUE(LEFT(Z10,1))*S10,0)</f>
        <v>0</v>
      </c>
      <c r="AB10" s="33">
        <f>IF($AA10&gt;0,VLOOKUP($K10,Ruimtegroepen[],3,FALSE)*VLOOKUP($M10,Vloersoorten[],3,FALSE)*VLOOKUP($Z10,Frequenties[],3,FALSE)*VLOOKUP(#REF!,Locaties[],3,FALSE),0)</f>
        <v>0</v>
      </c>
      <c r="AC10" s="33"/>
      <c r="AD10" s="33"/>
      <c r="AE10" s="33">
        <f>Ruimtestaat[[#This Row],[uren / jaar weekend]]*Tariefsopbouw!$D$40</f>
        <v>0</v>
      </c>
      <c r="AF10" s="79">
        <f>Ruimtestaat[[#This Row],[Prest. (m2 /jaar) weekend]]+Ruimtestaat[[#This Row],[Prest. (m2 /jaar) werkdagen]]</f>
        <v>800</v>
      </c>
      <c r="AG10" s="79">
        <f>Ruimtestaat[[#This Row],[uren / jaar weekend]]+Ruimtestaat[[#This Row],[uren / jaar werkdagen]]</f>
        <v>0</v>
      </c>
      <c r="AH10" s="80">
        <f>Ruimtestaat[[#This Row],[kosten / jaar weekend]]+Ruimtestaat[[#This Row],[kosten / jaar werkdagen]]</f>
        <v>0</v>
      </c>
      <c r="AI10" s="81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</row>
    <row r="11" spans="1:221" s="8" customFormat="1" ht="15" customHeight="1">
      <c r="A11" s="185">
        <v>1</v>
      </c>
      <c r="B11" s="21" t="str">
        <f>VLOOKUP(Ruimtestaat[[#This Row],[Code]],Locaties[#All],2,FALSE)</f>
        <v xml:space="preserve">Het Meerik </v>
      </c>
      <c r="C11" s="212" t="str">
        <f>VLOOKUP(Ruimtestaat[[#This Row],[Code]],Locaties[#All],4,FALSE)</f>
        <v>Lijsterstraat 117</v>
      </c>
      <c r="D11" s="212" t="str">
        <f>VLOOKUP(Ruimtestaat[[#This Row],[Code]],Locaties[#All],5,FALSE)</f>
        <v>7523ES</v>
      </c>
      <c r="E11" s="212" t="str">
        <f>VLOOKUP(Ruimtestaat[[#This Row],[Code]],Locaties[#All],6,FALSE)</f>
        <v>Enschede</v>
      </c>
      <c r="F11" s="171"/>
      <c r="G11" s="185" t="s">
        <v>563</v>
      </c>
      <c r="H11" s="171"/>
      <c r="I11" s="185" t="s">
        <v>450</v>
      </c>
      <c r="J11" s="219" t="s">
        <v>61</v>
      </c>
      <c r="K11" s="224">
        <v>3</v>
      </c>
      <c r="L11" s="225" t="str">
        <f>VLOOKUP(Ruimtestaat[[#This Row],[Ruimte code]],Ruimtegroepen[#All],2,FALSE)</f>
        <v>Reproruimte</v>
      </c>
      <c r="M11" s="212" t="s">
        <v>112</v>
      </c>
      <c r="N11" s="171" t="s">
        <v>776</v>
      </c>
      <c r="O11" s="172">
        <v>30</v>
      </c>
      <c r="P11" s="172"/>
      <c r="Q11" s="212" t="str">
        <f>VLOOKUP(Ruimtestaat[[#This Row],[Ruimte code]],Ruimtegroepen[#All],4,FALSE)</f>
        <v>V  (Verkeersruimte)</v>
      </c>
      <c r="R11" s="184"/>
      <c r="S11" s="185">
        <v>40</v>
      </c>
      <c r="T11" s="185" t="s">
        <v>2</v>
      </c>
      <c r="U11" s="185">
        <f>IF(S11&gt;0,IF(RIGHT(Ruimtestaat[[#This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" s="185">
        <f>IF(U11&gt;0,VLOOKUP($K11,Ruimtegroepen[],3,FALSE)*VLOOKUP($M11,Vloersoorten[],3,FALSE)*VLOOKUP($T11,Frequenties[],3,FALSE)*VLOOKUP($A11,Locaties[],3,FALSE),0)</f>
        <v>0</v>
      </c>
      <c r="W11" s="185">
        <f>Ruimtestaat[[#This Row],[Uitvoeringen werkdagen]]*Ruimtestaat[[#This Row],[Oppervlak (netto)]]</f>
        <v>6000</v>
      </c>
      <c r="X11" s="220">
        <f>IF(V11&gt;0,Ruimtestaat[[#This Row],[Prest. (m2 /jaar) werkdagen]]/Ruimtestaat[[#This Row],[Norm (m2/uur) werkdagen]],0)</f>
        <v>0</v>
      </c>
      <c r="Y11" s="221">
        <f>Ruimtestaat[[#This Row],[uren / jaar werkdagen]]*Tariefsopbouw!$D$38</f>
        <v>0</v>
      </c>
      <c r="Z11" s="33"/>
      <c r="AA11" s="33">
        <f>IF(Ruimtestaat[[#This Row],[Frequentie weekend]]&gt;0,VALUE(LEFT(Z11,1))*S11,0)</f>
        <v>0</v>
      </c>
      <c r="AB11" s="33">
        <f>IF($AA11&gt;0,VLOOKUP($K11,Ruimtegroepen[],3,FALSE)*VLOOKUP($M11,Vloersoorten[],3,FALSE)*VLOOKUP($Z11,Frequenties[],3,FALSE)*VLOOKUP(#REF!,Locaties[],3,FALSE),0)</f>
        <v>0</v>
      </c>
      <c r="AC11" s="33"/>
      <c r="AD11" s="33"/>
      <c r="AE11" s="33">
        <f>Ruimtestaat[[#This Row],[uren / jaar weekend]]*Tariefsopbouw!$D$40</f>
        <v>0</v>
      </c>
      <c r="AF11" s="79">
        <f>Ruimtestaat[[#This Row],[Prest. (m2 /jaar) weekend]]+Ruimtestaat[[#This Row],[Prest. (m2 /jaar) werkdagen]]</f>
        <v>6000</v>
      </c>
      <c r="AG11" s="79">
        <f>Ruimtestaat[[#This Row],[uren / jaar weekend]]+Ruimtestaat[[#This Row],[uren / jaar werkdagen]]</f>
        <v>0</v>
      </c>
      <c r="AH11" s="80">
        <f>Ruimtestaat[[#This Row],[kosten / jaar weekend]]+Ruimtestaat[[#This Row],[kosten / jaar werkdagen]]</f>
        <v>0</v>
      </c>
      <c r="AI11" s="81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</row>
    <row r="12" spans="1:221" s="8" customFormat="1" ht="15" customHeight="1">
      <c r="A12" s="185">
        <v>1</v>
      </c>
      <c r="B12" s="21" t="str">
        <f>VLOOKUP(Ruimtestaat[[#This Row],[Code]],Locaties[#All],2,FALSE)</f>
        <v xml:space="preserve">Het Meerik </v>
      </c>
      <c r="C12" s="212" t="str">
        <f>VLOOKUP(Ruimtestaat[[#This Row],[Code]],Locaties[#All],4,FALSE)</f>
        <v>Lijsterstraat 117</v>
      </c>
      <c r="D12" s="212" t="str">
        <f>VLOOKUP(Ruimtestaat[[#This Row],[Code]],Locaties[#All],5,FALSE)</f>
        <v>7523ES</v>
      </c>
      <c r="E12" s="212" t="str">
        <f>VLOOKUP(Ruimtestaat[[#This Row],[Code]],Locaties[#All],6,FALSE)</f>
        <v>Enschede</v>
      </c>
      <c r="F12" s="171"/>
      <c r="G12" s="185" t="s">
        <v>563</v>
      </c>
      <c r="H12" s="171"/>
      <c r="I12" s="185" t="s">
        <v>451</v>
      </c>
      <c r="J12" s="219" t="s">
        <v>722</v>
      </c>
      <c r="K12" s="224">
        <v>5</v>
      </c>
      <c r="L12" s="225" t="str">
        <f>VLOOKUP(Ruimtestaat[[#This Row],[Ruimte code]],Ruimtegroepen[#All],2,FALSE)</f>
        <v>Sanitair</v>
      </c>
      <c r="M12" s="212" t="s">
        <v>111</v>
      </c>
      <c r="N12" s="171" t="s">
        <v>606</v>
      </c>
      <c r="O12" s="172">
        <v>5</v>
      </c>
      <c r="P12" s="172"/>
      <c r="Q12" s="212" t="str">
        <f>VLOOKUP(Ruimtestaat[[#This Row],[Ruimte code]],Ruimtegroepen[#All],4,FALSE)</f>
        <v>S  (Sanitair)</v>
      </c>
      <c r="R12" s="184"/>
      <c r="S12" s="185">
        <v>40</v>
      </c>
      <c r="T12" s="185" t="s">
        <v>2</v>
      </c>
      <c r="U12" s="185">
        <f>IF(S12&gt;0,IF(RIGHT(Ruimtestaat[[#This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" s="185">
        <f>IF(U12&gt;0,VLOOKUP($K12,Ruimtegroepen[],3,FALSE)*VLOOKUP($M12,Vloersoorten[],3,FALSE)*VLOOKUP($T12,Frequenties[],3,FALSE)*VLOOKUP($A12,Locaties[],3,FALSE),0)</f>
        <v>0</v>
      </c>
      <c r="W12" s="185">
        <f>Ruimtestaat[[#This Row],[Uitvoeringen werkdagen]]*Ruimtestaat[[#This Row],[Oppervlak (netto)]]</f>
        <v>1000</v>
      </c>
      <c r="X12" s="220">
        <f>IF(V12&gt;0,Ruimtestaat[[#This Row],[Prest. (m2 /jaar) werkdagen]]/Ruimtestaat[[#This Row],[Norm (m2/uur) werkdagen]],0)</f>
        <v>0</v>
      </c>
      <c r="Y12" s="221">
        <f>Ruimtestaat[[#This Row],[uren / jaar werkdagen]]*Tariefsopbouw!$D$38</f>
        <v>0</v>
      </c>
      <c r="Z12" s="33"/>
      <c r="AA12" s="33">
        <f>IF(Ruimtestaat[[#This Row],[Frequentie weekend]]&gt;0,VALUE(LEFT(Z12,1))*S12,0)</f>
        <v>0</v>
      </c>
      <c r="AB12" s="33">
        <f>IF($AA12&gt;0,VLOOKUP($K12,Ruimtegroepen[],3,FALSE)*VLOOKUP($M12,Vloersoorten[],3,FALSE)*VLOOKUP($Z12,Frequenties[],3,FALSE)*VLOOKUP(#REF!,Locaties[],3,FALSE),0)</f>
        <v>0</v>
      </c>
      <c r="AC12" s="33"/>
      <c r="AD12" s="33"/>
      <c r="AE12" s="33">
        <f>Ruimtestaat[[#This Row],[uren / jaar weekend]]*Tariefsopbouw!$D$40</f>
        <v>0</v>
      </c>
      <c r="AF12" s="79">
        <f>Ruimtestaat[[#This Row],[Prest. (m2 /jaar) weekend]]+Ruimtestaat[[#This Row],[Prest. (m2 /jaar) werkdagen]]</f>
        <v>1000</v>
      </c>
      <c r="AG12" s="79">
        <f>Ruimtestaat[[#This Row],[uren / jaar weekend]]+Ruimtestaat[[#This Row],[uren / jaar werkdagen]]</f>
        <v>0</v>
      </c>
      <c r="AH12" s="80">
        <f>Ruimtestaat[[#This Row],[kosten / jaar weekend]]+Ruimtestaat[[#This Row],[kosten / jaar werkdagen]]</f>
        <v>0</v>
      </c>
      <c r="AI12" s="81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</row>
    <row r="13" spans="1:221" s="8" customFormat="1" ht="15" customHeight="1">
      <c r="A13" s="185">
        <v>1</v>
      </c>
      <c r="B13" s="21" t="str">
        <f>VLOOKUP(Ruimtestaat[[#This Row],[Code]],Locaties[#All],2,FALSE)</f>
        <v xml:space="preserve">Het Meerik </v>
      </c>
      <c r="C13" s="212" t="str">
        <f>VLOOKUP(Ruimtestaat[[#This Row],[Code]],Locaties[#All],4,FALSE)</f>
        <v>Lijsterstraat 117</v>
      </c>
      <c r="D13" s="212" t="str">
        <f>VLOOKUP(Ruimtestaat[[#This Row],[Code]],Locaties[#All],5,FALSE)</f>
        <v>7523ES</v>
      </c>
      <c r="E13" s="212" t="str">
        <f>VLOOKUP(Ruimtestaat[[#This Row],[Code]],Locaties[#All],6,FALSE)</f>
        <v>Enschede</v>
      </c>
      <c r="F13" s="171"/>
      <c r="G13" s="185" t="s">
        <v>563</v>
      </c>
      <c r="H13" s="171"/>
      <c r="I13" s="185" t="s">
        <v>452</v>
      </c>
      <c r="J13" s="219" t="s">
        <v>723</v>
      </c>
      <c r="K13" s="224">
        <v>5</v>
      </c>
      <c r="L13" s="225" t="str">
        <f>VLOOKUP(Ruimtestaat[[#This Row],[Ruimte code]],Ruimtegroepen[#All],2,FALSE)</f>
        <v>Sanitair</v>
      </c>
      <c r="M13" s="212" t="s">
        <v>111</v>
      </c>
      <c r="N13" s="171" t="s">
        <v>606</v>
      </c>
      <c r="O13" s="172">
        <v>5</v>
      </c>
      <c r="P13" s="172"/>
      <c r="Q13" s="212" t="str">
        <f>VLOOKUP(Ruimtestaat[[#This Row],[Ruimte code]],Ruimtegroepen[#All],4,FALSE)</f>
        <v>S  (Sanitair)</v>
      </c>
      <c r="R13" s="184"/>
      <c r="S13" s="185">
        <v>40</v>
      </c>
      <c r="T13" s="185" t="s">
        <v>2</v>
      </c>
      <c r="U13" s="185">
        <f>IF(S13&gt;0,IF(RIGHT(Ruimtestaat[[#This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" s="185">
        <f>IF(U13&gt;0,VLOOKUP($K13,Ruimtegroepen[],3,FALSE)*VLOOKUP($M13,Vloersoorten[],3,FALSE)*VLOOKUP($T13,Frequenties[],3,FALSE)*VLOOKUP($A13,Locaties[],3,FALSE),0)</f>
        <v>0</v>
      </c>
      <c r="W13" s="185">
        <f>Ruimtestaat[[#This Row],[Uitvoeringen werkdagen]]*Ruimtestaat[[#This Row],[Oppervlak (netto)]]</f>
        <v>1000</v>
      </c>
      <c r="X13" s="220">
        <f>IF(V13&gt;0,Ruimtestaat[[#This Row],[Prest. (m2 /jaar) werkdagen]]/Ruimtestaat[[#This Row],[Norm (m2/uur) werkdagen]],0)</f>
        <v>0</v>
      </c>
      <c r="Y13" s="221">
        <f>Ruimtestaat[[#This Row],[uren / jaar werkdagen]]*Tariefsopbouw!$D$38</f>
        <v>0</v>
      </c>
      <c r="Z13" s="33"/>
      <c r="AA13" s="33">
        <f>IF(Ruimtestaat[[#This Row],[Frequentie weekend]]&gt;0,VALUE(LEFT(Z13,1))*S13,0)</f>
        <v>0</v>
      </c>
      <c r="AB13" s="33">
        <f>IF($AA13&gt;0,VLOOKUP($K13,Ruimtegroepen[],3,FALSE)*VLOOKUP($M13,Vloersoorten[],3,FALSE)*VLOOKUP($Z13,Frequenties[],3,FALSE)*VLOOKUP(#REF!,Locaties[],3,FALSE),0)</f>
        <v>0</v>
      </c>
      <c r="AC13" s="33"/>
      <c r="AD13" s="33"/>
      <c r="AE13" s="33">
        <f>Ruimtestaat[[#This Row],[uren / jaar weekend]]*Tariefsopbouw!$D$40</f>
        <v>0</v>
      </c>
      <c r="AF13" s="79">
        <f>Ruimtestaat[[#This Row],[Prest. (m2 /jaar) weekend]]+Ruimtestaat[[#This Row],[Prest. (m2 /jaar) werkdagen]]</f>
        <v>1000</v>
      </c>
      <c r="AG13" s="79">
        <f>Ruimtestaat[[#This Row],[uren / jaar weekend]]+Ruimtestaat[[#This Row],[uren / jaar werkdagen]]</f>
        <v>0</v>
      </c>
      <c r="AH13" s="80">
        <f>Ruimtestaat[[#This Row],[kosten / jaar weekend]]+Ruimtestaat[[#This Row],[kosten / jaar werkdagen]]</f>
        <v>0</v>
      </c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</row>
    <row r="14" spans="1:221" s="8" customFormat="1" ht="15" customHeight="1">
      <c r="A14" s="185">
        <v>1</v>
      </c>
      <c r="B14" s="21" t="str">
        <f>VLOOKUP(Ruimtestaat[[#This Row],[Code]],Locaties[#All],2,FALSE)</f>
        <v xml:space="preserve">Het Meerik </v>
      </c>
      <c r="C14" s="212" t="str">
        <f>VLOOKUP(Ruimtestaat[[#This Row],[Code]],Locaties[#All],4,FALSE)</f>
        <v>Lijsterstraat 117</v>
      </c>
      <c r="D14" s="212" t="str">
        <f>VLOOKUP(Ruimtestaat[[#This Row],[Code]],Locaties[#All],5,FALSE)</f>
        <v>7523ES</v>
      </c>
      <c r="E14" s="212" t="str">
        <f>VLOOKUP(Ruimtestaat[[#This Row],[Code]],Locaties[#All],6,FALSE)</f>
        <v>Enschede</v>
      </c>
      <c r="F14" s="171"/>
      <c r="G14" s="185" t="s">
        <v>563</v>
      </c>
      <c r="H14" s="171"/>
      <c r="I14" s="185" t="s">
        <v>453</v>
      </c>
      <c r="J14" s="219" t="s">
        <v>576</v>
      </c>
      <c r="K14" s="224">
        <v>16</v>
      </c>
      <c r="L14" s="225" t="str">
        <f>VLOOKUP(Ruimtestaat[[#This Row],[Ruimte code]],Ruimtegroepen[#All],2,FALSE)</f>
        <v>Leslokalen</v>
      </c>
      <c r="M14" s="212" t="s">
        <v>112</v>
      </c>
      <c r="N14" s="171" t="s">
        <v>776</v>
      </c>
      <c r="O14" s="172">
        <v>45</v>
      </c>
      <c r="P14" s="172"/>
      <c r="Q14" s="212" t="str">
        <f>VLOOKUP(Ruimtestaat[[#This Row],[Ruimte code]],Ruimtegroepen[#All],4,FALSE)</f>
        <v>L  (Lesruimte)</v>
      </c>
      <c r="R14" s="184"/>
      <c r="S14" s="185">
        <v>40</v>
      </c>
      <c r="T14" s="185" t="s">
        <v>2</v>
      </c>
      <c r="U14" s="185">
        <f>IF(S14&gt;0,IF(RIGHT(Ruimtestaat[[#This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" s="185">
        <f>IF(U14&gt;0,VLOOKUP($K14,Ruimtegroepen[],3,FALSE)*VLOOKUP($M14,Vloersoorten[],3,FALSE)*VLOOKUP($T14,Frequenties[],3,FALSE)*VLOOKUP($A14,Locaties[],3,FALSE),0)</f>
        <v>0</v>
      </c>
      <c r="W14" s="185">
        <f>Ruimtestaat[[#This Row],[Uitvoeringen werkdagen]]*Ruimtestaat[[#This Row],[Oppervlak (netto)]]</f>
        <v>9000</v>
      </c>
      <c r="X14" s="220">
        <f>IF(V14&gt;0,Ruimtestaat[[#This Row],[Prest. (m2 /jaar) werkdagen]]/Ruimtestaat[[#This Row],[Norm (m2/uur) werkdagen]],0)</f>
        <v>0</v>
      </c>
      <c r="Y14" s="221">
        <f>Ruimtestaat[[#This Row],[uren / jaar werkdagen]]*Tariefsopbouw!$D$38</f>
        <v>0</v>
      </c>
      <c r="Z14" s="33"/>
      <c r="AA14" s="33">
        <f>IF(Ruimtestaat[[#This Row],[Frequentie weekend]]&gt;0,VALUE(LEFT(Z14,1))*S14,0)</f>
        <v>0</v>
      </c>
      <c r="AB14" s="33">
        <f>IF($AA14&gt;0,VLOOKUP($K14,Ruimtegroepen[],3,FALSE)*VLOOKUP($M14,Vloersoorten[],3,FALSE)*VLOOKUP($Z14,Frequenties[],3,FALSE)*VLOOKUP(#REF!,Locaties[],3,FALSE),0)</f>
        <v>0</v>
      </c>
      <c r="AC14" s="33"/>
      <c r="AD14" s="33"/>
      <c r="AE14" s="33">
        <f>Ruimtestaat[[#This Row],[uren / jaar weekend]]*Tariefsopbouw!$D$40</f>
        <v>0</v>
      </c>
      <c r="AF14" s="79">
        <f>Ruimtestaat[[#This Row],[Prest. (m2 /jaar) weekend]]+Ruimtestaat[[#This Row],[Prest. (m2 /jaar) werkdagen]]</f>
        <v>9000</v>
      </c>
      <c r="AG14" s="79">
        <f>Ruimtestaat[[#This Row],[uren / jaar weekend]]+Ruimtestaat[[#This Row],[uren / jaar werkdagen]]</f>
        <v>0</v>
      </c>
      <c r="AH14" s="80">
        <f>Ruimtestaat[[#This Row],[kosten / jaar weekend]]+Ruimtestaat[[#This Row],[kosten / jaar werkdagen]]</f>
        <v>0</v>
      </c>
      <c r="AI14" s="81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</row>
    <row r="15" spans="1:221" s="8" customFormat="1" ht="15" customHeight="1">
      <c r="A15" s="117">
        <v>1</v>
      </c>
      <c r="B15" s="21" t="str">
        <f>VLOOKUP(Ruimtestaat[[#This Row],[Code]],Locaties[#All],2,FALSE)</f>
        <v xml:space="preserve">Het Meerik </v>
      </c>
      <c r="C15" s="21" t="str">
        <f>VLOOKUP(Ruimtestaat[[#This Row],[Code]],Locaties[#All],4,FALSE)</f>
        <v>Lijsterstraat 117</v>
      </c>
      <c r="D15" s="21" t="str">
        <f>VLOOKUP(Ruimtestaat[[#This Row],[Code]],Locaties[#All],5,FALSE)</f>
        <v>7523ES</v>
      </c>
      <c r="E15" s="171" t="str">
        <f>VLOOKUP(Ruimtestaat[[#This Row],[Code]],Locaties[#All],6,FALSE)</f>
        <v>Enschede</v>
      </c>
      <c r="F15" s="185"/>
      <c r="G15" s="185" t="s">
        <v>563</v>
      </c>
      <c r="H15" s="185"/>
      <c r="I15" s="185" t="s">
        <v>454</v>
      </c>
      <c r="J15" s="219" t="s">
        <v>576</v>
      </c>
      <c r="K15" s="185">
        <v>16</v>
      </c>
      <c r="L15" s="219" t="str">
        <f>VLOOKUP(Ruimtestaat[[#This Row],[Ruimte code]],Ruimtegroepen[#All],2,FALSE)</f>
        <v>Leslokalen</v>
      </c>
      <c r="M15" s="212" t="s">
        <v>112</v>
      </c>
      <c r="N15" s="171" t="s">
        <v>776</v>
      </c>
      <c r="O15" s="172">
        <v>45</v>
      </c>
      <c r="P15" s="185"/>
      <c r="Q15" s="212" t="str">
        <f>VLOOKUP(Ruimtestaat[[#This Row],[Ruimte code]],Ruimtegroepen[#All],4,FALSE)</f>
        <v>L  (Lesruimte)</v>
      </c>
      <c r="R15" s="184"/>
      <c r="S15" s="185">
        <v>40</v>
      </c>
      <c r="T15" s="185" t="s">
        <v>2</v>
      </c>
      <c r="U15" s="185">
        <f>IF(S15&gt;0,IF(RIGHT(Ruimtestaat[[#This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" s="185">
        <f>IF(U15&gt;0,VLOOKUP($K15,Ruimtegroepen[],3,FALSE)*VLOOKUP($M15,Vloersoorten[],3,FALSE)*VLOOKUP($T15,Frequenties[],3,FALSE)*VLOOKUP($A15,Locaties[],3,FALSE),0)</f>
        <v>0</v>
      </c>
      <c r="W15" s="185">
        <f>Ruimtestaat[[#This Row],[Uitvoeringen werkdagen]]*Ruimtestaat[[#This Row],[Oppervlak (netto)]]</f>
        <v>9000</v>
      </c>
      <c r="X15" s="220">
        <f>IF(V15&gt;0,Ruimtestaat[[#This Row],[Prest. (m2 /jaar) werkdagen]]/Ruimtestaat[[#This Row],[Norm (m2/uur) werkdagen]],0)</f>
        <v>0</v>
      </c>
      <c r="Y15" s="221">
        <f>Ruimtestaat[[#This Row],[uren / jaar werkdagen]]*Tariefsopbouw!$D$38</f>
        <v>0</v>
      </c>
      <c r="Z15" s="33"/>
      <c r="AA15" s="33">
        <f>IF(Ruimtestaat[[#This Row],[Frequentie weekend]]&gt;0,VALUE(LEFT(Z15,1))*S15,0)</f>
        <v>0</v>
      </c>
      <c r="AB15" s="33">
        <f>IF($AA15&gt;0,VLOOKUP($K15,Ruimtegroepen[],3,FALSE)*VLOOKUP($M15,Vloersoorten[],3,FALSE)*VLOOKUP($Z15,Frequenties[],3,FALSE)*VLOOKUP(#REF!,Locaties[],3,FALSE),0)</f>
        <v>0</v>
      </c>
      <c r="AC15" s="33"/>
      <c r="AD15" s="33"/>
      <c r="AE15" s="33">
        <f>Ruimtestaat[[#This Row],[uren / jaar weekend]]*Tariefsopbouw!$D$40</f>
        <v>0</v>
      </c>
      <c r="AF15" s="79">
        <f>Ruimtestaat[[#This Row],[Prest. (m2 /jaar) weekend]]+Ruimtestaat[[#This Row],[Prest. (m2 /jaar) werkdagen]]</f>
        <v>9000</v>
      </c>
      <c r="AG15" s="79">
        <f>Ruimtestaat[[#This Row],[uren / jaar weekend]]+Ruimtestaat[[#This Row],[uren / jaar werkdagen]]</f>
        <v>0</v>
      </c>
      <c r="AH15" s="80">
        <f>Ruimtestaat[[#This Row],[kosten / jaar weekend]]+Ruimtestaat[[#This Row],[kosten / jaar werkdagen]]</f>
        <v>0</v>
      </c>
      <c r="AI15" s="81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</row>
    <row r="16" spans="1:221" s="8" customFormat="1" ht="15" customHeight="1">
      <c r="A16" s="117">
        <v>1</v>
      </c>
      <c r="B16" s="21" t="str">
        <f>VLOOKUP(Ruimtestaat[[#This Row],[Code]],Locaties[#All],2,FALSE)</f>
        <v xml:space="preserve">Het Meerik </v>
      </c>
      <c r="C16" s="21" t="str">
        <f>VLOOKUP(Ruimtestaat[[#This Row],[Code]],Locaties[#All],4,FALSE)</f>
        <v>Lijsterstraat 117</v>
      </c>
      <c r="D16" s="21" t="str">
        <f>VLOOKUP(Ruimtestaat[[#This Row],[Code]],Locaties[#All],5,FALSE)</f>
        <v>7523ES</v>
      </c>
      <c r="E16" s="171" t="str">
        <f>VLOOKUP(Ruimtestaat[[#This Row],[Code]],Locaties[#All],6,FALSE)</f>
        <v>Enschede</v>
      </c>
      <c r="F16" s="185"/>
      <c r="G16" s="185" t="s">
        <v>563</v>
      </c>
      <c r="H16" s="185"/>
      <c r="I16" s="185" t="s">
        <v>455</v>
      </c>
      <c r="J16" s="219" t="s">
        <v>576</v>
      </c>
      <c r="K16" s="185">
        <v>16</v>
      </c>
      <c r="L16" s="219" t="str">
        <f>VLOOKUP(Ruimtestaat[[#This Row],[Ruimte code]],Ruimtegroepen[#All],2,FALSE)</f>
        <v>Leslokalen</v>
      </c>
      <c r="M16" s="212" t="s">
        <v>112</v>
      </c>
      <c r="N16" s="171" t="s">
        <v>776</v>
      </c>
      <c r="O16" s="172">
        <v>45</v>
      </c>
      <c r="P16" s="183"/>
      <c r="Q16" s="212" t="str">
        <f>VLOOKUP(Ruimtestaat[[#This Row],[Ruimte code]],Ruimtegroepen[#All],4,FALSE)</f>
        <v>L  (Lesruimte)</v>
      </c>
      <c r="R16" s="184"/>
      <c r="S16" s="185">
        <v>40</v>
      </c>
      <c r="T16" s="185" t="s">
        <v>2</v>
      </c>
      <c r="U16" s="185">
        <f>IF(S16&gt;0,IF(RIGHT(Ruimtestaat[[#This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" s="185">
        <f>IF(U16&gt;0,VLOOKUP($K16,Ruimtegroepen[],3,FALSE)*VLOOKUP($M16,Vloersoorten[],3,FALSE)*VLOOKUP($T16,Frequenties[],3,FALSE)*VLOOKUP($A16,Locaties[],3,FALSE),0)</f>
        <v>0</v>
      </c>
      <c r="W16" s="185">
        <f>Ruimtestaat[[#This Row],[Uitvoeringen werkdagen]]*Ruimtestaat[[#This Row],[Oppervlak (netto)]]</f>
        <v>9000</v>
      </c>
      <c r="X16" s="220">
        <f>IF(V16&gt;0,Ruimtestaat[[#This Row],[Prest. (m2 /jaar) werkdagen]]/Ruimtestaat[[#This Row],[Norm (m2/uur) werkdagen]],0)</f>
        <v>0</v>
      </c>
      <c r="Y16" s="221">
        <f>Ruimtestaat[[#This Row],[uren / jaar werkdagen]]*Tariefsopbouw!$D$38</f>
        <v>0</v>
      </c>
      <c r="Z16" s="33"/>
      <c r="AA16" s="33">
        <f>IF(Ruimtestaat[[#This Row],[Frequentie weekend]]&gt;0,VALUE(LEFT(Z16,1))*S16,0)</f>
        <v>0</v>
      </c>
      <c r="AB16" s="33">
        <f>IF($AA16&gt;0,VLOOKUP($K16,Ruimtegroepen[],3,FALSE)*VLOOKUP($M16,Vloersoorten[],3,FALSE)*VLOOKUP($Z16,Frequenties[],3,FALSE)*VLOOKUP(#REF!,Locaties[],3,FALSE),0)</f>
        <v>0</v>
      </c>
      <c r="AC16" s="33"/>
      <c r="AD16" s="33"/>
      <c r="AE16" s="33">
        <f>Ruimtestaat[[#This Row],[uren / jaar weekend]]*Tariefsopbouw!$D$40</f>
        <v>0</v>
      </c>
      <c r="AF16" s="79">
        <f>Ruimtestaat[[#This Row],[Prest. (m2 /jaar) weekend]]+Ruimtestaat[[#This Row],[Prest. (m2 /jaar) werkdagen]]</f>
        <v>9000</v>
      </c>
      <c r="AG16" s="79">
        <f>Ruimtestaat[[#This Row],[uren / jaar weekend]]+Ruimtestaat[[#This Row],[uren / jaar werkdagen]]</f>
        <v>0</v>
      </c>
      <c r="AH16" s="80">
        <f>Ruimtestaat[[#This Row],[kosten / jaar weekend]]+Ruimtestaat[[#This Row],[kosten / jaar werkdagen]]</f>
        <v>0</v>
      </c>
      <c r="AI16" s="81" t="s">
        <v>3</v>
      </c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</row>
    <row r="17" spans="1:221" ht="15" customHeight="1">
      <c r="A17" s="117">
        <v>1</v>
      </c>
      <c r="B17" s="21" t="str">
        <f>VLOOKUP(Ruimtestaat[[#This Row],[Code]],Locaties[#All],2,FALSE)</f>
        <v xml:space="preserve">Het Meerik </v>
      </c>
      <c r="C17" s="21" t="str">
        <f>VLOOKUP(Ruimtestaat[[#This Row],[Code]],Locaties[#All],4,FALSE)</f>
        <v>Lijsterstraat 117</v>
      </c>
      <c r="D17" s="21" t="str">
        <f>VLOOKUP(Ruimtestaat[[#This Row],[Code]],Locaties[#All],5,FALSE)</f>
        <v>7523ES</v>
      </c>
      <c r="E17" s="171" t="str">
        <f>VLOOKUP(Ruimtestaat[[#This Row],[Code]],Locaties[#All],6,FALSE)</f>
        <v>Enschede</v>
      </c>
      <c r="F17" s="171"/>
      <c r="G17" s="185" t="s">
        <v>563</v>
      </c>
      <c r="H17" s="185"/>
      <c r="I17" s="171" t="s">
        <v>456</v>
      </c>
      <c r="J17" s="213" t="s">
        <v>576</v>
      </c>
      <c r="K17" s="171">
        <v>16</v>
      </c>
      <c r="L17" s="213" t="str">
        <f>VLOOKUP(Ruimtestaat[[#This Row],[Ruimte code]],Ruimtegroepen[#All],2,FALSE)</f>
        <v>Leslokalen</v>
      </c>
      <c r="M17" s="212" t="s">
        <v>112</v>
      </c>
      <c r="N17" s="171" t="s">
        <v>776</v>
      </c>
      <c r="O17" s="172">
        <v>45</v>
      </c>
      <c r="P17" s="183"/>
      <c r="Q17" s="212" t="str">
        <f>VLOOKUP(Ruimtestaat[[#This Row],[Ruimte code]],Ruimtegroepen[#All],4,FALSE)</f>
        <v>L  (Lesruimte)</v>
      </c>
      <c r="R17" s="184"/>
      <c r="S17" s="185">
        <v>40</v>
      </c>
      <c r="T17" s="185" t="s">
        <v>2</v>
      </c>
      <c r="U17" s="185">
        <f>IF(S17&gt;0,IF(RIGHT(Ruimtestaat[[#This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" s="185">
        <f>IF(U17&gt;0,VLOOKUP($K17,Ruimtegroepen[],3,FALSE)*VLOOKUP($M17,Vloersoorten[],3,FALSE)*VLOOKUP($T17,Frequenties[],3,FALSE)*VLOOKUP($A17,Locaties[],3,FALSE),0)</f>
        <v>0</v>
      </c>
      <c r="W17" s="185">
        <f>Ruimtestaat[[#This Row],[Uitvoeringen werkdagen]]*Ruimtestaat[[#This Row],[Oppervlak (netto)]]</f>
        <v>9000</v>
      </c>
      <c r="X17" s="220">
        <f>IF(V17&gt;0,Ruimtestaat[[#This Row],[Prest. (m2 /jaar) werkdagen]]/Ruimtestaat[[#This Row],[Norm (m2/uur) werkdagen]],0)</f>
        <v>0</v>
      </c>
      <c r="Y17" s="221">
        <f>Ruimtestaat[[#This Row],[uren / jaar werkdagen]]*Tariefsopbouw!$D$38</f>
        <v>0</v>
      </c>
      <c r="Z17" s="33"/>
      <c r="AA17" s="33">
        <f>IF(Ruimtestaat[[#This Row],[Frequentie weekend]]&gt;0,VALUE(LEFT(Z17,1))*S17,0)</f>
        <v>0</v>
      </c>
      <c r="AB17" s="33">
        <f>IF($AA17&gt;0,VLOOKUP($K17,Ruimtegroepen[],3,FALSE)*VLOOKUP($M17,Vloersoorten[],3,FALSE)*VLOOKUP($Z17,Frequenties[],3,FALSE)*VLOOKUP(#REF!,Locaties[],3,FALSE),0)</f>
        <v>0</v>
      </c>
      <c r="AC17" s="33"/>
      <c r="AD17" s="33"/>
      <c r="AE17" s="33">
        <f>Ruimtestaat[[#This Row],[uren / jaar weekend]]*Tariefsopbouw!$D$40</f>
        <v>0</v>
      </c>
      <c r="AF17" s="79">
        <f>Ruimtestaat[[#This Row],[Prest. (m2 /jaar) weekend]]+Ruimtestaat[[#This Row],[Prest. (m2 /jaar) werkdagen]]</f>
        <v>9000</v>
      </c>
      <c r="AG17" s="79">
        <f>Ruimtestaat[[#This Row],[uren / jaar weekend]]+Ruimtestaat[[#This Row],[uren / jaar werkdagen]]</f>
        <v>0</v>
      </c>
      <c r="AH17" s="80">
        <f>Ruimtestaat[[#This Row],[kosten / jaar weekend]]+Ruimtestaat[[#This Row],[kosten / jaar werkdagen]]</f>
        <v>0</v>
      </c>
      <c r="AI17" s="103"/>
      <c r="HM17" s="78"/>
    </row>
    <row r="18" spans="1:221" ht="15" customHeight="1">
      <c r="A18" s="117">
        <v>1</v>
      </c>
      <c r="B18" s="21" t="str">
        <f>VLOOKUP(Ruimtestaat[[#This Row],[Code]],Locaties[#All],2,FALSE)</f>
        <v xml:space="preserve">Het Meerik </v>
      </c>
      <c r="C18" s="21" t="str">
        <f>VLOOKUP(Ruimtestaat[[#This Row],[Code]],Locaties[#All],4,FALSE)</f>
        <v>Lijsterstraat 117</v>
      </c>
      <c r="D18" s="21" t="str">
        <f>VLOOKUP(Ruimtestaat[[#This Row],[Code]],Locaties[#All],5,FALSE)</f>
        <v>7523ES</v>
      </c>
      <c r="E18" s="171" t="str">
        <f>VLOOKUP(Ruimtestaat[[#This Row],[Code]],Locaties[#All],6,FALSE)</f>
        <v>Enschede</v>
      </c>
      <c r="F18" s="171"/>
      <c r="G18" s="185" t="s">
        <v>563</v>
      </c>
      <c r="H18" s="185"/>
      <c r="I18" s="171" t="s">
        <v>457</v>
      </c>
      <c r="J18" s="213" t="s">
        <v>576</v>
      </c>
      <c r="K18" s="171">
        <v>16</v>
      </c>
      <c r="L18" s="213" t="str">
        <f>VLOOKUP(Ruimtestaat[[#This Row],[Ruimte code]],Ruimtegroepen[#All],2,FALSE)</f>
        <v>Leslokalen</v>
      </c>
      <c r="M18" s="212" t="s">
        <v>112</v>
      </c>
      <c r="N18" s="171" t="s">
        <v>776</v>
      </c>
      <c r="O18" s="172">
        <v>44</v>
      </c>
      <c r="P18" s="183"/>
      <c r="Q18" s="212" t="str">
        <f>VLOOKUP(Ruimtestaat[[#This Row],[Ruimte code]],Ruimtegroepen[#All],4,FALSE)</f>
        <v>L  (Lesruimte)</v>
      </c>
      <c r="R18" s="184"/>
      <c r="S18" s="185">
        <v>40</v>
      </c>
      <c r="T18" s="185" t="s">
        <v>2</v>
      </c>
      <c r="U18" s="185">
        <f>IF(S18&gt;0,IF(RIGHT(Ruimtestaat[[#This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" s="185">
        <f>IF(U18&gt;0,VLOOKUP($K18,Ruimtegroepen[],3,FALSE)*VLOOKUP($M18,Vloersoorten[],3,FALSE)*VLOOKUP($T18,Frequenties[],3,FALSE)*VLOOKUP($A18,Locaties[],3,FALSE),0)</f>
        <v>0</v>
      </c>
      <c r="W18" s="185">
        <f>Ruimtestaat[[#This Row],[Uitvoeringen werkdagen]]*Ruimtestaat[[#This Row],[Oppervlak (netto)]]</f>
        <v>8800</v>
      </c>
      <c r="X18" s="220">
        <f>IF(V18&gt;0,Ruimtestaat[[#This Row],[Prest. (m2 /jaar) werkdagen]]/Ruimtestaat[[#This Row],[Norm (m2/uur) werkdagen]],0)</f>
        <v>0</v>
      </c>
      <c r="Y18" s="221">
        <f>Ruimtestaat[[#This Row],[uren / jaar werkdagen]]*Tariefsopbouw!$D$38</f>
        <v>0</v>
      </c>
      <c r="Z18" s="33"/>
      <c r="AA18" s="33">
        <f>IF(Ruimtestaat[[#This Row],[Frequentie weekend]]&gt;0,VALUE(LEFT(Z18,1))*S18,0)</f>
        <v>0</v>
      </c>
      <c r="AB18" s="33">
        <f>IF($AA18&gt;0,VLOOKUP($K18,Ruimtegroepen[],3,FALSE)*VLOOKUP($M18,Vloersoorten[],3,FALSE)*VLOOKUP($Z18,Frequenties[],3,FALSE)*VLOOKUP(#REF!,Locaties[],3,FALSE),0)</f>
        <v>0</v>
      </c>
      <c r="AC18" s="33"/>
      <c r="AD18" s="33"/>
      <c r="AE18" s="33">
        <f>Ruimtestaat[[#This Row],[uren / jaar weekend]]*Tariefsopbouw!$D$40</f>
        <v>0</v>
      </c>
      <c r="AF18" s="79">
        <f>Ruimtestaat[[#This Row],[Prest. (m2 /jaar) weekend]]+Ruimtestaat[[#This Row],[Prest. (m2 /jaar) werkdagen]]</f>
        <v>8800</v>
      </c>
      <c r="AG18" s="79">
        <f>Ruimtestaat[[#This Row],[uren / jaar weekend]]+Ruimtestaat[[#This Row],[uren / jaar werkdagen]]</f>
        <v>0</v>
      </c>
      <c r="AH18" s="80">
        <f>Ruimtestaat[[#This Row],[kosten / jaar weekend]]+Ruimtestaat[[#This Row],[kosten / jaar werkdagen]]</f>
        <v>0</v>
      </c>
      <c r="AI18" s="103"/>
      <c r="HM18" s="78"/>
    </row>
    <row r="19" spans="1:221" ht="15" customHeight="1">
      <c r="A19" s="117">
        <v>1</v>
      </c>
      <c r="B19" s="21" t="str">
        <f>VLOOKUP(Ruimtestaat[[#This Row],[Code]],Locaties[#All],2,FALSE)</f>
        <v xml:space="preserve">Het Meerik </v>
      </c>
      <c r="C19" s="21" t="str">
        <f>VLOOKUP(Ruimtestaat[[#This Row],[Code]],Locaties[#All],4,FALSE)</f>
        <v>Lijsterstraat 117</v>
      </c>
      <c r="D19" s="21" t="str">
        <f>VLOOKUP(Ruimtestaat[[#This Row],[Code]],Locaties[#All],5,FALSE)</f>
        <v>7523ES</v>
      </c>
      <c r="E19" s="171" t="str">
        <f>VLOOKUP(Ruimtestaat[[#This Row],[Code]],Locaties[#All],6,FALSE)</f>
        <v>Enschede</v>
      </c>
      <c r="F19" s="171"/>
      <c r="G19" s="185" t="s">
        <v>563</v>
      </c>
      <c r="H19" s="185"/>
      <c r="I19" s="171" t="s">
        <v>458</v>
      </c>
      <c r="J19" s="213" t="s">
        <v>422</v>
      </c>
      <c r="K19" s="171">
        <v>14</v>
      </c>
      <c r="L19" s="213" t="str">
        <f>VLOOKUP(Ruimtestaat[[#This Row],[Ruimte code]],Ruimtegroepen[#All],2,FALSE)</f>
        <v>Praktijklokalen</v>
      </c>
      <c r="M19" s="212" t="s">
        <v>112</v>
      </c>
      <c r="N19" s="171" t="s">
        <v>776</v>
      </c>
      <c r="O19" s="172">
        <v>44</v>
      </c>
      <c r="P19" s="183"/>
      <c r="Q19" s="212" t="str">
        <f>VLOOKUP(Ruimtestaat[[#This Row],[Ruimte code]],Ruimtegroepen[#All],4,FALSE)</f>
        <v>L  (Lesruimte)</v>
      </c>
      <c r="R19" s="184"/>
      <c r="S19" s="185">
        <v>40</v>
      </c>
      <c r="T19" s="185" t="s">
        <v>20</v>
      </c>
      <c r="U19" s="185">
        <f>IF(S19&gt;0,IF(RIGHT(Ruimtestaat[[#This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19" s="185">
        <f>IF(U19&gt;0,VLOOKUP($K19,Ruimtegroepen[],3,FALSE)*VLOOKUP($M19,Vloersoorten[],3,FALSE)*VLOOKUP($T19,Frequenties[],3,FALSE)*VLOOKUP($A19,Locaties[],3,FALSE),0)</f>
        <v>0</v>
      </c>
      <c r="W19" s="185">
        <f>Ruimtestaat[[#This Row],[Uitvoeringen werkdagen]]*Ruimtestaat[[#This Row],[Oppervlak (netto)]]</f>
        <v>7040</v>
      </c>
      <c r="X19" s="220">
        <f>IF(V19&gt;0,Ruimtestaat[[#This Row],[Prest. (m2 /jaar) werkdagen]]/Ruimtestaat[[#This Row],[Norm (m2/uur) werkdagen]],0)</f>
        <v>0</v>
      </c>
      <c r="Y19" s="221">
        <f>Ruimtestaat[[#This Row],[uren / jaar werkdagen]]*Tariefsopbouw!$D$38</f>
        <v>0</v>
      </c>
      <c r="Z19" s="33"/>
      <c r="AA19" s="33">
        <f>IF(Ruimtestaat[[#This Row],[Frequentie weekend]]&gt;0,VALUE(LEFT(Z19,1))*S19,0)</f>
        <v>0</v>
      </c>
      <c r="AB19" s="33">
        <f>IF($AA19&gt;0,VLOOKUP($K19,Ruimtegroepen[],3,FALSE)*VLOOKUP($M19,Vloersoorten[],3,FALSE)*VLOOKUP($Z19,Frequenties[],3,FALSE)*VLOOKUP(#REF!,Locaties[],3,FALSE),0)</f>
        <v>0</v>
      </c>
      <c r="AC19" s="33"/>
      <c r="AD19" s="33"/>
      <c r="AE19" s="33">
        <f>Ruimtestaat[[#This Row],[uren / jaar weekend]]*Tariefsopbouw!$D$40</f>
        <v>0</v>
      </c>
      <c r="AF19" s="79">
        <f>Ruimtestaat[[#This Row],[Prest. (m2 /jaar) weekend]]+Ruimtestaat[[#This Row],[Prest. (m2 /jaar) werkdagen]]</f>
        <v>7040</v>
      </c>
      <c r="AG19" s="79">
        <f>Ruimtestaat[[#This Row],[uren / jaar weekend]]+Ruimtestaat[[#This Row],[uren / jaar werkdagen]]</f>
        <v>0</v>
      </c>
      <c r="AH19" s="80">
        <f>Ruimtestaat[[#This Row],[kosten / jaar weekend]]+Ruimtestaat[[#This Row],[kosten / jaar werkdagen]]</f>
        <v>0</v>
      </c>
      <c r="AI19" s="103"/>
      <c r="HM19" s="78"/>
    </row>
    <row r="20" spans="1:221" ht="15" customHeight="1">
      <c r="A20" s="117">
        <v>1</v>
      </c>
      <c r="B20" s="21" t="str">
        <f>VLOOKUP(Ruimtestaat[[#This Row],[Code]],Locaties[#All],2,FALSE)</f>
        <v xml:space="preserve">Het Meerik </v>
      </c>
      <c r="C20" s="21" t="str">
        <f>VLOOKUP(Ruimtestaat[[#This Row],[Code]],Locaties[#All],4,FALSE)</f>
        <v>Lijsterstraat 117</v>
      </c>
      <c r="D20" s="21" t="str">
        <f>VLOOKUP(Ruimtestaat[[#This Row],[Code]],Locaties[#All],5,FALSE)</f>
        <v>7523ES</v>
      </c>
      <c r="E20" s="171" t="str">
        <f>VLOOKUP(Ruimtestaat[[#This Row],[Code]],Locaties[#All],6,FALSE)</f>
        <v>Enschede</v>
      </c>
      <c r="F20" s="171"/>
      <c r="G20" s="185" t="s">
        <v>563</v>
      </c>
      <c r="H20" s="185"/>
      <c r="I20" s="171" t="s">
        <v>459</v>
      </c>
      <c r="J20" s="213" t="s">
        <v>384</v>
      </c>
      <c r="K20" s="171">
        <v>12</v>
      </c>
      <c r="L20" s="213" t="str">
        <f>VLOOKUP(Ruimtestaat[[#This Row],[Ruimte code]],Ruimtegroepen[#All],2,FALSE)</f>
        <v>Kantine</v>
      </c>
      <c r="M20" s="212" t="s">
        <v>597</v>
      </c>
      <c r="N20" s="171" t="s">
        <v>38</v>
      </c>
      <c r="O20" s="172">
        <v>44</v>
      </c>
      <c r="P20" s="183"/>
      <c r="Q20" s="212" t="str">
        <f>VLOOKUP(Ruimtestaat[[#This Row],[Ruimte code]],Ruimtegroepen[#All],4,FALSE)</f>
        <v>V  (Verkeersruimte)</v>
      </c>
      <c r="R20" s="184"/>
      <c r="S20" s="185">
        <v>40</v>
      </c>
      <c r="T20" s="185" t="s">
        <v>2</v>
      </c>
      <c r="U20" s="185">
        <f>IF(S20&gt;0,IF(RIGHT(Ruimtestaat[[#This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" s="185">
        <f>IF(U20&gt;0,VLOOKUP($K20,Ruimtegroepen[],3,FALSE)*VLOOKUP($M20,Vloersoorten[],3,FALSE)*VLOOKUP($T20,Frequenties[],3,FALSE)*VLOOKUP($A20,Locaties[],3,FALSE),0)</f>
        <v>0</v>
      </c>
      <c r="W20" s="185">
        <f>Ruimtestaat[[#This Row],[Uitvoeringen werkdagen]]*Ruimtestaat[[#This Row],[Oppervlak (netto)]]</f>
        <v>8800</v>
      </c>
      <c r="X20" s="220">
        <f>IF(V20&gt;0,Ruimtestaat[[#This Row],[Prest. (m2 /jaar) werkdagen]]/Ruimtestaat[[#This Row],[Norm (m2/uur) werkdagen]],0)</f>
        <v>0</v>
      </c>
      <c r="Y20" s="221">
        <f>Ruimtestaat[[#This Row],[uren / jaar werkdagen]]*Tariefsopbouw!$D$38</f>
        <v>0</v>
      </c>
      <c r="Z20" s="33"/>
      <c r="AA20" s="33">
        <f>IF(Ruimtestaat[[#This Row],[Frequentie weekend]]&gt;0,VALUE(LEFT(Z20,1))*S20,0)</f>
        <v>0</v>
      </c>
      <c r="AB20" s="33">
        <f>IF($AA20&gt;0,VLOOKUP($K20,Ruimtegroepen[],3,FALSE)*VLOOKUP($M20,Vloersoorten[],3,FALSE)*VLOOKUP($Z20,Frequenties[],3,FALSE)*VLOOKUP(#REF!,Locaties[],3,FALSE),0)</f>
        <v>0</v>
      </c>
      <c r="AC20" s="33"/>
      <c r="AD20" s="33"/>
      <c r="AE20" s="33">
        <f>Ruimtestaat[[#This Row],[uren / jaar weekend]]*Tariefsopbouw!$D$40</f>
        <v>0</v>
      </c>
      <c r="AF20" s="79">
        <f>Ruimtestaat[[#This Row],[Prest. (m2 /jaar) weekend]]+Ruimtestaat[[#This Row],[Prest. (m2 /jaar) werkdagen]]</f>
        <v>8800</v>
      </c>
      <c r="AG20" s="79">
        <f>Ruimtestaat[[#This Row],[uren / jaar weekend]]+Ruimtestaat[[#This Row],[uren / jaar werkdagen]]</f>
        <v>0</v>
      </c>
      <c r="AH20" s="80">
        <f>Ruimtestaat[[#This Row],[kosten / jaar weekend]]+Ruimtestaat[[#This Row],[kosten / jaar werkdagen]]</f>
        <v>0</v>
      </c>
      <c r="AI20" s="103"/>
      <c r="HM20" s="78"/>
    </row>
    <row r="21" spans="1:221" ht="15" customHeight="1">
      <c r="A21" s="117">
        <v>1</v>
      </c>
      <c r="B21" s="21" t="str">
        <f>VLOOKUP(Ruimtestaat[[#This Row],[Code]],Locaties[#All],2,FALSE)</f>
        <v xml:space="preserve">Het Meerik </v>
      </c>
      <c r="C21" s="21" t="str">
        <f>VLOOKUP(Ruimtestaat[[#This Row],[Code]],Locaties[#All],4,FALSE)</f>
        <v>Lijsterstraat 117</v>
      </c>
      <c r="D21" s="21" t="str">
        <f>VLOOKUP(Ruimtestaat[[#This Row],[Code]],Locaties[#All],5,FALSE)</f>
        <v>7523ES</v>
      </c>
      <c r="E21" s="171" t="str">
        <f>VLOOKUP(Ruimtestaat[[#This Row],[Code]],Locaties[#All],6,FALSE)</f>
        <v>Enschede</v>
      </c>
      <c r="F21" s="171"/>
      <c r="G21" s="185" t="s">
        <v>563</v>
      </c>
      <c r="H21" s="185"/>
      <c r="I21" s="171" t="s">
        <v>460</v>
      </c>
      <c r="J21" s="213" t="s">
        <v>250</v>
      </c>
      <c r="K21" s="171">
        <v>11</v>
      </c>
      <c r="L21" s="213" t="str">
        <f>VLOOKUP(Ruimtestaat[[#This Row],[Ruimte code]],Ruimtegroepen[#All],2,FALSE)</f>
        <v>Garderobes</v>
      </c>
      <c r="M21" s="212" t="s">
        <v>597</v>
      </c>
      <c r="N21" s="171" t="s">
        <v>38</v>
      </c>
      <c r="O21" s="172">
        <v>9</v>
      </c>
      <c r="P21" s="183"/>
      <c r="Q21" s="212" t="str">
        <f>VLOOKUP(Ruimtestaat[[#This Row],[Ruimte code]],Ruimtegroepen[#All],4,FALSE)</f>
        <v>V  (Verkeersruimte)</v>
      </c>
      <c r="R21" s="184"/>
      <c r="S21" s="185">
        <v>40</v>
      </c>
      <c r="T21" s="185" t="s">
        <v>2</v>
      </c>
      <c r="U21" s="185">
        <f>IF(S21&gt;0,IF(RIGHT(Ruimtestaat[[#This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" s="185">
        <f>IF(U21&gt;0,VLOOKUP($K21,Ruimtegroepen[],3,FALSE)*VLOOKUP($M21,Vloersoorten[],3,FALSE)*VLOOKUP($T21,Frequenties[],3,FALSE)*VLOOKUP($A21,Locaties[],3,FALSE),0)</f>
        <v>0</v>
      </c>
      <c r="W21" s="185">
        <f>Ruimtestaat[[#This Row],[Uitvoeringen werkdagen]]*Ruimtestaat[[#This Row],[Oppervlak (netto)]]</f>
        <v>1800</v>
      </c>
      <c r="X21" s="220">
        <f>IF(V21&gt;0,Ruimtestaat[[#This Row],[Prest. (m2 /jaar) werkdagen]]/Ruimtestaat[[#This Row],[Norm (m2/uur) werkdagen]],0)</f>
        <v>0</v>
      </c>
      <c r="Y21" s="221">
        <f>Ruimtestaat[[#This Row],[uren / jaar werkdagen]]*Tariefsopbouw!$D$38</f>
        <v>0</v>
      </c>
      <c r="Z21" s="33"/>
      <c r="AA21" s="33">
        <f>IF(Ruimtestaat[[#This Row],[Frequentie weekend]]&gt;0,VALUE(LEFT(Z21,1))*S21,0)</f>
        <v>0</v>
      </c>
      <c r="AB21" s="33">
        <f>IF($AA21&gt;0,VLOOKUP($K21,Ruimtegroepen[],3,FALSE)*VLOOKUP($M21,Vloersoorten[],3,FALSE)*VLOOKUP($Z21,Frequenties[],3,FALSE)*VLOOKUP(#REF!,Locaties[],3,FALSE),0)</f>
        <v>0</v>
      </c>
      <c r="AC21" s="33"/>
      <c r="AD21" s="33"/>
      <c r="AE21" s="33">
        <f>Ruimtestaat[[#This Row],[uren / jaar weekend]]*Tariefsopbouw!$D$40</f>
        <v>0</v>
      </c>
      <c r="AF21" s="79">
        <f>Ruimtestaat[[#This Row],[Prest. (m2 /jaar) weekend]]+Ruimtestaat[[#This Row],[Prest. (m2 /jaar) werkdagen]]</f>
        <v>1800</v>
      </c>
      <c r="AG21" s="79">
        <f>Ruimtestaat[[#This Row],[uren / jaar weekend]]+Ruimtestaat[[#This Row],[uren / jaar werkdagen]]</f>
        <v>0</v>
      </c>
      <c r="AH21" s="80">
        <f>Ruimtestaat[[#This Row],[kosten / jaar weekend]]+Ruimtestaat[[#This Row],[kosten / jaar werkdagen]]</f>
        <v>0</v>
      </c>
      <c r="AI21" s="103"/>
      <c r="HM21" s="78"/>
    </row>
    <row r="22" spans="1:221" ht="15" customHeight="1">
      <c r="A22" s="117">
        <v>1</v>
      </c>
      <c r="B22" s="21" t="str">
        <f>VLOOKUP(Ruimtestaat[[#This Row],[Code]],Locaties[#All],2,FALSE)</f>
        <v xml:space="preserve">Het Meerik </v>
      </c>
      <c r="C22" s="21" t="str">
        <f>VLOOKUP(Ruimtestaat[[#This Row],[Code]],Locaties[#All],4,FALSE)</f>
        <v>Lijsterstraat 117</v>
      </c>
      <c r="D22" s="21" t="str">
        <f>VLOOKUP(Ruimtestaat[[#This Row],[Code]],Locaties[#All],5,FALSE)</f>
        <v>7523ES</v>
      </c>
      <c r="E22" s="171" t="str">
        <f>VLOOKUP(Ruimtestaat[[#This Row],[Code]],Locaties[#All],6,FALSE)</f>
        <v>Enschede</v>
      </c>
      <c r="F22" s="171"/>
      <c r="G22" s="185" t="s">
        <v>563</v>
      </c>
      <c r="H22" s="185"/>
      <c r="I22" s="171" t="s">
        <v>461</v>
      </c>
      <c r="J22" s="213" t="s">
        <v>724</v>
      </c>
      <c r="K22" s="171">
        <v>16</v>
      </c>
      <c r="L22" s="213" t="str">
        <f>VLOOKUP(Ruimtestaat[[#This Row],[Ruimte code]],Ruimtegroepen[#All],2,FALSE)</f>
        <v>Leslokalen</v>
      </c>
      <c r="M22" s="185" t="s">
        <v>597</v>
      </c>
      <c r="N22" s="171" t="s">
        <v>38</v>
      </c>
      <c r="O22" s="172">
        <v>14</v>
      </c>
      <c r="P22" s="183"/>
      <c r="Q22" s="212" t="str">
        <f>VLOOKUP(Ruimtestaat[[#This Row],[Ruimte code]],Ruimtegroepen[#All],4,FALSE)</f>
        <v>L  (Lesruimte)</v>
      </c>
      <c r="R22" s="184"/>
      <c r="S22" s="185">
        <v>40</v>
      </c>
      <c r="T22" s="185" t="s">
        <v>17</v>
      </c>
      <c r="U22" s="185">
        <f>IF(S22&gt;0,IF(RIGHT(Ruimtestaat[[#This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" s="185">
        <f>IF(U22&gt;0,VLOOKUP($K22,Ruimtegroepen[],3,FALSE)*VLOOKUP($M22,Vloersoorten[],3,FALSE)*VLOOKUP($T22,Frequenties[],3,FALSE)*VLOOKUP($A22,Locaties[],3,FALSE),0)</f>
        <v>0</v>
      </c>
      <c r="W22" s="185">
        <f>Ruimtestaat[[#This Row],[Uitvoeringen werkdagen]]*Ruimtestaat[[#This Row],[Oppervlak (netto)]]</f>
        <v>1120</v>
      </c>
      <c r="X22" s="220">
        <f>IF(V22&gt;0,Ruimtestaat[[#This Row],[Prest. (m2 /jaar) werkdagen]]/Ruimtestaat[[#This Row],[Norm (m2/uur) werkdagen]],0)</f>
        <v>0</v>
      </c>
      <c r="Y22" s="221">
        <f>Ruimtestaat[[#This Row],[uren / jaar werkdagen]]*Tariefsopbouw!$D$38</f>
        <v>0</v>
      </c>
      <c r="Z22" s="33"/>
      <c r="AA22" s="33">
        <f>IF(Ruimtestaat[[#This Row],[Frequentie weekend]]&gt;0,VALUE(LEFT(Z22,1))*S22,0)</f>
        <v>0</v>
      </c>
      <c r="AB22" s="33">
        <f>IF($AA22&gt;0,VLOOKUP($K22,Ruimtegroepen[],3,FALSE)*VLOOKUP($M22,Vloersoorten[],3,FALSE)*VLOOKUP($Z22,Frequenties[],3,FALSE)*VLOOKUP(#REF!,Locaties[],3,FALSE),0)</f>
        <v>0</v>
      </c>
      <c r="AC22" s="33"/>
      <c r="AD22" s="33"/>
      <c r="AE22" s="33">
        <f>Ruimtestaat[[#This Row],[uren / jaar weekend]]*Tariefsopbouw!$D$40</f>
        <v>0</v>
      </c>
      <c r="AF22" s="79">
        <f>Ruimtestaat[[#This Row],[Prest. (m2 /jaar) weekend]]+Ruimtestaat[[#This Row],[Prest. (m2 /jaar) werkdagen]]</f>
        <v>1120</v>
      </c>
      <c r="AG22" s="79">
        <f>Ruimtestaat[[#This Row],[uren / jaar weekend]]+Ruimtestaat[[#This Row],[uren / jaar werkdagen]]</f>
        <v>0</v>
      </c>
      <c r="AH22" s="80">
        <f>Ruimtestaat[[#This Row],[kosten / jaar weekend]]+Ruimtestaat[[#This Row],[kosten / jaar werkdagen]]</f>
        <v>0</v>
      </c>
      <c r="AI22" s="103"/>
      <c r="HM22" s="78"/>
    </row>
    <row r="23" spans="1:221" ht="15" customHeight="1">
      <c r="A23" s="117">
        <v>1</v>
      </c>
      <c r="B23" s="21" t="str">
        <f>VLOOKUP(Ruimtestaat[[#This Row],[Code]],Locaties[#All],2,FALSE)</f>
        <v xml:space="preserve">Het Meerik </v>
      </c>
      <c r="C23" s="21" t="str">
        <f>VLOOKUP(Ruimtestaat[[#This Row],[Code]],Locaties[#All],4,FALSE)</f>
        <v>Lijsterstraat 117</v>
      </c>
      <c r="D23" s="21" t="str">
        <f>VLOOKUP(Ruimtestaat[[#This Row],[Code]],Locaties[#All],5,FALSE)</f>
        <v>7523ES</v>
      </c>
      <c r="E23" s="171" t="str">
        <f>VLOOKUP(Ruimtestaat[[#This Row],[Code]],Locaties[#All],6,FALSE)</f>
        <v>Enschede</v>
      </c>
      <c r="F23" s="171"/>
      <c r="G23" s="185" t="s">
        <v>563</v>
      </c>
      <c r="H23" s="185"/>
      <c r="I23" s="171" t="s">
        <v>462</v>
      </c>
      <c r="J23" s="213" t="s">
        <v>567</v>
      </c>
      <c r="K23" s="171">
        <v>9</v>
      </c>
      <c r="L23" s="213" t="str">
        <f>VLOOKUP(Ruimtestaat[[#This Row],[Ruimte code]],Ruimtegroepen[#All],2,FALSE)</f>
        <v>Time-out ruimte</v>
      </c>
      <c r="M23" s="212" t="s">
        <v>112</v>
      </c>
      <c r="N23" s="171" t="s">
        <v>776</v>
      </c>
      <c r="O23" s="172">
        <v>7</v>
      </c>
      <c r="P23" s="183"/>
      <c r="Q23" s="212" t="str">
        <f>VLOOKUP(Ruimtestaat[[#This Row],[Ruimte code]],Ruimtegroepen[#All],4,FALSE)</f>
        <v>V  (Verkeersruimte)</v>
      </c>
      <c r="R23" s="184"/>
      <c r="S23" s="185">
        <v>40</v>
      </c>
      <c r="T23" s="185" t="s">
        <v>2</v>
      </c>
      <c r="U23" s="185">
        <f>IF(S23&gt;0,IF(RIGHT(Ruimtestaat[[#This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" s="185">
        <f>IF(U23&gt;0,VLOOKUP($K23,Ruimtegroepen[],3,FALSE)*VLOOKUP($M23,Vloersoorten[],3,FALSE)*VLOOKUP($T23,Frequenties[],3,FALSE)*VLOOKUP($A23,Locaties[],3,FALSE),0)</f>
        <v>0</v>
      </c>
      <c r="W23" s="185">
        <f>Ruimtestaat[[#This Row],[Uitvoeringen werkdagen]]*Ruimtestaat[[#This Row],[Oppervlak (netto)]]</f>
        <v>1400</v>
      </c>
      <c r="X23" s="220">
        <f>IF(V23&gt;0,Ruimtestaat[[#This Row],[Prest. (m2 /jaar) werkdagen]]/Ruimtestaat[[#This Row],[Norm (m2/uur) werkdagen]],0)</f>
        <v>0</v>
      </c>
      <c r="Y23" s="221">
        <f>Ruimtestaat[[#This Row],[uren / jaar werkdagen]]*Tariefsopbouw!$D$38</f>
        <v>0</v>
      </c>
      <c r="Z23" s="33"/>
      <c r="AA23" s="33">
        <f>IF(Ruimtestaat[[#This Row],[Frequentie weekend]]&gt;0,VALUE(LEFT(Z23,1))*S23,0)</f>
        <v>0</v>
      </c>
      <c r="AB23" s="33">
        <f>IF($AA23&gt;0,VLOOKUP($K23,Ruimtegroepen[],3,FALSE)*VLOOKUP($M23,Vloersoorten[],3,FALSE)*VLOOKUP($Z23,Frequenties[],3,FALSE)*VLOOKUP(#REF!,Locaties[],3,FALSE),0)</f>
        <v>0</v>
      </c>
      <c r="AC23" s="33"/>
      <c r="AD23" s="33"/>
      <c r="AE23" s="33">
        <f>Ruimtestaat[[#This Row],[uren / jaar weekend]]*Tariefsopbouw!$D$40</f>
        <v>0</v>
      </c>
      <c r="AF23" s="79">
        <f>Ruimtestaat[[#This Row],[Prest. (m2 /jaar) weekend]]+Ruimtestaat[[#This Row],[Prest. (m2 /jaar) werkdagen]]</f>
        <v>1400</v>
      </c>
      <c r="AG23" s="79">
        <f>Ruimtestaat[[#This Row],[uren / jaar weekend]]+Ruimtestaat[[#This Row],[uren / jaar werkdagen]]</f>
        <v>0</v>
      </c>
      <c r="AH23" s="80">
        <f>Ruimtestaat[[#This Row],[kosten / jaar weekend]]+Ruimtestaat[[#This Row],[kosten / jaar werkdagen]]</f>
        <v>0</v>
      </c>
      <c r="AI23" s="103"/>
      <c r="HM23" s="78"/>
    </row>
    <row r="24" spans="1:221" ht="15" customHeight="1">
      <c r="A24" s="117">
        <v>1</v>
      </c>
      <c r="B24" s="21" t="str">
        <f>VLOOKUP(Ruimtestaat[[#This Row],[Code]],Locaties[#All],2,FALSE)</f>
        <v xml:space="preserve">Het Meerik </v>
      </c>
      <c r="C24" s="21" t="str">
        <f>VLOOKUP(Ruimtestaat[[#This Row],[Code]],Locaties[#All],4,FALSE)</f>
        <v>Lijsterstraat 117</v>
      </c>
      <c r="D24" s="21" t="str">
        <f>VLOOKUP(Ruimtestaat[[#This Row],[Code]],Locaties[#All],5,FALSE)</f>
        <v>7523ES</v>
      </c>
      <c r="E24" s="171" t="str">
        <f>VLOOKUP(Ruimtestaat[[#This Row],[Code]],Locaties[#All],6,FALSE)</f>
        <v>Enschede</v>
      </c>
      <c r="F24" s="171"/>
      <c r="G24" s="185" t="s">
        <v>563</v>
      </c>
      <c r="H24" s="185"/>
      <c r="I24" s="171" t="s">
        <v>463</v>
      </c>
      <c r="J24" s="213" t="s">
        <v>654</v>
      </c>
      <c r="K24" s="171">
        <v>20</v>
      </c>
      <c r="L24" s="213" t="str">
        <f>VLOOKUP(Ruimtestaat[[#This Row],[Ruimte code]],Ruimtegroepen[#All],2,FALSE)</f>
        <v>Niet in onderhoud</v>
      </c>
      <c r="M24" s="212" t="s">
        <v>111</v>
      </c>
      <c r="N24" s="171" t="s">
        <v>605</v>
      </c>
      <c r="O24" s="172"/>
      <c r="P24" s="183">
        <v>0.6</v>
      </c>
      <c r="Q24" s="212" t="str">
        <f>VLOOKUP(Ruimtestaat[[#This Row],[Ruimte code]],Ruimtegroepen[#All],4,FALSE)</f>
        <v>niet in onderhoud</v>
      </c>
      <c r="R24" s="184"/>
      <c r="S24" s="185"/>
      <c r="T24" s="185"/>
      <c r="U24" s="185">
        <f>IF(S24&gt;0,IF(RIGHT(Ruimtestaat[[#This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4" s="185">
        <f>IF(U24&gt;0,VLOOKUP($K24,Ruimtegroepen[],3,FALSE)*VLOOKUP($M24,Vloersoorten[],3,FALSE)*VLOOKUP($T24,Frequenties[],3,FALSE)*VLOOKUP($A24,Locaties[],3,FALSE),0)</f>
        <v>0</v>
      </c>
      <c r="W24" s="185">
        <f>Ruimtestaat[[#This Row],[Uitvoeringen werkdagen]]*Ruimtestaat[[#This Row],[Oppervlak (netto)]]</f>
        <v>0</v>
      </c>
      <c r="X24" s="220">
        <f>IF(V24&gt;0,Ruimtestaat[[#This Row],[Prest. (m2 /jaar) werkdagen]]/Ruimtestaat[[#This Row],[Norm (m2/uur) werkdagen]],0)</f>
        <v>0</v>
      </c>
      <c r="Y24" s="221">
        <f>Ruimtestaat[[#This Row],[uren / jaar werkdagen]]*Tariefsopbouw!$D$38</f>
        <v>0</v>
      </c>
      <c r="Z24" s="33"/>
      <c r="AA24" s="33">
        <f>IF(Ruimtestaat[[#This Row],[Frequentie weekend]]&gt;0,VALUE(LEFT(Z24,1))*S24,0)</f>
        <v>0</v>
      </c>
      <c r="AB24" s="33">
        <f>IF($AA24&gt;0,VLOOKUP($K24,Ruimtegroepen[],3,FALSE)*VLOOKUP($M24,Vloersoorten[],3,FALSE)*VLOOKUP($Z24,Frequenties[],3,FALSE)*VLOOKUP(#REF!,Locaties[],3,FALSE),0)</f>
        <v>0</v>
      </c>
      <c r="AC24" s="33"/>
      <c r="AD24" s="33"/>
      <c r="AE24" s="33">
        <f>Ruimtestaat[[#This Row],[uren / jaar weekend]]*Tariefsopbouw!$D$40</f>
        <v>0</v>
      </c>
      <c r="AF24" s="79">
        <f>Ruimtestaat[[#This Row],[Prest. (m2 /jaar) weekend]]+Ruimtestaat[[#This Row],[Prest. (m2 /jaar) werkdagen]]</f>
        <v>0</v>
      </c>
      <c r="AG24" s="79">
        <f>Ruimtestaat[[#This Row],[uren / jaar weekend]]+Ruimtestaat[[#This Row],[uren / jaar werkdagen]]</f>
        <v>0</v>
      </c>
      <c r="AH24" s="80">
        <f>Ruimtestaat[[#This Row],[kosten / jaar weekend]]+Ruimtestaat[[#This Row],[kosten / jaar werkdagen]]</f>
        <v>0</v>
      </c>
      <c r="AI24" s="103"/>
      <c r="HM24" s="78"/>
    </row>
    <row r="25" spans="1:221" ht="15" customHeight="1">
      <c r="A25" s="117">
        <v>1</v>
      </c>
      <c r="B25" s="21" t="str">
        <f>VLOOKUP(Ruimtestaat[[#This Row],[Code]],Locaties[#All],2,FALSE)</f>
        <v xml:space="preserve">Het Meerik </v>
      </c>
      <c r="C25" s="21" t="str">
        <f>VLOOKUP(Ruimtestaat[[#This Row],[Code]],Locaties[#All],4,FALSE)</f>
        <v>Lijsterstraat 117</v>
      </c>
      <c r="D25" s="21" t="str">
        <f>VLOOKUP(Ruimtestaat[[#This Row],[Code]],Locaties[#All],5,FALSE)</f>
        <v>7523ES</v>
      </c>
      <c r="E25" s="171" t="str">
        <f>VLOOKUP(Ruimtestaat[[#This Row],[Code]],Locaties[#All],6,FALSE)</f>
        <v>Enschede</v>
      </c>
      <c r="F25" s="171"/>
      <c r="G25" s="185" t="s">
        <v>563</v>
      </c>
      <c r="H25" s="185"/>
      <c r="I25" s="171" t="s">
        <v>725</v>
      </c>
      <c r="J25" s="213" t="s">
        <v>726</v>
      </c>
      <c r="K25" s="171">
        <v>7</v>
      </c>
      <c r="L25" s="213" t="str">
        <f>VLOOKUP(Ruimtestaat[[#This Row],[Ruimte code]],Ruimtegroepen[#All],2,FALSE)</f>
        <v>Entree</v>
      </c>
      <c r="M25" s="212" t="s">
        <v>597</v>
      </c>
      <c r="N25" s="171" t="s">
        <v>38</v>
      </c>
      <c r="O25" s="172">
        <v>5</v>
      </c>
      <c r="P25" s="183"/>
      <c r="Q25" s="212" t="str">
        <f>VLOOKUP(Ruimtestaat[[#This Row],[Ruimte code]],Ruimtegroepen[#All],4,FALSE)</f>
        <v>V  (Verkeersruimte)</v>
      </c>
      <c r="R25" s="184"/>
      <c r="S25" s="185">
        <v>40</v>
      </c>
      <c r="T25" s="185" t="s">
        <v>2</v>
      </c>
      <c r="U25" s="185">
        <f>IF(S25&gt;0,IF(RIGHT(Ruimtestaat[[#This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" s="185">
        <f>IF(U25&gt;0,VLOOKUP($K25,Ruimtegroepen[],3,FALSE)*VLOOKUP($M25,Vloersoorten[],3,FALSE)*VLOOKUP($T25,Frequenties[],3,FALSE)*VLOOKUP($A25,Locaties[],3,FALSE),0)</f>
        <v>0</v>
      </c>
      <c r="W25" s="185">
        <f>Ruimtestaat[[#This Row],[Uitvoeringen werkdagen]]*Ruimtestaat[[#This Row],[Oppervlak (netto)]]</f>
        <v>1000</v>
      </c>
      <c r="X25" s="220">
        <f>IF(V25&gt;0,Ruimtestaat[[#This Row],[Prest. (m2 /jaar) werkdagen]]/Ruimtestaat[[#This Row],[Norm (m2/uur) werkdagen]],0)</f>
        <v>0</v>
      </c>
      <c r="Y25" s="221">
        <f>Ruimtestaat[[#This Row],[uren / jaar werkdagen]]*Tariefsopbouw!$D$38</f>
        <v>0</v>
      </c>
      <c r="Z25" s="33"/>
      <c r="AA25" s="33">
        <f>IF(Ruimtestaat[[#This Row],[Frequentie weekend]]&gt;0,VALUE(LEFT(Z25,1))*S25,0)</f>
        <v>0</v>
      </c>
      <c r="AB25" s="33">
        <f>IF($AA25&gt;0,VLOOKUP($K25,Ruimtegroepen[],3,FALSE)*VLOOKUP($M25,Vloersoorten[],3,FALSE)*VLOOKUP($Z25,Frequenties[],3,FALSE)*VLOOKUP(#REF!,Locaties[],3,FALSE),0)</f>
        <v>0</v>
      </c>
      <c r="AC25" s="33"/>
      <c r="AD25" s="33"/>
      <c r="AE25" s="33">
        <f>Ruimtestaat[[#This Row],[uren / jaar weekend]]*Tariefsopbouw!$D$40</f>
        <v>0</v>
      </c>
      <c r="AF25" s="79">
        <f>Ruimtestaat[[#This Row],[Prest. (m2 /jaar) weekend]]+Ruimtestaat[[#This Row],[Prest. (m2 /jaar) werkdagen]]</f>
        <v>1000</v>
      </c>
      <c r="AG25" s="79">
        <f>Ruimtestaat[[#This Row],[uren / jaar weekend]]+Ruimtestaat[[#This Row],[uren / jaar werkdagen]]</f>
        <v>0</v>
      </c>
      <c r="AH25" s="80">
        <f>Ruimtestaat[[#This Row],[kosten / jaar weekend]]+Ruimtestaat[[#This Row],[kosten / jaar werkdagen]]</f>
        <v>0</v>
      </c>
      <c r="AI25" s="103"/>
      <c r="HM25" s="78"/>
    </row>
    <row r="26" spans="1:221" ht="15" customHeight="1">
      <c r="A26" s="117">
        <v>1</v>
      </c>
      <c r="B26" s="21" t="str">
        <f>VLOOKUP(Ruimtestaat[[#This Row],[Code]],Locaties[#All],2,FALSE)</f>
        <v xml:space="preserve">Het Meerik </v>
      </c>
      <c r="C26" s="21" t="str">
        <f>VLOOKUP(Ruimtestaat[[#This Row],[Code]],Locaties[#All],4,FALSE)</f>
        <v>Lijsterstraat 117</v>
      </c>
      <c r="D26" s="21" t="str">
        <f>VLOOKUP(Ruimtestaat[[#This Row],[Code]],Locaties[#All],5,FALSE)</f>
        <v>7523ES</v>
      </c>
      <c r="E26" s="171" t="str">
        <f>VLOOKUP(Ruimtestaat[[#This Row],[Code]],Locaties[#All],6,FALSE)</f>
        <v>Enschede</v>
      </c>
      <c r="F26" s="171"/>
      <c r="G26" s="185" t="s">
        <v>563</v>
      </c>
      <c r="H26" s="185"/>
      <c r="I26" s="171" t="s">
        <v>727</v>
      </c>
      <c r="J26" s="213" t="s">
        <v>728</v>
      </c>
      <c r="K26" s="171">
        <v>20</v>
      </c>
      <c r="L26" s="213" t="str">
        <f>VLOOKUP(Ruimtestaat[[#This Row],[Ruimte code]],Ruimtegroepen[#All],2,FALSE)</f>
        <v>Niet in onderhoud</v>
      </c>
      <c r="M26" s="212" t="s">
        <v>112</v>
      </c>
      <c r="N26" s="171" t="s">
        <v>776</v>
      </c>
      <c r="O26" s="172"/>
      <c r="P26" s="183">
        <v>6.8</v>
      </c>
      <c r="Q26" s="212" t="str">
        <f>VLOOKUP(Ruimtestaat[[#This Row],[Ruimte code]],Ruimtegroepen[#All],4,FALSE)</f>
        <v>niet in onderhoud</v>
      </c>
      <c r="R26" s="184"/>
      <c r="S26" s="185"/>
      <c r="T26" s="185"/>
      <c r="U26" s="185">
        <f>IF(S26&gt;0,IF(RIGHT(Ruimtestaat[[#This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6" s="185">
        <f>IF(U26&gt;0,VLOOKUP($K26,Ruimtegroepen[],3,FALSE)*VLOOKUP($M26,Vloersoorten[],3,FALSE)*VLOOKUP($T26,Frequenties[],3,FALSE)*VLOOKUP($A26,Locaties[],3,FALSE),0)</f>
        <v>0</v>
      </c>
      <c r="W26" s="185">
        <f>Ruimtestaat[[#This Row],[Uitvoeringen werkdagen]]*Ruimtestaat[[#This Row],[Oppervlak (netto)]]</f>
        <v>0</v>
      </c>
      <c r="X26" s="220">
        <f>IF(V26&gt;0,Ruimtestaat[[#This Row],[Prest. (m2 /jaar) werkdagen]]/Ruimtestaat[[#This Row],[Norm (m2/uur) werkdagen]],0)</f>
        <v>0</v>
      </c>
      <c r="Y26" s="221">
        <f>Ruimtestaat[[#This Row],[uren / jaar werkdagen]]*Tariefsopbouw!$D$38</f>
        <v>0</v>
      </c>
      <c r="Z26" s="33"/>
      <c r="AA26" s="33">
        <f>IF(Ruimtestaat[[#This Row],[Frequentie weekend]]&gt;0,VALUE(LEFT(Z26,1))*S26,0)</f>
        <v>0</v>
      </c>
      <c r="AB26" s="33">
        <f>IF($AA26&gt;0,VLOOKUP($K26,Ruimtegroepen[],3,FALSE)*VLOOKUP($M26,Vloersoorten[],3,FALSE)*VLOOKUP($Z26,Frequenties[],3,FALSE)*VLOOKUP(#REF!,Locaties[],3,FALSE),0)</f>
        <v>0</v>
      </c>
      <c r="AC26" s="33"/>
      <c r="AD26" s="33"/>
      <c r="AE26" s="33">
        <f>Ruimtestaat[[#This Row],[uren / jaar weekend]]*Tariefsopbouw!$D$40</f>
        <v>0</v>
      </c>
      <c r="AF26" s="79">
        <f>Ruimtestaat[[#This Row],[Prest. (m2 /jaar) weekend]]+Ruimtestaat[[#This Row],[Prest. (m2 /jaar) werkdagen]]</f>
        <v>0</v>
      </c>
      <c r="AG26" s="79">
        <f>Ruimtestaat[[#This Row],[uren / jaar weekend]]+Ruimtestaat[[#This Row],[uren / jaar werkdagen]]</f>
        <v>0</v>
      </c>
      <c r="AH26" s="80">
        <f>Ruimtestaat[[#This Row],[kosten / jaar weekend]]+Ruimtestaat[[#This Row],[kosten / jaar werkdagen]]</f>
        <v>0</v>
      </c>
      <c r="AI26" s="103"/>
      <c r="HM26" s="78"/>
    </row>
    <row r="27" spans="1:221" ht="15" customHeight="1">
      <c r="A27" s="117">
        <v>1</v>
      </c>
      <c r="B27" s="21" t="str">
        <f>VLOOKUP(Ruimtestaat[[#This Row],[Code]],Locaties[#All],2,FALSE)</f>
        <v xml:space="preserve">Het Meerik </v>
      </c>
      <c r="C27" s="21" t="str">
        <f>VLOOKUP(Ruimtestaat[[#This Row],[Code]],Locaties[#All],4,FALSE)</f>
        <v>Lijsterstraat 117</v>
      </c>
      <c r="D27" s="21" t="str">
        <f>VLOOKUP(Ruimtestaat[[#This Row],[Code]],Locaties[#All],5,FALSE)</f>
        <v>7523ES</v>
      </c>
      <c r="E27" s="171" t="str">
        <f>VLOOKUP(Ruimtestaat[[#This Row],[Code]],Locaties[#All],6,FALSE)</f>
        <v>Enschede</v>
      </c>
      <c r="F27" s="171"/>
      <c r="G27" s="185" t="s">
        <v>563</v>
      </c>
      <c r="H27" s="185"/>
      <c r="I27" s="222" t="s">
        <v>729</v>
      </c>
      <c r="J27" s="213" t="s">
        <v>576</v>
      </c>
      <c r="K27" s="171">
        <v>16</v>
      </c>
      <c r="L27" s="213" t="str">
        <f>VLOOKUP(Ruimtestaat[[#This Row],[Ruimte code]],Ruimtegroepen[#All],2,FALSE)</f>
        <v>Leslokalen</v>
      </c>
      <c r="M27" s="212" t="s">
        <v>112</v>
      </c>
      <c r="N27" s="171" t="s">
        <v>776</v>
      </c>
      <c r="O27" s="172">
        <v>48</v>
      </c>
      <c r="P27" s="183"/>
      <c r="Q27" s="212" t="str">
        <f>VLOOKUP(Ruimtestaat[[#This Row],[Ruimte code]],Ruimtegroepen[#All],4,FALSE)</f>
        <v>L  (Lesruimte)</v>
      </c>
      <c r="R27" s="184"/>
      <c r="S27" s="185">
        <v>40</v>
      </c>
      <c r="T27" s="185" t="s">
        <v>2</v>
      </c>
      <c r="U27" s="185">
        <f>IF(S27&gt;0,IF(RIGHT(Ruimtestaat[[#This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" s="185">
        <f>IF(U27&gt;0,VLOOKUP($K27,Ruimtegroepen[],3,FALSE)*VLOOKUP($M27,Vloersoorten[],3,FALSE)*VLOOKUP($T27,Frequenties[],3,FALSE)*VLOOKUP($A27,Locaties[],3,FALSE),0)</f>
        <v>0</v>
      </c>
      <c r="W27" s="185">
        <f>Ruimtestaat[[#This Row],[Uitvoeringen werkdagen]]*Ruimtestaat[[#This Row],[Oppervlak (netto)]]</f>
        <v>9600</v>
      </c>
      <c r="X27" s="220">
        <f>IF(V27&gt;0,Ruimtestaat[[#This Row],[Prest. (m2 /jaar) werkdagen]]/Ruimtestaat[[#This Row],[Norm (m2/uur) werkdagen]],0)</f>
        <v>0</v>
      </c>
      <c r="Y27" s="221">
        <f>Ruimtestaat[[#This Row],[uren / jaar werkdagen]]*Tariefsopbouw!$D$38</f>
        <v>0</v>
      </c>
      <c r="Z27" s="33"/>
      <c r="AA27" s="33">
        <f>IF(Ruimtestaat[[#This Row],[Frequentie weekend]]&gt;0,VALUE(LEFT(Z27,1))*S27,0)</f>
        <v>0</v>
      </c>
      <c r="AB27" s="33">
        <f>IF($AA27&gt;0,VLOOKUP($K27,Ruimtegroepen[],3,FALSE)*VLOOKUP($M27,Vloersoorten[],3,FALSE)*VLOOKUP($Z27,Frequenties[],3,FALSE)*VLOOKUP(#REF!,Locaties[],3,FALSE),0)</f>
        <v>0</v>
      </c>
      <c r="AC27" s="33"/>
      <c r="AD27" s="33"/>
      <c r="AE27" s="33">
        <f>Ruimtestaat[[#This Row],[uren / jaar weekend]]*Tariefsopbouw!$D$40</f>
        <v>0</v>
      </c>
      <c r="AF27" s="79">
        <f>Ruimtestaat[[#This Row],[Prest. (m2 /jaar) weekend]]+Ruimtestaat[[#This Row],[Prest. (m2 /jaar) werkdagen]]</f>
        <v>9600</v>
      </c>
      <c r="AG27" s="79">
        <f>Ruimtestaat[[#This Row],[uren / jaar weekend]]+Ruimtestaat[[#This Row],[uren / jaar werkdagen]]</f>
        <v>0</v>
      </c>
      <c r="AH27" s="80">
        <f>Ruimtestaat[[#This Row],[kosten / jaar weekend]]+Ruimtestaat[[#This Row],[kosten / jaar werkdagen]]</f>
        <v>0</v>
      </c>
      <c r="AI27" s="103"/>
      <c r="HM27" s="78"/>
    </row>
    <row r="28" spans="1:221" ht="15" customHeight="1">
      <c r="A28" s="117">
        <v>1</v>
      </c>
      <c r="B28" s="21" t="str">
        <f>VLOOKUP(Ruimtestaat[[#This Row],[Code]],Locaties[#All],2,FALSE)</f>
        <v xml:space="preserve">Het Meerik </v>
      </c>
      <c r="C28" s="21" t="str">
        <f>VLOOKUP(Ruimtestaat[[#This Row],[Code]],Locaties[#All],4,FALSE)</f>
        <v>Lijsterstraat 117</v>
      </c>
      <c r="D28" s="21" t="str">
        <f>VLOOKUP(Ruimtestaat[[#This Row],[Code]],Locaties[#All],5,FALSE)</f>
        <v>7523ES</v>
      </c>
      <c r="E28" s="171" t="str">
        <f>VLOOKUP(Ruimtestaat[[#This Row],[Code]],Locaties[#All],6,FALSE)</f>
        <v>Enschede</v>
      </c>
      <c r="F28" s="171"/>
      <c r="G28" s="185" t="s">
        <v>563</v>
      </c>
      <c r="H28" s="185"/>
      <c r="I28" s="171" t="s">
        <v>730</v>
      </c>
      <c r="J28" s="213" t="s">
        <v>576</v>
      </c>
      <c r="K28" s="171">
        <v>16</v>
      </c>
      <c r="L28" s="213" t="str">
        <f>VLOOKUP(Ruimtestaat[[#This Row],[Ruimte code]],Ruimtegroepen[#All],2,FALSE)</f>
        <v>Leslokalen</v>
      </c>
      <c r="M28" s="212" t="s">
        <v>112</v>
      </c>
      <c r="N28" s="171" t="s">
        <v>776</v>
      </c>
      <c r="O28" s="172">
        <v>48</v>
      </c>
      <c r="P28" s="183"/>
      <c r="Q28" s="212" t="str">
        <f>VLOOKUP(Ruimtestaat[[#This Row],[Ruimte code]],Ruimtegroepen[#All],4,FALSE)</f>
        <v>L  (Lesruimte)</v>
      </c>
      <c r="R28" s="184"/>
      <c r="S28" s="185">
        <v>40</v>
      </c>
      <c r="T28" s="185" t="s">
        <v>2</v>
      </c>
      <c r="U28" s="185">
        <f>IF(S28&gt;0,IF(RIGHT(Ruimtestaat[[#This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" s="185">
        <f>IF(U28&gt;0,VLOOKUP($K28,Ruimtegroepen[],3,FALSE)*VLOOKUP($M28,Vloersoorten[],3,FALSE)*VLOOKUP($T28,Frequenties[],3,FALSE)*VLOOKUP($A28,Locaties[],3,FALSE),0)</f>
        <v>0</v>
      </c>
      <c r="W28" s="185">
        <f>Ruimtestaat[[#This Row],[Uitvoeringen werkdagen]]*Ruimtestaat[[#This Row],[Oppervlak (netto)]]</f>
        <v>9600</v>
      </c>
      <c r="X28" s="220">
        <f>IF(V28&gt;0,Ruimtestaat[[#This Row],[Prest. (m2 /jaar) werkdagen]]/Ruimtestaat[[#This Row],[Norm (m2/uur) werkdagen]],0)</f>
        <v>0</v>
      </c>
      <c r="Y28" s="221">
        <f>Ruimtestaat[[#This Row],[uren / jaar werkdagen]]*Tariefsopbouw!$D$38</f>
        <v>0</v>
      </c>
      <c r="Z28" s="33"/>
      <c r="AA28" s="33">
        <f>IF(Ruimtestaat[[#This Row],[Frequentie weekend]]&gt;0,VALUE(LEFT(Z28,1))*S28,0)</f>
        <v>0</v>
      </c>
      <c r="AB28" s="33">
        <f>IF($AA28&gt;0,VLOOKUP($K28,Ruimtegroepen[],3,FALSE)*VLOOKUP($M28,Vloersoorten[],3,FALSE)*VLOOKUP($Z28,Frequenties[],3,FALSE)*VLOOKUP(#REF!,Locaties[],3,FALSE),0)</f>
        <v>0</v>
      </c>
      <c r="AC28" s="33"/>
      <c r="AD28" s="33"/>
      <c r="AE28" s="33">
        <f>Ruimtestaat[[#This Row],[uren / jaar weekend]]*Tariefsopbouw!$D$40</f>
        <v>0</v>
      </c>
      <c r="AF28" s="79">
        <f>Ruimtestaat[[#This Row],[Prest. (m2 /jaar) weekend]]+Ruimtestaat[[#This Row],[Prest. (m2 /jaar) werkdagen]]</f>
        <v>9600</v>
      </c>
      <c r="AG28" s="79">
        <f>Ruimtestaat[[#This Row],[uren / jaar weekend]]+Ruimtestaat[[#This Row],[uren / jaar werkdagen]]</f>
        <v>0</v>
      </c>
      <c r="AH28" s="80">
        <f>Ruimtestaat[[#This Row],[kosten / jaar weekend]]+Ruimtestaat[[#This Row],[kosten / jaar werkdagen]]</f>
        <v>0</v>
      </c>
      <c r="AI28" s="103"/>
      <c r="HM28" s="78"/>
    </row>
    <row r="29" spans="1:221" ht="15" customHeight="1">
      <c r="A29" s="117">
        <v>1</v>
      </c>
      <c r="B29" s="21" t="str">
        <f>VLOOKUP(Ruimtestaat[[#This Row],[Code]],Locaties[#All],2,FALSE)</f>
        <v xml:space="preserve">Het Meerik </v>
      </c>
      <c r="C29" s="21" t="str">
        <f>VLOOKUP(Ruimtestaat[[#This Row],[Code]],Locaties[#All],4,FALSE)</f>
        <v>Lijsterstraat 117</v>
      </c>
      <c r="D29" s="21" t="str">
        <f>VLOOKUP(Ruimtestaat[[#This Row],[Code]],Locaties[#All],5,FALSE)</f>
        <v>7523ES</v>
      </c>
      <c r="E29" s="171" t="str">
        <f>VLOOKUP(Ruimtestaat[[#This Row],[Code]],Locaties[#All],6,FALSE)</f>
        <v>Enschede</v>
      </c>
      <c r="F29" s="171"/>
      <c r="G29" s="185" t="s">
        <v>563</v>
      </c>
      <c r="H29" s="185"/>
      <c r="I29" s="222" t="s">
        <v>731</v>
      </c>
      <c r="J29" s="213" t="s">
        <v>571</v>
      </c>
      <c r="K29" s="171">
        <v>2</v>
      </c>
      <c r="L29" s="213" t="str">
        <f>VLOOKUP(Ruimtestaat[[#This Row],[Ruimte code]],Ruimtegroepen[#All],2,FALSE)</f>
        <v>Kantoren</v>
      </c>
      <c r="M29" s="185" t="s">
        <v>597</v>
      </c>
      <c r="N29" s="171" t="s">
        <v>38</v>
      </c>
      <c r="O29" s="172">
        <v>21</v>
      </c>
      <c r="P29" s="183"/>
      <c r="Q29" s="212" t="str">
        <f>VLOOKUP(Ruimtestaat[[#This Row],[Ruimte code]],Ruimtegroepen[#All],4,FALSE)</f>
        <v>B  (Bureauruimte)</v>
      </c>
      <c r="R29" s="184"/>
      <c r="S29" s="185">
        <v>40</v>
      </c>
      <c r="T29" s="185" t="s">
        <v>17</v>
      </c>
      <c r="U29" s="185">
        <f>IF(S29&gt;0,IF(RIGHT(Ruimtestaat[[#This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9" s="185">
        <f>IF(U29&gt;0,VLOOKUP($K29,Ruimtegroepen[],3,FALSE)*VLOOKUP($M29,Vloersoorten[],3,FALSE)*VLOOKUP($T29,Frequenties[],3,FALSE)*VLOOKUP($A29,Locaties[],3,FALSE),0)</f>
        <v>0</v>
      </c>
      <c r="W29" s="185">
        <f>Ruimtestaat[[#This Row],[Uitvoeringen werkdagen]]*Ruimtestaat[[#This Row],[Oppervlak (netto)]]</f>
        <v>1680</v>
      </c>
      <c r="X29" s="220">
        <f>IF(V29&gt;0,Ruimtestaat[[#This Row],[Prest. (m2 /jaar) werkdagen]]/Ruimtestaat[[#This Row],[Norm (m2/uur) werkdagen]],0)</f>
        <v>0</v>
      </c>
      <c r="Y29" s="221">
        <f>Ruimtestaat[[#This Row],[uren / jaar werkdagen]]*Tariefsopbouw!$D$38</f>
        <v>0</v>
      </c>
      <c r="Z29" s="33"/>
      <c r="AA29" s="33">
        <f>IF(Ruimtestaat[[#This Row],[Frequentie weekend]]&gt;0,VALUE(LEFT(Z29,1))*S29,0)</f>
        <v>0</v>
      </c>
      <c r="AB29" s="33">
        <f>IF($AA29&gt;0,VLOOKUP($K29,Ruimtegroepen[],3,FALSE)*VLOOKUP($M29,Vloersoorten[],3,FALSE)*VLOOKUP($Z29,Frequenties[],3,FALSE)*VLOOKUP(#REF!,Locaties[],3,FALSE),0)</f>
        <v>0</v>
      </c>
      <c r="AC29" s="33"/>
      <c r="AD29" s="33"/>
      <c r="AE29" s="33">
        <f>Ruimtestaat[[#This Row],[uren / jaar weekend]]*Tariefsopbouw!$D$40</f>
        <v>0</v>
      </c>
      <c r="AF29" s="79">
        <f>Ruimtestaat[[#This Row],[Prest. (m2 /jaar) weekend]]+Ruimtestaat[[#This Row],[Prest. (m2 /jaar) werkdagen]]</f>
        <v>1680</v>
      </c>
      <c r="AG29" s="79">
        <f>Ruimtestaat[[#This Row],[uren / jaar weekend]]+Ruimtestaat[[#This Row],[uren / jaar werkdagen]]</f>
        <v>0</v>
      </c>
      <c r="AH29" s="80">
        <f>Ruimtestaat[[#This Row],[kosten / jaar weekend]]+Ruimtestaat[[#This Row],[kosten / jaar werkdagen]]</f>
        <v>0</v>
      </c>
      <c r="AI29" s="103"/>
      <c r="HM29" s="78"/>
    </row>
    <row r="30" spans="1:221" ht="15" customHeight="1">
      <c r="A30" s="117">
        <v>1</v>
      </c>
      <c r="B30" s="21" t="str">
        <f>VLOOKUP(Ruimtestaat[[#This Row],[Code]],Locaties[#All],2,FALSE)</f>
        <v xml:space="preserve">Het Meerik </v>
      </c>
      <c r="C30" s="21" t="str">
        <f>VLOOKUP(Ruimtestaat[[#This Row],[Code]],Locaties[#All],4,FALSE)</f>
        <v>Lijsterstraat 117</v>
      </c>
      <c r="D30" s="21" t="str">
        <f>VLOOKUP(Ruimtestaat[[#This Row],[Code]],Locaties[#All],5,FALSE)</f>
        <v>7523ES</v>
      </c>
      <c r="E30" s="171" t="str">
        <f>VLOOKUP(Ruimtestaat[[#This Row],[Code]],Locaties[#All],6,FALSE)</f>
        <v>Enschede</v>
      </c>
      <c r="F30" s="171"/>
      <c r="G30" s="185" t="s">
        <v>563</v>
      </c>
      <c r="H30" s="185"/>
      <c r="I30" s="222" t="s">
        <v>732</v>
      </c>
      <c r="J30" s="213" t="s">
        <v>571</v>
      </c>
      <c r="K30" s="185">
        <v>2</v>
      </c>
      <c r="L30" s="213" t="str">
        <f>VLOOKUP(Ruimtestaat[[#This Row],[Ruimte code]],Ruimtegroepen[#All],2,FALSE)</f>
        <v>Kantoren</v>
      </c>
      <c r="M30" s="185" t="s">
        <v>597</v>
      </c>
      <c r="N30" s="171" t="s">
        <v>38</v>
      </c>
      <c r="O30" s="172">
        <v>13</v>
      </c>
      <c r="P30" s="183"/>
      <c r="Q30" s="212" t="str">
        <f>VLOOKUP(Ruimtestaat[[#This Row],[Ruimte code]],Ruimtegroepen[#All],4,FALSE)</f>
        <v>B  (Bureauruimte)</v>
      </c>
      <c r="R30" s="184"/>
      <c r="S30" s="185">
        <v>40</v>
      </c>
      <c r="T30" s="185" t="s">
        <v>17</v>
      </c>
      <c r="U30" s="185">
        <f>IF(S30&gt;0,IF(RIGHT(Ruimtestaat[[#This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" s="185">
        <f>IF(U30&gt;0,VLOOKUP($K30,Ruimtegroepen[],3,FALSE)*VLOOKUP($M30,Vloersoorten[],3,FALSE)*VLOOKUP($T30,Frequenties[],3,FALSE)*VLOOKUP($A30,Locaties[],3,FALSE),0)</f>
        <v>0</v>
      </c>
      <c r="W30" s="185">
        <f>Ruimtestaat[[#This Row],[Uitvoeringen werkdagen]]*Ruimtestaat[[#This Row],[Oppervlak (netto)]]</f>
        <v>1040</v>
      </c>
      <c r="X30" s="220">
        <f>IF(V30&gt;0,Ruimtestaat[[#This Row],[Prest. (m2 /jaar) werkdagen]]/Ruimtestaat[[#This Row],[Norm (m2/uur) werkdagen]],0)</f>
        <v>0</v>
      </c>
      <c r="Y30" s="221">
        <f>Ruimtestaat[[#This Row],[uren / jaar werkdagen]]*Tariefsopbouw!$D$38</f>
        <v>0</v>
      </c>
      <c r="Z30" s="33"/>
      <c r="AA30" s="33">
        <f>IF(Ruimtestaat[[#This Row],[Frequentie weekend]]&gt;0,VALUE(LEFT(Z30,1))*S30,0)</f>
        <v>0</v>
      </c>
      <c r="AB30" s="33">
        <f>IF($AA30&gt;0,VLOOKUP($K30,Ruimtegroepen[],3,FALSE)*VLOOKUP($M30,Vloersoorten[],3,FALSE)*VLOOKUP($Z30,Frequenties[],3,FALSE)*VLOOKUP(#REF!,Locaties[],3,FALSE),0)</f>
        <v>0</v>
      </c>
      <c r="AC30" s="33"/>
      <c r="AD30" s="33"/>
      <c r="AE30" s="33">
        <f>Ruimtestaat[[#This Row],[uren / jaar weekend]]*Tariefsopbouw!$D$40</f>
        <v>0</v>
      </c>
      <c r="AF30" s="79">
        <f>Ruimtestaat[[#This Row],[Prest. (m2 /jaar) weekend]]+Ruimtestaat[[#This Row],[Prest. (m2 /jaar) werkdagen]]</f>
        <v>1040</v>
      </c>
      <c r="AG30" s="79">
        <f>Ruimtestaat[[#This Row],[uren / jaar weekend]]+Ruimtestaat[[#This Row],[uren / jaar werkdagen]]</f>
        <v>0</v>
      </c>
      <c r="AH30" s="80">
        <f>Ruimtestaat[[#This Row],[kosten / jaar weekend]]+Ruimtestaat[[#This Row],[kosten / jaar werkdagen]]</f>
        <v>0</v>
      </c>
      <c r="AI30" s="103"/>
      <c r="HM30" s="78"/>
    </row>
    <row r="31" spans="1:221" ht="15" customHeight="1">
      <c r="A31" s="117">
        <v>1</v>
      </c>
      <c r="B31" s="21" t="str">
        <f>VLOOKUP(Ruimtestaat[[#This Row],[Code]],Locaties[#All],2,FALSE)</f>
        <v xml:space="preserve">Het Meerik </v>
      </c>
      <c r="C31" s="21" t="str">
        <f>VLOOKUP(Ruimtestaat[[#This Row],[Code]],Locaties[#All],4,FALSE)</f>
        <v>Lijsterstraat 117</v>
      </c>
      <c r="D31" s="21" t="str">
        <f>VLOOKUP(Ruimtestaat[[#This Row],[Code]],Locaties[#All],5,FALSE)</f>
        <v>7523ES</v>
      </c>
      <c r="E31" s="171" t="str">
        <f>VLOOKUP(Ruimtestaat[[#This Row],[Code]],Locaties[#All],6,FALSE)</f>
        <v>Enschede</v>
      </c>
      <c r="F31" s="171"/>
      <c r="G31" s="185" t="s">
        <v>563</v>
      </c>
      <c r="H31" s="185"/>
      <c r="I31" s="222" t="s">
        <v>733</v>
      </c>
      <c r="J31" s="213" t="s">
        <v>571</v>
      </c>
      <c r="K31" s="171">
        <v>2</v>
      </c>
      <c r="L31" s="213" t="str">
        <f>VLOOKUP(Ruimtestaat[[#This Row],[Ruimte code]],Ruimtegroepen[#All],2,FALSE)</f>
        <v>Kantoren</v>
      </c>
      <c r="M31" s="212" t="s">
        <v>597</v>
      </c>
      <c r="N31" s="171" t="s">
        <v>38</v>
      </c>
      <c r="O31" s="172">
        <v>13</v>
      </c>
      <c r="P31" s="183"/>
      <c r="Q31" s="212" t="str">
        <f>VLOOKUP(Ruimtestaat[[#This Row],[Ruimte code]],Ruimtegroepen[#All],4,FALSE)</f>
        <v>B  (Bureauruimte)</v>
      </c>
      <c r="R31" s="184"/>
      <c r="S31" s="185">
        <v>40</v>
      </c>
      <c r="T31" s="185" t="s">
        <v>17</v>
      </c>
      <c r="U31" s="185">
        <f>IF(S31&gt;0,IF(RIGHT(Ruimtestaat[[#This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" s="185">
        <f>IF(U31&gt;0,VLOOKUP($K31,Ruimtegroepen[],3,FALSE)*VLOOKUP($M31,Vloersoorten[],3,FALSE)*VLOOKUP($T31,Frequenties[],3,FALSE)*VLOOKUP($A31,Locaties[],3,FALSE),0)</f>
        <v>0</v>
      </c>
      <c r="W31" s="185">
        <f>Ruimtestaat[[#This Row],[Uitvoeringen werkdagen]]*Ruimtestaat[[#This Row],[Oppervlak (netto)]]</f>
        <v>1040</v>
      </c>
      <c r="X31" s="220">
        <f>IF(V31&gt;0,Ruimtestaat[[#This Row],[Prest. (m2 /jaar) werkdagen]]/Ruimtestaat[[#This Row],[Norm (m2/uur) werkdagen]],0)</f>
        <v>0</v>
      </c>
      <c r="Y31" s="221">
        <f>Ruimtestaat[[#This Row],[uren / jaar werkdagen]]*Tariefsopbouw!$D$38</f>
        <v>0</v>
      </c>
      <c r="Z31" s="33"/>
      <c r="AA31" s="33">
        <f>IF(Ruimtestaat[[#This Row],[Frequentie weekend]]&gt;0,VALUE(LEFT(Z31,1))*S31,0)</f>
        <v>0</v>
      </c>
      <c r="AB31" s="33">
        <f>IF($AA31&gt;0,VLOOKUP($K31,Ruimtegroepen[],3,FALSE)*VLOOKUP($M31,Vloersoorten[],3,FALSE)*VLOOKUP($Z31,Frequenties[],3,FALSE)*VLOOKUP(#REF!,Locaties[],3,FALSE),0)</f>
        <v>0</v>
      </c>
      <c r="AC31" s="33"/>
      <c r="AD31" s="33"/>
      <c r="AE31" s="33">
        <f>Ruimtestaat[[#This Row],[uren / jaar weekend]]*Tariefsopbouw!$D$40</f>
        <v>0</v>
      </c>
      <c r="AF31" s="79">
        <f>Ruimtestaat[[#This Row],[Prest. (m2 /jaar) weekend]]+Ruimtestaat[[#This Row],[Prest. (m2 /jaar) werkdagen]]</f>
        <v>1040</v>
      </c>
      <c r="AG31" s="79">
        <f>Ruimtestaat[[#This Row],[uren / jaar weekend]]+Ruimtestaat[[#This Row],[uren / jaar werkdagen]]</f>
        <v>0</v>
      </c>
      <c r="AH31" s="80">
        <f>Ruimtestaat[[#This Row],[kosten / jaar weekend]]+Ruimtestaat[[#This Row],[kosten / jaar werkdagen]]</f>
        <v>0</v>
      </c>
      <c r="AI31" s="103"/>
      <c r="HM31" s="78"/>
    </row>
    <row r="32" spans="1:221" ht="15" customHeight="1">
      <c r="A32" s="117">
        <v>1</v>
      </c>
      <c r="B32" s="21" t="str">
        <f>VLOOKUP(Ruimtestaat[[#This Row],[Code]],Locaties[#All],2,FALSE)</f>
        <v xml:space="preserve">Het Meerik </v>
      </c>
      <c r="C32" s="21" t="str">
        <f>VLOOKUP(Ruimtestaat[[#This Row],[Code]],Locaties[#All],4,FALSE)</f>
        <v>Lijsterstraat 117</v>
      </c>
      <c r="D32" s="21" t="str">
        <f>VLOOKUP(Ruimtestaat[[#This Row],[Code]],Locaties[#All],5,FALSE)</f>
        <v>7523ES</v>
      </c>
      <c r="E32" s="171" t="str">
        <f>VLOOKUP(Ruimtestaat[[#This Row],[Code]],Locaties[#All],6,FALSE)</f>
        <v>Enschede</v>
      </c>
      <c r="F32" s="171"/>
      <c r="G32" s="185" t="s">
        <v>563</v>
      </c>
      <c r="H32" s="185"/>
      <c r="I32" s="171" t="s">
        <v>734</v>
      </c>
      <c r="J32" s="213" t="s">
        <v>735</v>
      </c>
      <c r="K32" s="185">
        <v>9</v>
      </c>
      <c r="L32" s="213" t="str">
        <f>VLOOKUP(Ruimtestaat[[#This Row],[Ruimte code]],Ruimtegroepen[#All],2,FALSE)</f>
        <v>Time-out ruimte</v>
      </c>
      <c r="M32" s="212" t="s">
        <v>112</v>
      </c>
      <c r="N32" s="171" t="s">
        <v>776</v>
      </c>
      <c r="O32" s="172">
        <v>12</v>
      </c>
      <c r="P32" s="183"/>
      <c r="Q32" s="212" t="str">
        <f>VLOOKUP(Ruimtestaat[[#This Row],[Ruimte code]],Ruimtegroepen[#All],4,FALSE)</f>
        <v>V  (Verkeersruimte)</v>
      </c>
      <c r="R32" s="184"/>
      <c r="S32" s="185">
        <v>40</v>
      </c>
      <c r="T32" s="185" t="s">
        <v>2</v>
      </c>
      <c r="U32" s="185">
        <f>IF(S32&gt;0,IF(RIGHT(Ruimtestaat[[#This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" s="185">
        <f>IF(U32&gt;0,VLOOKUP($K32,Ruimtegroepen[],3,FALSE)*VLOOKUP($M32,Vloersoorten[],3,FALSE)*VLOOKUP($T32,Frequenties[],3,FALSE)*VLOOKUP($A32,Locaties[],3,FALSE),0)</f>
        <v>0</v>
      </c>
      <c r="W32" s="185">
        <f>Ruimtestaat[[#This Row],[Uitvoeringen werkdagen]]*Ruimtestaat[[#This Row],[Oppervlak (netto)]]</f>
        <v>2400</v>
      </c>
      <c r="X32" s="220">
        <f>IF(V32&gt;0,Ruimtestaat[[#This Row],[Prest. (m2 /jaar) werkdagen]]/Ruimtestaat[[#This Row],[Norm (m2/uur) werkdagen]],0)</f>
        <v>0</v>
      </c>
      <c r="Y32" s="221">
        <f>Ruimtestaat[[#This Row],[uren / jaar werkdagen]]*Tariefsopbouw!$D$38</f>
        <v>0</v>
      </c>
      <c r="Z32" s="33"/>
      <c r="AA32" s="33">
        <f>IF(Ruimtestaat[[#This Row],[Frequentie weekend]]&gt;0,VALUE(LEFT(Z32,1))*S32,0)</f>
        <v>0</v>
      </c>
      <c r="AB32" s="33">
        <f>IF($AA32&gt;0,VLOOKUP($K32,Ruimtegroepen[],3,FALSE)*VLOOKUP($M32,Vloersoorten[],3,FALSE)*VLOOKUP($Z32,Frequenties[],3,FALSE)*VLOOKUP(#REF!,Locaties[],3,FALSE),0)</f>
        <v>0</v>
      </c>
      <c r="AC32" s="33"/>
      <c r="AD32" s="33"/>
      <c r="AE32" s="33">
        <f>Ruimtestaat[[#This Row],[uren / jaar weekend]]*Tariefsopbouw!$D$40</f>
        <v>0</v>
      </c>
      <c r="AF32" s="79">
        <f>Ruimtestaat[[#This Row],[Prest. (m2 /jaar) weekend]]+Ruimtestaat[[#This Row],[Prest. (m2 /jaar) werkdagen]]</f>
        <v>2400</v>
      </c>
      <c r="AG32" s="79">
        <f>Ruimtestaat[[#This Row],[uren / jaar weekend]]+Ruimtestaat[[#This Row],[uren / jaar werkdagen]]</f>
        <v>0</v>
      </c>
      <c r="AH32" s="80">
        <f>Ruimtestaat[[#This Row],[kosten / jaar weekend]]+Ruimtestaat[[#This Row],[kosten / jaar werkdagen]]</f>
        <v>0</v>
      </c>
      <c r="AI32" s="103"/>
      <c r="HM32" s="78"/>
    </row>
    <row r="33" spans="1:221" ht="15" customHeight="1">
      <c r="A33" s="117">
        <v>1</v>
      </c>
      <c r="B33" s="21" t="str">
        <f>VLOOKUP(Ruimtestaat[[#This Row],[Code]],Locaties[#All],2,FALSE)</f>
        <v xml:space="preserve">Het Meerik </v>
      </c>
      <c r="C33" s="21" t="str">
        <f>VLOOKUP(Ruimtestaat[[#This Row],[Code]],Locaties[#All],4,FALSE)</f>
        <v>Lijsterstraat 117</v>
      </c>
      <c r="D33" s="21" t="str">
        <f>VLOOKUP(Ruimtestaat[[#This Row],[Code]],Locaties[#All],5,FALSE)</f>
        <v>7523ES</v>
      </c>
      <c r="E33" s="171" t="str">
        <f>VLOOKUP(Ruimtestaat[[#This Row],[Code]],Locaties[#All],6,FALSE)</f>
        <v>Enschede</v>
      </c>
      <c r="F33" s="171"/>
      <c r="G33" s="185" t="s">
        <v>563</v>
      </c>
      <c r="H33" s="185"/>
      <c r="I33" s="171" t="s">
        <v>736</v>
      </c>
      <c r="J33" s="213" t="s">
        <v>587</v>
      </c>
      <c r="K33" s="171">
        <v>6</v>
      </c>
      <c r="L33" s="213" t="str">
        <f>VLOOKUP(Ruimtestaat[[#This Row],[Ruimte code]],Ruimtegroepen[#All],2,FALSE)</f>
        <v>Gangen/hallen</v>
      </c>
      <c r="M33" s="212" t="s">
        <v>111</v>
      </c>
      <c r="N33" s="171" t="s">
        <v>605</v>
      </c>
      <c r="O33" s="172">
        <v>102</v>
      </c>
      <c r="P33" s="183"/>
      <c r="Q33" s="212" t="str">
        <f>VLOOKUP(Ruimtestaat[[#This Row],[Ruimte code]],Ruimtegroepen[#All],4,FALSE)</f>
        <v>V  (Verkeersruimte)</v>
      </c>
      <c r="R33" s="184"/>
      <c r="S33" s="185">
        <v>40</v>
      </c>
      <c r="T33" s="185" t="s">
        <v>2</v>
      </c>
      <c r="U33" s="185">
        <f>IF(S33&gt;0,IF(RIGHT(Ruimtestaat[[#This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" s="185">
        <f>IF(U33&gt;0,VLOOKUP($K33,Ruimtegroepen[],3,FALSE)*VLOOKUP($M33,Vloersoorten[],3,FALSE)*VLOOKUP($T33,Frequenties[],3,FALSE)*VLOOKUP($A33,Locaties[],3,FALSE),0)</f>
        <v>0</v>
      </c>
      <c r="W33" s="185">
        <f>Ruimtestaat[[#This Row],[Uitvoeringen werkdagen]]*Ruimtestaat[[#This Row],[Oppervlak (netto)]]</f>
        <v>20400</v>
      </c>
      <c r="X33" s="220">
        <f>IF(V33&gt;0,Ruimtestaat[[#This Row],[Prest. (m2 /jaar) werkdagen]]/Ruimtestaat[[#This Row],[Norm (m2/uur) werkdagen]],0)</f>
        <v>0</v>
      </c>
      <c r="Y33" s="221">
        <f>Ruimtestaat[[#This Row],[uren / jaar werkdagen]]*Tariefsopbouw!$D$38</f>
        <v>0</v>
      </c>
      <c r="Z33" s="33"/>
      <c r="AA33" s="33">
        <f>IF(Ruimtestaat[[#This Row],[Frequentie weekend]]&gt;0,VALUE(LEFT(Z33,1))*S33,0)</f>
        <v>0</v>
      </c>
      <c r="AB33" s="33">
        <f>IF($AA33&gt;0,VLOOKUP($K33,Ruimtegroepen[],3,FALSE)*VLOOKUP($M33,Vloersoorten[],3,FALSE)*VLOOKUP($Z33,Frequenties[],3,FALSE)*VLOOKUP(#REF!,Locaties[],3,FALSE),0)</f>
        <v>0</v>
      </c>
      <c r="AC33" s="33"/>
      <c r="AD33" s="33"/>
      <c r="AE33" s="33">
        <f>Ruimtestaat[[#This Row],[uren / jaar weekend]]*Tariefsopbouw!$D$40</f>
        <v>0</v>
      </c>
      <c r="AF33" s="79">
        <f>Ruimtestaat[[#This Row],[Prest. (m2 /jaar) weekend]]+Ruimtestaat[[#This Row],[Prest. (m2 /jaar) werkdagen]]</f>
        <v>20400</v>
      </c>
      <c r="AG33" s="79">
        <f>Ruimtestaat[[#This Row],[uren / jaar weekend]]+Ruimtestaat[[#This Row],[uren / jaar werkdagen]]</f>
        <v>0</v>
      </c>
      <c r="AH33" s="80">
        <f>Ruimtestaat[[#This Row],[kosten / jaar weekend]]+Ruimtestaat[[#This Row],[kosten / jaar werkdagen]]</f>
        <v>0</v>
      </c>
      <c r="AI33" s="103"/>
      <c r="HM33" s="78"/>
    </row>
    <row r="34" spans="1:221" ht="15" customHeight="1">
      <c r="A34" s="117">
        <v>1</v>
      </c>
      <c r="B34" s="21" t="str">
        <f>VLOOKUP(Ruimtestaat[[#This Row],[Code]],Locaties[#All],2,FALSE)</f>
        <v xml:space="preserve">Het Meerik </v>
      </c>
      <c r="C34" s="21" t="str">
        <f>VLOOKUP(Ruimtestaat[[#This Row],[Code]],Locaties[#All],4,FALSE)</f>
        <v>Lijsterstraat 117</v>
      </c>
      <c r="D34" s="21" t="str">
        <f>VLOOKUP(Ruimtestaat[[#This Row],[Code]],Locaties[#All],5,FALSE)</f>
        <v>7523ES</v>
      </c>
      <c r="E34" s="171" t="str">
        <f>VLOOKUP(Ruimtestaat[[#This Row],[Code]],Locaties[#All],6,FALSE)</f>
        <v>Enschede</v>
      </c>
      <c r="F34" s="171"/>
      <c r="G34" s="185" t="s">
        <v>563</v>
      </c>
      <c r="H34" s="185"/>
      <c r="I34" s="171" t="s">
        <v>737</v>
      </c>
      <c r="J34" s="213" t="s">
        <v>130</v>
      </c>
      <c r="K34" s="171">
        <v>15</v>
      </c>
      <c r="L34" s="213" t="str">
        <f>VLOOKUP(Ruimtestaat[[#This Row],[Ruimte code]],Ruimtegroepen[#All],2,FALSE)</f>
        <v>Keuken/pantry</v>
      </c>
      <c r="M34" s="212" t="s">
        <v>112</v>
      </c>
      <c r="N34" s="171" t="s">
        <v>776</v>
      </c>
      <c r="O34" s="172">
        <v>20</v>
      </c>
      <c r="P34" s="183"/>
      <c r="Q34" s="212" t="str">
        <f>VLOOKUP(Ruimtestaat[[#This Row],[Ruimte code]],Ruimtegroepen[#All],4,FALSE)</f>
        <v>V  (Verkeersruimte)</v>
      </c>
      <c r="R34" s="184"/>
      <c r="S34" s="185">
        <v>40</v>
      </c>
      <c r="T34" s="185" t="s">
        <v>2</v>
      </c>
      <c r="U34" s="185">
        <f>IF(S34&gt;0,IF(RIGHT(Ruimtestaat[[#This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" s="185">
        <f>IF(U34&gt;0,VLOOKUP($K34,Ruimtegroepen[],3,FALSE)*VLOOKUP($M34,Vloersoorten[],3,FALSE)*VLOOKUP($T34,Frequenties[],3,FALSE)*VLOOKUP($A34,Locaties[],3,FALSE),0)</f>
        <v>0</v>
      </c>
      <c r="W34" s="185">
        <f>Ruimtestaat[[#This Row],[Uitvoeringen werkdagen]]*Ruimtestaat[[#This Row],[Oppervlak (netto)]]</f>
        <v>4000</v>
      </c>
      <c r="X34" s="220">
        <f>IF(V34&gt;0,Ruimtestaat[[#This Row],[Prest. (m2 /jaar) werkdagen]]/Ruimtestaat[[#This Row],[Norm (m2/uur) werkdagen]],0)</f>
        <v>0</v>
      </c>
      <c r="Y34" s="221">
        <f>Ruimtestaat[[#This Row],[uren / jaar werkdagen]]*Tariefsopbouw!$D$38</f>
        <v>0</v>
      </c>
      <c r="Z34" s="33"/>
      <c r="AA34" s="33">
        <f>IF(Ruimtestaat[[#This Row],[Frequentie weekend]]&gt;0,VALUE(LEFT(Z34,1))*S34,0)</f>
        <v>0</v>
      </c>
      <c r="AB34" s="33">
        <f>IF($AA34&gt;0,VLOOKUP($K34,Ruimtegroepen[],3,FALSE)*VLOOKUP($M34,Vloersoorten[],3,FALSE)*VLOOKUP($Z34,Frequenties[],3,FALSE)*VLOOKUP(#REF!,Locaties[],3,FALSE),0)</f>
        <v>0</v>
      </c>
      <c r="AC34" s="33"/>
      <c r="AD34" s="33"/>
      <c r="AE34" s="33">
        <f>Ruimtestaat[[#This Row],[uren / jaar weekend]]*Tariefsopbouw!$D$40</f>
        <v>0</v>
      </c>
      <c r="AF34" s="79">
        <f>Ruimtestaat[[#This Row],[Prest. (m2 /jaar) weekend]]+Ruimtestaat[[#This Row],[Prest. (m2 /jaar) werkdagen]]</f>
        <v>4000</v>
      </c>
      <c r="AG34" s="79">
        <f>Ruimtestaat[[#This Row],[uren / jaar weekend]]+Ruimtestaat[[#This Row],[uren / jaar werkdagen]]</f>
        <v>0</v>
      </c>
      <c r="AH34" s="80">
        <f>Ruimtestaat[[#This Row],[kosten / jaar weekend]]+Ruimtestaat[[#This Row],[kosten / jaar werkdagen]]</f>
        <v>0</v>
      </c>
      <c r="AI34" s="103"/>
      <c r="HM34" s="78"/>
    </row>
    <row r="35" spans="1:221" ht="15" customHeight="1">
      <c r="A35" s="117">
        <v>1</v>
      </c>
      <c r="B35" s="21" t="str">
        <f>VLOOKUP(Ruimtestaat[[#This Row],[Code]],Locaties[#All],2,FALSE)</f>
        <v xml:space="preserve">Het Meerik </v>
      </c>
      <c r="C35" s="21" t="str">
        <f>VLOOKUP(Ruimtestaat[[#This Row],[Code]],Locaties[#All],4,FALSE)</f>
        <v>Lijsterstraat 117</v>
      </c>
      <c r="D35" s="21" t="str">
        <f>VLOOKUP(Ruimtestaat[[#This Row],[Code]],Locaties[#All],5,FALSE)</f>
        <v>7523ES</v>
      </c>
      <c r="E35" s="171" t="str">
        <f>VLOOKUP(Ruimtestaat[[#This Row],[Code]],Locaties[#All],6,FALSE)</f>
        <v>Enschede</v>
      </c>
      <c r="F35" s="171"/>
      <c r="G35" s="185" t="s">
        <v>563</v>
      </c>
      <c r="H35" s="185"/>
      <c r="I35" s="171" t="s">
        <v>738</v>
      </c>
      <c r="J35" s="213" t="s">
        <v>587</v>
      </c>
      <c r="K35" s="171">
        <v>6</v>
      </c>
      <c r="L35" s="213" t="str">
        <f>VLOOKUP(Ruimtestaat[[#This Row],[Ruimte code]],Ruimtegroepen[#All],2,FALSE)</f>
        <v>Gangen/hallen</v>
      </c>
      <c r="M35" s="212" t="s">
        <v>112</v>
      </c>
      <c r="N35" s="171" t="s">
        <v>776</v>
      </c>
      <c r="O35" s="172">
        <v>143</v>
      </c>
      <c r="P35" s="183"/>
      <c r="Q35" s="212" t="str">
        <f>VLOOKUP(Ruimtestaat[[#This Row],[Ruimte code]],Ruimtegroepen[#All],4,FALSE)</f>
        <v>V  (Verkeersruimte)</v>
      </c>
      <c r="R35" s="184"/>
      <c r="S35" s="185">
        <v>40</v>
      </c>
      <c r="T35" s="185" t="s">
        <v>2</v>
      </c>
      <c r="U35" s="185">
        <f>IF(S35&gt;0,IF(RIGHT(Ruimtestaat[[#This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" s="185">
        <f>IF(U35&gt;0,VLOOKUP($K35,Ruimtegroepen[],3,FALSE)*VLOOKUP($M35,Vloersoorten[],3,FALSE)*VLOOKUP($T35,Frequenties[],3,FALSE)*VLOOKUP($A35,Locaties[],3,FALSE),0)</f>
        <v>0</v>
      </c>
      <c r="W35" s="185">
        <f>Ruimtestaat[[#This Row],[Uitvoeringen werkdagen]]*Ruimtestaat[[#This Row],[Oppervlak (netto)]]</f>
        <v>28600</v>
      </c>
      <c r="X35" s="220">
        <f>IF(V35&gt;0,Ruimtestaat[[#This Row],[Prest. (m2 /jaar) werkdagen]]/Ruimtestaat[[#This Row],[Norm (m2/uur) werkdagen]],0)</f>
        <v>0</v>
      </c>
      <c r="Y35" s="221">
        <f>Ruimtestaat[[#This Row],[uren / jaar werkdagen]]*Tariefsopbouw!$D$38</f>
        <v>0</v>
      </c>
      <c r="Z35" s="33"/>
      <c r="AA35" s="33">
        <f>IF(Ruimtestaat[[#This Row],[Frequentie weekend]]&gt;0,VALUE(LEFT(Z35,1))*S35,0)</f>
        <v>0</v>
      </c>
      <c r="AB35" s="33">
        <f>IF($AA35&gt;0,VLOOKUP($K35,Ruimtegroepen[],3,FALSE)*VLOOKUP($M35,Vloersoorten[],3,FALSE)*VLOOKUP($Z35,Frequenties[],3,FALSE)*VLOOKUP(#REF!,Locaties[],3,FALSE),0)</f>
        <v>0</v>
      </c>
      <c r="AC35" s="33"/>
      <c r="AD35" s="33"/>
      <c r="AE35" s="33">
        <f>Ruimtestaat[[#This Row],[uren / jaar weekend]]*Tariefsopbouw!$D$40</f>
        <v>0</v>
      </c>
      <c r="AF35" s="79">
        <f>Ruimtestaat[[#This Row],[Prest. (m2 /jaar) weekend]]+Ruimtestaat[[#This Row],[Prest. (m2 /jaar) werkdagen]]</f>
        <v>28600</v>
      </c>
      <c r="AG35" s="79">
        <f>Ruimtestaat[[#This Row],[uren / jaar weekend]]+Ruimtestaat[[#This Row],[uren / jaar werkdagen]]</f>
        <v>0</v>
      </c>
      <c r="AH35" s="80">
        <f>Ruimtestaat[[#This Row],[kosten / jaar weekend]]+Ruimtestaat[[#This Row],[kosten / jaar werkdagen]]</f>
        <v>0</v>
      </c>
      <c r="AI35" s="103"/>
      <c r="HM35" s="78"/>
    </row>
    <row r="36" spans="1:221" ht="15" customHeight="1">
      <c r="A36" s="117">
        <v>1</v>
      </c>
      <c r="B36" s="21" t="str">
        <f>VLOOKUP(Ruimtestaat[[#This Row],[Code]],Locaties[#All],2,FALSE)</f>
        <v xml:space="preserve">Het Meerik </v>
      </c>
      <c r="C36" s="21" t="str">
        <f>VLOOKUP(Ruimtestaat[[#This Row],[Code]],Locaties[#All],4,FALSE)</f>
        <v>Lijsterstraat 117</v>
      </c>
      <c r="D36" s="21" t="str">
        <f>VLOOKUP(Ruimtestaat[[#This Row],[Code]],Locaties[#All],5,FALSE)</f>
        <v>7523ES</v>
      </c>
      <c r="E36" s="171" t="str">
        <f>VLOOKUP(Ruimtestaat[[#This Row],[Code]],Locaties[#All],6,FALSE)</f>
        <v>Enschede</v>
      </c>
      <c r="F36" s="171"/>
      <c r="G36" s="185" t="s">
        <v>563</v>
      </c>
      <c r="H36" s="185"/>
      <c r="I36" s="171" t="s">
        <v>739</v>
      </c>
      <c r="J36" s="213" t="s">
        <v>740</v>
      </c>
      <c r="K36" s="171">
        <v>20</v>
      </c>
      <c r="L36" s="213" t="str">
        <f>VLOOKUP(Ruimtestaat[[#This Row],[Ruimte code]],Ruimtegroepen[#All],2,FALSE)</f>
        <v>Niet in onderhoud</v>
      </c>
      <c r="M36" s="212" t="s">
        <v>111</v>
      </c>
      <c r="N36" s="171" t="s">
        <v>128</v>
      </c>
      <c r="O36" s="172"/>
      <c r="P36" s="183">
        <v>0.5</v>
      </c>
      <c r="Q36" s="212" t="str">
        <f>VLOOKUP(Ruimtestaat[[#This Row],[Ruimte code]],Ruimtegroepen[#All],4,FALSE)</f>
        <v>niet in onderhoud</v>
      </c>
      <c r="R36" s="184"/>
      <c r="S36" s="185"/>
      <c r="T36" s="185"/>
      <c r="U36" s="185">
        <f>IF(S36&gt;0,IF(RIGHT(Ruimtestaat[[#This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6" s="185">
        <f>IF(U36&gt;0,VLOOKUP($K36,Ruimtegroepen[],3,FALSE)*VLOOKUP($M36,Vloersoorten[],3,FALSE)*VLOOKUP($T36,Frequenties[],3,FALSE)*VLOOKUP($A36,Locaties[],3,FALSE),0)</f>
        <v>0</v>
      </c>
      <c r="W36" s="185">
        <f>Ruimtestaat[[#This Row],[Uitvoeringen werkdagen]]*Ruimtestaat[[#This Row],[Oppervlak (netto)]]</f>
        <v>0</v>
      </c>
      <c r="X36" s="220">
        <f>IF(V36&gt;0,Ruimtestaat[[#This Row],[Prest. (m2 /jaar) werkdagen]]/Ruimtestaat[[#This Row],[Norm (m2/uur) werkdagen]],0)</f>
        <v>0</v>
      </c>
      <c r="Y36" s="221">
        <f>Ruimtestaat[[#This Row],[uren / jaar werkdagen]]*Tariefsopbouw!$D$38</f>
        <v>0</v>
      </c>
      <c r="Z36" s="33"/>
      <c r="AA36" s="33">
        <f>IF(Ruimtestaat[[#This Row],[Frequentie weekend]]&gt;0,VALUE(LEFT(Z36,1))*S36,0)</f>
        <v>0</v>
      </c>
      <c r="AB36" s="33">
        <f>IF($AA36&gt;0,VLOOKUP($K36,Ruimtegroepen[],3,FALSE)*VLOOKUP($M36,Vloersoorten[],3,FALSE)*VLOOKUP($Z36,Frequenties[],3,FALSE)*VLOOKUP(#REF!,Locaties[],3,FALSE),0)</f>
        <v>0</v>
      </c>
      <c r="AC36" s="33"/>
      <c r="AD36" s="33"/>
      <c r="AE36" s="33">
        <f>Ruimtestaat[[#This Row],[uren / jaar weekend]]*Tariefsopbouw!$D$40</f>
        <v>0</v>
      </c>
      <c r="AF36" s="79">
        <f>Ruimtestaat[[#This Row],[Prest. (m2 /jaar) weekend]]+Ruimtestaat[[#This Row],[Prest. (m2 /jaar) werkdagen]]</f>
        <v>0</v>
      </c>
      <c r="AG36" s="79">
        <f>Ruimtestaat[[#This Row],[uren / jaar weekend]]+Ruimtestaat[[#This Row],[uren / jaar werkdagen]]</f>
        <v>0</v>
      </c>
      <c r="AH36" s="80">
        <f>Ruimtestaat[[#This Row],[kosten / jaar weekend]]+Ruimtestaat[[#This Row],[kosten / jaar werkdagen]]</f>
        <v>0</v>
      </c>
      <c r="AI36" s="103"/>
      <c r="HM36" s="78"/>
    </row>
    <row r="37" spans="1:221" ht="15" customHeight="1">
      <c r="A37" s="117">
        <v>1</v>
      </c>
      <c r="B37" s="21" t="str">
        <f>VLOOKUP(Ruimtestaat[[#This Row],[Code]],Locaties[#All],2,FALSE)</f>
        <v xml:space="preserve">Het Meerik </v>
      </c>
      <c r="C37" s="21" t="str">
        <f>VLOOKUP(Ruimtestaat[[#This Row],[Code]],Locaties[#All],4,FALSE)</f>
        <v>Lijsterstraat 117</v>
      </c>
      <c r="D37" s="21" t="str">
        <f>VLOOKUP(Ruimtestaat[[#This Row],[Code]],Locaties[#All],5,FALSE)</f>
        <v>7523ES</v>
      </c>
      <c r="E37" s="171" t="str">
        <f>VLOOKUP(Ruimtestaat[[#This Row],[Code]],Locaties[#All],6,FALSE)</f>
        <v>Enschede</v>
      </c>
      <c r="F37" s="171"/>
      <c r="G37" s="185" t="s">
        <v>563</v>
      </c>
      <c r="H37" s="185"/>
      <c r="I37" s="171" t="s">
        <v>741</v>
      </c>
      <c r="J37" s="213" t="s">
        <v>571</v>
      </c>
      <c r="K37" s="171">
        <v>2</v>
      </c>
      <c r="L37" s="213" t="str">
        <f>VLOOKUP(Ruimtestaat[[#This Row],[Ruimte code]],Ruimtegroepen[#All],2,FALSE)</f>
        <v>Kantoren</v>
      </c>
      <c r="M37" s="185" t="s">
        <v>597</v>
      </c>
      <c r="N37" s="171" t="s">
        <v>38</v>
      </c>
      <c r="O37" s="172">
        <v>10</v>
      </c>
      <c r="P37" s="183"/>
      <c r="Q37" s="212" t="str">
        <f>VLOOKUP(Ruimtestaat[[#This Row],[Ruimte code]],Ruimtegroepen[#All],4,FALSE)</f>
        <v>B  (Bureauruimte)</v>
      </c>
      <c r="R37" s="184"/>
      <c r="S37" s="185">
        <v>40</v>
      </c>
      <c r="T37" s="185" t="s">
        <v>17</v>
      </c>
      <c r="U37" s="185">
        <f>IF(S37&gt;0,IF(RIGHT(Ruimtestaat[[#This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7" s="185">
        <f>IF(U37&gt;0,VLOOKUP($K37,Ruimtegroepen[],3,FALSE)*VLOOKUP($M37,Vloersoorten[],3,FALSE)*VLOOKUP($T37,Frequenties[],3,FALSE)*VLOOKUP($A37,Locaties[],3,FALSE),0)</f>
        <v>0</v>
      </c>
      <c r="W37" s="185">
        <f>Ruimtestaat[[#This Row],[Uitvoeringen werkdagen]]*Ruimtestaat[[#This Row],[Oppervlak (netto)]]</f>
        <v>800</v>
      </c>
      <c r="X37" s="220">
        <f>IF(V37&gt;0,Ruimtestaat[[#This Row],[Prest. (m2 /jaar) werkdagen]]/Ruimtestaat[[#This Row],[Norm (m2/uur) werkdagen]],0)</f>
        <v>0</v>
      </c>
      <c r="Y37" s="221">
        <f>Ruimtestaat[[#This Row],[uren / jaar werkdagen]]*Tariefsopbouw!$D$38</f>
        <v>0</v>
      </c>
      <c r="Z37" s="33"/>
      <c r="AA37" s="33">
        <f>IF(Ruimtestaat[[#This Row],[Frequentie weekend]]&gt;0,VALUE(LEFT(Z37,1))*S37,0)</f>
        <v>0</v>
      </c>
      <c r="AB37" s="33">
        <f>IF($AA37&gt;0,VLOOKUP($K37,Ruimtegroepen[],3,FALSE)*VLOOKUP($M37,Vloersoorten[],3,FALSE)*VLOOKUP($Z37,Frequenties[],3,FALSE)*VLOOKUP(#REF!,Locaties[],3,FALSE),0)</f>
        <v>0</v>
      </c>
      <c r="AC37" s="33"/>
      <c r="AD37" s="33"/>
      <c r="AE37" s="33">
        <f>Ruimtestaat[[#This Row],[uren / jaar weekend]]*Tariefsopbouw!$D$40</f>
        <v>0</v>
      </c>
      <c r="AF37" s="79">
        <f>Ruimtestaat[[#This Row],[Prest. (m2 /jaar) weekend]]+Ruimtestaat[[#This Row],[Prest. (m2 /jaar) werkdagen]]</f>
        <v>800</v>
      </c>
      <c r="AG37" s="79">
        <f>Ruimtestaat[[#This Row],[uren / jaar weekend]]+Ruimtestaat[[#This Row],[uren / jaar werkdagen]]</f>
        <v>0</v>
      </c>
      <c r="AH37" s="80">
        <f>Ruimtestaat[[#This Row],[kosten / jaar weekend]]+Ruimtestaat[[#This Row],[kosten / jaar werkdagen]]</f>
        <v>0</v>
      </c>
      <c r="AI37" s="103"/>
      <c r="HM37" s="78"/>
    </row>
    <row r="38" spans="1:221" ht="15" customHeight="1">
      <c r="A38" s="117">
        <v>1</v>
      </c>
      <c r="B38" s="21" t="str">
        <f>VLOOKUP(Ruimtestaat[[#This Row],[Code]],Locaties[#All],2,FALSE)</f>
        <v xml:space="preserve">Het Meerik </v>
      </c>
      <c r="C38" s="21" t="str">
        <f>VLOOKUP(Ruimtestaat[[#This Row],[Code]],Locaties[#All],4,FALSE)</f>
        <v>Lijsterstraat 117</v>
      </c>
      <c r="D38" s="21" t="str">
        <f>VLOOKUP(Ruimtestaat[[#This Row],[Code]],Locaties[#All],5,FALSE)</f>
        <v>7523ES</v>
      </c>
      <c r="E38" s="171" t="str">
        <f>VLOOKUP(Ruimtestaat[[#This Row],[Code]],Locaties[#All],6,FALSE)</f>
        <v>Enschede</v>
      </c>
      <c r="F38" s="171"/>
      <c r="G38" s="185" t="s">
        <v>563</v>
      </c>
      <c r="H38" s="185"/>
      <c r="I38" s="171" t="s">
        <v>742</v>
      </c>
      <c r="J38" s="213" t="s">
        <v>567</v>
      </c>
      <c r="K38" s="171">
        <v>9</v>
      </c>
      <c r="L38" s="213" t="str">
        <f>VLOOKUP(Ruimtestaat[[#This Row],[Ruimte code]],Ruimtegroepen[#All],2,FALSE)</f>
        <v>Time-out ruimte</v>
      </c>
      <c r="M38" s="212" t="s">
        <v>112</v>
      </c>
      <c r="N38" s="171" t="s">
        <v>776</v>
      </c>
      <c r="O38" s="172">
        <v>7</v>
      </c>
      <c r="P38" s="183"/>
      <c r="Q38" s="212" t="str">
        <f>VLOOKUP(Ruimtestaat[[#This Row],[Ruimte code]],Ruimtegroepen[#All],4,FALSE)</f>
        <v>V  (Verkeersruimte)</v>
      </c>
      <c r="R38" s="184"/>
      <c r="S38" s="185">
        <v>40</v>
      </c>
      <c r="T38" s="185" t="s">
        <v>2</v>
      </c>
      <c r="U38" s="185">
        <f>IF(S38&gt;0,IF(RIGHT(Ruimtestaat[[#This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" s="185">
        <f>IF(U38&gt;0,VLOOKUP($K38,Ruimtegroepen[],3,FALSE)*VLOOKUP($M38,Vloersoorten[],3,FALSE)*VLOOKUP($T38,Frequenties[],3,FALSE)*VLOOKUP($A38,Locaties[],3,FALSE),0)</f>
        <v>0</v>
      </c>
      <c r="W38" s="185">
        <f>Ruimtestaat[[#This Row],[Uitvoeringen werkdagen]]*Ruimtestaat[[#This Row],[Oppervlak (netto)]]</f>
        <v>1400</v>
      </c>
      <c r="X38" s="220">
        <f>IF(V38&gt;0,Ruimtestaat[[#This Row],[Prest. (m2 /jaar) werkdagen]]/Ruimtestaat[[#This Row],[Norm (m2/uur) werkdagen]],0)</f>
        <v>0</v>
      </c>
      <c r="Y38" s="221">
        <f>Ruimtestaat[[#This Row],[uren / jaar werkdagen]]*Tariefsopbouw!$D$38</f>
        <v>0</v>
      </c>
      <c r="Z38" s="33"/>
      <c r="AA38" s="33">
        <f>IF(Ruimtestaat[[#This Row],[Frequentie weekend]]&gt;0,VALUE(LEFT(Z38,1))*S38,0)</f>
        <v>0</v>
      </c>
      <c r="AB38" s="33">
        <f>IF($AA38&gt;0,VLOOKUP($K38,Ruimtegroepen[],3,FALSE)*VLOOKUP($M38,Vloersoorten[],3,FALSE)*VLOOKUP($Z38,Frequenties[],3,FALSE)*VLOOKUP(#REF!,Locaties[],3,FALSE),0)</f>
        <v>0</v>
      </c>
      <c r="AC38" s="33"/>
      <c r="AD38" s="33"/>
      <c r="AE38" s="33">
        <f>Ruimtestaat[[#This Row],[uren / jaar weekend]]*Tariefsopbouw!$D$40</f>
        <v>0</v>
      </c>
      <c r="AF38" s="79">
        <f>Ruimtestaat[[#This Row],[Prest. (m2 /jaar) weekend]]+Ruimtestaat[[#This Row],[Prest. (m2 /jaar) werkdagen]]</f>
        <v>1400</v>
      </c>
      <c r="AG38" s="79">
        <f>Ruimtestaat[[#This Row],[uren / jaar weekend]]+Ruimtestaat[[#This Row],[uren / jaar werkdagen]]</f>
        <v>0</v>
      </c>
      <c r="AH38" s="80">
        <f>Ruimtestaat[[#This Row],[kosten / jaar weekend]]+Ruimtestaat[[#This Row],[kosten / jaar werkdagen]]</f>
        <v>0</v>
      </c>
      <c r="AI38" s="103"/>
      <c r="HM38" s="78"/>
    </row>
    <row r="39" spans="1:221" ht="15" customHeight="1">
      <c r="A39" s="117">
        <v>1</v>
      </c>
      <c r="B39" s="21" t="str">
        <f>VLOOKUP(Ruimtestaat[[#This Row],[Code]],Locaties[#All],2,FALSE)</f>
        <v xml:space="preserve">Het Meerik </v>
      </c>
      <c r="C39" s="21" t="str">
        <f>VLOOKUP(Ruimtestaat[[#This Row],[Code]],Locaties[#All],4,FALSE)</f>
        <v>Lijsterstraat 117</v>
      </c>
      <c r="D39" s="21" t="str">
        <f>VLOOKUP(Ruimtestaat[[#This Row],[Code]],Locaties[#All],5,FALSE)</f>
        <v>7523ES</v>
      </c>
      <c r="E39" s="171" t="str">
        <f>VLOOKUP(Ruimtestaat[[#This Row],[Code]],Locaties[#All],6,FALSE)</f>
        <v>Enschede</v>
      </c>
      <c r="F39" s="171"/>
      <c r="G39" s="185" t="s">
        <v>563</v>
      </c>
      <c r="H39" s="185"/>
      <c r="I39" s="171" t="s">
        <v>743</v>
      </c>
      <c r="J39" s="213" t="s">
        <v>744</v>
      </c>
      <c r="K39" s="171">
        <v>20</v>
      </c>
      <c r="L39" s="213" t="str">
        <f>VLOOKUP(Ruimtestaat[[#This Row],[Ruimte code]],Ruimtegroepen[#All],2,FALSE)</f>
        <v>Niet in onderhoud</v>
      </c>
      <c r="M39" s="212" t="s">
        <v>112</v>
      </c>
      <c r="N39" s="171" t="s">
        <v>776</v>
      </c>
      <c r="O39" s="172"/>
      <c r="P39" s="183">
        <v>1</v>
      </c>
      <c r="Q39" s="212" t="str">
        <f>VLOOKUP(Ruimtestaat[[#This Row],[Ruimte code]],Ruimtegroepen[#All],4,FALSE)</f>
        <v>niet in onderhoud</v>
      </c>
      <c r="R39" s="184"/>
      <c r="S39" s="185"/>
      <c r="T39" s="185"/>
      <c r="U39" s="185">
        <f>IF(S39&gt;0,IF(RIGHT(Ruimtestaat[[#This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9" s="185">
        <f>IF(U39&gt;0,VLOOKUP($K39,Ruimtegroepen[],3,FALSE)*VLOOKUP($M39,Vloersoorten[],3,FALSE)*VLOOKUP($T39,Frequenties[],3,FALSE)*VLOOKUP($A39,Locaties[],3,FALSE),0)</f>
        <v>0</v>
      </c>
      <c r="W39" s="185">
        <f>Ruimtestaat[[#This Row],[Uitvoeringen werkdagen]]*Ruimtestaat[[#This Row],[Oppervlak (netto)]]</f>
        <v>0</v>
      </c>
      <c r="X39" s="220">
        <f>IF(V39&gt;0,Ruimtestaat[[#This Row],[Prest. (m2 /jaar) werkdagen]]/Ruimtestaat[[#This Row],[Norm (m2/uur) werkdagen]],0)</f>
        <v>0</v>
      </c>
      <c r="Y39" s="221">
        <f>Ruimtestaat[[#This Row],[uren / jaar werkdagen]]*Tariefsopbouw!$D$38</f>
        <v>0</v>
      </c>
      <c r="Z39" s="33"/>
      <c r="AA39" s="33">
        <f>IF(Ruimtestaat[[#This Row],[Frequentie weekend]]&gt;0,VALUE(LEFT(Z39,1))*S39,0)</f>
        <v>0</v>
      </c>
      <c r="AB39" s="33">
        <f>IF($AA39&gt;0,VLOOKUP($K39,Ruimtegroepen[],3,FALSE)*VLOOKUP($M39,Vloersoorten[],3,FALSE)*VLOOKUP($Z39,Frequenties[],3,FALSE)*VLOOKUP(#REF!,Locaties[],3,FALSE),0)</f>
        <v>0</v>
      </c>
      <c r="AC39" s="33"/>
      <c r="AD39" s="33"/>
      <c r="AE39" s="33">
        <f>Ruimtestaat[[#This Row],[uren / jaar weekend]]*Tariefsopbouw!$D$40</f>
        <v>0</v>
      </c>
      <c r="AF39" s="79">
        <f>Ruimtestaat[[#This Row],[Prest. (m2 /jaar) weekend]]+Ruimtestaat[[#This Row],[Prest. (m2 /jaar) werkdagen]]</f>
        <v>0</v>
      </c>
      <c r="AG39" s="79">
        <f>Ruimtestaat[[#This Row],[uren / jaar weekend]]+Ruimtestaat[[#This Row],[uren / jaar werkdagen]]</f>
        <v>0</v>
      </c>
      <c r="AH39" s="80">
        <f>Ruimtestaat[[#This Row],[kosten / jaar weekend]]+Ruimtestaat[[#This Row],[kosten / jaar werkdagen]]</f>
        <v>0</v>
      </c>
      <c r="AI39" s="103"/>
      <c r="HM39" s="78"/>
    </row>
    <row r="40" spans="1:221" ht="15" customHeight="1">
      <c r="A40" s="117">
        <v>1</v>
      </c>
      <c r="B40" s="21" t="str">
        <f>VLOOKUP(Ruimtestaat[[#This Row],[Code]],Locaties[#All],2,FALSE)</f>
        <v xml:space="preserve">Het Meerik </v>
      </c>
      <c r="C40" s="21" t="str">
        <f>VLOOKUP(Ruimtestaat[[#This Row],[Code]],Locaties[#All],4,FALSE)</f>
        <v>Lijsterstraat 117</v>
      </c>
      <c r="D40" s="21" t="str">
        <f>VLOOKUP(Ruimtestaat[[#This Row],[Code]],Locaties[#All],5,FALSE)</f>
        <v>7523ES</v>
      </c>
      <c r="E40" s="171" t="str">
        <f>VLOOKUP(Ruimtestaat[[#This Row],[Code]],Locaties[#All],6,FALSE)</f>
        <v>Enschede</v>
      </c>
      <c r="F40" s="171"/>
      <c r="G40" s="185" t="s">
        <v>563</v>
      </c>
      <c r="H40" s="185"/>
      <c r="I40" s="222" t="s">
        <v>745</v>
      </c>
      <c r="J40" s="213" t="s">
        <v>576</v>
      </c>
      <c r="K40" s="171">
        <v>16</v>
      </c>
      <c r="L40" s="213" t="str">
        <f>VLOOKUP(Ruimtestaat[[#This Row],[Ruimte code]],Ruimtegroepen[#All],2,FALSE)</f>
        <v>Leslokalen</v>
      </c>
      <c r="M40" s="212" t="s">
        <v>112</v>
      </c>
      <c r="N40" s="171" t="s">
        <v>776</v>
      </c>
      <c r="O40" s="172">
        <v>31</v>
      </c>
      <c r="P40" s="183"/>
      <c r="Q40" s="212" t="str">
        <f>VLOOKUP(Ruimtestaat[[#This Row],[Ruimte code]],Ruimtegroepen[#All],4,FALSE)</f>
        <v>L  (Lesruimte)</v>
      </c>
      <c r="R40" s="184"/>
      <c r="S40" s="185">
        <v>40</v>
      </c>
      <c r="T40" s="185" t="s">
        <v>2</v>
      </c>
      <c r="U40" s="185">
        <f>IF(S40&gt;0,IF(RIGHT(Ruimtestaat[[#This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" s="185">
        <f>IF(U40&gt;0,VLOOKUP($K40,Ruimtegroepen[],3,FALSE)*VLOOKUP($M40,Vloersoorten[],3,FALSE)*VLOOKUP($T40,Frequenties[],3,FALSE)*VLOOKUP($A40,Locaties[],3,FALSE),0)</f>
        <v>0</v>
      </c>
      <c r="W40" s="185">
        <f>Ruimtestaat[[#This Row],[Uitvoeringen werkdagen]]*Ruimtestaat[[#This Row],[Oppervlak (netto)]]</f>
        <v>6200</v>
      </c>
      <c r="X40" s="220">
        <f>IF(V40&gt;0,Ruimtestaat[[#This Row],[Prest. (m2 /jaar) werkdagen]]/Ruimtestaat[[#This Row],[Norm (m2/uur) werkdagen]],0)</f>
        <v>0</v>
      </c>
      <c r="Y40" s="221">
        <f>Ruimtestaat[[#This Row],[uren / jaar werkdagen]]*Tariefsopbouw!$D$38</f>
        <v>0</v>
      </c>
      <c r="Z40" s="33"/>
      <c r="AA40" s="33">
        <f>IF(Ruimtestaat[[#This Row],[Frequentie weekend]]&gt;0,VALUE(LEFT(Z40,1))*S40,0)</f>
        <v>0</v>
      </c>
      <c r="AB40" s="33">
        <f>IF($AA40&gt;0,VLOOKUP($K40,Ruimtegroepen[],3,FALSE)*VLOOKUP($M40,Vloersoorten[],3,FALSE)*VLOOKUP($Z40,Frequenties[],3,FALSE)*VLOOKUP(#REF!,Locaties[],3,FALSE),0)</f>
        <v>0</v>
      </c>
      <c r="AC40" s="33"/>
      <c r="AD40" s="33"/>
      <c r="AE40" s="33">
        <f>Ruimtestaat[[#This Row],[uren / jaar weekend]]*Tariefsopbouw!$D$40</f>
        <v>0</v>
      </c>
      <c r="AF40" s="79">
        <f>Ruimtestaat[[#This Row],[Prest. (m2 /jaar) weekend]]+Ruimtestaat[[#This Row],[Prest. (m2 /jaar) werkdagen]]</f>
        <v>6200</v>
      </c>
      <c r="AG40" s="79">
        <f>Ruimtestaat[[#This Row],[uren / jaar weekend]]+Ruimtestaat[[#This Row],[uren / jaar werkdagen]]</f>
        <v>0</v>
      </c>
      <c r="AH40" s="80">
        <f>Ruimtestaat[[#This Row],[kosten / jaar weekend]]+Ruimtestaat[[#This Row],[kosten / jaar werkdagen]]</f>
        <v>0</v>
      </c>
      <c r="AI40" s="103"/>
      <c r="HM40" s="78"/>
    </row>
    <row r="41" spans="1:221" ht="15" customHeight="1">
      <c r="A41" s="117">
        <v>1</v>
      </c>
      <c r="B41" s="21" t="str">
        <f>VLOOKUP(Ruimtestaat[[#This Row],[Code]],Locaties[#All],2,FALSE)</f>
        <v xml:space="preserve">Het Meerik </v>
      </c>
      <c r="C41" s="21" t="str">
        <f>VLOOKUP(Ruimtestaat[[#This Row],[Code]],Locaties[#All],4,FALSE)</f>
        <v>Lijsterstraat 117</v>
      </c>
      <c r="D41" s="21" t="str">
        <f>VLOOKUP(Ruimtestaat[[#This Row],[Code]],Locaties[#All],5,FALSE)</f>
        <v>7523ES</v>
      </c>
      <c r="E41" s="171" t="str">
        <f>VLOOKUP(Ruimtestaat[[#This Row],[Code]],Locaties[#All],6,FALSE)</f>
        <v>Enschede</v>
      </c>
      <c r="F41" s="171"/>
      <c r="G41" s="185" t="s">
        <v>563</v>
      </c>
      <c r="H41" s="185"/>
      <c r="I41" s="171" t="s">
        <v>746</v>
      </c>
      <c r="J41" s="213" t="s">
        <v>576</v>
      </c>
      <c r="K41" s="224">
        <v>16</v>
      </c>
      <c r="L41" s="213" t="str">
        <f>VLOOKUP(Ruimtestaat[[#This Row],[Ruimte code]],Ruimtegroepen[#All],2,FALSE)</f>
        <v>Leslokalen</v>
      </c>
      <c r="M41" s="212" t="s">
        <v>112</v>
      </c>
      <c r="N41" s="171" t="s">
        <v>776</v>
      </c>
      <c r="O41" s="172">
        <v>32</v>
      </c>
      <c r="P41" s="183"/>
      <c r="Q41" s="212" t="str">
        <f>VLOOKUP(Ruimtestaat[[#This Row],[Ruimte code]],Ruimtegroepen[#All],4,FALSE)</f>
        <v>L  (Lesruimte)</v>
      </c>
      <c r="R41" s="184"/>
      <c r="S41" s="185">
        <v>40</v>
      </c>
      <c r="T41" s="185" t="s">
        <v>2</v>
      </c>
      <c r="U41" s="185">
        <f>IF(S41&gt;0,IF(RIGHT(Ruimtestaat[[#This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" s="185">
        <f>IF(U41&gt;0,VLOOKUP($K41,Ruimtegroepen[],3,FALSE)*VLOOKUP($M41,Vloersoorten[],3,FALSE)*VLOOKUP($T41,Frequenties[],3,FALSE)*VLOOKUP($A41,Locaties[],3,FALSE),0)</f>
        <v>0</v>
      </c>
      <c r="W41" s="185">
        <f>Ruimtestaat[[#This Row],[Uitvoeringen werkdagen]]*Ruimtestaat[[#This Row],[Oppervlak (netto)]]</f>
        <v>6400</v>
      </c>
      <c r="X41" s="220">
        <f>IF(V41&gt;0,Ruimtestaat[[#This Row],[Prest. (m2 /jaar) werkdagen]]/Ruimtestaat[[#This Row],[Norm (m2/uur) werkdagen]],0)</f>
        <v>0</v>
      </c>
      <c r="Y41" s="221">
        <f>Ruimtestaat[[#This Row],[uren / jaar werkdagen]]*Tariefsopbouw!$D$38</f>
        <v>0</v>
      </c>
      <c r="Z41" s="33"/>
      <c r="AA41" s="33">
        <f>IF(Ruimtestaat[[#This Row],[Frequentie weekend]]&gt;0,VALUE(LEFT(Z41,1))*S41,0)</f>
        <v>0</v>
      </c>
      <c r="AB41" s="33">
        <f>IF($AA41&gt;0,VLOOKUP($K41,Ruimtegroepen[],3,FALSE)*VLOOKUP($M41,Vloersoorten[],3,FALSE)*VLOOKUP($Z41,Frequenties[],3,FALSE)*VLOOKUP(#REF!,Locaties[],3,FALSE),0)</f>
        <v>0</v>
      </c>
      <c r="AC41" s="33"/>
      <c r="AD41" s="33"/>
      <c r="AE41" s="33">
        <f>Ruimtestaat[[#This Row],[uren / jaar weekend]]*Tariefsopbouw!$D$40</f>
        <v>0</v>
      </c>
      <c r="AF41" s="79">
        <f>Ruimtestaat[[#This Row],[Prest. (m2 /jaar) weekend]]+Ruimtestaat[[#This Row],[Prest. (m2 /jaar) werkdagen]]</f>
        <v>6400</v>
      </c>
      <c r="AG41" s="79">
        <f>Ruimtestaat[[#This Row],[uren / jaar weekend]]+Ruimtestaat[[#This Row],[uren / jaar werkdagen]]</f>
        <v>0</v>
      </c>
      <c r="AH41" s="80">
        <f>Ruimtestaat[[#This Row],[kosten / jaar weekend]]+Ruimtestaat[[#This Row],[kosten / jaar werkdagen]]</f>
        <v>0</v>
      </c>
      <c r="AI41" s="103"/>
      <c r="HM41" s="78"/>
    </row>
    <row r="42" spans="1:221" ht="15" customHeight="1">
      <c r="A42" s="117">
        <v>1</v>
      </c>
      <c r="B42" s="21" t="str">
        <f>VLOOKUP(Ruimtestaat[[#This Row],[Code]],Locaties[#All],2,FALSE)</f>
        <v xml:space="preserve">Het Meerik </v>
      </c>
      <c r="C42" s="21" t="str">
        <f>VLOOKUP(Ruimtestaat[[#This Row],[Code]],Locaties[#All],4,FALSE)</f>
        <v>Lijsterstraat 117</v>
      </c>
      <c r="D42" s="21" t="str">
        <f>VLOOKUP(Ruimtestaat[[#This Row],[Code]],Locaties[#All],5,FALSE)</f>
        <v>7523ES</v>
      </c>
      <c r="E42" s="171" t="str">
        <f>VLOOKUP(Ruimtestaat[[#This Row],[Code]],Locaties[#All],6,FALSE)</f>
        <v>Enschede</v>
      </c>
      <c r="F42" s="171"/>
      <c r="G42" s="185" t="s">
        <v>563</v>
      </c>
      <c r="H42" s="185"/>
      <c r="I42" s="222" t="s">
        <v>747</v>
      </c>
      <c r="J42" s="213" t="s">
        <v>748</v>
      </c>
      <c r="K42" s="171">
        <v>16</v>
      </c>
      <c r="L42" s="213" t="str">
        <f>VLOOKUP(Ruimtestaat[[#This Row],[Ruimte code]],Ruimtegroepen[#All],2,FALSE)</f>
        <v>Leslokalen</v>
      </c>
      <c r="M42" s="212" t="s">
        <v>112</v>
      </c>
      <c r="N42" s="171" t="s">
        <v>776</v>
      </c>
      <c r="O42" s="172">
        <v>8</v>
      </c>
      <c r="P42" s="183"/>
      <c r="Q42" s="212" t="str">
        <f>VLOOKUP(Ruimtestaat[[#This Row],[Ruimte code]],Ruimtegroepen[#All],4,FALSE)</f>
        <v>L  (Lesruimte)</v>
      </c>
      <c r="R42" s="184"/>
      <c r="S42" s="185">
        <v>40</v>
      </c>
      <c r="T42" s="185" t="s">
        <v>2</v>
      </c>
      <c r="U42" s="185">
        <f>IF(S42&gt;0,IF(RIGHT(Ruimtestaat[[#This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" s="185">
        <f>IF(U42&gt;0,VLOOKUP($K42,Ruimtegroepen[],3,FALSE)*VLOOKUP($M42,Vloersoorten[],3,FALSE)*VLOOKUP($T42,Frequenties[],3,FALSE)*VLOOKUP($A42,Locaties[],3,FALSE),0)</f>
        <v>0</v>
      </c>
      <c r="W42" s="185">
        <f>Ruimtestaat[[#This Row],[Uitvoeringen werkdagen]]*Ruimtestaat[[#This Row],[Oppervlak (netto)]]</f>
        <v>1600</v>
      </c>
      <c r="X42" s="220">
        <f>IF(V42&gt;0,Ruimtestaat[[#This Row],[Prest. (m2 /jaar) werkdagen]]/Ruimtestaat[[#This Row],[Norm (m2/uur) werkdagen]],0)</f>
        <v>0</v>
      </c>
      <c r="Y42" s="221">
        <f>Ruimtestaat[[#This Row],[uren / jaar werkdagen]]*Tariefsopbouw!$D$38</f>
        <v>0</v>
      </c>
      <c r="Z42" s="33"/>
      <c r="AA42" s="33">
        <f>IF(Ruimtestaat[[#This Row],[Frequentie weekend]]&gt;0,VALUE(LEFT(Z42,1))*S42,0)</f>
        <v>0</v>
      </c>
      <c r="AB42" s="33">
        <f>IF($AA42&gt;0,VLOOKUP($K42,Ruimtegroepen[],3,FALSE)*VLOOKUP($M42,Vloersoorten[],3,FALSE)*VLOOKUP($Z42,Frequenties[],3,FALSE)*VLOOKUP(#REF!,Locaties[],3,FALSE),0)</f>
        <v>0</v>
      </c>
      <c r="AC42" s="33"/>
      <c r="AD42" s="33"/>
      <c r="AE42" s="33">
        <f>Ruimtestaat[[#This Row],[uren / jaar weekend]]*Tariefsopbouw!$D$40</f>
        <v>0</v>
      </c>
      <c r="AF42" s="79">
        <f>Ruimtestaat[[#This Row],[Prest. (m2 /jaar) weekend]]+Ruimtestaat[[#This Row],[Prest. (m2 /jaar) werkdagen]]</f>
        <v>1600</v>
      </c>
      <c r="AG42" s="79">
        <f>Ruimtestaat[[#This Row],[uren / jaar weekend]]+Ruimtestaat[[#This Row],[uren / jaar werkdagen]]</f>
        <v>0</v>
      </c>
      <c r="AH42" s="80">
        <f>Ruimtestaat[[#This Row],[kosten / jaar weekend]]+Ruimtestaat[[#This Row],[kosten / jaar werkdagen]]</f>
        <v>0</v>
      </c>
      <c r="AI42" s="103"/>
      <c r="HM42" s="78"/>
    </row>
    <row r="43" spans="1:221" ht="15" customHeight="1">
      <c r="A43" s="117">
        <v>1</v>
      </c>
      <c r="B43" s="21" t="str">
        <f>VLOOKUP(Ruimtestaat[[#This Row],[Code]],Locaties[#All],2,FALSE)</f>
        <v xml:space="preserve">Het Meerik </v>
      </c>
      <c r="C43" s="21" t="str">
        <f>VLOOKUP(Ruimtestaat[[#This Row],[Code]],Locaties[#All],4,FALSE)</f>
        <v>Lijsterstraat 117</v>
      </c>
      <c r="D43" s="21" t="str">
        <f>VLOOKUP(Ruimtestaat[[#This Row],[Code]],Locaties[#All],5,FALSE)</f>
        <v>7523ES</v>
      </c>
      <c r="E43" s="171" t="str">
        <f>VLOOKUP(Ruimtestaat[[#This Row],[Code]],Locaties[#All],6,FALSE)</f>
        <v>Enschede</v>
      </c>
      <c r="F43" s="171"/>
      <c r="G43" s="185" t="s">
        <v>563</v>
      </c>
      <c r="H43" s="185"/>
      <c r="I43" s="171" t="s">
        <v>749</v>
      </c>
      <c r="J43" s="213" t="s">
        <v>723</v>
      </c>
      <c r="K43" s="171">
        <v>5</v>
      </c>
      <c r="L43" s="213" t="str">
        <f>VLOOKUP(Ruimtestaat[[#This Row],[Ruimte code]],Ruimtegroepen[#All],2,FALSE)</f>
        <v>Sanitair</v>
      </c>
      <c r="M43" s="212" t="s">
        <v>111</v>
      </c>
      <c r="N43" s="171" t="s">
        <v>606</v>
      </c>
      <c r="O43" s="172">
        <v>5</v>
      </c>
      <c r="P43" s="183"/>
      <c r="Q43" s="212" t="str">
        <f>VLOOKUP(Ruimtestaat[[#This Row],[Ruimte code]],Ruimtegroepen[#All],4,FALSE)</f>
        <v>S  (Sanitair)</v>
      </c>
      <c r="R43" s="184"/>
      <c r="S43" s="185">
        <v>40</v>
      </c>
      <c r="T43" s="185" t="s">
        <v>2</v>
      </c>
      <c r="U43" s="185">
        <f>IF(S43&gt;0,IF(RIGHT(Ruimtestaat[[#This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" s="185">
        <f>IF(U43&gt;0,VLOOKUP($K43,Ruimtegroepen[],3,FALSE)*VLOOKUP($M43,Vloersoorten[],3,FALSE)*VLOOKUP($T43,Frequenties[],3,FALSE)*VLOOKUP($A43,Locaties[],3,FALSE),0)</f>
        <v>0</v>
      </c>
      <c r="W43" s="185">
        <f>Ruimtestaat[[#This Row],[Uitvoeringen werkdagen]]*Ruimtestaat[[#This Row],[Oppervlak (netto)]]</f>
        <v>1000</v>
      </c>
      <c r="X43" s="220">
        <f>IF(V43&gt;0,Ruimtestaat[[#This Row],[Prest. (m2 /jaar) werkdagen]]/Ruimtestaat[[#This Row],[Norm (m2/uur) werkdagen]],0)</f>
        <v>0</v>
      </c>
      <c r="Y43" s="221">
        <f>Ruimtestaat[[#This Row],[uren / jaar werkdagen]]*Tariefsopbouw!$D$38</f>
        <v>0</v>
      </c>
      <c r="Z43" s="33"/>
      <c r="AA43" s="33">
        <f>IF(Ruimtestaat[[#This Row],[Frequentie weekend]]&gt;0,VALUE(LEFT(Z43,1))*S43,0)</f>
        <v>0</v>
      </c>
      <c r="AB43" s="33">
        <f>IF($AA43&gt;0,VLOOKUP($K43,Ruimtegroepen[],3,FALSE)*VLOOKUP($M43,Vloersoorten[],3,FALSE)*VLOOKUP($Z43,Frequenties[],3,FALSE)*VLOOKUP(#REF!,Locaties[],3,FALSE),0)</f>
        <v>0</v>
      </c>
      <c r="AC43" s="33"/>
      <c r="AD43" s="33"/>
      <c r="AE43" s="33">
        <f>Ruimtestaat[[#This Row],[uren / jaar weekend]]*Tariefsopbouw!$D$40</f>
        <v>0</v>
      </c>
      <c r="AF43" s="79">
        <f>Ruimtestaat[[#This Row],[Prest. (m2 /jaar) weekend]]+Ruimtestaat[[#This Row],[Prest. (m2 /jaar) werkdagen]]</f>
        <v>1000</v>
      </c>
      <c r="AG43" s="79">
        <f>Ruimtestaat[[#This Row],[uren / jaar weekend]]+Ruimtestaat[[#This Row],[uren / jaar werkdagen]]</f>
        <v>0</v>
      </c>
      <c r="AH43" s="80">
        <f>Ruimtestaat[[#This Row],[kosten / jaar weekend]]+Ruimtestaat[[#This Row],[kosten / jaar werkdagen]]</f>
        <v>0</v>
      </c>
      <c r="AI43" s="103"/>
      <c r="HM43" s="78"/>
    </row>
    <row r="44" spans="1:221" ht="15" customHeight="1">
      <c r="A44" s="117">
        <v>1</v>
      </c>
      <c r="B44" s="21" t="str">
        <f>VLOOKUP(Ruimtestaat[[#This Row],[Code]],Locaties[#All],2,FALSE)</f>
        <v xml:space="preserve">Het Meerik </v>
      </c>
      <c r="C44" s="21" t="str">
        <f>VLOOKUP(Ruimtestaat[[#This Row],[Code]],Locaties[#All],4,FALSE)</f>
        <v>Lijsterstraat 117</v>
      </c>
      <c r="D44" s="21" t="str">
        <f>VLOOKUP(Ruimtestaat[[#This Row],[Code]],Locaties[#All],5,FALSE)</f>
        <v>7523ES</v>
      </c>
      <c r="E44" s="171" t="str">
        <f>VLOOKUP(Ruimtestaat[[#This Row],[Code]],Locaties[#All],6,FALSE)</f>
        <v>Enschede</v>
      </c>
      <c r="F44" s="171"/>
      <c r="G44" s="185" t="s">
        <v>563</v>
      </c>
      <c r="H44" s="185"/>
      <c r="I44" s="171" t="s">
        <v>750</v>
      </c>
      <c r="J44" s="213" t="s">
        <v>722</v>
      </c>
      <c r="K44" s="171">
        <v>5</v>
      </c>
      <c r="L44" s="213" t="str">
        <f>VLOOKUP(Ruimtestaat[[#This Row],[Ruimte code]],Ruimtegroepen[#All],2,FALSE)</f>
        <v>Sanitair</v>
      </c>
      <c r="M44" s="212" t="s">
        <v>111</v>
      </c>
      <c r="N44" s="171" t="s">
        <v>606</v>
      </c>
      <c r="O44" s="172">
        <v>5</v>
      </c>
      <c r="P44" s="183"/>
      <c r="Q44" s="212" t="str">
        <f>VLOOKUP(Ruimtestaat[[#This Row],[Ruimte code]],Ruimtegroepen[#All],4,FALSE)</f>
        <v>S  (Sanitair)</v>
      </c>
      <c r="R44" s="184"/>
      <c r="S44" s="185">
        <v>40</v>
      </c>
      <c r="T44" s="185" t="s">
        <v>2</v>
      </c>
      <c r="U44" s="185">
        <f>IF(S44&gt;0,IF(RIGHT(Ruimtestaat[[#This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" s="185">
        <f>IF(U44&gt;0,VLOOKUP($K44,Ruimtegroepen[],3,FALSE)*VLOOKUP($M44,Vloersoorten[],3,FALSE)*VLOOKUP($T44,Frequenties[],3,FALSE)*VLOOKUP($A44,Locaties[],3,FALSE),0)</f>
        <v>0</v>
      </c>
      <c r="W44" s="185">
        <f>Ruimtestaat[[#This Row],[Uitvoeringen werkdagen]]*Ruimtestaat[[#This Row],[Oppervlak (netto)]]</f>
        <v>1000</v>
      </c>
      <c r="X44" s="220">
        <f>IF(V44&gt;0,Ruimtestaat[[#This Row],[Prest. (m2 /jaar) werkdagen]]/Ruimtestaat[[#This Row],[Norm (m2/uur) werkdagen]],0)</f>
        <v>0</v>
      </c>
      <c r="Y44" s="221">
        <f>Ruimtestaat[[#This Row],[uren / jaar werkdagen]]*Tariefsopbouw!$D$38</f>
        <v>0</v>
      </c>
      <c r="Z44" s="33"/>
      <c r="AA44" s="33">
        <f>IF(Ruimtestaat[[#This Row],[Frequentie weekend]]&gt;0,VALUE(LEFT(Z44,1))*S44,0)</f>
        <v>0</v>
      </c>
      <c r="AB44" s="33">
        <f>IF($AA44&gt;0,VLOOKUP($K44,Ruimtegroepen[],3,FALSE)*VLOOKUP($M44,Vloersoorten[],3,FALSE)*VLOOKUP($Z44,Frequenties[],3,FALSE)*VLOOKUP(#REF!,Locaties[],3,FALSE),0)</f>
        <v>0</v>
      </c>
      <c r="AC44" s="33"/>
      <c r="AD44" s="33"/>
      <c r="AE44" s="33">
        <f>Ruimtestaat[[#This Row],[uren / jaar weekend]]*Tariefsopbouw!$D$40</f>
        <v>0</v>
      </c>
      <c r="AF44" s="79">
        <f>Ruimtestaat[[#This Row],[Prest. (m2 /jaar) weekend]]+Ruimtestaat[[#This Row],[Prest. (m2 /jaar) werkdagen]]</f>
        <v>1000</v>
      </c>
      <c r="AG44" s="79">
        <f>Ruimtestaat[[#This Row],[uren / jaar weekend]]+Ruimtestaat[[#This Row],[uren / jaar werkdagen]]</f>
        <v>0</v>
      </c>
      <c r="AH44" s="80">
        <f>Ruimtestaat[[#This Row],[kosten / jaar weekend]]+Ruimtestaat[[#This Row],[kosten / jaar werkdagen]]</f>
        <v>0</v>
      </c>
      <c r="AI44" s="103"/>
      <c r="HM44" s="78"/>
    </row>
    <row r="45" spans="1:221" ht="15" customHeight="1">
      <c r="A45" s="117">
        <v>1</v>
      </c>
      <c r="B45" s="21" t="str">
        <f>VLOOKUP(Ruimtestaat[[#This Row],[Code]],Locaties[#All],2,FALSE)</f>
        <v xml:space="preserve">Het Meerik </v>
      </c>
      <c r="C45" s="21" t="str">
        <f>VLOOKUP(Ruimtestaat[[#This Row],[Code]],Locaties[#All],4,FALSE)</f>
        <v>Lijsterstraat 117</v>
      </c>
      <c r="D45" s="21" t="str">
        <f>VLOOKUP(Ruimtestaat[[#This Row],[Code]],Locaties[#All],5,FALSE)</f>
        <v>7523ES</v>
      </c>
      <c r="E45" s="171" t="str">
        <f>VLOOKUP(Ruimtestaat[[#This Row],[Code]],Locaties[#All],6,FALSE)</f>
        <v>Enschede</v>
      </c>
      <c r="F45" s="222"/>
      <c r="G45" s="185" t="s">
        <v>563</v>
      </c>
      <c r="H45" s="185"/>
      <c r="I45" s="185" t="s">
        <v>751</v>
      </c>
      <c r="J45" s="219" t="s">
        <v>576</v>
      </c>
      <c r="K45" s="171">
        <v>16</v>
      </c>
      <c r="L45" s="219" t="str">
        <f>VLOOKUP(Ruimtestaat[[#This Row],[Ruimte code]],Ruimtegroepen[#All],2,FALSE)</f>
        <v>Leslokalen</v>
      </c>
      <c r="M45" s="212" t="s">
        <v>112</v>
      </c>
      <c r="N45" s="185" t="s">
        <v>776</v>
      </c>
      <c r="O45" s="172">
        <v>32</v>
      </c>
      <c r="P45" s="183"/>
      <c r="Q45" s="212" t="str">
        <f>VLOOKUP(Ruimtestaat[[#This Row],[Ruimte code]],Ruimtegroepen[#All],4,FALSE)</f>
        <v>L  (Lesruimte)</v>
      </c>
      <c r="R45" s="184"/>
      <c r="S45" s="185">
        <v>40</v>
      </c>
      <c r="T45" s="185" t="s">
        <v>2</v>
      </c>
      <c r="U45" s="185">
        <f>IF(S45&gt;0,IF(RIGHT(Ruimtestaat[[#This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" s="185">
        <f>IF(U45&gt;0,VLOOKUP($K45,Ruimtegroepen[],3,FALSE)*VLOOKUP($M45,Vloersoorten[],3,FALSE)*VLOOKUP($T45,Frequenties[],3,FALSE)*VLOOKUP($A45,Locaties[],3,FALSE),0)</f>
        <v>0</v>
      </c>
      <c r="W45" s="185">
        <f>Ruimtestaat[[#This Row],[Uitvoeringen werkdagen]]*Ruimtestaat[[#This Row],[Oppervlak (netto)]]</f>
        <v>6400</v>
      </c>
      <c r="X45" s="220">
        <f>IF(V45&gt;0,Ruimtestaat[[#This Row],[Prest. (m2 /jaar) werkdagen]]/Ruimtestaat[[#This Row],[Norm (m2/uur) werkdagen]],0)</f>
        <v>0</v>
      </c>
      <c r="Y45" s="221">
        <f>Ruimtestaat[[#This Row],[uren / jaar werkdagen]]*Tariefsopbouw!$D$38</f>
        <v>0</v>
      </c>
      <c r="Z45" s="33"/>
      <c r="AA45" s="33">
        <f>IF(Ruimtestaat[[#This Row],[Frequentie weekend]]&gt;0,VALUE(LEFT(Z45,1))*S45,0)</f>
        <v>0</v>
      </c>
      <c r="AB45" s="33">
        <f>IF($AA45&gt;0,VLOOKUP($K45,Ruimtegroepen[],3,FALSE)*VLOOKUP($M45,Vloersoorten[],3,FALSE)*VLOOKUP($Z45,Frequenties[],3,FALSE)*VLOOKUP(#REF!,Locaties[],3,FALSE),0)</f>
        <v>0</v>
      </c>
      <c r="AC45" s="33"/>
      <c r="AD45" s="33"/>
      <c r="AE45" s="33">
        <f>Ruimtestaat[[#This Row],[uren / jaar weekend]]*Tariefsopbouw!$D$40</f>
        <v>0</v>
      </c>
      <c r="AF45" s="79">
        <f>Ruimtestaat[[#This Row],[Prest. (m2 /jaar) weekend]]+Ruimtestaat[[#This Row],[Prest. (m2 /jaar) werkdagen]]</f>
        <v>6400</v>
      </c>
      <c r="AG45" s="79">
        <f>Ruimtestaat[[#This Row],[uren / jaar weekend]]+Ruimtestaat[[#This Row],[uren / jaar werkdagen]]</f>
        <v>0</v>
      </c>
      <c r="AH45" s="80">
        <f>Ruimtestaat[[#This Row],[kosten / jaar weekend]]+Ruimtestaat[[#This Row],[kosten / jaar werkdagen]]</f>
        <v>0</v>
      </c>
      <c r="AI45" s="103"/>
      <c r="HM45" s="78"/>
    </row>
    <row r="46" spans="1:221" ht="15" customHeight="1">
      <c r="A46" s="117">
        <v>1</v>
      </c>
      <c r="B46" s="21" t="str">
        <f>VLOOKUP(Ruimtestaat[[#This Row],[Code]],Locaties[#All],2,FALSE)</f>
        <v xml:space="preserve">Het Meerik </v>
      </c>
      <c r="C46" s="21" t="str">
        <f>VLOOKUP(Ruimtestaat[[#This Row],[Code]],Locaties[#All],4,FALSE)</f>
        <v>Lijsterstraat 117</v>
      </c>
      <c r="D46" s="21" t="str">
        <f>VLOOKUP(Ruimtestaat[[#This Row],[Code]],Locaties[#All],5,FALSE)</f>
        <v>7523ES</v>
      </c>
      <c r="E46" s="171" t="str">
        <f>VLOOKUP(Ruimtestaat[[#This Row],[Code]],Locaties[#All],6,FALSE)</f>
        <v>Enschede</v>
      </c>
      <c r="F46" s="222"/>
      <c r="G46" s="185" t="s">
        <v>563</v>
      </c>
      <c r="H46" s="185"/>
      <c r="I46" s="185" t="s">
        <v>752</v>
      </c>
      <c r="J46" s="219" t="s">
        <v>748</v>
      </c>
      <c r="K46" s="171">
        <v>16</v>
      </c>
      <c r="L46" s="219" t="str">
        <f>VLOOKUP(Ruimtestaat[[#This Row],[Ruimte code]],Ruimtegroepen[#All],2,FALSE)</f>
        <v>Leslokalen</v>
      </c>
      <c r="M46" s="212" t="s">
        <v>112</v>
      </c>
      <c r="N46" s="185" t="s">
        <v>776</v>
      </c>
      <c r="O46" s="172">
        <v>8</v>
      </c>
      <c r="P46" s="183"/>
      <c r="Q46" s="212" t="str">
        <f>VLOOKUP(Ruimtestaat[[#This Row],[Ruimte code]],Ruimtegroepen[#All],4,FALSE)</f>
        <v>L  (Lesruimte)</v>
      </c>
      <c r="R46" s="184"/>
      <c r="S46" s="185">
        <v>40</v>
      </c>
      <c r="T46" s="185" t="s">
        <v>2</v>
      </c>
      <c r="U46" s="185">
        <f>IF(S46&gt;0,IF(RIGHT(Ruimtestaat[[#This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" s="185">
        <f>IF(U46&gt;0,VLOOKUP($K46,Ruimtegroepen[],3,FALSE)*VLOOKUP($M46,Vloersoorten[],3,FALSE)*VLOOKUP($T46,Frequenties[],3,FALSE)*VLOOKUP($A46,Locaties[],3,FALSE),0)</f>
        <v>0</v>
      </c>
      <c r="W46" s="185">
        <f>Ruimtestaat[[#This Row],[Uitvoeringen werkdagen]]*Ruimtestaat[[#This Row],[Oppervlak (netto)]]</f>
        <v>1600</v>
      </c>
      <c r="X46" s="220">
        <f>IF(V46&gt;0,Ruimtestaat[[#This Row],[Prest. (m2 /jaar) werkdagen]]/Ruimtestaat[[#This Row],[Norm (m2/uur) werkdagen]],0)</f>
        <v>0</v>
      </c>
      <c r="Y46" s="221">
        <f>Ruimtestaat[[#This Row],[uren / jaar werkdagen]]*Tariefsopbouw!$D$38</f>
        <v>0</v>
      </c>
      <c r="Z46" s="33"/>
      <c r="AA46" s="33">
        <f>IF(Ruimtestaat[[#This Row],[Frequentie weekend]]&gt;0,VALUE(LEFT(Z46,1))*S46,0)</f>
        <v>0</v>
      </c>
      <c r="AB46" s="33">
        <f>IF($AA46&gt;0,VLOOKUP($K46,Ruimtegroepen[],3,FALSE)*VLOOKUP($M46,Vloersoorten[],3,FALSE)*VLOOKUP($Z46,Frequenties[],3,FALSE)*VLOOKUP(#REF!,Locaties[],3,FALSE),0)</f>
        <v>0</v>
      </c>
      <c r="AC46" s="33"/>
      <c r="AD46" s="33"/>
      <c r="AE46" s="33">
        <f>Ruimtestaat[[#This Row],[uren / jaar weekend]]*Tariefsopbouw!$D$40</f>
        <v>0</v>
      </c>
      <c r="AF46" s="79">
        <f>Ruimtestaat[[#This Row],[Prest. (m2 /jaar) weekend]]+Ruimtestaat[[#This Row],[Prest. (m2 /jaar) werkdagen]]</f>
        <v>1600</v>
      </c>
      <c r="AG46" s="79">
        <f>Ruimtestaat[[#This Row],[uren / jaar weekend]]+Ruimtestaat[[#This Row],[uren / jaar werkdagen]]</f>
        <v>0</v>
      </c>
      <c r="AH46" s="80">
        <f>Ruimtestaat[[#This Row],[kosten / jaar weekend]]+Ruimtestaat[[#This Row],[kosten / jaar werkdagen]]</f>
        <v>0</v>
      </c>
      <c r="AI46" s="103"/>
      <c r="HM46" s="78"/>
    </row>
    <row r="47" spans="1:221" ht="15" customHeight="1">
      <c r="A47" s="117">
        <v>1</v>
      </c>
      <c r="B47" s="21" t="str">
        <f>VLOOKUP(Ruimtestaat[[#This Row],[Code]],Locaties[#All],2,FALSE)</f>
        <v xml:space="preserve">Het Meerik </v>
      </c>
      <c r="C47" s="21" t="str">
        <f>VLOOKUP(Ruimtestaat[[#This Row],[Code]],Locaties[#All],4,FALSE)</f>
        <v>Lijsterstraat 117</v>
      </c>
      <c r="D47" s="21" t="str">
        <f>VLOOKUP(Ruimtestaat[[#This Row],[Code]],Locaties[#All],5,FALSE)</f>
        <v>7523ES</v>
      </c>
      <c r="E47" s="171" t="str">
        <f>VLOOKUP(Ruimtestaat[[#This Row],[Code]],Locaties[#All],6,FALSE)</f>
        <v>Enschede</v>
      </c>
      <c r="F47" s="171"/>
      <c r="G47" s="185" t="s">
        <v>563</v>
      </c>
      <c r="H47" s="185"/>
      <c r="I47" s="171" t="s">
        <v>753</v>
      </c>
      <c r="J47" s="213" t="s">
        <v>576</v>
      </c>
      <c r="K47" s="171">
        <v>16</v>
      </c>
      <c r="L47" s="213" t="str">
        <f>VLOOKUP(Ruimtestaat[[#This Row],[Ruimte code]],Ruimtegroepen[#All],2,FALSE)</f>
        <v>Leslokalen</v>
      </c>
      <c r="M47" s="212" t="s">
        <v>112</v>
      </c>
      <c r="N47" s="171" t="s">
        <v>776</v>
      </c>
      <c r="O47" s="172">
        <v>32</v>
      </c>
      <c r="P47" s="183"/>
      <c r="Q47" s="212" t="str">
        <f>VLOOKUP(Ruimtestaat[[#This Row],[Ruimte code]],Ruimtegroepen[#All],4,FALSE)</f>
        <v>L  (Lesruimte)</v>
      </c>
      <c r="R47" s="184"/>
      <c r="S47" s="185">
        <v>40</v>
      </c>
      <c r="T47" s="185" t="s">
        <v>2</v>
      </c>
      <c r="U47" s="185">
        <f>IF(S47&gt;0,IF(RIGHT(Ruimtestaat[[#This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" s="185">
        <f>IF(U47&gt;0,VLOOKUP($K47,Ruimtegroepen[],3,FALSE)*VLOOKUP($M47,Vloersoorten[],3,FALSE)*VLOOKUP($T47,Frequenties[],3,FALSE)*VLOOKUP($A47,Locaties[],3,FALSE),0)</f>
        <v>0</v>
      </c>
      <c r="W47" s="185">
        <f>Ruimtestaat[[#This Row],[Uitvoeringen werkdagen]]*Ruimtestaat[[#This Row],[Oppervlak (netto)]]</f>
        <v>6400</v>
      </c>
      <c r="X47" s="220">
        <f>IF(V47&gt;0,Ruimtestaat[[#This Row],[Prest. (m2 /jaar) werkdagen]]/Ruimtestaat[[#This Row],[Norm (m2/uur) werkdagen]],0)</f>
        <v>0</v>
      </c>
      <c r="Y47" s="221">
        <f>Ruimtestaat[[#This Row],[uren / jaar werkdagen]]*Tariefsopbouw!$D$38</f>
        <v>0</v>
      </c>
      <c r="Z47" s="33"/>
      <c r="AA47" s="33">
        <f>IF(Ruimtestaat[[#This Row],[Frequentie weekend]]&gt;0,VALUE(LEFT(Z47,1))*S47,0)</f>
        <v>0</v>
      </c>
      <c r="AB47" s="33">
        <f>IF($AA47&gt;0,VLOOKUP($K47,Ruimtegroepen[],3,FALSE)*VLOOKUP($M47,Vloersoorten[],3,FALSE)*VLOOKUP($Z47,Frequenties[],3,FALSE)*VLOOKUP(#REF!,Locaties[],3,FALSE),0)</f>
        <v>0</v>
      </c>
      <c r="AC47" s="33"/>
      <c r="AD47" s="33"/>
      <c r="AE47" s="33">
        <f>Ruimtestaat[[#This Row],[uren / jaar weekend]]*Tariefsopbouw!$D$40</f>
        <v>0</v>
      </c>
      <c r="AF47" s="79">
        <f>Ruimtestaat[[#This Row],[Prest. (m2 /jaar) weekend]]+Ruimtestaat[[#This Row],[Prest. (m2 /jaar) werkdagen]]</f>
        <v>6400</v>
      </c>
      <c r="AG47" s="79">
        <f>Ruimtestaat[[#This Row],[uren / jaar weekend]]+Ruimtestaat[[#This Row],[uren / jaar werkdagen]]</f>
        <v>0</v>
      </c>
      <c r="AH47" s="80">
        <f>Ruimtestaat[[#This Row],[kosten / jaar weekend]]+Ruimtestaat[[#This Row],[kosten / jaar werkdagen]]</f>
        <v>0</v>
      </c>
      <c r="AI47" s="103"/>
      <c r="HM47" s="78"/>
    </row>
    <row r="48" spans="1:221" ht="15" customHeight="1">
      <c r="A48" s="117">
        <v>1</v>
      </c>
      <c r="B48" s="21" t="str">
        <f>VLOOKUP(Ruimtestaat[[#This Row],[Code]],Locaties[#All],2,FALSE)</f>
        <v xml:space="preserve">Het Meerik </v>
      </c>
      <c r="C48" s="21" t="str">
        <f>VLOOKUP(Ruimtestaat[[#This Row],[Code]],Locaties[#All],4,FALSE)</f>
        <v>Lijsterstraat 117</v>
      </c>
      <c r="D48" s="21" t="str">
        <f>VLOOKUP(Ruimtestaat[[#This Row],[Code]],Locaties[#All],5,FALSE)</f>
        <v>7523ES</v>
      </c>
      <c r="E48" s="171" t="str">
        <f>VLOOKUP(Ruimtestaat[[#This Row],[Code]],Locaties[#All],6,FALSE)</f>
        <v>Enschede</v>
      </c>
      <c r="F48" s="171"/>
      <c r="G48" s="185" t="s">
        <v>563</v>
      </c>
      <c r="H48" s="185"/>
      <c r="I48" s="171" t="s">
        <v>754</v>
      </c>
      <c r="J48" s="213" t="s">
        <v>748</v>
      </c>
      <c r="K48" s="171">
        <v>16</v>
      </c>
      <c r="L48" s="213" t="str">
        <f>VLOOKUP(Ruimtestaat[[#This Row],[Ruimte code]],Ruimtegroepen[#All],2,FALSE)</f>
        <v>Leslokalen</v>
      </c>
      <c r="M48" s="212" t="s">
        <v>112</v>
      </c>
      <c r="N48" s="171" t="s">
        <v>776</v>
      </c>
      <c r="O48" s="172">
        <v>8</v>
      </c>
      <c r="P48" s="183"/>
      <c r="Q48" s="212" t="str">
        <f>VLOOKUP(Ruimtestaat[[#This Row],[Ruimte code]],Ruimtegroepen[#All],4,FALSE)</f>
        <v>L  (Lesruimte)</v>
      </c>
      <c r="R48" s="184"/>
      <c r="S48" s="185">
        <v>40</v>
      </c>
      <c r="T48" s="185" t="s">
        <v>2</v>
      </c>
      <c r="U48" s="185">
        <f>IF(S48&gt;0,IF(RIGHT(Ruimtestaat[[#This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" s="185">
        <f>IF(U48&gt;0,VLOOKUP($K48,Ruimtegroepen[],3,FALSE)*VLOOKUP($M48,Vloersoorten[],3,FALSE)*VLOOKUP($T48,Frequenties[],3,FALSE)*VLOOKUP($A48,Locaties[],3,FALSE),0)</f>
        <v>0</v>
      </c>
      <c r="W48" s="185">
        <f>Ruimtestaat[[#This Row],[Uitvoeringen werkdagen]]*Ruimtestaat[[#This Row],[Oppervlak (netto)]]</f>
        <v>1600</v>
      </c>
      <c r="X48" s="220">
        <f>IF(V48&gt;0,Ruimtestaat[[#This Row],[Prest. (m2 /jaar) werkdagen]]/Ruimtestaat[[#This Row],[Norm (m2/uur) werkdagen]],0)</f>
        <v>0</v>
      </c>
      <c r="Y48" s="221">
        <f>Ruimtestaat[[#This Row],[uren / jaar werkdagen]]*Tariefsopbouw!$D$38</f>
        <v>0</v>
      </c>
      <c r="Z48" s="33"/>
      <c r="AA48" s="33">
        <f>IF(Ruimtestaat[[#This Row],[Frequentie weekend]]&gt;0,VALUE(LEFT(Z48,1))*S48,0)</f>
        <v>0</v>
      </c>
      <c r="AB48" s="33">
        <f>IF($AA48&gt;0,VLOOKUP($K48,Ruimtegroepen[],3,FALSE)*VLOOKUP($M48,Vloersoorten[],3,FALSE)*VLOOKUP($Z48,Frequenties[],3,FALSE)*VLOOKUP(#REF!,Locaties[],3,FALSE),0)</f>
        <v>0</v>
      </c>
      <c r="AC48" s="33"/>
      <c r="AD48" s="33"/>
      <c r="AE48" s="33">
        <f>Ruimtestaat[[#This Row],[uren / jaar weekend]]*Tariefsopbouw!$D$40</f>
        <v>0</v>
      </c>
      <c r="AF48" s="79">
        <f>Ruimtestaat[[#This Row],[Prest. (m2 /jaar) weekend]]+Ruimtestaat[[#This Row],[Prest. (m2 /jaar) werkdagen]]</f>
        <v>1600</v>
      </c>
      <c r="AG48" s="79">
        <f>Ruimtestaat[[#This Row],[uren / jaar weekend]]+Ruimtestaat[[#This Row],[uren / jaar werkdagen]]</f>
        <v>0</v>
      </c>
      <c r="AH48" s="80">
        <f>Ruimtestaat[[#This Row],[kosten / jaar weekend]]+Ruimtestaat[[#This Row],[kosten / jaar werkdagen]]</f>
        <v>0</v>
      </c>
      <c r="AI48" s="103"/>
      <c r="HM48" s="78"/>
    </row>
    <row r="49" spans="1:221" ht="15" customHeight="1">
      <c r="A49" s="117">
        <v>1</v>
      </c>
      <c r="B49" s="21" t="str">
        <f>VLOOKUP(Ruimtestaat[[#This Row],[Code]],Locaties[#All],2,FALSE)</f>
        <v xml:space="preserve">Het Meerik </v>
      </c>
      <c r="C49" s="21" t="str">
        <f>VLOOKUP(Ruimtestaat[[#This Row],[Code]],Locaties[#All],4,FALSE)</f>
        <v>Lijsterstraat 117</v>
      </c>
      <c r="D49" s="21" t="str">
        <f>VLOOKUP(Ruimtestaat[[#This Row],[Code]],Locaties[#All],5,FALSE)</f>
        <v>7523ES</v>
      </c>
      <c r="E49" s="171" t="str">
        <f>VLOOKUP(Ruimtestaat[[#This Row],[Code]],Locaties[#All],6,FALSE)</f>
        <v>Enschede</v>
      </c>
      <c r="F49" s="171"/>
      <c r="G49" s="185" t="s">
        <v>563</v>
      </c>
      <c r="H49" s="185"/>
      <c r="I49" s="171" t="s">
        <v>755</v>
      </c>
      <c r="J49" s="213" t="s">
        <v>723</v>
      </c>
      <c r="K49" s="171">
        <v>5</v>
      </c>
      <c r="L49" s="213" t="str">
        <f>VLOOKUP(Ruimtestaat[[#This Row],[Ruimte code]],Ruimtegroepen[#All],2,FALSE)</f>
        <v>Sanitair</v>
      </c>
      <c r="M49" s="212" t="s">
        <v>111</v>
      </c>
      <c r="N49" s="171" t="s">
        <v>606</v>
      </c>
      <c r="O49" s="172">
        <v>5</v>
      </c>
      <c r="P49" s="183"/>
      <c r="Q49" s="212" t="str">
        <f>VLOOKUP(Ruimtestaat[[#This Row],[Ruimte code]],Ruimtegroepen[#All],4,FALSE)</f>
        <v>S  (Sanitair)</v>
      </c>
      <c r="R49" s="184"/>
      <c r="S49" s="185">
        <v>40</v>
      </c>
      <c r="T49" s="185" t="s">
        <v>2</v>
      </c>
      <c r="U49" s="185">
        <f>IF(S49&gt;0,IF(RIGHT(Ruimtestaat[[#This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" s="185">
        <f>IF(U49&gt;0,VLOOKUP($K49,Ruimtegroepen[],3,FALSE)*VLOOKUP($M49,Vloersoorten[],3,FALSE)*VLOOKUP($T49,Frequenties[],3,FALSE)*VLOOKUP($A49,Locaties[],3,FALSE),0)</f>
        <v>0</v>
      </c>
      <c r="W49" s="185">
        <f>Ruimtestaat[[#This Row],[Uitvoeringen werkdagen]]*Ruimtestaat[[#This Row],[Oppervlak (netto)]]</f>
        <v>1000</v>
      </c>
      <c r="X49" s="220">
        <f>IF(V49&gt;0,Ruimtestaat[[#This Row],[Prest. (m2 /jaar) werkdagen]]/Ruimtestaat[[#This Row],[Norm (m2/uur) werkdagen]],0)</f>
        <v>0</v>
      </c>
      <c r="Y49" s="221">
        <f>Ruimtestaat[[#This Row],[uren / jaar werkdagen]]*Tariefsopbouw!$D$38</f>
        <v>0</v>
      </c>
      <c r="Z49" s="33"/>
      <c r="AA49" s="33">
        <f>IF(Ruimtestaat[[#This Row],[Frequentie weekend]]&gt;0,VALUE(LEFT(Z49,1))*S49,0)</f>
        <v>0</v>
      </c>
      <c r="AB49" s="33">
        <f>IF($AA49&gt;0,VLOOKUP($K49,Ruimtegroepen[],3,FALSE)*VLOOKUP($M49,Vloersoorten[],3,FALSE)*VLOOKUP($Z49,Frequenties[],3,FALSE)*VLOOKUP(#REF!,Locaties[],3,FALSE),0)</f>
        <v>0</v>
      </c>
      <c r="AC49" s="33"/>
      <c r="AD49" s="33"/>
      <c r="AE49" s="33">
        <f>Ruimtestaat[[#This Row],[uren / jaar weekend]]*Tariefsopbouw!$D$40</f>
        <v>0</v>
      </c>
      <c r="AF49" s="79">
        <f>Ruimtestaat[[#This Row],[Prest. (m2 /jaar) weekend]]+Ruimtestaat[[#This Row],[Prest. (m2 /jaar) werkdagen]]</f>
        <v>1000</v>
      </c>
      <c r="AG49" s="79">
        <f>Ruimtestaat[[#This Row],[uren / jaar weekend]]+Ruimtestaat[[#This Row],[uren / jaar werkdagen]]</f>
        <v>0</v>
      </c>
      <c r="AH49" s="80">
        <f>Ruimtestaat[[#This Row],[kosten / jaar weekend]]+Ruimtestaat[[#This Row],[kosten / jaar werkdagen]]</f>
        <v>0</v>
      </c>
      <c r="AI49" s="103"/>
      <c r="HM49" s="78"/>
    </row>
    <row r="50" spans="1:221" ht="15" customHeight="1">
      <c r="A50" s="117">
        <v>1</v>
      </c>
      <c r="B50" s="21" t="str">
        <f>VLOOKUP(Ruimtestaat[[#This Row],[Code]],Locaties[#All],2,FALSE)</f>
        <v xml:space="preserve">Het Meerik </v>
      </c>
      <c r="C50" s="21" t="str">
        <f>VLOOKUP(Ruimtestaat[[#This Row],[Code]],Locaties[#All],4,FALSE)</f>
        <v>Lijsterstraat 117</v>
      </c>
      <c r="D50" s="21" t="str">
        <f>VLOOKUP(Ruimtestaat[[#This Row],[Code]],Locaties[#All],5,FALSE)</f>
        <v>7523ES</v>
      </c>
      <c r="E50" s="171" t="str">
        <f>VLOOKUP(Ruimtestaat[[#This Row],[Code]],Locaties[#All],6,FALSE)</f>
        <v>Enschede</v>
      </c>
      <c r="F50" s="171"/>
      <c r="G50" s="185" t="s">
        <v>563</v>
      </c>
      <c r="H50" s="185"/>
      <c r="I50" s="171" t="s">
        <v>756</v>
      </c>
      <c r="J50" s="213" t="s">
        <v>722</v>
      </c>
      <c r="K50" s="171">
        <v>5</v>
      </c>
      <c r="L50" s="213" t="str">
        <f>VLOOKUP(Ruimtestaat[[#This Row],[Ruimte code]],Ruimtegroepen[#All],2,FALSE)</f>
        <v>Sanitair</v>
      </c>
      <c r="M50" s="212" t="s">
        <v>111</v>
      </c>
      <c r="N50" s="171" t="s">
        <v>606</v>
      </c>
      <c r="O50" s="172">
        <v>5</v>
      </c>
      <c r="P50" s="183"/>
      <c r="Q50" s="212" t="str">
        <f>VLOOKUP(Ruimtestaat[[#This Row],[Ruimte code]],Ruimtegroepen[#All],4,FALSE)</f>
        <v>S  (Sanitair)</v>
      </c>
      <c r="R50" s="184"/>
      <c r="S50" s="185">
        <v>40</v>
      </c>
      <c r="T50" s="185" t="s">
        <v>2</v>
      </c>
      <c r="U50" s="185">
        <f>IF(S50&gt;0,IF(RIGHT(Ruimtestaat[[#This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" s="185">
        <f>IF(U50&gt;0,VLOOKUP($K50,Ruimtegroepen[],3,FALSE)*VLOOKUP($M50,Vloersoorten[],3,FALSE)*VLOOKUP($T50,Frequenties[],3,FALSE)*VLOOKUP($A50,Locaties[],3,FALSE),0)</f>
        <v>0</v>
      </c>
      <c r="W50" s="185">
        <f>Ruimtestaat[[#This Row],[Uitvoeringen werkdagen]]*Ruimtestaat[[#This Row],[Oppervlak (netto)]]</f>
        <v>1000</v>
      </c>
      <c r="X50" s="220">
        <f>IF(V50&gt;0,Ruimtestaat[[#This Row],[Prest. (m2 /jaar) werkdagen]]/Ruimtestaat[[#This Row],[Norm (m2/uur) werkdagen]],0)</f>
        <v>0</v>
      </c>
      <c r="Y50" s="221">
        <f>Ruimtestaat[[#This Row],[uren / jaar werkdagen]]*Tariefsopbouw!$D$38</f>
        <v>0</v>
      </c>
      <c r="Z50" s="33"/>
      <c r="AA50" s="33">
        <f>IF(Ruimtestaat[[#This Row],[Frequentie weekend]]&gt;0,VALUE(LEFT(Z50,1))*S50,0)</f>
        <v>0</v>
      </c>
      <c r="AB50" s="33">
        <f>IF($AA50&gt;0,VLOOKUP($K50,Ruimtegroepen[],3,FALSE)*VLOOKUP($M50,Vloersoorten[],3,FALSE)*VLOOKUP($Z50,Frequenties[],3,FALSE)*VLOOKUP(#REF!,Locaties[],3,FALSE),0)</f>
        <v>0</v>
      </c>
      <c r="AC50" s="33"/>
      <c r="AD50" s="33"/>
      <c r="AE50" s="33">
        <f>Ruimtestaat[[#This Row],[uren / jaar weekend]]*Tariefsopbouw!$D$40</f>
        <v>0</v>
      </c>
      <c r="AF50" s="79">
        <f>Ruimtestaat[[#This Row],[Prest. (m2 /jaar) weekend]]+Ruimtestaat[[#This Row],[Prest. (m2 /jaar) werkdagen]]</f>
        <v>1000</v>
      </c>
      <c r="AG50" s="79">
        <f>Ruimtestaat[[#This Row],[uren / jaar weekend]]+Ruimtestaat[[#This Row],[uren / jaar werkdagen]]</f>
        <v>0</v>
      </c>
      <c r="AH50" s="80">
        <f>Ruimtestaat[[#This Row],[kosten / jaar weekend]]+Ruimtestaat[[#This Row],[kosten / jaar werkdagen]]</f>
        <v>0</v>
      </c>
      <c r="AI50" s="103"/>
      <c r="HM50" s="78"/>
    </row>
    <row r="51" spans="1:221" ht="15" customHeight="1">
      <c r="A51" s="117">
        <v>1</v>
      </c>
      <c r="B51" s="21" t="str">
        <f>VLOOKUP(Ruimtestaat[[#This Row],[Code]],Locaties[#All],2,FALSE)</f>
        <v xml:space="preserve">Het Meerik </v>
      </c>
      <c r="C51" s="21" t="str">
        <f>VLOOKUP(Ruimtestaat[[#This Row],[Code]],Locaties[#All],4,FALSE)</f>
        <v>Lijsterstraat 117</v>
      </c>
      <c r="D51" s="21" t="str">
        <f>VLOOKUP(Ruimtestaat[[#This Row],[Code]],Locaties[#All],5,FALSE)</f>
        <v>7523ES</v>
      </c>
      <c r="E51" s="171" t="str">
        <f>VLOOKUP(Ruimtestaat[[#This Row],[Code]],Locaties[#All],6,FALSE)</f>
        <v>Enschede</v>
      </c>
      <c r="F51" s="171"/>
      <c r="G51" s="185" t="s">
        <v>563</v>
      </c>
      <c r="H51" s="185"/>
      <c r="I51" s="171" t="s">
        <v>757</v>
      </c>
      <c r="J51" s="213" t="s">
        <v>758</v>
      </c>
      <c r="K51" s="171">
        <v>2</v>
      </c>
      <c r="L51" s="213" t="str">
        <f>VLOOKUP(Ruimtestaat[[#This Row],[Ruimte code]],Ruimtegroepen[#All],2,FALSE)</f>
        <v>Kantoren</v>
      </c>
      <c r="M51" s="212" t="s">
        <v>597</v>
      </c>
      <c r="N51" s="171" t="s">
        <v>38</v>
      </c>
      <c r="O51" s="172">
        <v>32</v>
      </c>
      <c r="P51" s="183"/>
      <c r="Q51" s="212" t="str">
        <f>VLOOKUP(Ruimtestaat[[#This Row],[Ruimte code]],Ruimtegroepen[#All],4,FALSE)</f>
        <v>B  (Bureauruimte)</v>
      </c>
      <c r="R51" s="184"/>
      <c r="S51" s="185">
        <v>40</v>
      </c>
      <c r="T51" s="185" t="s">
        <v>17</v>
      </c>
      <c r="U51" s="185">
        <f>IF(S51&gt;0,IF(RIGHT(Ruimtestaat[[#This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1" s="185">
        <f>IF(U51&gt;0,VLOOKUP($K51,Ruimtegroepen[],3,FALSE)*VLOOKUP($M51,Vloersoorten[],3,FALSE)*VLOOKUP($T51,Frequenties[],3,FALSE)*VLOOKUP($A51,Locaties[],3,FALSE),0)</f>
        <v>0</v>
      </c>
      <c r="W51" s="185">
        <f>Ruimtestaat[[#This Row],[Uitvoeringen werkdagen]]*Ruimtestaat[[#This Row],[Oppervlak (netto)]]</f>
        <v>2560</v>
      </c>
      <c r="X51" s="220">
        <f>IF(V51&gt;0,Ruimtestaat[[#This Row],[Prest. (m2 /jaar) werkdagen]]/Ruimtestaat[[#This Row],[Norm (m2/uur) werkdagen]],0)</f>
        <v>0</v>
      </c>
      <c r="Y51" s="221">
        <f>Ruimtestaat[[#This Row],[uren / jaar werkdagen]]*Tariefsopbouw!$D$38</f>
        <v>0</v>
      </c>
      <c r="Z51" s="33"/>
      <c r="AA51" s="33">
        <f>IF(Ruimtestaat[[#This Row],[Frequentie weekend]]&gt;0,VALUE(LEFT(Z51,1))*S51,0)</f>
        <v>0</v>
      </c>
      <c r="AB51" s="33">
        <f>IF($AA51&gt;0,VLOOKUP($K51,Ruimtegroepen[],3,FALSE)*VLOOKUP($M51,Vloersoorten[],3,FALSE)*VLOOKUP($Z51,Frequenties[],3,FALSE)*VLOOKUP(#REF!,Locaties[],3,FALSE),0)</f>
        <v>0</v>
      </c>
      <c r="AC51" s="33"/>
      <c r="AD51" s="33"/>
      <c r="AE51" s="33">
        <f>Ruimtestaat[[#This Row],[uren / jaar weekend]]*Tariefsopbouw!$D$40</f>
        <v>0</v>
      </c>
      <c r="AF51" s="79">
        <f>Ruimtestaat[[#This Row],[Prest. (m2 /jaar) weekend]]+Ruimtestaat[[#This Row],[Prest. (m2 /jaar) werkdagen]]</f>
        <v>2560</v>
      </c>
      <c r="AG51" s="79">
        <f>Ruimtestaat[[#This Row],[uren / jaar weekend]]+Ruimtestaat[[#This Row],[uren / jaar werkdagen]]</f>
        <v>0</v>
      </c>
      <c r="AH51" s="80">
        <f>Ruimtestaat[[#This Row],[kosten / jaar weekend]]+Ruimtestaat[[#This Row],[kosten / jaar werkdagen]]</f>
        <v>0</v>
      </c>
      <c r="AI51" s="103"/>
      <c r="HM51" s="78"/>
    </row>
    <row r="52" spans="1:221" ht="15" customHeight="1">
      <c r="A52" s="117">
        <v>1</v>
      </c>
      <c r="B52" s="21" t="str">
        <f>VLOOKUP(Ruimtestaat[[#This Row],[Code]],Locaties[#All],2,FALSE)</f>
        <v xml:space="preserve">Het Meerik </v>
      </c>
      <c r="C52" s="21" t="str">
        <f>VLOOKUP(Ruimtestaat[[#This Row],[Code]],Locaties[#All],4,FALSE)</f>
        <v>Lijsterstraat 117</v>
      </c>
      <c r="D52" s="21" t="str">
        <f>VLOOKUP(Ruimtestaat[[#This Row],[Code]],Locaties[#All],5,FALSE)</f>
        <v>7523ES</v>
      </c>
      <c r="E52" s="171" t="str">
        <f>VLOOKUP(Ruimtestaat[[#This Row],[Code]],Locaties[#All],6,FALSE)</f>
        <v>Enschede</v>
      </c>
      <c r="F52" s="171"/>
      <c r="G52" s="185" t="s">
        <v>563</v>
      </c>
      <c r="H52" s="185"/>
      <c r="I52" s="171" t="s">
        <v>759</v>
      </c>
      <c r="J52" s="213" t="s">
        <v>689</v>
      </c>
      <c r="K52" s="171">
        <v>4</v>
      </c>
      <c r="L52" s="213" t="str">
        <f>VLOOKUP(Ruimtestaat[[#This Row],[Ruimte code]],Ruimtegroepen[#All],2,FALSE)</f>
        <v>Vergader/spreekkamers</v>
      </c>
      <c r="M52" s="212" t="s">
        <v>597</v>
      </c>
      <c r="N52" s="171" t="s">
        <v>38</v>
      </c>
      <c r="O52" s="172">
        <v>9</v>
      </c>
      <c r="P52" s="183"/>
      <c r="Q52" s="212" t="str">
        <f>VLOOKUP(Ruimtestaat[[#This Row],[Ruimte code]],Ruimtegroepen[#All],4,FALSE)</f>
        <v>B  (Bureauruimte)</v>
      </c>
      <c r="R52" s="184"/>
      <c r="S52" s="185">
        <v>40</v>
      </c>
      <c r="T52" s="185" t="s">
        <v>17</v>
      </c>
      <c r="U52" s="185">
        <f>IF(S52&gt;0,IF(RIGHT(Ruimtestaat[[#This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2" s="185">
        <f>IF(U52&gt;0,VLOOKUP($K52,Ruimtegroepen[],3,FALSE)*VLOOKUP($M52,Vloersoorten[],3,FALSE)*VLOOKUP($T52,Frequenties[],3,FALSE)*VLOOKUP($A52,Locaties[],3,FALSE),0)</f>
        <v>0</v>
      </c>
      <c r="W52" s="185">
        <f>Ruimtestaat[[#This Row],[Uitvoeringen werkdagen]]*Ruimtestaat[[#This Row],[Oppervlak (netto)]]</f>
        <v>720</v>
      </c>
      <c r="X52" s="220">
        <f>IF(V52&gt;0,Ruimtestaat[[#This Row],[Prest. (m2 /jaar) werkdagen]]/Ruimtestaat[[#This Row],[Norm (m2/uur) werkdagen]],0)</f>
        <v>0</v>
      </c>
      <c r="Y52" s="221">
        <f>Ruimtestaat[[#This Row],[uren / jaar werkdagen]]*Tariefsopbouw!$D$38</f>
        <v>0</v>
      </c>
      <c r="Z52" s="33"/>
      <c r="AA52" s="33">
        <f>IF(Ruimtestaat[[#This Row],[Frequentie weekend]]&gt;0,VALUE(LEFT(Z52,1))*S52,0)</f>
        <v>0</v>
      </c>
      <c r="AB52" s="33">
        <f>IF($AA52&gt;0,VLOOKUP($K52,Ruimtegroepen[],3,FALSE)*VLOOKUP($M52,Vloersoorten[],3,FALSE)*VLOOKUP($Z52,Frequenties[],3,FALSE)*VLOOKUP(#REF!,Locaties[],3,FALSE),0)</f>
        <v>0</v>
      </c>
      <c r="AC52" s="33"/>
      <c r="AD52" s="33"/>
      <c r="AE52" s="33">
        <f>Ruimtestaat[[#This Row],[uren / jaar weekend]]*Tariefsopbouw!$D$40</f>
        <v>0</v>
      </c>
      <c r="AF52" s="79">
        <f>Ruimtestaat[[#This Row],[Prest. (m2 /jaar) weekend]]+Ruimtestaat[[#This Row],[Prest. (m2 /jaar) werkdagen]]</f>
        <v>720</v>
      </c>
      <c r="AG52" s="79">
        <f>Ruimtestaat[[#This Row],[uren / jaar weekend]]+Ruimtestaat[[#This Row],[uren / jaar werkdagen]]</f>
        <v>0</v>
      </c>
      <c r="AH52" s="80">
        <f>Ruimtestaat[[#This Row],[kosten / jaar weekend]]+Ruimtestaat[[#This Row],[kosten / jaar werkdagen]]</f>
        <v>0</v>
      </c>
      <c r="AI52" s="103"/>
      <c r="HM52" s="78"/>
    </row>
    <row r="53" spans="1:221" ht="15" customHeight="1">
      <c r="A53" s="117">
        <v>1</v>
      </c>
      <c r="B53" s="21" t="str">
        <f>VLOOKUP(Ruimtestaat[[#This Row],[Code]],Locaties[#All],2,FALSE)</f>
        <v xml:space="preserve">Het Meerik </v>
      </c>
      <c r="C53" s="21" t="str">
        <f>VLOOKUP(Ruimtestaat[[#This Row],[Code]],Locaties[#All],4,FALSE)</f>
        <v>Lijsterstraat 117</v>
      </c>
      <c r="D53" s="21" t="str">
        <f>VLOOKUP(Ruimtestaat[[#This Row],[Code]],Locaties[#All],5,FALSE)</f>
        <v>7523ES</v>
      </c>
      <c r="E53" s="171" t="str">
        <f>VLOOKUP(Ruimtestaat[[#This Row],[Code]],Locaties[#All],6,FALSE)</f>
        <v>Enschede</v>
      </c>
      <c r="F53" s="171"/>
      <c r="G53" s="185" t="s">
        <v>563</v>
      </c>
      <c r="H53" s="185"/>
      <c r="I53" s="171" t="s">
        <v>760</v>
      </c>
      <c r="J53" s="213" t="s">
        <v>422</v>
      </c>
      <c r="K53" s="171">
        <v>14</v>
      </c>
      <c r="L53" s="213" t="str">
        <f>VLOOKUP(Ruimtestaat[[#This Row],[Ruimte code]],Ruimtegroepen[#All],2,FALSE)</f>
        <v>Praktijklokalen</v>
      </c>
      <c r="M53" s="212" t="s">
        <v>112</v>
      </c>
      <c r="N53" s="171" t="s">
        <v>776</v>
      </c>
      <c r="O53" s="172">
        <v>37</v>
      </c>
      <c r="P53" s="183"/>
      <c r="Q53" s="212" t="str">
        <f>VLOOKUP(Ruimtestaat[[#This Row],[Ruimte code]],Ruimtegroepen[#All],4,FALSE)</f>
        <v>L  (Lesruimte)</v>
      </c>
      <c r="R53" s="184"/>
      <c r="S53" s="185">
        <v>40</v>
      </c>
      <c r="T53" s="185" t="s">
        <v>20</v>
      </c>
      <c r="U53" s="185">
        <f>IF(S53&gt;0,IF(RIGHT(Ruimtestaat[[#This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3" s="185">
        <f>IF(U53&gt;0,VLOOKUP($K53,Ruimtegroepen[],3,FALSE)*VLOOKUP($M53,Vloersoorten[],3,FALSE)*VLOOKUP($T53,Frequenties[],3,FALSE)*VLOOKUP($A53,Locaties[],3,FALSE),0)</f>
        <v>0</v>
      </c>
      <c r="W53" s="185">
        <f>Ruimtestaat[[#This Row],[Uitvoeringen werkdagen]]*Ruimtestaat[[#This Row],[Oppervlak (netto)]]</f>
        <v>5920</v>
      </c>
      <c r="X53" s="220">
        <f>IF(V53&gt;0,Ruimtestaat[[#This Row],[Prest. (m2 /jaar) werkdagen]]/Ruimtestaat[[#This Row],[Norm (m2/uur) werkdagen]],0)</f>
        <v>0</v>
      </c>
      <c r="Y53" s="221">
        <f>Ruimtestaat[[#This Row],[uren / jaar werkdagen]]*Tariefsopbouw!$D$38</f>
        <v>0</v>
      </c>
      <c r="Z53" s="33"/>
      <c r="AA53" s="33">
        <f>IF(Ruimtestaat[[#This Row],[Frequentie weekend]]&gt;0,VALUE(LEFT(Z53,1))*S53,0)</f>
        <v>0</v>
      </c>
      <c r="AB53" s="33">
        <f>IF($AA53&gt;0,VLOOKUP($K53,Ruimtegroepen[],3,FALSE)*VLOOKUP($M53,Vloersoorten[],3,FALSE)*VLOOKUP($Z53,Frequenties[],3,FALSE)*VLOOKUP(#REF!,Locaties[],3,FALSE),0)</f>
        <v>0</v>
      </c>
      <c r="AC53" s="33"/>
      <c r="AD53" s="33"/>
      <c r="AE53" s="33">
        <f>Ruimtestaat[[#This Row],[uren / jaar weekend]]*Tariefsopbouw!$D$40</f>
        <v>0</v>
      </c>
      <c r="AF53" s="79">
        <f>Ruimtestaat[[#This Row],[Prest. (m2 /jaar) weekend]]+Ruimtestaat[[#This Row],[Prest. (m2 /jaar) werkdagen]]</f>
        <v>5920</v>
      </c>
      <c r="AG53" s="79">
        <f>Ruimtestaat[[#This Row],[uren / jaar weekend]]+Ruimtestaat[[#This Row],[uren / jaar werkdagen]]</f>
        <v>0</v>
      </c>
      <c r="AH53" s="80">
        <f>Ruimtestaat[[#This Row],[kosten / jaar weekend]]+Ruimtestaat[[#This Row],[kosten / jaar werkdagen]]</f>
        <v>0</v>
      </c>
      <c r="AI53" s="103"/>
      <c r="HM53" s="78"/>
    </row>
    <row r="54" spans="1:221" ht="15" customHeight="1">
      <c r="A54" s="117">
        <v>1</v>
      </c>
      <c r="B54" s="21" t="str">
        <f>VLOOKUP(Ruimtestaat[[#This Row],[Code]],Locaties[#All],2,FALSE)</f>
        <v xml:space="preserve">Het Meerik </v>
      </c>
      <c r="C54" s="21" t="str">
        <f>VLOOKUP(Ruimtestaat[[#This Row],[Code]],Locaties[#All],4,FALSE)</f>
        <v>Lijsterstraat 117</v>
      </c>
      <c r="D54" s="21" t="str">
        <f>VLOOKUP(Ruimtestaat[[#This Row],[Code]],Locaties[#All],5,FALSE)</f>
        <v>7523ES</v>
      </c>
      <c r="E54" s="171" t="str">
        <f>VLOOKUP(Ruimtestaat[[#This Row],[Code]],Locaties[#All],6,FALSE)</f>
        <v>Enschede</v>
      </c>
      <c r="F54" s="171"/>
      <c r="G54" s="185" t="s">
        <v>563</v>
      </c>
      <c r="H54" s="185"/>
      <c r="I54" s="171" t="s">
        <v>761</v>
      </c>
      <c r="J54" s="213" t="s">
        <v>585</v>
      </c>
      <c r="K54" s="171">
        <v>20</v>
      </c>
      <c r="L54" s="213" t="str">
        <f>VLOOKUP(Ruimtestaat[[#This Row],[Ruimte code]],Ruimtegroepen[#All],2,FALSE)</f>
        <v>Niet in onderhoud</v>
      </c>
      <c r="M54" s="212" t="s">
        <v>112</v>
      </c>
      <c r="N54" s="171" t="s">
        <v>776</v>
      </c>
      <c r="O54" s="172"/>
      <c r="P54" s="183">
        <v>8</v>
      </c>
      <c r="Q54" s="212" t="str">
        <f>VLOOKUP(Ruimtestaat[[#This Row],[Ruimte code]],Ruimtegroepen[#All],4,FALSE)</f>
        <v>niet in onderhoud</v>
      </c>
      <c r="R54" s="184"/>
      <c r="S54" s="185"/>
      <c r="T54" s="185"/>
      <c r="U54" s="185">
        <f>IF(S54&gt;0,IF(RIGHT(Ruimtestaat[[#This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" s="185">
        <f>IF(U54&gt;0,VLOOKUP($K54,Ruimtegroepen[],3,FALSE)*VLOOKUP($M54,Vloersoorten[],3,FALSE)*VLOOKUP($T54,Frequenties[],3,FALSE)*VLOOKUP($A54,Locaties[],3,FALSE),0)</f>
        <v>0</v>
      </c>
      <c r="W54" s="185">
        <f>Ruimtestaat[[#This Row],[Uitvoeringen werkdagen]]*Ruimtestaat[[#This Row],[Oppervlak (netto)]]</f>
        <v>0</v>
      </c>
      <c r="X54" s="220">
        <f>IF(V54&gt;0,Ruimtestaat[[#This Row],[Prest. (m2 /jaar) werkdagen]]/Ruimtestaat[[#This Row],[Norm (m2/uur) werkdagen]],0)</f>
        <v>0</v>
      </c>
      <c r="Y54" s="221">
        <f>Ruimtestaat[[#This Row],[uren / jaar werkdagen]]*Tariefsopbouw!$D$38</f>
        <v>0</v>
      </c>
      <c r="Z54" s="33"/>
      <c r="AA54" s="33">
        <f>IF(Ruimtestaat[[#This Row],[Frequentie weekend]]&gt;0,VALUE(LEFT(Z54,1))*S54,0)</f>
        <v>0</v>
      </c>
      <c r="AB54" s="33">
        <f>IF($AA54&gt;0,VLOOKUP($K54,Ruimtegroepen[],3,FALSE)*VLOOKUP($M54,Vloersoorten[],3,FALSE)*VLOOKUP($Z54,Frequenties[],3,FALSE)*VLOOKUP(#REF!,Locaties[],3,FALSE),0)</f>
        <v>0</v>
      </c>
      <c r="AC54" s="33"/>
      <c r="AD54" s="33"/>
      <c r="AE54" s="33">
        <f>Ruimtestaat[[#This Row],[uren / jaar weekend]]*Tariefsopbouw!$D$40</f>
        <v>0</v>
      </c>
      <c r="AF54" s="79">
        <f>Ruimtestaat[[#This Row],[Prest. (m2 /jaar) weekend]]+Ruimtestaat[[#This Row],[Prest. (m2 /jaar) werkdagen]]</f>
        <v>0</v>
      </c>
      <c r="AG54" s="79">
        <f>Ruimtestaat[[#This Row],[uren / jaar weekend]]+Ruimtestaat[[#This Row],[uren / jaar werkdagen]]</f>
        <v>0</v>
      </c>
      <c r="AH54" s="80">
        <f>Ruimtestaat[[#This Row],[kosten / jaar weekend]]+Ruimtestaat[[#This Row],[kosten / jaar werkdagen]]</f>
        <v>0</v>
      </c>
      <c r="AI54" s="103"/>
      <c r="HM54" s="78"/>
    </row>
    <row r="55" spans="1:221" ht="15" customHeight="1">
      <c r="A55" s="117">
        <v>1</v>
      </c>
      <c r="B55" s="21" t="str">
        <f>VLOOKUP(Ruimtestaat[[#This Row],[Code]],Locaties[#All],2,FALSE)</f>
        <v xml:space="preserve">Het Meerik </v>
      </c>
      <c r="C55" s="21" t="str">
        <f>VLOOKUP(Ruimtestaat[[#This Row],[Code]],Locaties[#All],4,FALSE)</f>
        <v>Lijsterstraat 117</v>
      </c>
      <c r="D55" s="21" t="str">
        <f>VLOOKUP(Ruimtestaat[[#This Row],[Code]],Locaties[#All],5,FALSE)</f>
        <v>7523ES</v>
      </c>
      <c r="E55" s="171" t="str">
        <f>VLOOKUP(Ruimtestaat[[#This Row],[Code]],Locaties[#All],6,FALSE)</f>
        <v>Enschede</v>
      </c>
      <c r="F55" s="171"/>
      <c r="G55" s="185" t="s">
        <v>563</v>
      </c>
      <c r="H55" s="185"/>
      <c r="I55" s="171" t="s">
        <v>762</v>
      </c>
      <c r="J55" s="213" t="s">
        <v>763</v>
      </c>
      <c r="K55" s="171">
        <v>20</v>
      </c>
      <c r="L55" s="213" t="str">
        <f>VLOOKUP(Ruimtestaat[[#This Row],[Ruimte code]],Ruimtegroepen[#All],2,FALSE)</f>
        <v>Niet in onderhoud</v>
      </c>
      <c r="M55" s="212" t="s">
        <v>112</v>
      </c>
      <c r="N55" s="171" t="s">
        <v>776</v>
      </c>
      <c r="O55" s="172"/>
      <c r="P55" s="183">
        <v>1</v>
      </c>
      <c r="Q55" s="212" t="str">
        <f>VLOOKUP(Ruimtestaat[[#This Row],[Ruimte code]],Ruimtegroepen[#All],4,FALSE)</f>
        <v>niet in onderhoud</v>
      </c>
      <c r="R55" s="184"/>
      <c r="S55" s="185"/>
      <c r="T55" s="185"/>
      <c r="U55" s="185">
        <f>IF(S55&gt;0,IF(RIGHT(Ruimtestaat[[#This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5" s="185">
        <f>IF(U55&gt;0,VLOOKUP($K55,Ruimtegroepen[],3,FALSE)*VLOOKUP($M55,Vloersoorten[],3,FALSE)*VLOOKUP($T55,Frequenties[],3,FALSE)*VLOOKUP($A55,Locaties[],3,FALSE),0)</f>
        <v>0</v>
      </c>
      <c r="W55" s="185">
        <f>Ruimtestaat[[#This Row],[Uitvoeringen werkdagen]]*Ruimtestaat[[#This Row],[Oppervlak (netto)]]</f>
        <v>0</v>
      </c>
      <c r="X55" s="220">
        <f>IF(V55&gt;0,Ruimtestaat[[#This Row],[Prest. (m2 /jaar) werkdagen]]/Ruimtestaat[[#This Row],[Norm (m2/uur) werkdagen]],0)</f>
        <v>0</v>
      </c>
      <c r="Y55" s="221">
        <f>Ruimtestaat[[#This Row],[uren / jaar werkdagen]]*Tariefsopbouw!$D$38</f>
        <v>0</v>
      </c>
      <c r="Z55" s="33"/>
      <c r="AA55" s="33">
        <f>IF(Ruimtestaat[[#This Row],[Frequentie weekend]]&gt;0,VALUE(LEFT(Z55,1))*S55,0)</f>
        <v>0</v>
      </c>
      <c r="AB55" s="33">
        <f>IF($AA55&gt;0,VLOOKUP($K55,Ruimtegroepen[],3,FALSE)*VLOOKUP($M55,Vloersoorten[],3,FALSE)*VLOOKUP($Z55,Frequenties[],3,FALSE)*VLOOKUP(#REF!,Locaties[],3,FALSE),0)</f>
        <v>0</v>
      </c>
      <c r="AC55" s="33"/>
      <c r="AD55" s="33"/>
      <c r="AE55" s="33">
        <f>Ruimtestaat[[#This Row],[uren / jaar weekend]]*Tariefsopbouw!$D$40</f>
        <v>0</v>
      </c>
      <c r="AF55" s="79">
        <f>Ruimtestaat[[#This Row],[Prest. (m2 /jaar) weekend]]+Ruimtestaat[[#This Row],[Prest. (m2 /jaar) werkdagen]]</f>
        <v>0</v>
      </c>
      <c r="AG55" s="79">
        <f>Ruimtestaat[[#This Row],[uren / jaar weekend]]+Ruimtestaat[[#This Row],[uren / jaar werkdagen]]</f>
        <v>0</v>
      </c>
      <c r="AH55" s="80">
        <f>Ruimtestaat[[#This Row],[kosten / jaar weekend]]+Ruimtestaat[[#This Row],[kosten / jaar werkdagen]]</f>
        <v>0</v>
      </c>
      <c r="AI55" s="103"/>
      <c r="HM55" s="78"/>
    </row>
    <row r="56" spans="1:221" ht="15" customHeight="1">
      <c r="A56" s="117">
        <v>1</v>
      </c>
      <c r="B56" s="21" t="str">
        <f>VLOOKUP(Ruimtestaat[[#This Row],[Code]],Locaties[#All],2,FALSE)</f>
        <v xml:space="preserve">Het Meerik </v>
      </c>
      <c r="C56" s="21" t="str">
        <f>VLOOKUP(Ruimtestaat[[#This Row],[Code]],Locaties[#All],4,FALSE)</f>
        <v>Lijsterstraat 117</v>
      </c>
      <c r="D56" s="21" t="str">
        <f>VLOOKUP(Ruimtestaat[[#This Row],[Code]],Locaties[#All],5,FALSE)</f>
        <v>7523ES</v>
      </c>
      <c r="E56" s="171" t="str">
        <f>VLOOKUP(Ruimtestaat[[#This Row],[Code]],Locaties[#All],6,FALSE)</f>
        <v>Enschede</v>
      </c>
      <c r="F56" s="171"/>
      <c r="G56" s="185" t="s">
        <v>563</v>
      </c>
      <c r="H56" s="185"/>
      <c r="I56" s="171" t="s">
        <v>764</v>
      </c>
      <c r="J56" s="213" t="s">
        <v>600</v>
      </c>
      <c r="K56" s="171">
        <v>15</v>
      </c>
      <c r="L56" s="213" t="str">
        <f>VLOOKUP(Ruimtestaat[[#This Row],[Ruimte code]],Ruimtegroepen[#All],2,FALSE)</f>
        <v>Keuken/pantry</v>
      </c>
      <c r="M56" s="212" t="s">
        <v>111</v>
      </c>
      <c r="N56" s="171" t="s">
        <v>606</v>
      </c>
      <c r="O56" s="172">
        <v>10</v>
      </c>
      <c r="P56" s="183"/>
      <c r="Q56" s="212" t="str">
        <f>VLOOKUP(Ruimtestaat[[#This Row],[Ruimte code]],Ruimtegroepen[#All],4,FALSE)</f>
        <v>V  (Verkeersruimte)</v>
      </c>
      <c r="R56" s="184"/>
      <c r="S56" s="185">
        <v>40</v>
      </c>
      <c r="T56" s="185" t="s">
        <v>2</v>
      </c>
      <c r="U56" s="185">
        <f>IF(S56&gt;0,IF(RIGHT(Ruimtestaat[[#This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" s="185">
        <f>IF(U56&gt;0,VLOOKUP($K56,Ruimtegroepen[],3,FALSE)*VLOOKUP($M56,Vloersoorten[],3,FALSE)*VLOOKUP($T56,Frequenties[],3,FALSE)*VLOOKUP($A56,Locaties[],3,FALSE),0)</f>
        <v>0</v>
      </c>
      <c r="W56" s="185">
        <f>Ruimtestaat[[#This Row],[Uitvoeringen werkdagen]]*Ruimtestaat[[#This Row],[Oppervlak (netto)]]</f>
        <v>2000</v>
      </c>
      <c r="X56" s="220">
        <f>IF(V56&gt;0,Ruimtestaat[[#This Row],[Prest. (m2 /jaar) werkdagen]]/Ruimtestaat[[#This Row],[Norm (m2/uur) werkdagen]],0)</f>
        <v>0</v>
      </c>
      <c r="Y56" s="221">
        <f>Ruimtestaat[[#This Row],[uren / jaar werkdagen]]*Tariefsopbouw!$D$38</f>
        <v>0</v>
      </c>
      <c r="Z56" s="33"/>
      <c r="AA56" s="33">
        <f>IF(Ruimtestaat[[#This Row],[Frequentie weekend]]&gt;0,VALUE(LEFT(Z56,1))*S56,0)</f>
        <v>0</v>
      </c>
      <c r="AB56" s="33">
        <f>IF($AA56&gt;0,VLOOKUP($K56,Ruimtegroepen[],3,FALSE)*VLOOKUP($M56,Vloersoorten[],3,FALSE)*VLOOKUP($Z56,Frequenties[],3,FALSE)*VLOOKUP(#REF!,Locaties[],3,FALSE),0)</f>
        <v>0</v>
      </c>
      <c r="AC56" s="33"/>
      <c r="AD56" s="33"/>
      <c r="AE56" s="33">
        <f>Ruimtestaat[[#This Row],[uren / jaar weekend]]*Tariefsopbouw!$D$40</f>
        <v>0</v>
      </c>
      <c r="AF56" s="79">
        <f>Ruimtestaat[[#This Row],[Prest. (m2 /jaar) weekend]]+Ruimtestaat[[#This Row],[Prest. (m2 /jaar) werkdagen]]</f>
        <v>2000</v>
      </c>
      <c r="AG56" s="79">
        <f>Ruimtestaat[[#This Row],[uren / jaar weekend]]+Ruimtestaat[[#This Row],[uren / jaar werkdagen]]</f>
        <v>0</v>
      </c>
      <c r="AH56" s="80">
        <f>Ruimtestaat[[#This Row],[kosten / jaar weekend]]+Ruimtestaat[[#This Row],[kosten / jaar werkdagen]]</f>
        <v>0</v>
      </c>
      <c r="AI56" s="103"/>
      <c r="HM56" s="78"/>
    </row>
    <row r="57" spans="1:221" ht="15" customHeight="1">
      <c r="A57" s="117">
        <v>1</v>
      </c>
      <c r="B57" s="21" t="str">
        <f>VLOOKUP(Ruimtestaat[[#This Row],[Code]],Locaties[#All],2,FALSE)</f>
        <v xml:space="preserve">Het Meerik </v>
      </c>
      <c r="C57" s="21" t="str">
        <f>VLOOKUP(Ruimtestaat[[#This Row],[Code]],Locaties[#All],4,FALSE)</f>
        <v>Lijsterstraat 117</v>
      </c>
      <c r="D57" s="21" t="str">
        <f>VLOOKUP(Ruimtestaat[[#This Row],[Code]],Locaties[#All],5,FALSE)</f>
        <v>7523ES</v>
      </c>
      <c r="E57" s="171" t="str">
        <f>VLOOKUP(Ruimtestaat[[#This Row],[Code]],Locaties[#All],6,FALSE)</f>
        <v>Enschede</v>
      </c>
      <c r="F57" s="171"/>
      <c r="G57" s="185" t="s">
        <v>563</v>
      </c>
      <c r="H57" s="185"/>
      <c r="I57" s="171" t="s">
        <v>765</v>
      </c>
      <c r="J57" s="213" t="s">
        <v>574</v>
      </c>
      <c r="K57" s="171">
        <v>6</v>
      </c>
      <c r="L57" s="213" t="str">
        <f>VLOOKUP(Ruimtestaat[[#This Row],[Ruimte code]],Ruimtegroepen[#All],2,FALSE)</f>
        <v>Gangen/hallen</v>
      </c>
      <c r="M57" s="212" t="s">
        <v>111</v>
      </c>
      <c r="N57" s="171" t="s">
        <v>605</v>
      </c>
      <c r="O57" s="172">
        <v>58</v>
      </c>
      <c r="P57" s="183"/>
      <c r="Q57" s="212" t="str">
        <f>VLOOKUP(Ruimtestaat[[#This Row],[Ruimte code]],Ruimtegroepen[#All],4,FALSE)</f>
        <v>V  (Verkeersruimte)</v>
      </c>
      <c r="R57" s="184"/>
      <c r="S57" s="185">
        <v>40</v>
      </c>
      <c r="T57" s="185" t="s">
        <v>2</v>
      </c>
      <c r="U57" s="185">
        <f>IF(S57&gt;0,IF(RIGHT(Ruimtestaat[[#This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7" s="185">
        <f>IF(U57&gt;0,VLOOKUP($K57,Ruimtegroepen[],3,FALSE)*VLOOKUP($M57,Vloersoorten[],3,FALSE)*VLOOKUP($T57,Frequenties[],3,FALSE)*VLOOKUP($A57,Locaties[],3,FALSE),0)</f>
        <v>0</v>
      </c>
      <c r="W57" s="185">
        <f>Ruimtestaat[[#This Row],[Uitvoeringen werkdagen]]*Ruimtestaat[[#This Row],[Oppervlak (netto)]]</f>
        <v>11600</v>
      </c>
      <c r="X57" s="220">
        <f>IF(V57&gt;0,Ruimtestaat[[#This Row],[Prest. (m2 /jaar) werkdagen]]/Ruimtestaat[[#This Row],[Norm (m2/uur) werkdagen]],0)</f>
        <v>0</v>
      </c>
      <c r="Y57" s="221">
        <f>Ruimtestaat[[#This Row],[uren / jaar werkdagen]]*Tariefsopbouw!$D$38</f>
        <v>0</v>
      </c>
      <c r="Z57" s="33"/>
      <c r="AA57" s="33">
        <f>IF(Ruimtestaat[[#This Row],[Frequentie weekend]]&gt;0,VALUE(LEFT(Z57,1))*S57,0)</f>
        <v>0</v>
      </c>
      <c r="AB57" s="33">
        <f>IF($AA57&gt;0,VLOOKUP($K57,Ruimtegroepen[],3,FALSE)*VLOOKUP($M57,Vloersoorten[],3,FALSE)*VLOOKUP($Z57,Frequenties[],3,FALSE)*VLOOKUP(#REF!,Locaties[],3,FALSE),0)</f>
        <v>0</v>
      </c>
      <c r="AC57" s="33"/>
      <c r="AD57" s="33"/>
      <c r="AE57" s="33">
        <f>Ruimtestaat[[#This Row],[uren / jaar weekend]]*Tariefsopbouw!$D$40</f>
        <v>0</v>
      </c>
      <c r="AF57" s="79">
        <f>Ruimtestaat[[#This Row],[Prest. (m2 /jaar) weekend]]+Ruimtestaat[[#This Row],[Prest. (m2 /jaar) werkdagen]]</f>
        <v>11600</v>
      </c>
      <c r="AG57" s="79">
        <f>Ruimtestaat[[#This Row],[uren / jaar weekend]]+Ruimtestaat[[#This Row],[uren / jaar werkdagen]]</f>
        <v>0</v>
      </c>
      <c r="AH57" s="80">
        <f>Ruimtestaat[[#This Row],[kosten / jaar weekend]]+Ruimtestaat[[#This Row],[kosten / jaar werkdagen]]</f>
        <v>0</v>
      </c>
      <c r="AI57" s="103"/>
      <c r="HM57" s="78"/>
    </row>
    <row r="58" spans="1:221" ht="15" customHeight="1">
      <c r="A58" s="117">
        <v>1</v>
      </c>
      <c r="B58" s="21" t="str">
        <f>VLOOKUP(Ruimtestaat[[#This Row],[Code]],Locaties[#All],2,FALSE)</f>
        <v xml:space="preserve">Het Meerik </v>
      </c>
      <c r="C58" s="21" t="str">
        <f>VLOOKUP(Ruimtestaat[[#This Row],[Code]],Locaties[#All],4,FALSE)</f>
        <v>Lijsterstraat 117</v>
      </c>
      <c r="D58" s="21" t="str">
        <f>VLOOKUP(Ruimtestaat[[#This Row],[Code]],Locaties[#All],5,FALSE)</f>
        <v>7523ES</v>
      </c>
      <c r="E58" s="171" t="str">
        <f>VLOOKUP(Ruimtestaat[[#This Row],[Code]],Locaties[#All],6,FALSE)</f>
        <v>Enschede</v>
      </c>
      <c r="F58" s="171"/>
      <c r="G58" s="185" t="s">
        <v>563</v>
      </c>
      <c r="H58" s="185"/>
      <c r="I58" s="171" t="s">
        <v>766</v>
      </c>
      <c r="J58" s="213" t="s">
        <v>574</v>
      </c>
      <c r="K58" s="171">
        <v>6</v>
      </c>
      <c r="L58" s="213" t="str">
        <f>VLOOKUP(Ruimtestaat[[#This Row],[Ruimte code]],Ruimtegroepen[#All],2,FALSE)</f>
        <v>Gangen/hallen</v>
      </c>
      <c r="M58" s="212" t="s">
        <v>111</v>
      </c>
      <c r="N58" s="171" t="s">
        <v>605</v>
      </c>
      <c r="O58" s="172">
        <v>20</v>
      </c>
      <c r="P58" s="183"/>
      <c r="Q58" s="212" t="str">
        <f>VLOOKUP(Ruimtestaat[[#This Row],[Ruimte code]],Ruimtegroepen[#All],4,FALSE)</f>
        <v>V  (Verkeersruimte)</v>
      </c>
      <c r="R58" s="184"/>
      <c r="S58" s="185">
        <v>40</v>
      </c>
      <c r="T58" s="185" t="s">
        <v>2</v>
      </c>
      <c r="U58" s="185">
        <f>IF(S58&gt;0,IF(RIGHT(Ruimtestaat[[#This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8" s="185">
        <f>IF(U58&gt;0,VLOOKUP($K58,Ruimtegroepen[],3,FALSE)*VLOOKUP($M58,Vloersoorten[],3,FALSE)*VLOOKUP($T58,Frequenties[],3,FALSE)*VLOOKUP($A58,Locaties[],3,FALSE),0)</f>
        <v>0</v>
      </c>
      <c r="W58" s="185">
        <f>Ruimtestaat[[#This Row],[Uitvoeringen werkdagen]]*Ruimtestaat[[#This Row],[Oppervlak (netto)]]</f>
        <v>4000</v>
      </c>
      <c r="X58" s="220">
        <f>IF(V58&gt;0,Ruimtestaat[[#This Row],[Prest. (m2 /jaar) werkdagen]]/Ruimtestaat[[#This Row],[Norm (m2/uur) werkdagen]],0)</f>
        <v>0</v>
      </c>
      <c r="Y58" s="221">
        <f>Ruimtestaat[[#This Row],[uren / jaar werkdagen]]*Tariefsopbouw!$D$38</f>
        <v>0</v>
      </c>
      <c r="Z58" s="33"/>
      <c r="AA58" s="33">
        <f>IF(Ruimtestaat[[#This Row],[Frequentie weekend]]&gt;0,VALUE(LEFT(Z58,1))*S58,0)</f>
        <v>0</v>
      </c>
      <c r="AB58" s="33">
        <f>IF($AA58&gt;0,VLOOKUP($K58,Ruimtegroepen[],3,FALSE)*VLOOKUP($M58,Vloersoorten[],3,FALSE)*VLOOKUP($Z58,Frequenties[],3,FALSE)*VLOOKUP(#REF!,Locaties[],3,FALSE),0)</f>
        <v>0</v>
      </c>
      <c r="AC58" s="33"/>
      <c r="AD58" s="33"/>
      <c r="AE58" s="33">
        <f>Ruimtestaat[[#This Row],[uren / jaar weekend]]*Tariefsopbouw!$D$40</f>
        <v>0</v>
      </c>
      <c r="AF58" s="79">
        <f>Ruimtestaat[[#This Row],[Prest. (m2 /jaar) weekend]]+Ruimtestaat[[#This Row],[Prest. (m2 /jaar) werkdagen]]</f>
        <v>4000</v>
      </c>
      <c r="AG58" s="79">
        <f>Ruimtestaat[[#This Row],[uren / jaar weekend]]+Ruimtestaat[[#This Row],[uren / jaar werkdagen]]</f>
        <v>0</v>
      </c>
      <c r="AH58" s="80">
        <f>Ruimtestaat[[#This Row],[kosten / jaar weekend]]+Ruimtestaat[[#This Row],[kosten / jaar werkdagen]]</f>
        <v>0</v>
      </c>
      <c r="AI58" s="103"/>
      <c r="HM58" s="78"/>
    </row>
    <row r="59" spans="1:221" ht="15" customHeight="1">
      <c r="A59" s="117">
        <v>1</v>
      </c>
      <c r="B59" s="21" t="str">
        <f>VLOOKUP(Ruimtestaat[[#This Row],[Code]],Locaties[#All],2,FALSE)</f>
        <v xml:space="preserve">Het Meerik </v>
      </c>
      <c r="C59" s="21" t="str">
        <f>VLOOKUP(Ruimtestaat[[#This Row],[Code]],Locaties[#All],4,FALSE)</f>
        <v>Lijsterstraat 117</v>
      </c>
      <c r="D59" s="21" t="str">
        <f>VLOOKUP(Ruimtestaat[[#This Row],[Code]],Locaties[#All],5,FALSE)</f>
        <v>7523ES</v>
      </c>
      <c r="E59" s="171" t="str">
        <f>VLOOKUP(Ruimtestaat[[#This Row],[Code]],Locaties[#All],6,FALSE)</f>
        <v>Enschede</v>
      </c>
      <c r="F59" s="171"/>
      <c r="G59" s="185" t="s">
        <v>563</v>
      </c>
      <c r="H59" s="185"/>
      <c r="I59" s="171" t="s">
        <v>767</v>
      </c>
      <c r="J59" s="213" t="s">
        <v>768</v>
      </c>
      <c r="K59" s="171">
        <v>5</v>
      </c>
      <c r="L59" s="213" t="str">
        <f>VLOOKUP(Ruimtestaat[[#This Row],[Ruimte code]],Ruimtegroepen[#All],2,FALSE)</f>
        <v>Sanitair</v>
      </c>
      <c r="M59" s="212" t="s">
        <v>111</v>
      </c>
      <c r="N59" s="171" t="s">
        <v>606</v>
      </c>
      <c r="O59" s="172">
        <v>5</v>
      </c>
      <c r="P59" s="183"/>
      <c r="Q59" s="212" t="str">
        <f>VLOOKUP(Ruimtestaat[[#This Row],[Ruimte code]],Ruimtegroepen[#All],4,FALSE)</f>
        <v>S  (Sanitair)</v>
      </c>
      <c r="R59" s="184"/>
      <c r="S59" s="185">
        <v>40</v>
      </c>
      <c r="T59" s="185" t="s">
        <v>2</v>
      </c>
      <c r="U59" s="185">
        <f>IF(S59&gt;0,IF(RIGHT(Ruimtestaat[[#This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" s="185">
        <f>IF(U59&gt;0,VLOOKUP($K59,Ruimtegroepen[],3,FALSE)*VLOOKUP($M59,Vloersoorten[],3,FALSE)*VLOOKUP($T59,Frequenties[],3,FALSE)*VLOOKUP($A59,Locaties[],3,FALSE),0)</f>
        <v>0</v>
      </c>
      <c r="W59" s="185">
        <f>Ruimtestaat[[#This Row],[Uitvoeringen werkdagen]]*Ruimtestaat[[#This Row],[Oppervlak (netto)]]</f>
        <v>1000</v>
      </c>
      <c r="X59" s="220">
        <f>IF(V59&gt;0,Ruimtestaat[[#This Row],[Prest. (m2 /jaar) werkdagen]]/Ruimtestaat[[#This Row],[Norm (m2/uur) werkdagen]],0)</f>
        <v>0</v>
      </c>
      <c r="Y59" s="221">
        <f>Ruimtestaat[[#This Row],[uren / jaar werkdagen]]*Tariefsopbouw!$D$38</f>
        <v>0</v>
      </c>
      <c r="Z59" s="33"/>
      <c r="AA59" s="33">
        <f>IF(Ruimtestaat[[#This Row],[Frequentie weekend]]&gt;0,VALUE(LEFT(Z59,1))*S59,0)</f>
        <v>0</v>
      </c>
      <c r="AB59" s="33">
        <f>IF($AA59&gt;0,VLOOKUP($K59,Ruimtegroepen[],3,FALSE)*VLOOKUP($M59,Vloersoorten[],3,FALSE)*VLOOKUP($Z59,Frequenties[],3,FALSE)*VLOOKUP(#REF!,Locaties[],3,FALSE),0)</f>
        <v>0</v>
      </c>
      <c r="AC59" s="33"/>
      <c r="AD59" s="33"/>
      <c r="AE59" s="33">
        <f>Ruimtestaat[[#This Row],[uren / jaar weekend]]*Tariefsopbouw!$D$40</f>
        <v>0</v>
      </c>
      <c r="AF59" s="79">
        <f>Ruimtestaat[[#This Row],[Prest. (m2 /jaar) weekend]]+Ruimtestaat[[#This Row],[Prest. (m2 /jaar) werkdagen]]</f>
        <v>1000</v>
      </c>
      <c r="AG59" s="79">
        <f>Ruimtestaat[[#This Row],[uren / jaar weekend]]+Ruimtestaat[[#This Row],[uren / jaar werkdagen]]</f>
        <v>0</v>
      </c>
      <c r="AH59" s="80">
        <f>Ruimtestaat[[#This Row],[kosten / jaar weekend]]+Ruimtestaat[[#This Row],[kosten / jaar werkdagen]]</f>
        <v>0</v>
      </c>
      <c r="AI59" s="103"/>
      <c r="HM59" s="78"/>
    </row>
    <row r="60" spans="1:221" s="169" customFormat="1" ht="14.25" customHeight="1">
      <c r="A60" s="117">
        <v>1</v>
      </c>
      <c r="B60" s="21" t="str">
        <f>VLOOKUP(Ruimtestaat[[#This Row],[Code]],Locaties[#All],2,FALSE)</f>
        <v xml:space="preserve">Het Meerik </v>
      </c>
      <c r="C60" s="21" t="str">
        <f>VLOOKUP(Ruimtestaat[[#This Row],[Code]],Locaties[#All],4,FALSE)</f>
        <v>Lijsterstraat 117</v>
      </c>
      <c r="D60" s="21" t="str">
        <f>VLOOKUP(Ruimtestaat[[#This Row],[Code]],Locaties[#All],5,FALSE)</f>
        <v>7523ES</v>
      </c>
      <c r="E60" s="171" t="str">
        <f>VLOOKUP(Ruimtestaat[[#This Row],[Code]],Locaties[#All],6,FALSE)</f>
        <v>Enschede</v>
      </c>
      <c r="F60" s="171"/>
      <c r="G60" s="185" t="s">
        <v>563</v>
      </c>
      <c r="H60" s="185"/>
      <c r="I60" s="171" t="s">
        <v>769</v>
      </c>
      <c r="J60" s="213" t="s">
        <v>770</v>
      </c>
      <c r="K60" s="171">
        <v>5</v>
      </c>
      <c r="L60" s="213" t="str">
        <f>VLOOKUP(Ruimtestaat[[#This Row],[Ruimte code]],Ruimtegroepen[#All],2,FALSE)</f>
        <v>Sanitair</v>
      </c>
      <c r="M60" s="212" t="s">
        <v>111</v>
      </c>
      <c r="N60" s="171" t="s">
        <v>606</v>
      </c>
      <c r="O60" s="172">
        <v>9</v>
      </c>
      <c r="P60" s="183"/>
      <c r="Q60" s="212" t="str">
        <f>VLOOKUP(Ruimtestaat[[#This Row],[Ruimte code]],Ruimtegroepen[#All],4,FALSE)</f>
        <v>S  (Sanitair)</v>
      </c>
      <c r="R60" s="184"/>
      <c r="S60" s="185">
        <v>40</v>
      </c>
      <c r="T60" s="185" t="s">
        <v>2</v>
      </c>
      <c r="U60" s="185">
        <f>IF(S60&gt;0,IF(RIGHT(Ruimtestaat[[#This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" s="185">
        <f>IF(U60&gt;0,VLOOKUP($K60,Ruimtegroepen[],3,FALSE)*VLOOKUP($M60,Vloersoorten[],3,FALSE)*VLOOKUP($T60,Frequenties[],3,FALSE)*VLOOKUP($A60,Locaties[],3,FALSE),0)</f>
        <v>0</v>
      </c>
      <c r="W60" s="185">
        <f>Ruimtestaat[[#This Row],[Uitvoeringen werkdagen]]*Ruimtestaat[[#This Row],[Oppervlak (netto)]]</f>
        <v>1800</v>
      </c>
      <c r="X60" s="220">
        <f>IF(V60&gt;0,Ruimtestaat[[#This Row],[Prest. (m2 /jaar) werkdagen]]/Ruimtestaat[[#This Row],[Norm (m2/uur) werkdagen]],0)</f>
        <v>0</v>
      </c>
      <c r="Y60" s="221">
        <f>Ruimtestaat[[#This Row],[uren / jaar werkdagen]]*Tariefsopbouw!$D$38</f>
        <v>0</v>
      </c>
      <c r="Z60" s="33"/>
      <c r="AA60" s="33">
        <f>IF(Ruimtestaat[[#This Row],[Frequentie weekend]]&gt;0,VALUE(LEFT(Z60,1))*S60,0)</f>
        <v>0</v>
      </c>
      <c r="AB60" s="33">
        <f>IF($AA60&gt;0,VLOOKUP($K60,Ruimtegroepen[],3,FALSE)*VLOOKUP($M60,Vloersoorten[],3,FALSE)*VLOOKUP($Z60,Frequenties[],3,FALSE)*VLOOKUP(#REF!,Locaties[],3,FALSE),0)</f>
        <v>0</v>
      </c>
      <c r="AC60" s="33"/>
      <c r="AD60" s="33"/>
      <c r="AE60" s="33">
        <f>Ruimtestaat[[#This Row],[uren / jaar weekend]]*Tariefsopbouw!$D$40</f>
        <v>0</v>
      </c>
      <c r="AF60" s="79">
        <f>Ruimtestaat[[#This Row],[Prest. (m2 /jaar) weekend]]+Ruimtestaat[[#This Row],[Prest. (m2 /jaar) werkdagen]]</f>
        <v>1800</v>
      </c>
      <c r="AG60" s="79">
        <f>Ruimtestaat[[#This Row],[uren / jaar weekend]]+Ruimtestaat[[#This Row],[uren / jaar werkdagen]]</f>
        <v>0</v>
      </c>
      <c r="AH60" s="80">
        <f>Ruimtestaat[[#This Row],[kosten / jaar weekend]]+Ruimtestaat[[#This Row],[kosten / jaar werkdagen]]</f>
        <v>0</v>
      </c>
      <c r="AI60" s="168"/>
    </row>
    <row r="61" spans="1:221" s="169" customFormat="1" ht="15" customHeight="1">
      <c r="A61" s="117">
        <v>1</v>
      </c>
      <c r="B61" s="21" t="str">
        <f>VLOOKUP(Ruimtestaat[[#This Row],[Code]],Locaties[#All],2,FALSE)</f>
        <v xml:space="preserve">Het Meerik </v>
      </c>
      <c r="C61" s="21" t="str">
        <f>VLOOKUP(Ruimtestaat[[#This Row],[Code]],Locaties[#All],4,FALSE)</f>
        <v>Lijsterstraat 117</v>
      </c>
      <c r="D61" s="21" t="str">
        <f>VLOOKUP(Ruimtestaat[[#This Row],[Code]],Locaties[#All],5,FALSE)</f>
        <v>7523ES</v>
      </c>
      <c r="E61" s="171" t="str">
        <f>VLOOKUP(Ruimtestaat[[#This Row],[Code]],Locaties[#All],6,FALSE)</f>
        <v>Enschede</v>
      </c>
      <c r="F61" s="171"/>
      <c r="G61" s="185" t="s">
        <v>563</v>
      </c>
      <c r="H61" s="185"/>
      <c r="I61" s="222" t="s">
        <v>771</v>
      </c>
      <c r="J61" s="213" t="s">
        <v>689</v>
      </c>
      <c r="K61" s="224">
        <v>4</v>
      </c>
      <c r="L61" s="213" t="str">
        <f>VLOOKUP(Ruimtestaat[[#This Row],[Ruimte code]],Ruimtegroepen[#All],2,FALSE)</f>
        <v>Vergader/spreekkamers</v>
      </c>
      <c r="M61" s="212" t="s">
        <v>597</v>
      </c>
      <c r="N61" s="171" t="s">
        <v>38</v>
      </c>
      <c r="O61" s="172">
        <v>7</v>
      </c>
      <c r="P61" s="183"/>
      <c r="Q61" s="212" t="str">
        <f>VLOOKUP(Ruimtestaat[[#This Row],[Ruimte code]],Ruimtegroepen[#All],4,FALSE)</f>
        <v>B  (Bureauruimte)</v>
      </c>
      <c r="R61" s="184"/>
      <c r="S61" s="185">
        <v>40</v>
      </c>
      <c r="T61" s="185" t="s">
        <v>17</v>
      </c>
      <c r="U61" s="185">
        <f>IF(S61&gt;0,IF(RIGHT(Ruimtestaat[[#This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61" s="185">
        <f>IF(U61&gt;0,VLOOKUP($K61,Ruimtegroepen[],3,FALSE)*VLOOKUP($M61,Vloersoorten[],3,FALSE)*VLOOKUP($T61,Frequenties[],3,FALSE)*VLOOKUP($A61,Locaties[],3,FALSE),0)</f>
        <v>0</v>
      </c>
      <c r="W61" s="185">
        <f>Ruimtestaat[[#This Row],[Uitvoeringen werkdagen]]*Ruimtestaat[[#This Row],[Oppervlak (netto)]]</f>
        <v>560</v>
      </c>
      <c r="X61" s="220">
        <f>IF(V61&gt;0,Ruimtestaat[[#This Row],[Prest. (m2 /jaar) werkdagen]]/Ruimtestaat[[#This Row],[Norm (m2/uur) werkdagen]],0)</f>
        <v>0</v>
      </c>
      <c r="Y61" s="221">
        <f>Ruimtestaat[[#This Row],[uren / jaar werkdagen]]*Tariefsopbouw!$D$38</f>
        <v>0</v>
      </c>
      <c r="Z61" s="33"/>
      <c r="AA61" s="33">
        <f>IF(Ruimtestaat[[#This Row],[Frequentie weekend]]&gt;0,VALUE(LEFT(Z61,1))*S61,0)</f>
        <v>0</v>
      </c>
      <c r="AB61" s="33">
        <f>IF($AA61&gt;0,VLOOKUP($K61,Ruimtegroepen[],3,FALSE)*VLOOKUP($M61,Vloersoorten[],3,FALSE)*VLOOKUP($Z61,Frequenties[],3,FALSE)*VLOOKUP(#REF!,Locaties[],3,FALSE),0)</f>
        <v>0</v>
      </c>
      <c r="AC61" s="33"/>
      <c r="AD61" s="33"/>
      <c r="AE61" s="33">
        <f>Ruimtestaat[[#This Row],[uren / jaar weekend]]*Tariefsopbouw!$D$40</f>
        <v>0</v>
      </c>
      <c r="AF61" s="79">
        <f>Ruimtestaat[[#This Row],[Prest. (m2 /jaar) weekend]]+Ruimtestaat[[#This Row],[Prest. (m2 /jaar) werkdagen]]</f>
        <v>560</v>
      </c>
      <c r="AG61" s="79">
        <f>Ruimtestaat[[#This Row],[uren / jaar weekend]]+Ruimtestaat[[#This Row],[uren / jaar werkdagen]]</f>
        <v>0</v>
      </c>
      <c r="AH61" s="80">
        <f>Ruimtestaat[[#This Row],[kosten / jaar weekend]]+Ruimtestaat[[#This Row],[kosten / jaar werkdagen]]</f>
        <v>0</v>
      </c>
      <c r="AI61" s="168"/>
    </row>
    <row r="62" spans="1:221" ht="15" customHeight="1">
      <c r="A62" s="117">
        <v>1</v>
      </c>
      <c r="B62" s="21" t="str">
        <f>VLOOKUP(Ruimtestaat[[#This Row],[Code]],Locaties[#All],2,FALSE)</f>
        <v xml:space="preserve">Het Meerik </v>
      </c>
      <c r="C62" s="21" t="str">
        <f>VLOOKUP(Ruimtestaat[[#This Row],[Code]],Locaties[#All],4,FALSE)</f>
        <v>Lijsterstraat 117</v>
      </c>
      <c r="D62" s="21" t="str">
        <f>VLOOKUP(Ruimtestaat[[#This Row],[Code]],Locaties[#All],5,FALSE)</f>
        <v>7523ES</v>
      </c>
      <c r="E62" s="171" t="str">
        <f>VLOOKUP(Ruimtestaat[[#This Row],[Code]],Locaties[#All],6,FALSE)</f>
        <v>Enschede</v>
      </c>
      <c r="F62" s="171"/>
      <c r="G62" s="185" t="s">
        <v>563</v>
      </c>
      <c r="H62" s="185"/>
      <c r="I62" s="171" t="s">
        <v>772</v>
      </c>
      <c r="J62" s="213" t="s">
        <v>576</v>
      </c>
      <c r="K62" s="185">
        <v>16</v>
      </c>
      <c r="L62" s="213" t="str">
        <f>VLOOKUP(Ruimtestaat[[#This Row],[Ruimte code]],Ruimtegroepen[#All],2,FALSE)</f>
        <v>Leslokalen</v>
      </c>
      <c r="M62" s="212" t="s">
        <v>112</v>
      </c>
      <c r="N62" s="171" t="s">
        <v>776</v>
      </c>
      <c r="O62" s="172">
        <v>47</v>
      </c>
      <c r="P62" s="183"/>
      <c r="Q62" s="212" t="str">
        <f>VLOOKUP(Ruimtestaat[[#This Row],[Ruimte code]],Ruimtegroepen[#All],4,FALSE)</f>
        <v>L  (Lesruimte)</v>
      </c>
      <c r="R62" s="184"/>
      <c r="S62" s="185">
        <v>40</v>
      </c>
      <c r="T62" s="185" t="s">
        <v>2</v>
      </c>
      <c r="U62" s="185">
        <f>IF(S62&gt;0,IF(RIGHT(Ruimtestaat[[#This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" s="185">
        <f>IF(U62&gt;0,VLOOKUP($K62,Ruimtegroepen[],3,FALSE)*VLOOKUP($M62,Vloersoorten[],3,FALSE)*VLOOKUP($T62,Frequenties[],3,FALSE)*VLOOKUP($A62,Locaties[],3,FALSE),0)</f>
        <v>0</v>
      </c>
      <c r="W62" s="185">
        <f>Ruimtestaat[[#This Row],[Uitvoeringen werkdagen]]*Ruimtestaat[[#This Row],[Oppervlak (netto)]]</f>
        <v>9400</v>
      </c>
      <c r="X62" s="220">
        <f>IF(V62&gt;0,Ruimtestaat[[#This Row],[Prest. (m2 /jaar) werkdagen]]/Ruimtestaat[[#This Row],[Norm (m2/uur) werkdagen]],0)</f>
        <v>0</v>
      </c>
      <c r="Y62" s="221">
        <f>Ruimtestaat[[#This Row],[uren / jaar werkdagen]]*Tariefsopbouw!$D$38</f>
        <v>0</v>
      </c>
      <c r="Z62" s="33"/>
      <c r="AA62" s="33">
        <f>IF(Ruimtestaat[[#This Row],[Frequentie weekend]]&gt;0,VALUE(LEFT(Z62,1))*S62,0)</f>
        <v>0</v>
      </c>
      <c r="AB62" s="33">
        <f>IF($AA62&gt;0,VLOOKUP($K62,Ruimtegroepen[],3,FALSE)*VLOOKUP($M62,Vloersoorten[],3,FALSE)*VLOOKUP($Z62,Frequenties[],3,FALSE)*VLOOKUP(#REF!,Locaties[],3,FALSE),0)</f>
        <v>0</v>
      </c>
      <c r="AC62" s="33"/>
      <c r="AD62" s="33"/>
      <c r="AE62" s="33">
        <f>Ruimtestaat[[#This Row],[uren / jaar weekend]]*Tariefsopbouw!$D$40</f>
        <v>0</v>
      </c>
      <c r="AF62" s="79">
        <f>Ruimtestaat[[#This Row],[Prest. (m2 /jaar) weekend]]+Ruimtestaat[[#This Row],[Prest. (m2 /jaar) werkdagen]]</f>
        <v>9400</v>
      </c>
      <c r="AG62" s="79">
        <f>Ruimtestaat[[#This Row],[uren / jaar weekend]]+Ruimtestaat[[#This Row],[uren / jaar werkdagen]]</f>
        <v>0</v>
      </c>
      <c r="AH62" s="80">
        <f>Ruimtestaat[[#This Row],[kosten / jaar weekend]]+Ruimtestaat[[#This Row],[kosten / jaar werkdagen]]</f>
        <v>0</v>
      </c>
      <c r="AI62" s="103"/>
      <c r="HM62" s="78"/>
    </row>
    <row r="63" spans="1:221" ht="15" customHeight="1">
      <c r="A63" s="117">
        <v>1</v>
      </c>
      <c r="B63" s="21" t="str">
        <f>VLOOKUP(Ruimtestaat[[#This Row],[Code]],Locaties[#All],2,FALSE)</f>
        <v xml:space="preserve">Het Meerik </v>
      </c>
      <c r="C63" s="21" t="str">
        <f>VLOOKUP(Ruimtestaat[[#This Row],[Code]],Locaties[#All],4,FALSE)</f>
        <v>Lijsterstraat 117</v>
      </c>
      <c r="D63" s="21" t="str">
        <f>VLOOKUP(Ruimtestaat[[#This Row],[Code]],Locaties[#All],5,FALSE)</f>
        <v>7523ES</v>
      </c>
      <c r="E63" s="171" t="str">
        <f>VLOOKUP(Ruimtestaat[[#This Row],[Code]],Locaties[#All],6,FALSE)</f>
        <v>Enschede</v>
      </c>
      <c r="F63" s="171"/>
      <c r="G63" s="185" t="s">
        <v>563</v>
      </c>
      <c r="H63" s="185"/>
      <c r="I63" s="171" t="s">
        <v>773</v>
      </c>
      <c r="J63" s="213" t="s">
        <v>728</v>
      </c>
      <c r="K63" s="171">
        <v>20</v>
      </c>
      <c r="L63" s="213" t="str">
        <f>VLOOKUP(Ruimtestaat[[#This Row],[Ruimte code]],Ruimtegroepen[#All],2,FALSE)</f>
        <v>Niet in onderhoud</v>
      </c>
      <c r="M63" s="212" t="s">
        <v>111</v>
      </c>
      <c r="N63" s="171" t="s">
        <v>128</v>
      </c>
      <c r="O63" s="172"/>
      <c r="P63" s="183">
        <v>4.9000000000000004</v>
      </c>
      <c r="Q63" s="212" t="str">
        <f>VLOOKUP(Ruimtestaat[[#This Row],[Ruimte code]],Ruimtegroepen[#All],4,FALSE)</f>
        <v>niet in onderhoud</v>
      </c>
      <c r="R63" s="184"/>
      <c r="S63" s="185"/>
      <c r="T63" s="185"/>
      <c r="U63" s="185">
        <f>IF(S63&gt;0,IF(RIGHT(Ruimtestaat[[#This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" s="185">
        <f>IF(U63&gt;0,VLOOKUP($K63,Ruimtegroepen[],3,FALSE)*VLOOKUP($M63,Vloersoorten[],3,FALSE)*VLOOKUP($T63,Frequenties[],3,FALSE)*VLOOKUP($A63,Locaties[],3,FALSE),0)</f>
        <v>0</v>
      </c>
      <c r="W63" s="185">
        <f>Ruimtestaat[[#This Row],[Uitvoeringen werkdagen]]*Ruimtestaat[[#This Row],[Oppervlak (netto)]]</f>
        <v>0</v>
      </c>
      <c r="X63" s="220">
        <f>IF(V63&gt;0,Ruimtestaat[[#This Row],[Prest. (m2 /jaar) werkdagen]]/Ruimtestaat[[#This Row],[Norm (m2/uur) werkdagen]],0)</f>
        <v>0</v>
      </c>
      <c r="Y63" s="221">
        <f>Ruimtestaat[[#This Row],[uren / jaar werkdagen]]*Tariefsopbouw!$D$38</f>
        <v>0</v>
      </c>
      <c r="Z63" s="33"/>
      <c r="AA63" s="33">
        <f>IF(Ruimtestaat[[#This Row],[Frequentie weekend]]&gt;0,VALUE(LEFT(Z63,1))*S63,0)</f>
        <v>0</v>
      </c>
      <c r="AB63" s="33">
        <f>IF($AA63&gt;0,VLOOKUP($K63,Ruimtegroepen[],3,FALSE)*VLOOKUP($M63,Vloersoorten[],3,FALSE)*VLOOKUP($Z63,Frequenties[],3,FALSE)*VLOOKUP(#REF!,Locaties[],3,FALSE),0)</f>
        <v>0</v>
      </c>
      <c r="AC63" s="33"/>
      <c r="AD63" s="33"/>
      <c r="AE63" s="33">
        <f>Ruimtestaat[[#This Row],[uren / jaar weekend]]*Tariefsopbouw!$D$40</f>
        <v>0</v>
      </c>
      <c r="AF63" s="79">
        <f>Ruimtestaat[[#This Row],[Prest. (m2 /jaar) weekend]]+Ruimtestaat[[#This Row],[Prest. (m2 /jaar) werkdagen]]</f>
        <v>0</v>
      </c>
      <c r="AG63" s="79">
        <f>Ruimtestaat[[#This Row],[uren / jaar weekend]]+Ruimtestaat[[#This Row],[uren / jaar werkdagen]]</f>
        <v>0</v>
      </c>
      <c r="AH63" s="80">
        <f>Ruimtestaat[[#This Row],[kosten / jaar weekend]]+Ruimtestaat[[#This Row],[kosten / jaar werkdagen]]</f>
        <v>0</v>
      </c>
      <c r="AI63" s="103"/>
      <c r="HM63" s="78"/>
    </row>
    <row r="64" spans="1:221" ht="15" customHeight="1">
      <c r="A64" s="117">
        <v>1</v>
      </c>
      <c r="B64" s="21" t="str">
        <f>VLOOKUP(Ruimtestaat[[#This Row],[Code]],Locaties[#All],2,FALSE)</f>
        <v xml:space="preserve">Het Meerik </v>
      </c>
      <c r="C64" s="21" t="str">
        <f>VLOOKUP(Ruimtestaat[[#This Row],[Code]],Locaties[#All],4,FALSE)</f>
        <v>Lijsterstraat 117</v>
      </c>
      <c r="D64" s="21" t="str">
        <f>VLOOKUP(Ruimtestaat[[#This Row],[Code]],Locaties[#All],5,FALSE)</f>
        <v>7523ES</v>
      </c>
      <c r="E64" s="171" t="str">
        <f>VLOOKUP(Ruimtestaat[[#This Row],[Code]],Locaties[#All],6,FALSE)</f>
        <v>Enschede</v>
      </c>
      <c r="F64" s="171"/>
      <c r="G64" s="185" t="s">
        <v>563</v>
      </c>
      <c r="H64" s="185"/>
      <c r="I64" s="171" t="s">
        <v>774</v>
      </c>
      <c r="J64" s="213" t="s">
        <v>422</v>
      </c>
      <c r="K64" s="171">
        <v>14</v>
      </c>
      <c r="L64" s="213" t="str">
        <f>VLOOKUP(Ruimtestaat[[#This Row],[Ruimte code]],Ruimtegroepen[#All],2,FALSE)</f>
        <v>Praktijklokalen</v>
      </c>
      <c r="M64" s="212" t="s">
        <v>111</v>
      </c>
      <c r="N64" s="171" t="s">
        <v>606</v>
      </c>
      <c r="O64" s="172">
        <v>73</v>
      </c>
      <c r="P64" s="183"/>
      <c r="Q64" s="212" t="str">
        <f>VLOOKUP(Ruimtestaat[[#This Row],[Ruimte code]],Ruimtegroepen[#All],4,FALSE)</f>
        <v>L  (Lesruimte)</v>
      </c>
      <c r="R64" s="184"/>
      <c r="S64" s="185">
        <v>40</v>
      </c>
      <c r="T64" s="185" t="s">
        <v>20</v>
      </c>
      <c r="U64" s="185">
        <f>IF(S64&gt;0,IF(RIGHT(Ruimtestaat[[#This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64" s="185">
        <f>IF(U64&gt;0,VLOOKUP($K64,Ruimtegroepen[],3,FALSE)*VLOOKUP($M64,Vloersoorten[],3,FALSE)*VLOOKUP($T64,Frequenties[],3,FALSE)*VLOOKUP($A64,Locaties[],3,FALSE),0)</f>
        <v>0</v>
      </c>
      <c r="W64" s="185">
        <f>Ruimtestaat[[#This Row],[Uitvoeringen werkdagen]]*Ruimtestaat[[#This Row],[Oppervlak (netto)]]</f>
        <v>11680</v>
      </c>
      <c r="X64" s="220">
        <f>IF(V64&gt;0,Ruimtestaat[[#This Row],[Prest. (m2 /jaar) werkdagen]]/Ruimtestaat[[#This Row],[Norm (m2/uur) werkdagen]],0)</f>
        <v>0</v>
      </c>
      <c r="Y64" s="221">
        <f>Ruimtestaat[[#This Row],[uren / jaar werkdagen]]*Tariefsopbouw!$D$38</f>
        <v>0</v>
      </c>
      <c r="Z64" s="33"/>
      <c r="AA64" s="33">
        <f>IF(Ruimtestaat[[#This Row],[Frequentie weekend]]&gt;0,VALUE(LEFT(Z64,1))*S64,0)</f>
        <v>0</v>
      </c>
      <c r="AB64" s="33">
        <f>IF($AA64&gt;0,VLOOKUP($K64,Ruimtegroepen[],3,FALSE)*VLOOKUP($M64,Vloersoorten[],3,FALSE)*VLOOKUP($Z64,Frequenties[],3,FALSE)*VLOOKUP(#REF!,Locaties[],3,FALSE),0)</f>
        <v>0</v>
      </c>
      <c r="AC64" s="33"/>
      <c r="AD64" s="33"/>
      <c r="AE64" s="33">
        <f>Ruimtestaat[[#This Row],[uren / jaar weekend]]*Tariefsopbouw!$D$40</f>
        <v>0</v>
      </c>
      <c r="AF64" s="79">
        <f>Ruimtestaat[[#This Row],[Prest. (m2 /jaar) weekend]]+Ruimtestaat[[#This Row],[Prest. (m2 /jaar) werkdagen]]</f>
        <v>11680</v>
      </c>
      <c r="AG64" s="79">
        <f>Ruimtestaat[[#This Row],[uren / jaar weekend]]+Ruimtestaat[[#This Row],[uren / jaar werkdagen]]</f>
        <v>0</v>
      </c>
      <c r="AH64" s="80">
        <f>Ruimtestaat[[#This Row],[kosten / jaar weekend]]+Ruimtestaat[[#This Row],[kosten / jaar werkdagen]]</f>
        <v>0</v>
      </c>
      <c r="AI64" s="103"/>
      <c r="HM64" s="78"/>
    </row>
    <row r="65" spans="1:221" ht="15" customHeight="1">
      <c r="A65" s="117">
        <v>1</v>
      </c>
      <c r="B65" s="21" t="str">
        <f>VLOOKUP(Ruimtestaat[[#This Row],[Code]],Locaties[#All],2,FALSE)</f>
        <v xml:space="preserve">Het Meerik </v>
      </c>
      <c r="C65" s="21" t="str">
        <f>VLOOKUP(Ruimtestaat[[#This Row],[Code]],Locaties[#All],4,FALSE)</f>
        <v>Lijsterstraat 117</v>
      </c>
      <c r="D65" s="21" t="str">
        <f>VLOOKUP(Ruimtestaat[[#This Row],[Code]],Locaties[#All],5,FALSE)</f>
        <v>7523ES</v>
      </c>
      <c r="E65" s="171" t="str">
        <f>VLOOKUP(Ruimtestaat[[#This Row],[Code]],Locaties[#All],6,FALSE)</f>
        <v>Enschede</v>
      </c>
      <c r="F65" s="171"/>
      <c r="G65" s="185" t="s">
        <v>563</v>
      </c>
      <c r="H65" s="185"/>
      <c r="I65" s="171" t="s">
        <v>775</v>
      </c>
      <c r="J65" s="213" t="s">
        <v>422</v>
      </c>
      <c r="K65" s="171">
        <v>14</v>
      </c>
      <c r="L65" s="213" t="str">
        <f>VLOOKUP(Ruimtestaat[[#This Row],[Ruimte code]],Ruimtegroepen[#All],2,FALSE)</f>
        <v>Praktijklokalen</v>
      </c>
      <c r="M65" s="212" t="s">
        <v>111</v>
      </c>
      <c r="N65" s="171" t="s">
        <v>606</v>
      </c>
      <c r="O65" s="172">
        <v>58</v>
      </c>
      <c r="P65" s="183"/>
      <c r="Q65" s="212" t="str">
        <f>VLOOKUP(Ruimtestaat[[#This Row],[Ruimte code]],Ruimtegroepen[#All],4,FALSE)</f>
        <v>L  (Lesruimte)</v>
      </c>
      <c r="R65" s="184"/>
      <c r="S65" s="185">
        <v>40</v>
      </c>
      <c r="T65" s="185" t="s">
        <v>20</v>
      </c>
      <c r="U65" s="185">
        <f>IF(S65&gt;0,IF(RIGHT(Ruimtestaat[[#This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65" s="185">
        <f>IF(U65&gt;0,VLOOKUP($K65,Ruimtegroepen[],3,FALSE)*VLOOKUP($M65,Vloersoorten[],3,FALSE)*VLOOKUP($T65,Frequenties[],3,FALSE)*VLOOKUP($A65,Locaties[],3,FALSE),0)</f>
        <v>0</v>
      </c>
      <c r="W65" s="185">
        <f>Ruimtestaat[[#This Row],[Uitvoeringen werkdagen]]*Ruimtestaat[[#This Row],[Oppervlak (netto)]]</f>
        <v>9280</v>
      </c>
      <c r="X65" s="220">
        <f>IF(V65&gt;0,Ruimtestaat[[#This Row],[Prest. (m2 /jaar) werkdagen]]/Ruimtestaat[[#This Row],[Norm (m2/uur) werkdagen]],0)</f>
        <v>0</v>
      </c>
      <c r="Y65" s="221">
        <f>Ruimtestaat[[#This Row],[uren / jaar werkdagen]]*Tariefsopbouw!$D$38</f>
        <v>0</v>
      </c>
      <c r="Z65" s="33"/>
      <c r="AA65" s="33">
        <f>IF(Ruimtestaat[[#This Row],[Frequentie weekend]]&gt;0,VALUE(LEFT(Z65,1))*S65,0)</f>
        <v>0</v>
      </c>
      <c r="AB65" s="33">
        <f>IF($AA65&gt;0,VLOOKUP($K65,Ruimtegroepen[],3,FALSE)*VLOOKUP($M65,Vloersoorten[],3,FALSE)*VLOOKUP($Z65,Frequenties[],3,FALSE)*VLOOKUP(#REF!,Locaties[],3,FALSE),0)</f>
        <v>0</v>
      </c>
      <c r="AC65" s="33"/>
      <c r="AD65" s="33"/>
      <c r="AE65" s="33">
        <f>Ruimtestaat[[#This Row],[uren / jaar weekend]]*Tariefsopbouw!$D$40</f>
        <v>0</v>
      </c>
      <c r="AF65" s="79">
        <f>Ruimtestaat[[#This Row],[Prest. (m2 /jaar) weekend]]+Ruimtestaat[[#This Row],[Prest. (m2 /jaar) werkdagen]]</f>
        <v>9280</v>
      </c>
      <c r="AG65" s="79">
        <f>Ruimtestaat[[#This Row],[uren / jaar weekend]]+Ruimtestaat[[#This Row],[uren / jaar werkdagen]]</f>
        <v>0</v>
      </c>
      <c r="AH65" s="80">
        <f>Ruimtestaat[[#This Row],[kosten / jaar weekend]]+Ruimtestaat[[#This Row],[kosten / jaar werkdagen]]</f>
        <v>0</v>
      </c>
      <c r="AI65" s="103"/>
      <c r="HM65" s="78"/>
    </row>
    <row r="66" spans="1:221" ht="15" customHeight="1">
      <c r="A66" s="117">
        <v>2</v>
      </c>
      <c r="B66" s="21" t="str">
        <f>VLOOKUP(Ruimtestaat[[#This Row],[Code]],Locaties[#All],2,FALSE)</f>
        <v>Neon College – Enschede</v>
      </c>
      <c r="C66" s="21" t="str">
        <f>VLOOKUP(Ruimtestaat[[#This Row],[Code]],Locaties[#All],4,FALSE)</f>
        <v>Mr. P.J. Troelstrastraat 9</v>
      </c>
      <c r="D66" s="212" t="str">
        <f>VLOOKUP(Ruimtestaat[[#This Row],[Code]],Locaties[#All],5,FALSE)</f>
        <v xml:space="preserve">7522 BD </v>
      </c>
      <c r="E66" s="212" t="str">
        <f>VLOOKUP(Ruimtestaat[[#This Row],[Code]],Locaties[#All],6,FALSE)</f>
        <v>Enschede</v>
      </c>
      <c r="F66" s="171"/>
      <c r="G66" s="171" t="s">
        <v>563</v>
      </c>
      <c r="H66" s="171"/>
      <c r="I66" s="171">
        <v>1</v>
      </c>
      <c r="J66" s="213" t="s">
        <v>40</v>
      </c>
      <c r="K66" s="171">
        <v>7</v>
      </c>
      <c r="L66" s="223" t="str">
        <f>VLOOKUP(Ruimtestaat[[#This Row],[Ruimte code]],Ruimtegroepen[#All],2,FALSE)</f>
        <v>Entree</v>
      </c>
      <c r="M66" s="212" t="s">
        <v>111</v>
      </c>
      <c r="N66" s="171" t="s">
        <v>605</v>
      </c>
      <c r="O66" s="172">
        <v>12</v>
      </c>
      <c r="P66" s="183"/>
      <c r="Q66" s="212" t="str">
        <f>VLOOKUP(Ruimtestaat[[#This Row],[Ruimte code]],Ruimtegroepen[#All],4,FALSE)</f>
        <v>V  (Verkeersruimte)</v>
      </c>
      <c r="R66" s="184"/>
      <c r="S66" s="185">
        <v>40</v>
      </c>
      <c r="T66" s="185" t="s">
        <v>2</v>
      </c>
      <c r="U66" s="185">
        <f>IF(S66&gt;0,IF(RIGHT(Ruimtestaat[[#This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" s="185">
        <f>IF(U66&gt;0,VLOOKUP($K66,Ruimtegroepen[],3,FALSE)*VLOOKUP($M66,Vloersoorten[],3,FALSE)*VLOOKUP($T66,Frequenties[],3,FALSE)*VLOOKUP($A66,Locaties[],3,FALSE),0)</f>
        <v>0</v>
      </c>
      <c r="W66" s="185">
        <f>Ruimtestaat[[#This Row],[Uitvoeringen werkdagen]]*Ruimtestaat[[#This Row],[Oppervlak (netto)]]</f>
        <v>2400</v>
      </c>
      <c r="X66" s="220">
        <f>IF(V66&gt;0,Ruimtestaat[[#This Row],[Prest. (m2 /jaar) werkdagen]]/Ruimtestaat[[#This Row],[Norm (m2/uur) werkdagen]],0)</f>
        <v>0</v>
      </c>
      <c r="Y66" s="221">
        <f>Ruimtestaat[[#This Row],[uren / jaar werkdagen]]*Tariefsopbouw!$D$38</f>
        <v>0</v>
      </c>
      <c r="Z66" s="33"/>
      <c r="AA66" s="33">
        <f>IF(Ruimtestaat[[#This Row],[Frequentie weekend]]&gt;0,VALUE(LEFT(Z66,1))*S66,0)</f>
        <v>0</v>
      </c>
      <c r="AB66" s="33">
        <f>IF($AA66&gt;0,VLOOKUP($K66,Ruimtegroepen[],3,FALSE)*VLOOKUP($M66,Vloersoorten[],3,FALSE)*VLOOKUP($Z66,Frequenties[],3,FALSE)*VLOOKUP(#REF!,Locaties[],3,FALSE),0)</f>
        <v>0</v>
      </c>
      <c r="AC66" s="33"/>
      <c r="AD66" s="33"/>
      <c r="AE66" s="33">
        <f>Ruimtestaat[[#This Row],[uren / jaar weekend]]*Tariefsopbouw!$D$40</f>
        <v>0</v>
      </c>
      <c r="AF66" s="79">
        <f>Ruimtestaat[[#This Row],[Prest. (m2 /jaar) weekend]]+Ruimtestaat[[#This Row],[Prest. (m2 /jaar) werkdagen]]</f>
        <v>2400</v>
      </c>
      <c r="AG66" s="79">
        <f>Ruimtestaat[[#This Row],[uren / jaar weekend]]+Ruimtestaat[[#This Row],[uren / jaar werkdagen]]</f>
        <v>0</v>
      </c>
      <c r="AH66" s="80">
        <f>Ruimtestaat[[#This Row],[kosten / jaar weekend]]+Ruimtestaat[[#This Row],[kosten / jaar werkdagen]]</f>
        <v>0</v>
      </c>
      <c r="HM66" s="78"/>
    </row>
    <row r="67" spans="1:221" ht="15" customHeight="1">
      <c r="A67" s="117">
        <v>2</v>
      </c>
      <c r="B67" s="21" t="str">
        <f>VLOOKUP(Ruimtestaat[[#This Row],[Code]],Locaties[#All],2,FALSE)</f>
        <v>Neon College – Enschede</v>
      </c>
      <c r="C67" s="21" t="str">
        <f>VLOOKUP(Ruimtestaat[[#This Row],[Code]],Locaties[#All],4,FALSE)</f>
        <v>Mr. P.J. Troelstrastraat 9</v>
      </c>
      <c r="D67" s="212" t="str">
        <f>VLOOKUP(Ruimtestaat[[#This Row],[Code]],Locaties[#All],5,FALSE)</f>
        <v xml:space="preserve">7522 BD </v>
      </c>
      <c r="E67" s="212" t="str">
        <f>VLOOKUP(Ruimtestaat[[#This Row],[Code]],Locaties[#All],6,FALSE)</f>
        <v>Enschede</v>
      </c>
      <c r="F67" s="171"/>
      <c r="G67" s="171" t="s">
        <v>563</v>
      </c>
      <c r="H67" s="171"/>
      <c r="I67" s="171">
        <v>2</v>
      </c>
      <c r="J67" s="213" t="s">
        <v>571</v>
      </c>
      <c r="K67" s="171">
        <v>2</v>
      </c>
      <c r="L67" s="223" t="str">
        <f>VLOOKUP(Ruimtestaat[[#This Row],[Ruimte code]],Ruimtegroepen[#All],2,FALSE)</f>
        <v>Kantoren</v>
      </c>
      <c r="M67" s="185" t="s">
        <v>597</v>
      </c>
      <c r="N67" s="171" t="s">
        <v>38</v>
      </c>
      <c r="O67" s="172">
        <v>12</v>
      </c>
      <c r="P67" s="183"/>
      <c r="Q67" s="212" t="str">
        <f>VLOOKUP(Ruimtestaat[[#This Row],[Ruimte code]],Ruimtegroepen[#All],4,FALSE)</f>
        <v>B  (Bureauruimte)</v>
      </c>
      <c r="R67" s="184"/>
      <c r="S67" s="185">
        <v>40</v>
      </c>
      <c r="T67" s="185" t="s">
        <v>2</v>
      </c>
      <c r="U67" s="185">
        <f>IF(S67&gt;0,IF(RIGHT(Ruimtestaat[[#This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" s="185">
        <f>IF(U67&gt;0,VLOOKUP($K67,Ruimtegroepen[],3,FALSE)*VLOOKUP($M67,Vloersoorten[],3,FALSE)*VLOOKUP($T67,Frequenties[],3,FALSE)*VLOOKUP($A67,Locaties[],3,FALSE),0)</f>
        <v>0</v>
      </c>
      <c r="W67" s="185">
        <f>Ruimtestaat[[#This Row],[Uitvoeringen werkdagen]]*Ruimtestaat[[#This Row],[Oppervlak (netto)]]</f>
        <v>2400</v>
      </c>
      <c r="X67" s="220">
        <f>IF(V67&gt;0,Ruimtestaat[[#This Row],[Prest. (m2 /jaar) werkdagen]]/Ruimtestaat[[#This Row],[Norm (m2/uur) werkdagen]],0)</f>
        <v>0</v>
      </c>
      <c r="Y67" s="221">
        <f>Ruimtestaat[[#This Row],[uren / jaar werkdagen]]*Tariefsopbouw!$D$38</f>
        <v>0</v>
      </c>
      <c r="Z67" s="33"/>
      <c r="AA67" s="33">
        <f>IF(Ruimtestaat[[#This Row],[Frequentie weekend]]&gt;0,VALUE(LEFT(Z67,1))*S67,0)</f>
        <v>0</v>
      </c>
      <c r="AB67" s="33">
        <f>IF($AA67&gt;0,VLOOKUP($K67,Ruimtegroepen[],3,FALSE)*VLOOKUP($M67,Vloersoorten[],3,FALSE)*VLOOKUP($Z67,Frequenties[],3,FALSE)*VLOOKUP(#REF!,Locaties[],3,FALSE),0)</f>
        <v>0</v>
      </c>
      <c r="AC67" s="33"/>
      <c r="AD67" s="33"/>
      <c r="AE67" s="33">
        <f>Ruimtestaat[[#This Row],[uren / jaar weekend]]*Tariefsopbouw!$D$40</f>
        <v>0</v>
      </c>
      <c r="AF67" s="79">
        <f>Ruimtestaat[[#This Row],[Prest. (m2 /jaar) weekend]]+Ruimtestaat[[#This Row],[Prest. (m2 /jaar) werkdagen]]</f>
        <v>2400</v>
      </c>
      <c r="AG67" s="79">
        <f>Ruimtestaat[[#This Row],[uren / jaar weekend]]+Ruimtestaat[[#This Row],[uren / jaar werkdagen]]</f>
        <v>0</v>
      </c>
      <c r="AH67" s="80">
        <f>Ruimtestaat[[#This Row],[kosten / jaar weekend]]+Ruimtestaat[[#This Row],[kosten / jaar werkdagen]]</f>
        <v>0</v>
      </c>
      <c r="HM67" s="78"/>
    </row>
    <row r="68" spans="1:221" ht="15" customHeight="1">
      <c r="A68" s="117">
        <v>2</v>
      </c>
      <c r="B68" s="21" t="str">
        <f>VLOOKUP(Ruimtestaat[[#This Row],[Code]],Locaties[#All],2,FALSE)</f>
        <v>Neon College – Enschede</v>
      </c>
      <c r="C68" s="21" t="str">
        <f>VLOOKUP(Ruimtestaat[[#This Row],[Code]],Locaties[#All],4,FALSE)</f>
        <v>Mr. P.J. Troelstrastraat 9</v>
      </c>
      <c r="D68" s="212" t="str">
        <f>VLOOKUP(Ruimtestaat[[#This Row],[Code]],Locaties[#All],5,FALSE)</f>
        <v xml:space="preserve">7522 BD </v>
      </c>
      <c r="E68" s="212" t="str">
        <f>VLOOKUP(Ruimtestaat[[#This Row],[Code]],Locaties[#All],6,FALSE)</f>
        <v>Enschede</v>
      </c>
      <c r="F68" s="171"/>
      <c r="G68" s="171" t="s">
        <v>563</v>
      </c>
      <c r="H68" s="171"/>
      <c r="I68" s="171">
        <v>3</v>
      </c>
      <c r="J68" s="213" t="s">
        <v>587</v>
      </c>
      <c r="K68" s="171">
        <v>6</v>
      </c>
      <c r="L68" s="223" t="str">
        <f>VLOOKUP(Ruimtestaat[[#This Row],[Ruimte code]],Ruimtegroepen[#All],2,FALSE)</f>
        <v>Gangen/hallen</v>
      </c>
      <c r="M68" s="212" t="s">
        <v>111</v>
      </c>
      <c r="N68" s="171" t="s">
        <v>605</v>
      </c>
      <c r="O68" s="172">
        <v>31</v>
      </c>
      <c r="P68" s="183"/>
      <c r="Q68" s="212" t="str">
        <f>VLOOKUP(Ruimtestaat[[#This Row],[Ruimte code]],Ruimtegroepen[#All],4,FALSE)</f>
        <v>V  (Verkeersruimte)</v>
      </c>
      <c r="R68" s="184"/>
      <c r="S68" s="185">
        <v>40</v>
      </c>
      <c r="T68" s="185" t="s">
        <v>2</v>
      </c>
      <c r="U68" s="185">
        <f>IF(S68&gt;0,IF(RIGHT(Ruimtestaat[[#This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" s="185">
        <f>IF(U68&gt;0,VLOOKUP($K68,Ruimtegroepen[],3,FALSE)*VLOOKUP($M68,Vloersoorten[],3,FALSE)*VLOOKUP($T68,Frequenties[],3,FALSE)*VLOOKUP($A68,Locaties[],3,FALSE),0)</f>
        <v>0</v>
      </c>
      <c r="W68" s="185">
        <f>Ruimtestaat[[#This Row],[Uitvoeringen werkdagen]]*Ruimtestaat[[#This Row],[Oppervlak (netto)]]</f>
        <v>6200</v>
      </c>
      <c r="X68" s="220">
        <f>IF(V68&gt;0,Ruimtestaat[[#This Row],[Prest. (m2 /jaar) werkdagen]]/Ruimtestaat[[#This Row],[Norm (m2/uur) werkdagen]],0)</f>
        <v>0</v>
      </c>
      <c r="Y68" s="221">
        <f>Ruimtestaat[[#This Row],[uren / jaar werkdagen]]*Tariefsopbouw!$D$38</f>
        <v>0</v>
      </c>
      <c r="Z68" s="33"/>
      <c r="AA68" s="33">
        <f>IF(Ruimtestaat[[#This Row],[Frequentie weekend]]&gt;0,VALUE(LEFT(Z68,1))*S68,0)</f>
        <v>0</v>
      </c>
      <c r="AB68" s="33">
        <f>IF($AA68&gt;0,VLOOKUP($K68,Ruimtegroepen[],3,FALSE)*VLOOKUP($M68,Vloersoorten[],3,FALSE)*VLOOKUP($Z68,Frequenties[],3,FALSE)*VLOOKUP(#REF!,Locaties[],3,FALSE),0)</f>
        <v>0</v>
      </c>
      <c r="AC68" s="33"/>
      <c r="AD68" s="33"/>
      <c r="AE68" s="33">
        <f>Ruimtestaat[[#This Row],[uren / jaar weekend]]*Tariefsopbouw!$D$40</f>
        <v>0</v>
      </c>
      <c r="AF68" s="79">
        <f>Ruimtestaat[[#This Row],[Prest. (m2 /jaar) weekend]]+Ruimtestaat[[#This Row],[Prest. (m2 /jaar) werkdagen]]</f>
        <v>6200</v>
      </c>
      <c r="AG68" s="79">
        <f>Ruimtestaat[[#This Row],[uren / jaar weekend]]+Ruimtestaat[[#This Row],[uren / jaar werkdagen]]</f>
        <v>0</v>
      </c>
      <c r="AH68" s="80">
        <f>Ruimtestaat[[#This Row],[kosten / jaar weekend]]+Ruimtestaat[[#This Row],[kosten / jaar werkdagen]]</f>
        <v>0</v>
      </c>
      <c r="HM68" s="78"/>
    </row>
    <row r="69" spans="1:221" ht="15" customHeight="1">
      <c r="A69" s="117">
        <v>2</v>
      </c>
      <c r="B69" s="21" t="str">
        <f>VLOOKUP(Ruimtestaat[[#This Row],[Code]],Locaties[#All],2,FALSE)</f>
        <v>Neon College – Enschede</v>
      </c>
      <c r="C69" s="21" t="str">
        <f>VLOOKUP(Ruimtestaat[[#This Row],[Code]],Locaties[#All],4,FALSE)</f>
        <v>Mr. P.J. Troelstrastraat 9</v>
      </c>
      <c r="D69" s="212" t="str">
        <f>VLOOKUP(Ruimtestaat[[#This Row],[Code]],Locaties[#All],5,FALSE)</f>
        <v xml:space="preserve">7522 BD </v>
      </c>
      <c r="E69" s="212" t="str">
        <f>VLOOKUP(Ruimtestaat[[#This Row],[Code]],Locaties[#All],6,FALSE)</f>
        <v>Enschede</v>
      </c>
      <c r="F69" s="171"/>
      <c r="G69" s="171" t="s">
        <v>563</v>
      </c>
      <c r="H69" s="171"/>
      <c r="I69" s="171">
        <v>4</v>
      </c>
      <c r="J69" s="213" t="s">
        <v>568</v>
      </c>
      <c r="K69" s="171">
        <v>6</v>
      </c>
      <c r="L69" s="223" t="str">
        <f>VLOOKUP(Ruimtestaat[[#This Row],[Ruimte code]],Ruimtegroepen[#All],2,FALSE)</f>
        <v>Gangen/hallen</v>
      </c>
      <c r="M69" s="212" t="s">
        <v>111</v>
      </c>
      <c r="N69" s="171" t="s">
        <v>605</v>
      </c>
      <c r="O69" s="172">
        <v>6</v>
      </c>
      <c r="P69" s="183"/>
      <c r="Q69" s="212" t="str">
        <f>VLOOKUP(Ruimtestaat[[#This Row],[Ruimte code]],Ruimtegroepen[#All],4,FALSE)</f>
        <v>V  (Verkeersruimte)</v>
      </c>
      <c r="R69" s="184"/>
      <c r="S69" s="185">
        <v>40</v>
      </c>
      <c r="T69" s="185" t="s">
        <v>2</v>
      </c>
      <c r="U69" s="185">
        <f>IF(S69&gt;0,IF(RIGHT(Ruimtestaat[[#This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" s="185">
        <f>IF(U69&gt;0,VLOOKUP($K69,Ruimtegroepen[],3,FALSE)*VLOOKUP($M69,Vloersoorten[],3,FALSE)*VLOOKUP($T69,Frequenties[],3,FALSE)*VLOOKUP($A69,Locaties[],3,FALSE),0)</f>
        <v>0</v>
      </c>
      <c r="W69" s="185">
        <f>Ruimtestaat[[#This Row],[Uitvoeringen werkdagen]]*Ruimtestaat[[#This Row],[Oppervlak (netto)]]</f>
        <v>1200</v>
      </c>
      <c r="X69" s="220">
        <f>IF(V69&gt;0,Ruimtestaat[[#This Row],[Prest. (m2 /jaar) werkdagen]]/Ruimtestaat[[#This Row],[Norm (m2/uur) werkdagen]],0)</f>
        <v>0</v>
      </c>
      <c r="Y69" s="221">
        <f>Ruimtestaat[[#This Row],[uren / jaar werkdagen]]*Tariefsopbouw!$D$38</f>
        <v>0</v>
      </c>
      <c r="Z69" s="33"/>
      <c r="AA69" s="33">
        <f>IF(Ruimtestaat[[#This Row],[Frequentie weekend]]&gt;0,VALUE(LEFT(Z69,1))*S69,0)</f>
        <v>0</v>
      </c>
      <c r="AB69" s="33">
        <f>IF($AA69&gt;0,VLOOKUP($K69,Ruimtegroepen[],3,FALSE)*VLOOKUP($M69,Vloersoorten[],3,FALSE)*VLOOKUP($Z69,Frequenties[],3,FALSE)*VLOOKUP(#REF!,Locaties[],3,FALSE),0)</f>
        <v>0</v>
      </c>
      <c r="AC69" s="33"/>
      <c r="AD69" s="33"/>
      <c r="AE69" s="33">
        <f>Ruimtestaat[[#This Row],[uren / jaar weekend]]*Tariefsopbouw!$D$40</f>
        <v>0</v>
      </c>
      <c r="AF69" s="79">
        <f>Ruimtestaat[[#This Row],[Prest. (m2 /jaar) weekend]]+Ruimtestaat[[#This Row],[Prest. (m2 /jaar) werkdagen]]</f>
        <v>1200</v>
      </c>
      <c r="AG69" s="79">
        <f>Ruimtestaat[[#This Row],[uren / jaar weekend]]+Ruimtestaat[[#This Row],[uren / jaar werkdagen]]</f>
        <v>0</v>
      </c>
      <c r="AH69" s="80">
        <f>Ruimtestaat[[#This Row],[kosten / jaar weekend]]+Ruimtestaat[[#This Row],[kosten / jaar werkdagen]]</f>
        <v>0</v>
      </c>
      <c r="HM69" s="78"/>
    </row>
    <row r="70" spans="1:221" ht="15" customHeight="1">
      <c r="A70" s="117">
        <v>2</v>
      </c>
      <c r="B70" s="21" t="str">
        <f>VLOOKUP(Ruimtestaat[[#This Row],[Code]],Locaties[#All],2,FALSE)</f>
        <v>Neon College – Enschede</v>
      </c>
      <c r="C70" s="21" t="str">
        <f>VLOOKUP(Ruimtestaat[[#This Row],[Code]],Locaties[#All],4,FALSE)</f>
        <v>Mr. P.J. Troelstrastraat 9</v>
      </c>
      <c r="D70" s="212" t="str">
        <f>VLOOKUP(Ruimtestaat[[#This Row],[Code]],Locaties[#All],5,FALSE)</f>
        <v xml:space="preserve">7522 BD </v>
      </c>
      <c r="E70" s="212" t="str">
        <f>VLOOKUP(Ruimtestaat[[#This Row],[Code]],Locaties[#All],6,FALSE)</f>
        <v>Enschede</v>
      </c>
      <c r="F70" s="171"/>
      <c r="G70" s="171" t="s">
        <v>563</v>
      </c>
      <c r="H70" s="171"/>
      <c r="I70" s="171">
        <v>5</v>
      </c>
      <c r="J70" s="213" t="s">
        <v>695</v>
      </c>
      <c r="K70" s="185">
        <v>10</v>
      </c>
      <c r="L70" s="223" t="str">
        <f>VLOOKUP(Ruimtestaat[[#This Row],[Ruimte code]],Ruimtegroepen[#All],2,FALSE)</f>
        <v>Trappenhuizen/lift</v>
      </c>
      <c r="M70" s="212" t="s">
        <v>111</v>
      </c>
      <c r="N70" s="171" t="s">
        <v>605</v>
      </c>
      <c r="O70" s="172">
        <v>21</v>
      </c>
      <c r="P70" s="183"/>
      <c r="Q70" s="212" t="str">
        <f>VLOOKUP(Ruimtestaat[[#This Row],[Ruimte code]],Ruimtegroepen[#All],4,FALSE)</f>
        <v>V  (Verkeersruimte)</v>
      </c>
      <c r="R70" s="184"/>
      <c r="S70" s="185">
        <v>40</v>
      </c>
      <c r="T70" s="185" t="s">
        <v>2</v>
      </c>
      <c r="U70" s="185">
        <f>IF(S70&gt;0,IF(RIGHT(Ruimtestaat[[#This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" s="185">
        <f>IF(U70&gt;0,VLOOKUP($K70,Ruimtegroepen[],3,FALSE)*VLOOKUP($M70,Vloersoorten[],3,FALSE)*VLOOKUP($T70,Frequenties[],3,FALSE)*VLOOKUP($A70,Locaties[],3,FALSE),0)</f>
        <v>0</v>
      </c>
      <c r="W70" s="185">
        <f>Ruimtestaat[[#This Row],[Uitvoeringen werkdagen]]*Ruimtestaat[[#This Row],[Oppervlak (netto)]]</f>
        <v>4200</v>
      </c>
      <c r="X70" s="220">
        <f>IF(V70&gt;0,Ruimtestaat[[#This Row],[Prest. (m2 /jaar) werkdagen]]/Ruimtestaat[[#This Row],[Norm (m2/uur) werkdagen]],0)</f>
        <v>0</v>
      </c>
      <c r="Y70" s="221">
        <f>Ruimtestaat[[#This Row],[uren / jaar werkdagen]]*Tariefsopbouw!$D$38</f>
        <v>0</v>
      </c>
      <c r="Z70" s="33"/>
      <c r="AA70" s="33">
        <f>IF(Ruimtestaat[[#This Row],[Frequentie weekend]]&gt;0,VALUE(LEFT(Z70,1))*S70,0)</f>
        <v>0</v>
      </c>
      <c r="AB70" s="33">
        <f>IF($AA70&gt;0,VLOOKUP($K70,Ruimtegroepen[],3,FALSE)*VLOOKUP($M70,Vloersoorten[],3,FALSE)*VLOOKUP($Z70,Frequenties[],3,FALSE)*VLOOKUP(#REF!,Locaties[],3,FALSE),0)</f>
        <v>0</v>
      </c>
      <c r="AC70" s="33"/>
      <c r="AD70" s="33"/>
      <c r="AE70" s="33">
        <f>Ruimtestaat[[#This Row],[uren / jaar weekend]]*Tariefsopbouw!$D$40</f>
        <v>0</v>
      </c>
      <c r="AF70" s="79">
        <f>Ruimtestaat[[#This Row],[Prest. (m2 /jaar) weekend]]+Ruimtestaat[[#This Row],[Prest. (m2 /jaar) werkdagen]]</f>
        <v>4200</v>
      </c>
      <c r="AG70" s="79">
        <f>Ruimtestaat[[#This Row],[uren / jaar weekend]]+Ruimtestaat[[#This Row],[uren / jaar werkdagen]]</f>
        <v>0</v>
      </c>
      <c r="AH70" s="80">
        <f>Ruimtestaat[[#This Row],[kosten / jaar weekend]]+Ruimtestaat[[#This Row],[kosten / jaar werkdagen]]</f>
        <v>0</v>
      </c>
      <c r="HM70" s="78"/>
    </row>
    <row r="71" spans="1:221" ht="15" customHeight="1">
      <c r="A71" s="117">
        <v>2</v>
      </c>
      <c r="B71" s="21" t="str">
        <f>VLOOKUP(Ruimtestaat[[#This Row],[Code]],Locaties[#All],2,FALSE)</f>
        <v>Neon College – Enschede</v>
      </c>
      <c r="C71" s="21" t="str">
        <f>VLOOKUP(Ruimtestaat[[#This Row],[Code]],Locaties[#All],4,FALSE)</f>
        <v>Mr. P.J. Troelstrastraat 9</v>
      </c>
      <c r="D71" s="212" t="str">
        <f>VLOOKUP(Ruimtestaat[[#This Row],[Code]],Locaties[#All],5,FALSE)</f>
        <v xml:space="preserve">7522 BD </v>
      </c>
      <c r="E71" s="212" t="str">
        <f>VLOOKUP(Ruimtestaat[[#This Row],[Code]],Locaties[#All],6,FALSE)</f>
        <v>Enschede</v>
      </c>
      <c r="F71" s="171"/>
      <c r="G71" s="171" t="s">
        <v>563</v>
      </c>
      <c r="H71" s="171"/>
      <c r="I71" s="171" t="s">
        <v>858</v>
      </c>
      <c r="J71" s="213" t="s">
        <v>574</v>
      </c>
      <c r="K71" s="171">
        <v>6</v>
      </c>
      <c r="L71" s="223" t="str">
        <f>VLOOKUP(Ruimtestaat[[#This Row],[Ruimte code]],Ruimtegroepen[#All],2,FALSE)</f>
        <v>Gangen/hallen</v>
      </c>
      <c r="M71" s="185" t="s">
        <v>598</v>
      </c>
      <c r="N71" s="171" t="s">
        <v>900</v>
      </c>
      <c r="O71" s="172">
        <v>26</v>
      </c>
      <c r="P71" s="183"/>
      <c r="Q71" s="212" t="str">
        <f>VLOOKUP(Ruimtestaat[[#This Row],[Ruimte code]],Ruimtegroepen[#All],4,FALSE)</f>
        <v>V  (Verkeersruimte)</v>
      </c>
      <c r="R71" s="184"/>
      <c r="S71" s="185">
        <v>40</v>
      </c>
      <c r="T71" s="185" t="s">
        <v>2</v>
      </c>
      <c r="U71" s="185">
        <f>IF(S71&gt;0,IF(RIGHT(Ruimtestaat[[#This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" s="185">
        <f>IF(U71&gt;0,VLOOKUP($K71,Ruimtegroepen[],3,FALSE)*VLOOKUP($M71,Vloersoorten[],3,FALSE)*VLOOKUP($T71,Frequenties[],3,FALSE)*VLOOKUP($A71,Locaties[],3,FALSE),0)</f>
        <v>0</v>
      </c>
      <c r="W71" s="185">
        <f>Ruimtestaat[[#This Row],[Uitvoeringen werkdagen]]*Ruimtestaat[[#This Row],[Oppervlak (netto)]]</f>
        <v>5200</v>
      </c>
      <c r="X71" s="220">
        <f>IF(V71&gt;0,Ruimtestaat[[#This Row],[Prest. (m2 /jaar) werkdagen]]/Ruimtestaat[[#This Row],[Norm (m2/uur) werkdagen]],0)</f>
        <v>0</v>
      </c>
      <c r="Y71" s="221">
        <f>Ruimtestaat[[#This Row],[uren / jaar werkdagen]]*Tariefsopbouw!$D$38</f>
        <v>0</v>
      </c>
      <c r="Z71" s="33"/>
      <c r="AA71" s="33">
        <f>IF(Ruimtestaat[[#This Row],[Frequentie weekend]]&gt;0,VALUE(LEFT(Z71,1))*S71,0)</f>
        <v>0</v>
      </c>
      <c r="AB71" s="33">
        <f>IF($AA71&gt;0,VLOOKUP($K71,Ruimtegroepen[],3,FALSE)*VLOOKUP($M71,Vloersoorten[],3,FALSE)*VLOOKUP($Z71,Frequenties[],3,FALSE)*VLOOKUP(#REF!,Locaties[],3,FALSE),0)</f>
        <v>0</v>
      </c>
      <c r="AC71" s="33"/>
      <c r="AD71" s="33"/>
      <c r="AE71" s="33">
        <f>Ruimtestaat[[#This Row],[uren / jaar weekend]]*Tariefsopbouw!$D$40</f>
        <v>0</v>
      </c>
      <c r="AF71" s="79">
        <f>Ruimtestaat[[#This Row],[Prest. (m2 /jaar) weekend]]+Ruimtestaat[[#This Row],[Prest. (m2 /jaar) werkdagen]]</f>
        <v>5200</v>
      </c>
      <c r="AG71" s="79">
        <f>Ruimtestaat[[#This Row],[uren / jaar weekend]]+Ruimtestaat[[#This Row],[uren / jaar werkdagen]]</f>
        <v>0</v>
      </c>
      <c r="AH71" s="80">
        <f>Ruimtestaat[[#This Row],[kosten / jaar weekend]]+Ruimtestaat[[#This Row],[kosten / jaar werkdagen]]</f>
        <v>0</v>
      </c>
      <c r="HM71" s="78"/>
    </row>
    <row r="72" spans="1:221" ht="15" customHeight="1">
      <c r="A72" s="117">
        <v>2</v>
      </c>
      <c r="B72" s="21" t="str">
        <f>VLOOKUP(Ruimtestaat[[#This Row],[Code]],Locaties[#All],2,FALSE)</f>
        <v>Neon College – Enschede</v>
      </c>
      <c r="C72" s="21" t="str">
        <f>VLOOKUP(Ruimtestaat[[#This Row],[Code]],Locaties[#All],4,FALSE)</f>
        <v>Mr. P.J. Troelstrastraat 9</v>
      </c>
      <c r="D72" s="212" t="str">
        <f>VLOOKUP(Ruimtestaat[[#This Row],[Code]],Locaties[#All],5,FALSE)</f>
        <v xml:space="preserve">7522 BD </v>
      </c>
      <c r="E72" s="212" t="str">
        <f>VLOOKUP(Ruimtestaat[[#This Row],[Code]],Locaties[#All],6,FALSE)</f>
        <v>Enschede</v>
      </c>
      <c r="F72" s="171"/>
      <c r="G72" s="171" t="s">
        <v>563</v>
      </c>
      <c r="H72" s="171"/>
      <c r="I72" s="171" t="s">
        <v>859</v>
      </c>
      <c r="J72" s="213" t="s">
        <v>574</v>
      </c>
      <c r="K72" s="171">
        <v>6</v>
      </c>
      <c r="L72" s="223" t="str">
        <f>VLOOKUP(Ruimtestaat[[#This Row],[Ruimte code]],Ruimtegroepen[#All],2,FALSE)</f>
        <v>Gangen/hallen</v>
      </c>
      <c r="M72" s="212" t="s">
        <v>597</v>
      </c>
      <c r="N72" s="171" t="s">
        <v>38</v>
      </c>
      <c r="O72" s="172">
        <v>20</v>
      </c>
      <c r="P72" s="183"/>
      <c r="Q72" s="212" t="str">
        <f>VLOOKUP(Ruimtestaat[[#This Row],[Ruimte code]],Ruimtegroepen[#All],4,FALSE)</f>
        <v>V  (Verkeersruimte)</v>
      </c>
      <c r="R72" s="184"/>
      <c r="S72" s="185">
        <v>40</v>
      </c>
      <c r="T72" s="185" t="s">
        <v>2</v>
      </c>
      <c r="U72" s="185">
        <f>IF(S72&gt;0,IF(RIGHT(Ruimtestaat[[#This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" s="185">
        <f>IF(U72&gt;0,VLOOKUP($K72,Ruimtegroepen[],3,FALSE)*VLOOKUP($M72,Vloersoorten[],3,FALSE)*VLOOKUP($T72,Frequenties[],3,FALSE)*VLOOKUP($A72,Locaties[],3,FALSE),0)</f>
        <v>0</v>
      </c>
      <c r="W72" s="185">
        <f>Ruimtestaat[[#This Row],[Uitvoeringen werkdagen]]*Ruimtestaat[[#This Row],[Oppervlak (netto)]]</f>
        <v>4000</v>
      </c>
      <c r="X72" s="220">
        <f>IF(V72&gt;0,Ruimtestaat[[#This Row],[Prest. (m2 /jaar) werkdagen]]/Ruimtestaat[[#This Row],[Norm (m2/uur) werkdagen]],0)</f>
        <v>0</v>
      </c>
      <c r="Y72" s="221">
        <f>Ruimtestaat[[#This Row],[uren / jaar werkdagen]]*Tariefsopbouw!$D$38</f>
        <v>0</v>
      </c>
      <c r="Z72" s="33"/>
      <c r="AA72" s="33">
        <f>IF(Ruimtestaat[[#This Row],[Frequentie weekend]]&gt;0,VALUE(LEFT(Z72,1))*S72,0)</f>
        <v>0</v>
      </c>
      <c r="AB72" s="33">
        <f>IF($AA72&gt;0,VLOOKUP($K72,Ruimtegroepen[],3,FALSE)*VLOOKUP($M72,Vloersoorten[],3,FALSE)*VLOOKUP($Z72,Frequenties[],3,FALSE)*VLOOKUP(#REF!,Locaties[],3,FALSE),0)</f>
        <v>0</v>
      </c>
      <c r="AC72" s="33"/>
      <c r="AD72" s="33"/>
      <c r="AE72" s="33">
        <f>Ruimtestaat[[#This Row],[uren / jaar weekend]]*Tariefsopbouw!$D$40</f>
        <v>0</v>
      </c>
      <c r="AF72" s="79">
        <f>Ruimtestaat[[#This Row],[Prest. (m2 /jaar) weekend]]+Ruimtestaat[[#This Row],[Prest. (m2 /jaar) werkdagen]]</f>
        <v>4000</v>
      </c>
      <c r="AG72" s="79">
        <f>Ruimtestaat[[#This Row],[uren / jaar weekend]]+Ruimtestaat[[#This Row],[uren / jaar werkdagen]]</f>
        <v>0</v>
      </c>
      <c r="AH72" s="80">
        <f>Ruimtestaat[[#This Row],[kosten / jaar weekend]]+Ruimtestaat[[#This Row],[kosten / jaar werkdagen]]</f>
        <v>0</v>
      </c>
      <c r="HM72" s="78"/>
    </row>
    <row r="73" spans="1:221" ht="15" customHeight="1">
      <c r="A73" s="117">
        <v>2</v>
      </c>
      <c r="B73" s="21" t="str">
        <f>VLOOKUP(Ruimtestaat[[#This Row],[Code]],Locaties[#All],2,FALSE)</f>
        <v>Neon College – Enschede</v>
      </c>
      <c r="C73" s="21" t="str">
        <f>VLOOKUP(Ruimtestaat[[#This Row],[Code]],Locaties[#All],4,FALSE)</f>
        <v>Mr. P.J. Troelstrastraat 9</v>
      </c>
      <c r="D73" s="212" t="str">
        <f>VLOOKUP(Ruimtestaat[[#This Row],[Code]],Locaties[#All],5,FALSE)</f>
        <v xml:space="preserve">7522 BD </v>
      </c>
      <c r="E73" s="212" t="str">
        <f>VLOOKUP(Ruimtestaat[[#This Row],[Code]],Locaties[#All],6,FALSE)</f>
        <v>Enschede</v>
      </c>
      <c r="F73" s="171"/>
      <c r="G73" s="171" t="s">
        <v>563</v>
      </c>
      <c r="H73" s="171"/>
      <c r="I73" s="171">
        <v>7</v>
      </c>
      <c r="J73" s="213" t="s">
        <v>860</v>
      </c>
      <c r="K73" s="171">
        <v>6</v>
      </c>
      <c r="L73" s="223" t="str">
        <f>VLOOKUP(Ruimtestaat[[#This Row],[Ruimte code]],Ruimtegroepen[#All],2,FALSE)</f>
        <v>Gangen/hallen</v>
      </c>
      <c r="M73" s="185" t="s">
        <v>598</v>
      </c>
      <c r="N73" s="171" t="s">
        <v>900</v>
      </c>
      <c r="O73" s="172">
        <v>2</v>
      </c>
      <c r="P73" s="183"/>
      <c r="Q73" s="212" t="str">
        <f>VLOOKUP(Ruimtestaat[[#This Row],[Ruimte code]],Ruimtegroepen[#All],4,FALSE)</f>
        <v>V  (Verkeersruimte)</v>
      </c>
      <c r="R73" s="184"/>
      <c r="S73" s="185">
        <v>40</v>
      </c>
      <c r="T73" s="185" t="s">
        <v>2</v>
      </c>
      <c r="U73" s="185">
        <f>IF(S73&gt;0,IF(RIGHT(Ruimtestaat[[#This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" s="185">
        <f>IF(U73&gt;0,VLOOKUP($K73,Ruimtegroepen[],3,FALSE)*VLOOKUP($M73,Vloersoorten[],3,FALSE)*VLOOKUP($T73,Frequenties[],3,FALSE)*VLOOKUP($A73,Locaties[],3,FALSE),0)</f>
        <v>0</v>
      </c>
      <c r="W73" s="185">
        <f>Ruimtestaat[[#This Row],[Uitvoeringen werkdagen]]*Ruimtestaat[[#This Row],[Oppervlak (netto)]]</f>
        <v>400</v>
      </c>
      <c r="X73" s="220">
        <f>IF(V73&gt;0,Ruimtestaat[[#This Row],[Prest. (m2 /jaar) werkdagen]]/Ruimtestaat[[#This Row],[Norm (m2/uur) werkdagen]],0)</f>
        <v>0</v>
      </c>
      <c r="Y73" s="221">
        <f>Ruimtestaat[[#This Row],[uren / jaar werkdagen]]*Tariefsopbouw!$D$38</f>
        <v>0</v>
      </c>
      <c r="Z73" s="33"/>
      <c r="AA73" s="33">
        <f>IF(Ruimtestaat[[#This Row],[Frequentie weekend]]&gt;0,VALUE(LEFT(Z73,1))*S73,0)</f>
        <v>0</v>
      </c>
      <c r="AB73" s="33">
        <f>IF($AA73&gt;0,VLOOKUP($K73,Ruimtegroepen[],3,FALSE)*VLOOKUP($M73,Vloersoorten[],3,FALSE)*VLOOKUP($Z73,Frequenties[],3,FALSE)*VLOOKUP(#REF!,Locaties[],3,FALSE),0)</f>
        <v>0</v>
      </c>
      <c r="AC73" s="33"/>
      <c r="AD73" s="33"/>
      <c r="AE73" s="33">
        <f>Ruimtestaat[[#This Row],[uren / jaar weekend]]*Tariefsopbouw!$D$40</f>
        <v>0</v>
      </c>
      <c r="AF73" s="79">
        <f>Ruimtestaat[[#This Row],[Prest. (m2 /jaar) weekend]]+Ruimtestaat[[#This Row],[Prest. (m2 /jaar) werkdagen]]</f>
        <v>400</v>
      </c>
      <c r="AG73" s="79">
        <f>Ruimtestaat[[#This Row],[uren / jaar weekend]]+Ruimtestaat[[#This Row],[uren / jaar werkdagen]]</f>
        <v>0</v>
      </c>
      <c r="AH73" s="80">
        <f>Ruimtestaat[[#This Row],[kosten / jaar weekend]]+Ruimtestaat[[#This Row],[kosten / jaar werkdagen]]</f>
        <v>0</v>
      </c>
      <c r="HM73" s="78"/>
    </row>
    <row r="74" spans="1:221" ht="15" customHeight="1">
      <c r="A74" s="117">
        <v>2</v>
      </c>
      <c r="B74" s="21" t="str">
        <f>VLOOKUP(Ruimtestaat[[#This Row],[Code]],Locaties[#All],2,FALSE)</f>
        <v>Neon College – Enschede</v>
      </c>
      <c r="C74" s="21" t="str">
        <f>VLOOKUP(Ruimtestaat[[#This Row],[Code]],Locaties[#All],4,FALSE)</f>
        <v>Mr. P.J. Troelstrastraat 9</v>
      </c>
      <c r="D74" s="212" t="str">
        <f>VLOOKUP(Ruimtestaat[[#This Row],[Code]],Locaties[#All],5,FALSE)</f>
        <v xml:space="preserve">7522 BD </v>
      </c>
      <c r="E74" s="212" t="str">
        <f>VLOOKUP(Ruimtestaat[[#This Row],[Code]],Locaties[#All],6,FALSE)</f>
        <v>Enschede</v>
      </c>
      <c r="F74" s="171"/>
      <c r="G74" s="171" t="s">
        <v>563</v>
      </c>
      <c r="H74" s="171"/>
      <c r="I74" s="171">
        <v>8</v>
      </c>
      <c r="J74" s="213" t="s">
        <v>583</v>
      </c>
      <c r="K74" s="171">
        <v>20</v>
      </c>
      <c r="L74" s="223" t="str">
        <f>VLOOKUP(Ruimtestaat[[#This Row],[Ruimte code]],Ruimtegroepen[#All],2,FALSE)</f>
        <v>Niet in onderhoud</v>
      </c>
      <c r="M74" s="185" t="s">
        <v>598</v>
      </c>
      <c r="N74" s="171" t="s">
        <v>900</v>
      </c>
      <c r="O74" s="172"/>
      <c r="P74" s="183">
        <v>3</v>
      </c>
      <c r="Q74" s="212" t="str">
        <f>VLOOKUP(Ruimtestaat[[#This Row],[Ruimte code]],Ruimtegroepen[#All],4,FALSE)</f>
        <v>niet in onderhoud</v>
      </c>
      <c r="R74" s="184"/>
      <c r="S74" s="185"/>
      <c r="T74" s="185"/>
      <c r="U74" s="185">
        <f>IF(S74&gt;0,IF(RIGHT(Ruimtestaat[[#This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4" s="185">
        <f>IF(U74&gt;0,VLOOKUP($K74,Ruimtegroepen[],3,FALSE)*VLOOKUP($M74,Vloersoorten[],3,FALSE)*VLOOKUP($T74,Frequenties[],3,FALSE)*VLOOKUP($A74,Locaties[],3,FALSE),0)</f>
        <v>0</v>
      </c>
      <c r="W74" s="185">
        <f>Ruimtestaat[[#This Row],[Uitvoeringen werkdagen]]*Ruimtestaat[[#This Row],[Oppervlak (netto)]]</f>
        <v>0</v>
      </c>
      <c r="X74" s="220">
        <f>IF(V74&gt;0,Ruimtestaat[[#This Row],[Prest. (m2 /jaar) werkdagen]]/Ruimtestaat[[#This Row],[Norm (m2/uur) werkdagen]],0)</f>
        <v>0</v>
      </c>
      <c r="Y74" s="221">
        <f>Ruimtestaat[[#This Row],[uren / jaar werkdagen]]*Tariefsopbouw!$D$38</f>
        <v>0</v>
      </c>
      <c r="Z74" s="33"/>
      <c r="AA74" s="33">
        <f>IF(Ruimtestaat[[#This Row],[Frequentie weekend]]&gt;0,VALUE(LEFT(Z74,1))*S74,0)</f>
        <v>0</v>
      </c>
      <c r="AB74" s="33">
        <f>IF($AA74&gt;0,VLOOKUP($K74,Ruimtegroepen[],3,FALSE)*VLOOKUP($M74,Vloersoorten[],3,FALSE)*VLOOKUP($Z74,Frequenties[],3,FALSE)*VLOOKUP(#REF!,Locaties[],3,FALSE),0)</f>
        <v>0</v>
      </c>
      <c r="AC74" s="33"/>
      <c r="AD74" s="33"/>
      <c r="AE74" s="33">
        <f>Ruimtestaat[[#This Row],[uren / jaar weekend]]*Tariefsopbouw!$D$40</f>
        <v>0</v>
      </c>
      <c r="AF74" s="79">
        <f>Ruimtestaat[[#This Row],[Prest. (m2 /jaar) weekend]]+Ruimtestaat[[#This Row],[Prest. (m2 /jaar) werkdagen]]</f>
        <v>0</v>
      </c>
      <c r="AG74" s="79">
        <f>Ruimtestaat[[#This Row],[uren / jaar weekend]]+Ruimtestaat[[#This Row],[uren / jaar werkdagen]]</f>
        <v>0</v>
      </c>
      <c r="AH74" s="80">
        <f>Ruimtestaat[[#This Row],[kosten / jaar weekend]]+Ruimtestaat[[#This Row],[kosten / jaar werkdagen]]</f>
        <v>0</v>
      </c>
      <c r="HM74" s="78"/>
    </row>
    <row r="75" spans="1:221" ht="15" customHeight="1">
      <c r="A75" s="117">
        <v>2</v>
      </c>
      <c r="B75" s="21" t="str">
        <f>VLOOKUP(Ruimtestaat[[#This Row],[Code]],Locaties[#All],2,FALSE)</f>
        <v>Neon College – Enschede</v>
      </c>
      <c r="C75" s="21" t="str">
        <f>VLOOKUP(Ruimtestaat[[#This Row],[Code]],Locaties[#All],4,FALSE)</f>
        <v>Mr. P.J. Troelstrastraat 9</v>
      </c>
      <c r="D75" s="212" t="str">
        <f>VLOOKUP(Ruimtestaat[[#This Row],[Code]],Locaties[#All],5,FALSE)</f>
        <v xml:space="preserve">7522 BD </v>
      </c>
      <c r="E75" s="212" t="str">
        <f>VLOOKUP(Ruimtestaat[[#This Row],[Code]],Locaties[#All],6,FALSE)</f>
        <v>Enschede</v>
      </c>
      <c r="F75" s="171"/>
      <c r="G75" s="171" t="s">
        <v>563</v>
      </c>
      <c r="H75" s="171"/>
      <c r="I75" s="171">
        <v>9</v>
      </c>
      <c r="J75" s="213" t="s">
        <v>571</v>
      </c>
      <c r="K75" s="171">
        <v>2</v>
      </c>
      <c r="L75" s="223" t="str">
        <f>VLOOKUP(Ruimtestaat[[#This Row],[Ruimte code]],Ruimtegroepen[#All],2,FALSE)</f>
        <v>Kantoren</v>
      </c>
      <c r="M75" s="185" t="s">
        <v>597</v>
      </c>
      <c r="N75" s="171" t="s">
        <v>38</v>
      </c>
      <c r="O75" s="172">
        <v>34</v>
      </c>
      <c r="P75" s="183"/>
      <c r="Q75" s="212" t="str">
        <f>VLOOKUP(Ruimtestaat[[#This Row],[Ruimte code]],Ruimtegroepen[#All],4,FALSE)</f>
        <v>B  (Bureauruimte)</v>
      </c>
      <c r="R75" s="184"/>
      <c r="S75" s="185">
        <v>40</v>
      </c>
      <c r="T75" s="185" t="s">
        <v>2</v>
      </c>
      <c r="U75" s="185">
        <f>IF(S75&gt;0,IF(RIGHT(Ruimtestaat[[#This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" s="185">
        <f>IF(U75&gt;0,VLOOKUP($K75,Ruimtegroepen[],3,FALSE)*VLOOKUP($M75,Vloersoorten[],3,FALSE)*VLOOKUP($T75,Frequenties[],3,FALSE)*VLOOKUP($A75,Locaties[],3,FALSE),0)</f>
        <v>0</v>
      </c>
      <c r="W75" s="185">
        <f>Ruimtestaat[[#This Row],[Uitvoeringen werkdagen]]*Ruimtestaat[[#This Row],[Oppervlak (netto)]]</f>
        <v>6800</v>
      </c>
      <c r="X75" s="220">
        <f>IF(V75&gt;0,Ruimtestaat[[#This Row],[Prest. (m2 /jaar) werkdagen]]/Ruimtestaat[[#This Row],[Norm (m2/uur) werkdagen]],0)</f>
        <v>0</v>
      </c>
      <c r="Y75" s="221">
        <f>Ruimtestaat[[#This Row],[uren / jaar werkdagen]]*Tariefsopbouw!$D$38</f>
        <v>0</v>
      </c>
      <c r="Z75" s="33"/>
      <c r="AA75" s="33">
        <f>IF(Ruimtestaat[[#This Row],[Frequentie weekend]]&gt;0,VALUE(LEFT(Z75,1))*S75,0)</f>
        <v>0</v>
      </c>
      <c r="AB75" s="33">
        <f>IF($AA75&gt;0,VLOOKUP($K75,Ruimtegroepen[],3,FALSE)*VLOOKUP($M75,Vloersoorten[],3,FALSE)*VLOOKUP($Z75,Frequenties[],3,FALSE)*VLOOKUP(#REF!,Locaties[],3,FALSE),0)</f>
        <v>0</v>
      </c>
      <c r="AC75" s="33"/>
      <c r="AD75" s="33"/>
      <c r="AE75" s="33">
        <f>Ruimtestaat[[#This Row],[uren / jaar weekend]]*Tariefsopbouw!$D$40</f>
        <v>0</v>
      </c>
      <c r="AF75" s="79">
        <f>Ruimtestaat[[#This Row],[Prest. (m2 /jaar) weekend]]+Ruimtestaat[[#This Row],[Prest. (m2 /jaar) werkdagen]]</f>
        <v>6800</v>
      </c>
      <c r="AG75" s="79">
        <f>Ruimtestaat[[#This Row],[uren / jaar weekend]]+Ruimtestaat[[#This Row],[uren / jaar werkdagen]]</f>
        <v>0</v>
      </c>
      <c r="AH75" s="80">
        <f>Ruimtestaat[[#This Row],[kosten / jaar weekend]]+Ruimtestaat[[#This Row],[kosten / jaar werkdagen]]</f>
        <v>0</v>
      </c>
      <c r="HM75" s="78"/>
    </row>
    <row r="76" spans="1:221" ht="15" customHeight="1">
      <c r="A76" s="117">
        <v>2</v>
      </c>
      <c r="B76" s="21" t="str">
        <f>VLOOKUP(Ruimtestaat[[#This Row],[Code]],Locaties[#All],2,FALSE)</f>
        <v>Neon College – Enschede</v>
      </c>
      <c r="C76" s="21" t="str">
        <f>VLOOKUP(Ruimtestaat[[#This Row],[Code]],Locaties[#All],4,FALSE)</f>
        <v>Mr. P.J. Troelstrastraat 9</v>
      </c>
      <c r="D76" s="212" t="str">
        <f>VLOOKUP(Ruimtestaat[[#This Row],[Code]],Locaties[#All],5,FALSE)</f>
        <v xml:space="preserve">7522 BD </v>
      </c>
      <c r="E76" s="212" t="str">
        <f>VLOOKUP(Ruimtestaat[[#This Row],[Code]],Locaties[#All],6,FALSE)</f>
        <v>Enschede</v>
      </c>
      <c r="F76" s="171"/>
      <c r="G76" s="171" t="s">
        <v>563</v>
      </c>
      <c r="H76" s="171"/>
      <c r="I76" s="171">
        <v>10</v>
      </c>
      <c r="J76" s="213" t="s">
        <v>811</v>
      </c>
      <c r="K76" s="171">
        <v>20</v>
      </c>
      <c r="L76" s="223" t="str">
        <f>VLOOKUP(Ruimtestaat[[#This Row],[Ruimte code]],Ruimtegroepen[#All],2,FALSE)</f>
        <v>Niet in onderhoud</v>
      </c>
      <c r="M76" s="185" t="s">
        <v>598</v>
      </c>
      <c r="N76" s="171" t="s">
        <v>900</v>
      </c>
      <c r="O76" s="172"/>
      <c r="P76" s="183">
        <v>6</v>
      </c>
      <c r="Q76" s="212" t="str">
        <f>VLOOKUP(Ruimtestaat[[#This Row],[Ruimte code]],Ruimtegroepen[#All],4,FALSE)</f>
        <v>niet in onderhoud</v>
      </c>
      <c r="R76" s="184"/>
      <c r="S76" s="185"/>
      <c r="T76" s="185"/>
      <c r="U76" s="185">
        <f>IF(S76&gt;0,IF(RIGHT(Ruimtestaat[[#This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6" s="185">
        <f>IF(U76&gt;0,VLOOKUP($K76,Ruimtegroepen[],3,FALSE)*VLOOKUP($M76,Vloersoorten[],3,FALSE)*VLOOKUP($T76,Frequenties[],3,FALSE)*VLOOKUP($A76,Locaties[],3,FALSE),0)</f>
        <v>0</v>
      </c>
      <c r="W76" s="185">
        <f>Ruimtestaat[[#This Row],[Uitvoeringen werkdagen]]*Ruimtestaat[[#This Row],[Oppervlak (netto)]]</f>
        <v>0</v>
      </c>
      <c r="X76" s="220">
        <f>IF(V76&gt;0,Ruimtestaat[[#This Row],[Prest. (m2 /jaar) werkdagen]]/Ruimtestaat[[#This Row],[Norm (m2/uur) werkdagen]],0)</f>
        <v>0</v>
      </c>
      <c r="Y76" s="221">
        <f>Ruimtestaat[[#This Row],[uren / jaar werkdagen]]*Tariefsopbouw!$D$38</f>
        <v>0</v>
      </c>
      <c r="Z76" s="33"/>
      <c r="AA76" s="33">
        <f>IF(Ruimtestaat[[#This Row],[Frequentie weekend]]&gt;0,VALUE(LEFT(Z76,1))*S76,0)</f>
        <v>0</v>
      </c>
      <c r="AB76" s="33">
        <f>IF($AA76&gt;0,VLOOKUP($K76,Ruimtegroepen[],3,FALSE)*VLOOKUP($M76,Vloersoorten[],3,FALSE)*VLOOKUP($Z76,Frequenties[],3,FALSE)*VLOOKUP(#REF!,Locaties[],3,FALSE),0)</f>
        <v>0</v>
      </c>
      <c r="AC76" s="33"/>
      <c r="AD76" s="33"/>
      <c r="AE76" s="33">
        <f>Ruimtestaat[[#This Row],[uren / jaar weekend]]*Tariefsopbouw!$D$40</f>
        <v>0</v>
      </c>
      <c r="AF76" s="79">
        <f>Ruimtestaat[[#This Row],[Prest. (m2 /jaar) weekend]]+Ruimtestaat[[#This Row],[Prest. (m2 /jaar) werkdagen]]</f>
        <v>0</v>
      </c>
      <c r="AG76" s="79">
        <f>Ruimtestaat[[#This Row],[uren / jaar weekend]]+Ruimtestaat[[#This Row],[uren / jaar werkdagen]]</f>
        <v>0</v>
      </c>
      <c r="AH76" s="80">
        <f>Ruimtestaat[[#This Row],[kosten / jaar weekend]]+Ruimtestaat[[#This Row],[kosten / jaar werkdagen]]</f>
        <v>0</v>
      </c>
      <c r="HM76" s="78"/>
    </row>
    <row r="77" spans="1:221" ht="15" customHeight="1">
      <c r="A77" s="117">
        <v>2</v>
      </c>
      <c r="B77" s="21" t="str">
        <f>VLOOKUP(Ruimtestaat[[#This Row],[Code]],Locaties[#All],2,FALSE)</f>
        <v>Neon College – Enschede</v>
      </c>
      <c r="C77" s="21" t="str">
        <f>VLOOKUP(Ruimtestaat[[#This Row],[Code]],Locaties[#All],4,FALSE)</f>
        <v>Mr. P.J. Troelstrastraat 9</v>
      </c>
      <c r="D77" s="212" t="str">
        <f>VLOOKUP(Ruimtestaat[[#This Row],[Code]],Locaties[#All],5,FALSE)</f>
        <v xml:space="preserve">7522 BD </v>
      </c>
      <c r="E77" s="212" t="str">
        <f>VLOOKUP(Ruimtestaat[[#This Row],[Code]],Locaties[#All],6,FALSE)</f>
        <v>Enschede</v>
      </c>
      <c r="F77" s="171"/>
      <c r="G77" s="171" t="s">
        <v>563</v>
      </c>
      <c r="H77" s="171"/>
      <c r="I77" s="171">
        <v>11</v>
      </c>
      <c r="J77" s="213" t="s">
        <v>651</v>
      </c>
      <c r="K77" s="171">
        <v>20</v>
      </c>
      <c r="L77" s="223" t="str">
        <f>VLOOKUP(Ruimtestaat[[#This Row],[Ruimte code]],Ruimtegroepen[#All],2,FALSE)</f>
        <v>Niet in onderhoud</v>
      </c>
      <c r="M77" s="185" t="s">
        <v>598</v>
      </c>
      <c r="N77" s="171" t="s">
        <v>900</v>
      </c>
      <c r="O77" s="172"/>
      <c r="P77" s="183">
        <v>1</v>
      </c>
      <c r="Q77" s="212" t="str">
        <f>VLOOKUP(Ruimtestaat[[#This Row],[Ruimte code]],Ruimtegroepen[#All],4,FALSE)</f>
        <v>niet in onderhoud</v>
      </c>
      <c r="R77" s="184"/>
      <c r="S77" s="185"/>
      <c r="T77" s="185"/>
      <c r="U77" s="185">
        <f>IF(S77&gt;0,IF(RIGHT(Ruimtestaat[[#This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7" s="185">
        <f>IF(U77&gt;0,VLOOKUP($K77,Ruimtegroepen[],3,FALSE)*VLOOKUP($M77,Vloersoorten[],3,FALSE)*VLOOKUP($T77,Frequenties[],3,FALSE)*VLOOKUP($A77,Locaties[],3,FALSE),0)</f>
        <v>0</v>
      </c>
      <c r="W77" s="185">
        <f>Ruimtestaat[[#This Row],[Uitvoeringen werkdagen]]*Ruimtestaat[[#This Row],[Oppervlak (netto)]]</f>
        <v>0</v>
      </c>
      <c r="X77" s="220">
        <f>IF(V77&gt;0,Ruimtestaat[[#This Row],[Prest. (m2 /jaar) werkdagen]]/Ruimtestaat[[#This Row],[Norm (m2/uur) werkdagen]],0)</f>
        <v>0</v>
      </c>
      <c r="Y77" s="221">
        <f>Ruimtestaat[[#This Row],[uren / jaar werkdagen]]*Tariefsopbouw!$D$38</f>
        <v>0</v>
      </c>
      <c r="Z77" s="33"/>
      <c r="AA77" s="33">
        <f>IF(Ruimtestaat[[#This Row],[Frequentie weekend]]&gt;0,VALUE(LEFT(Z77,1))*S77,0)</f>
        <v>0</v>
      </c>
      <c r="AB77" s="33">
        <f>IF($AA77&gt;0,VLOOKUP($K77,Ruimtegroepen[],3,FALSE)*VLOOKUP($M77,Vloersoorten[],3,FALSE)*VLOOKUP($Z77,Frequenties[],3,FALSE)*VLOOKUP(#REF!,Locaties[],3,FALSE),0)</f>
        <v>0</v>
      </c>
      <c r="AC77" s="33"/>
      <c r="AD77" s="33"/>
      <c r="AE77" s="33">
        <f>Ruimtestaat[[#This Row],[uren / jaar weekend]]*Tariefsopbouw!$D$40</f>
        <v>0</v>
      </c>
      <c r="AF77" s="79">
        <f>Ruimtestaat[[#This Row],[Prest. (m2 /jaar) weekend]]+Ruimtestaat[[#This Row],[Prest. (m2 /jaar) werkdagen]]</f>
        <v>0</v>
      </c>
      <c r="AG77" s="79">
        <f>Ruimtestaat[[#This Row],[uren / jaar weekend]]+Ruimtestaat[[#This Row],[uren / jaar werkdagen]]</f>
        <v>0</v>
      </c>
      <c r="AH77" s="80">
        <f>Ruimtestaat[[#This Row],[kosten / jaar weekend]]+Ruimtestaat[[#This Row],[kosten / jaar werkdagen]]</f>
        <v>0</v>
      </c>
      <c r="HM77" s="78"/>
    </row>
    <row r="78" spans="1:221" ht="15" customHeight="1">
      <c r="A78" s="117">
        <v>2</v>
      </c>
      <c r="B78" s="21" t="str">
        <f>VLOOKUP(Ruimtestaat[[#This Row],[Code]],Locaties[#All],2,FALSE)</f>
        <v>Neon College – Enschede</v>
      </c>
      <c r="C78" s="21" t="str">
        <f>VLOOKUP(Ruimtestaat[[#This Row],[Code]],Locaties[#All],4,FALSE)</f>
        <v>Mr. P.J. Troelstrastraat 9</v>
      </c>
      <c r="D78" s="212" t="str">
        <f>VLOOKUP(Ruimtestaat[[#This Row],[Code]],Locaties[#All],5,FALSE)</f>
        <v xml:space="preserve">7522 BD </v>
      </c>
      <c r="E78" s="212" t="str">
        <f>VLOOKUP(Ruimtestaat[[#This Row],[Code]],Locaties[#All],6,FALSE)</f>
        <v>Enschede</v>
      </c>
      <c r="F78" s="171"/>
      <c r="G78" s="171" t="s">
        <v>563</v>
      </c>
      <c r="H78" s="171"/>
      <c r="I78" s="171">
        <v>12</v>
      </c>
      <c r="J78" s="213" t="s">
        <v>860</v>
      </c>
      <c r="K78" s="171">
        <v>6</v>
      </c>
      <c r="L78" s="223" t="str">
        <f>VLOOKUP(Ruimtestaat[[#This Row],[Ruimte code]],Ruimtegroepen[#All],2,FALSE)</f>
        <v>Gangen/hallen</v>
      </c>
      <c r="M78" s="185" t="s">
        <v>598</v>
      </c>
      <c r="N78" s="171" t="s">
        <v>900</v>
      </c>
      <c r="O78" s="172">
        <v>3.5</v>
      </c>
      <c r="P78" s="183"/>
      <c r="Q78" s="212" t="str">
        <f>VLOOKUP(Ruimtestaat[[#This Row],[Ruimte code]],Ruimtegroepen[#All],4,FALSE)</f>
        <v>V  (Verkeersruimte)</v>
      </c>
      <c r="R78" s="184"/>
      <c r="S78" s="185">
        <v>40</v>
      </c>
      <c r="T78" s="185" t="s">
        <v>2</v>
      </c>
      <c r="U78" s="185">
        <f>IF(S78&gt;0,IF(RIGHT(Ruimtestaat[[#This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" s="185">
        <f>IF(U78&gt;0,VLOOKUP($K78,Ruimtegroepen[],3,FALSE)*VLOOKUP($M78,Vloersoorten[],3,FALSE)*VLOOKUP($T78,Frequenties[],3,FALSE)*VLOOKUP($A78,Locaties[],3,FALSE),0)</f>
        <v>0</v>
      </c>
      <c r="W78" s="185">
        <f>Ruimtestaat[[#This Row],[Uitvoeringen werkdagen]]*Ruimtestaat[[#This Row],[Oppervlak (netto)]]</f>
        <v>700</v>
      </c>
      <c r="X78" s="220">
        <f>IF(V78&gt;0,Ruimtestaat[[#This Row],[Prest. (m2 /jaar) werkdagen]]/Ruimtestaat[[#This Row],[Norm (m2/uur) werkdagen]],0)</f>
        <v>0</v>
      </c>
      <c r="Y78" s="221">
        <f>Ruimtestaat[[#This Row],[uren / jaar werkdagen]]*Tariefsopbouw!$D$38</f>
        <v>0</v>
      </c>
      <c r="Z78" s="33"/>
      <c r="AA78" s="33">
        <f>IF(Ruimtestaat[[#This Row],[Frequentie weekend]]&gt;0,VALUE(LEFT(Z78,1))*S78,0)</f>
        <v>0</v>
      </c>
      <c r="AB78" s="33">
        <f>IF($AA78&gt;0,VLOOKUP($K78,Ruimtegroepen[],3,FALSE)*VLOOKUP($M78,Vloersoorten[],3,FALSE)*VLOOKUP($Z78,Frequenties[],3,FALSE)*VLOOKUP(#REF!,Locaties[],3,FALSE),0)</f>
        <v>0</v>
      </c>
      <c r="AC78" s="33"/>
      <c r="AD78" s="33"/>
      <c r="AE78" s="33">
        <f>Ruimtestaat[[#This Row],[uren / jaar weekend]]*Tariefsopbouw!$D$40</f>
        <v>0</v>
      </c>
      <c r="AF78" s="79">
        <f>Ruimtestaat[[#This Row],[Prest. (m2 /jaar) weekend]]+Ruimtestaat[[#This Row],[Prest. (m2 /jaar) werkdagen]]</f>
        <v>700</v>
      </c>
      <c r="AG78" s="79">
        <f>Ruimtestaat[[#This Row],[uren / jaar weekend]]+Ruimtestaat[[#This Row],[uren / jaar werkdagen]]</f>
        <v>0</v>
      </c>
      <c r="AH78" s="80">
        <f>Ruimtestaat[[#This Row],[kosten / jaar weekend]]+Ruimtestaat[[#This Row],[kosten / jaar werkdagen]]</f>
        <v>0</v>
      </c>
      <c r="HM78" s="78"/>
    </row>
    <row r="79" spans="1:221" ht="15" customHeight="1">
      <c r="A79" s="117">
        <v>2</v>
      </c>
      <c r="B79" s="21" t="str">
        <f>VLOOKUP(Ruimtestaat[[#This Row],[Code]],Locaties[#All],2,FALSE)</f>
        <v>Neon College – Enschede</v>
      </c>
      <c r="C79" s="21" t="str">
        <f>VLOOKUP(Ruimtestaat[[#This Row],[Code]],Locaties[#All],4,FALSE)</f>
        <v>Mr. P.J. Troelstrastraat 9</v>
      </c>
      <c r="D79" s="212" t="str">
        <f>VLOOKUP(Ruimtestaat[[#This Row],[Code]],Locaties[#All],5,FALSE)</f>
        <v xml:space="preserve">7522 BD </v>
      </c>
      <c r="E79" s="212" t="str">
        <f>VLOOKUP(Ruimtestaat[[#This Row],[Code]],Locaties[#All],6,FALSE)</f>
        <v>Enschede</v>
      </c>
      <c r="F79" s="171"/>
      <c r="G79" s="171" t="s">
        <v>563</v>
      </c>
      <c r="H79" s="171"/>
      <c r="I79" s="171">
        <v>15</v>
      </c>
      <c r="J79" s="213" t="s">
        <v>571</v>
      </c>
      <c r="K79" s="171">
        <v>2</v>
      </c>
      <c r="L79" s="223" t="str">
        <f>VLOOKUP(Ruimtestaat[[#This Row],[Ruimte code]],Ruimtegroepen[#All],2,FALSE)</f>
        <v>Kantoren</v>
      </c>
      <c r="M79" s="185" t="s">
        <v>597</v>
      </c>
      <c r="N79" s="171" t="s">
        <v>38</v>
      </c>
      <c r="O79" s="172">
        <v>14</v>
      </c>
      <c r="P79" s="183"/>
      <c r="Q79" s="212" t="str">
        <f>VLOOKUP(Ruimtestaat[[#This Row],[Ruimte code]],Ruimtegroepen[#All],4,FALSE)</f>
        <v>B  (Bureauruimte)</v>
      </c>
      <c r="R79" s="184"/>
      <c r="S79" s="185">
        <v>40</v>
      </c>
      <c r="T79" s="185" t="s">
        <v>2</v>
      </c>
      <c r="U79" s="185">
        <f>IF(S79&gt;0,IF(RIGHT(Ruimtestaat[[#This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" s="185">
        <f>IF(U79&gt;0,VLOOKUP($K79,Ruimtegroepen[],3,FALSE)*VLOOKUP($M79,Vloersoorten[],3,FALSE)*VLOOKUP($T79,Frequenties[],3,FALSE)*VLOOKUP($A79,Locaties[],3,FALSE),0)</f>
        <v>0</v>
      </c>
      <c r="W79" s="185">
        <f>Ruimtestaat[[#This Row],[Uitvoeringen werkdagen]]*Ruimtestaat[[#This Row],[Oppervlak (netto)]]</f>
        <v>2800</v>
      </c>
      <c r="X79" s="220">
        <f>IF(V79&gt;0,Ruimtestaat[[#This Row],[Prest. (m2 /jaar) werkdagen]]/Ruimtestaat[[#This Row],[Norm (m2/uur) werkdagen]],0)</f>
        <v>0</v>
      </c>
      <c r="Y79" s="221">
        <f>Ruimtestaat[[#This Row],[uren / jaar werkdagen]]*Tariefsopbouw!$D$38</f>
        <v>0</v>
      </c>
      <c r="Z79" s="33"/>
      <c r="AA79" s="33">
        <f>IF(Ruimtestaat[[#This Row],[Frequentie weekend]]&gt;0,VALUE(LEFT(Z79,1))*S79,0)</f>
        <v>0</v>
      </c>
      <c r="AB79" s="33">
        <f>IF($AA79&gt;0,VLOOKUP($K79,Ruimtegroepen[],3,FALSE)*VLOOKUP($M79,Vloersoorten[],3,FALSE)*VLOOKUP($Z79,Frequenties[],3,FALSE)*VLOOKUP(#REF!,Locaties[],3,FALSE),0)</f>
        <v>0</v>
      </c>
      <c r="AC79" s="33"/>
      <c r="AD79" s="33"/>
      <c r="AE79" s="33">
        <f>Ruimtestaat[[#This Row],[uren / jaar weekend]]*Tariefsopbouw!$D$40</f>
        <v>0</v>
      </c>
      <c r="AF79" s="79">
        <f>Ruimtestaat[[#This Row],[Prest. (m2 /jaar) weekend]]+Ruimtestaat[[#This Row],[Prest. (m2 /jaar) werkdagen]]</f>
        <v>2800</v>
      </c>
      <c r="AG79" s="79">
        <f>Ruimtestaat[[#This Row],[uren / jaar weekend]]+Ruimtestaat[[#This Row],[uren / jaar werkdagen]]</f>
        <v>0</v>
      </c>
      <c r="AH79" s="80">
        <f>Ruimtestaat[[#This Row],[kosten / jaar weekend]]+Ruimtestaat[[#This Row],[kosten / jaar werkdagen]]</f>
        <v>0</v>
      </c>
      <c r="HM79" s="78"/>
    </row>
    <row r="80" spans="1:221" ht="15" customHeight="1">
      <c r="A80" s="117">
        <v>2</v>
      </c>
      <c r="B80" s="21" t="str">
        <f>VLOOKUP(Ruimtestaat[[#This Row],[Code]],Locaties[#All],2,FALSE)</f>
        <v>Neon College – Enschede</v>
      </c>
      <c r="C80" s="21" t="str">
        <f>VLOOKUP(Ruimtestaat[[#This Row],[Code]],Locaties[#All],4,FALSE)</f>
        <v>Mr. P.J. Troelstrastraat 9</v>
      </c>
      <c r="D80" s="212" t="str">
        <f>VLOOKUP(Ruimtestaat[[#This Row],[Code]],Locaties[#All],5,FALSE)</f>
        <v xml:space="preserve">7522 BD </v>
      </c>
      <c r="E80" s="212" t="str">
        <f>VLOOKUP(Ruimtestaat[[#This Row],[Code]],Locaties[#All],6,FALSE)</f>
        <v>Enschede</v>
      </c>
      <c r="F80" s="171"/>
      <c r="G80" s="171" t="s">
        <v>563</v>
      </c>
      <c r="H80" s="171"/>
      <c r="I80" s="171" t="s">
        <v>861</v>
      </c>
      <c r="J80" s="213" t="s">
        <v>571</v>
      </c>
      <c r="K80" s="171">
        <v>2</v>
      </c>
      <c r="L80" s="223" t="str">
        <f>VLOOKUP(Ruimtestaat[[#This Row],[Ruimte code]],Ruimtegroepen[#All],2,FALSE)</f>
        <v>Kantoren</v>
      </c>
      <c r="M80" s="212" t="s">
        <v>597</v>
      </c>
      <c r="N80" s="171" t="s">
        <v>38</v>
      </c>
      <c r="O80" s="172">
        <v>19</v>
      </c>
      <c r="P80" s="183"/>
      <c r="Q80" s="212" t="str">
        <f>VLOOKUP(Ruimtestaat[[#This Row],[Ruimte code]],Ruimtegroepen[#All],4,FALSE)</f>
        <v>B  (Bureauruimte)</v>
      </c>
      <c r="R80" s="184"/>
      <c r="S80" s="185">
        <v>40</v>
      </c>
      <c r="T80" s="185" t="s">
        <v>2</v>
      </c>
      <c r="U80" s="185">
        <f>IF(S80&gt;0,IF(RIGHT(Ruimtestaat[[#This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" s="185">
        <f>IF(U80&gt;0,VLOOKUP($K80,Ruimtegroepen[],3,FALSE)*VLOOKUP($M80,Vloersoorten[],3,FALSE)*VLOOKUP($T80,Frequenties[],3,FALSE)*VLOOKUP($A80,Locaties[],3,FALSE),0)</f>
        <v>0</v>
      </c>
      <c r="W80" s="185">
        <f>Ruimtestaat[[#This Row],[Uitvoeringen werkdagen]]*Ruimtestaat[[#This Row],[Oppervlak (netto)]]</f>
        <v>3800</v>
      </c>
      <c r="X80" s="220">
        <f>IF(V80&gt;0,Ruimtestaat[[#This Row],[Prest. (m2 /jaar) werkdagen]]/Ruimtestaat[[#This Row],[Norm (m2/uur) werkdagen]],0)</f>
        <v>0</v>
      </c>
      <c r="Y80" s="221">
        <f>Ruimtestaat[[#This Row],[uren / jaar werkdagen]]*Tariefsopbouw!$D$38</f>
        <v>0</v>
      </c>
      <c r="Z80" s="33"/>
      <c r="AA80" s="33">
        <f>IF(Ruimtestaat[[#This Row],[Frequentie weekend]]&gt;0,VALUE(LEFT(Z80,1))*S80,0)</f>
        <v>0</v>
      </c>
      <c r="AB80" s="33">
        <f>IF($AA80&gt;0,VLOOKUP($K80,Ruimtegroepen[],3,FALSE)*VLOOKUP($M80,Vloersoorten[],3,FALSE)*VLOOKUP($Z80,Frequenties[],3,FALSE)*VLOOKUP(#REF!,Locaties[],3,FALSE),0)</f>
        <v>0</v>
      </c>
      <c r="AC80" s="33"/>
      <c r="AD80" s="33"/>
      <c r="AE80" s="33">
        <f>Ruimtestaat[[#This Row],[uren / jaar weekend]]*Tariefsopbouw!$D$40</f>
        <v>0</v>
      </c>
      <c r="AF80" s="79">
        <f>Ruimtestaat[[#This Row],[Prest. (m2 /jaar) weekend]]+Ruimtestaat[[#This Row],[Prest. (m2 /jaar) werkdagen]]</f>
        <v>3800</v>
      </c>
      <c r="AG80" s="79">
        <f>Ruimtestaat[[#This Row],[uren / jaar weekend]]+Ruimtestaat[[#This Row],[uren / jaar werkdagen]]</f>
        <v>0</v>
      </c>
      <c r="AH80" s="80">
        <f>Ruimtestaat[[#This Row],[kosten / jaar weekend]]+Ruimtestaat[[#This Row],[kosten / jaar werkdagen]]</f>
        <v>0</v>
      </c>
      <c r="HM80" s="78"/>
    </row>
    <row r="81" spans="1:221" ht="15" customHeight="1">
      <c r="A81" s="117">
        <v>2</v>
      </c>
      <c r="B81" s="21" t="str">
        <f>VLOOKUP(Ruimtestaat[[#This Row],[Code]],Locaties[#All],2,FALSE)</f>
        <v>Neon College – Enschede</v>
      </c>
      <c r="C81" s="21" t="str">
        <f>VLOOKUP(Ruimtestaat[[#This Row],[Code]],Locaties[#All],4,FALSE)</f>
        <v>Mr. P.J. Troelstrastraat 9</v>
      </c>
      <c r="D81" s="212" t="str">
        <f>VLOOKUP(Ruimtestaat[[#This Row],[Code]],Locaties[#All],5,FALSE)</f>
        <v xml:space="preserve">7522 BD </v>
      </c>
      <c r="E81" s="212" t="str">
        <f>VLOOKUP(Ruimtestaat[[#This Row],[Code]],Locaties[#All],6,FALSE)</f>
        <v>Enschede</v>
      </c>
      <c r="F81" s="171"/>
      <c r="G81" s="171" t="s">
        <v>563</v>
      </c>
      <c r="H81" s="171"/>
      <c r="I81" s="171" t="s">
        <v>862</v>
      </c>
      <c r="J81" s="213" t="s">
        <v>576</v>
      </c>
      <c r="K81" s="171">
        <v>16</v>
      </c>
      <c r="L81" s="223" t="str">
        <f>VLOOKUP(Ruimtestaat[[#This Row],[Ruimte code]],Ruimtegroepen[#All],2,FALSE)</f>
        <v>Leslokalen</v>
      </c>
      <c r="M81" s="185" t="s">
        <v>598</v>
      </c>
      <c r="N81" s="171" t="s">
        <v>900</v>
      </c>
      <c r="O81" s="172">
        <v>49</v>
      </c>
      <c r="P81" s="183"/>
      <c r="Q81" s="212" t="str">
        <f>VLOOKUP(Ruimtestaat[[#This Row],[Ruimte code]],Ruimtegroepen[#All],4,FALSE)</f>
        <v>L  (Lesruimte)</v>
      </c>
      <c r="R81" s="184"/>
      <c r="S81" s="185">
        <v>40</v>
      </c>
      <c r="T81" s="185" t="s">
        <v>2</v>
      </c>
      <c r="U81" s="185">
        <f>IF(S81&gt;0,IF(RIGHT(Ruimtestaat[[#This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" s="185">
        <f>IF(U81&gt;0,VLOOKUP($K81,Ruimtegroepen[],3,FALSE)*VLOOKUP($M81,Vloersoorten[],3,FALSE)*VLOOKUP($T81,Frequenties[],3,FALSE)*VLOOKUP($A81,Locaties[],3,FALSE),0)</f>
        <v>0</v>
      </c>
      <c r="W81" s="185">
        <f>Ruimtestaat[[#This Row],[Uitvoeringen werkdagen]]*Ruimtestaat[[#This Row],[Oppervlak (netto)]]</f>
        <v>9800</v>
      </c>
      <c r="X81" s="220">
        <f>IF(V81&gt;0,Ruimtestaat[[#This Row],[Prest. (m2 /jaar) werkdagen]]/Ruimtestaat[[#This Row],[Norm (m2/uur) werkdagen]],0)</f>
        <v>0</v>
      </c>
      <c r="Y81" s="221">
        <f>Ruimtestaat[[#This Row],[uren / jaar werkdagen]]*Tariefsopbouw!$D$38</f>
        <v>0</v>
      </c>
      <c r="Z81" s="33"/>
      <c r="AA81" s="33">
        <f>IF(Ruimtestaat[[#This Row],[Frequentie weekend]]&gt;0,VALUE(LEFT(Z81,1))*S81,0)</f>
        <v>0</v>
      </c>
      <c r="AB81" s="33">
        <f>IF($AA81&gt;0,VLOOKUP($K81,Ruimtegroepen[],3,FALSE)*VLOOKUP($M81,Vloersoorten[],3,FALSE)*VLOOKUP($Z81,Frequenties[],3,FALSE)*VLOOKUP(#REF!,Locaties[],3,FALSE),0)</f>
        <v>0</v>
      </c>
      <c r="AC81" s="33"/>
      <c r="AD81" s="33"/>
      <c r="AE81" s="33">
        <f>Ruimtestaat[[#This Row],[uren / jaar weekend]]*Tariefsopbouw!$D$40</f>
        <v>0</v>
      </c>
      <c r="AF81" s="79">
        <f>Ruimtestaat[[#This Row],[Prest. (m2 /jaar) weekend]]+Ruimtestaat[[#This Row],[Prest. (m2 /jaar) werkdagen]]</f>
        <v>9800</v>
      </c>
      <c r="AG81" s="79">
        <f>Ruimtestaat[[#This Row],[uren / jaar weekend]]+Ruimtestaat[[#This Row],[uren / jaar werkdagen]]</f>
        <v>0</v>
      </c>
      <c r="AH81" s="80">
        <f>Ruimtestaat[[#This Row],[kosten / jaar weekend]]+Ruimtestaat[[#This Row],[kosten / jaar werkdagen]]</f>
        <v>0</v>
      </c>
      <c r="HM81" s="78"/>
    </row>
    <row r="82" spans="1:221" ht="15" customHeight="1">
      <c r="A82" s="117">
        <v>2</v>
      </c>
      <c r="B82" s="21" t="str">
        <f>VLOOKUP(Ruimtestaat[[#This Row],[Code]],Locaties[#All],2,FALSE)</f>
        <v>Neon College – Enschede</v>
      </c>
      <c r="C82" s="21" t="str">
        <f>VLOOKUP(Ruimtestaat[[#This Row],[Code]],Locaties[#All],4,FALSE)</f>
        <v>Mr. P.J. Troelstrastraat 9</v>
      </c>
      <c r="D82" s="212" t="str">
        <f>VLOOKUP(Ruimtestaat[[#This Row],[Code]],Locaties[#All],5,FALSE)</f>
        <v xml:space="preserve">7522 BD </v>
      </c>
      <c r="E82" s="212" t="str">
        <f>VLOOKUP(Ruimtestaat[[#This Row],[Code]],Locaties[#All],6,FALSE)</f>
        <v>Enschede</v>
      </c>
      <c r="F82" s="171"/>
      <c r="G82" s="171" t="s">
        <v>563</v>
      </c>
      <c r="H82" s="171"/>
      <c r="I82" s="171" t="s">
        <v>863</v>
      </c>
      <c r="J82" s="213" t="s">
        <v>576</v>
      </c>
      <c r="K82" s="171">
        <v>16</v>
      </c>
      <c r="L82" s="223" t="str">
        <f>VLOOKUP(Ruimtestaat[[#This Row],[Ruimte code]],Ruimtegroepen[#All],2,FALSE)</f>
        <v>Leslokalen</v>
      </c>
      <c r="M82" s="185" t="s">
        <v>598</v>
      </c>
      <c r="N82" s="171" t="s">
        <v>900</v>
      </c>
      <c r="O82" s="172">
        <v>45</v>
      </c>
      <c r="P82" s="183"/>
      <c r="Q82" s="212" t="str">
        <f>VLOOKUP(Ruimtestaat[[#This Row],[Ruimte code]],Ruimtegroepen[#All],4,FALSE)</f>
        <v>L  (Lesruimte)</v>
      </c>
      <c r="R82" s="184"/>
      <c r="S82" s="185">
        <v>40</v>
      </c>
      <c r="T82" s="185" t="s">
        <v>2</v>
      </c>
      <c r="U82" s="185">
        <f>IF(S82&gt;0,IF(RIGHT(Ruimtestaat[[#This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" s="185">
        <f>IF(U82&gt;0,VLOOKUP($K82,Ruimtegroepen[],3,FALSE)*VLOOKUP($M82,Vloersoorten[],3,FALSE)*VLOOKUP($T82,Frequenties[],3,FALSE)*VLOOKUP($A82,Locaties[],3,FALSE),0)</f>
        <v>0</v>
      </c>
      <c r="W82" s="185">
        <f>Ruimtestaat[[#This Row],[Uitvoeringen werkdagen]]*Ruimtestaat[[#This Row],[Oppervlak (netto)]]</f>
        <v>9000</v>
      </c>
      <c r="X82" s="220">
        <f>IF(V82&gt;0,Ruimtestaat[[#This Row],[Prest. (m2 /jaar) werkdagen]]/Ruimtestaat[[#This Row],[Norm (m2/uur) werkdagen]],0)</f>
        <v>0</v>
      </c>
      <c r="Y82" s="221">
        <f>Ruimtestaat[[#This Row],[uren / jaar werkdagen]]*Tariefsopbouw!$D$38</f>
        <v>0</v>
      </c>
      <c r="Z82" s="33"/>
      <c r="AA82" s="33">
        <f>IF(Ruimtestaat[[#This Row],[Frequentie weekend]]&gt;0,VALUE(LEFT(Z82,1))*S82,0)</f>
        <v>0</v>
      </c>
      <c r="AB82" s="33">
        <f>IF($AA82&gt;0,VLOOKUP($K82,Ruimtegroepen[],3,FALSE)*VLOOKUP($M82,Vloersoorten[],3,FALSE)*VLOOKUP($Z82,Frequenties[],3,FALSE)*VLOOKUP(#REF!,Locaties[],3,FALSE),0)</f>
        <v>0</v>
      </c>
      <c r="AC82" s="33"/>
      <c r="AD82" s="33"/>
      <c r="AE82" s="33">
        <f>Ruimtestaat[[#This Row],[uren / jaar weekend]]*Tariefsopbouw!$D$40</f>
        <v>0</v>
      </c>
      <c r="AF82" s="79">
        <f>Ruimtestaat[[#This Row],[Prest. (m2 /jaar) weekend]]+Ruimtestaat[[#This Row],[Prest. (m2 /jaar) werkdagen]]</f>
        <v>9000</v>
      </c>
      <c r="AG82" s="79">
        <f>Ruimtestaat[[#This Row],[uren / jaar weekend]]+Ruimtestaat[[#This Row],[uren / jaar werkdagen]]</f>
        <v>0</v>
      </c>
      <c r="AH82" s="80">
        <f>Ruimtestaat[[#This Row],[kosten / jaar weekend]]+Ruimtestaat[[#This Row],[kosten / jaar werkdagen]]</f>
        <v>0</v>
      </c>
      <c r="HM82" s="78"/>
    </row>
    <row r="83" spans="1:221" ht="15" customHeight="1">
      <c r="A83" s="117">
        <v>2</v>
      </c>
      <c r="B83" s="21" t="str">
        <f>VLOOKUP(Ruimtestaat[[#This Row],[Code]],Locaties[#All],2,FALSE)</f>
        <v>Neon College – Enschede</v>
      </c>
      <c r="C83" s="21" t="str">
        <f>VLOOKUP(Ruimtestaat[[#This Row],[Code]],Locaties[#All],4,FALSE)</f>
        <v>Mr. P.J. Troelstrastraat 9</v>
      </c>
      <c r="D83" s="212" t="str">
        <f>VLOOKUP(Ruimtestaat[[#This Row],[Code]],Locaties[#All],5,FALSE)</f>
        <v xml:space="preserve">7522 BD </v>
      </c>
      <c r="E83" s="212" t="str">
        <f>VLOOKUP(Ruimtestaat[[#This Row],[Code]],Locaties[#All],6,FALSE)</f>
        <v>Enschede</v>
      </c>
      <c r="F83" s="171"/>
      <c r="G83" s="171" t="s">
        <v>563</v>
      </c>
      <c r="H83" s="171"/>
      <c r="I83" s="171" t="s">
        <v>864</v>
      </c>
      <c r="J83" s="213" t="s">
        <v>865</v>
      </c>
      <c r="K83" s="171">
        <v>1</v>
      </c>
      <c r="L83" s="223" t="str">
        <f>VLOOKUP(Ruimtestaat[[#This Row],[Ruimte code]],Ruimtegroepen[#All],2,FALSE)</f>
        <v>Magazijnen/bergingen</v>
      </c>
      <c r="M83" s="185" t="s">
        <v>597</v>
      </c>
      <c r="N83" s="171" t="s">
        <v>38</v>
      </c>
      <c r="O83" s="172">
        <v>17</v>
      </c>
      <c r="P83" s="183"/>
      <c r="Q83" s="212" t="str">
        <f>VLOOKUP(Ruimtestaat[[#This Row],[Ruimte code]],Ruimtegroepen[#All],4,FALSE)</f>
        <v>V  (Verkeersruimte)</v>
      </c>
      <c r="R83" s="184"/>
      <c r="S83" s="185">
        <v>40</v>
      </c>
      <c r="T83" s="185" t="s">
        <v>15</v>
      </c>
      <c r="U83" s="185">
        <f>IF(S83&gt;0,IF(RIGHT(Ruimtestaat[[#This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3" s="185">
        <f>IF(U83&gt;0,VLOOKUP($K83,Ruimtegroepen[],3,FALSE)*VLOOKUP($M83,Vloersoorten[],3,FALSE)*VLOOKUP($T83,Frequenties[],3,FALSE)*VLOOKUP($A83,Locaties[],3,FALSE),0)</f>
        <v>0</v>
      </c>
      <c r="W83" s="185">
        <f>Ruimtestaat[[#This Row],[Uitvoeringen werkdagen]]*Ruimtestaat[[#This Row],[Oppervlak (netto)]]</f>
        <v>680</v>
      </c>
      <c r="X83" s="220">
        <f>IF(V83&gt;0,Ruimtestaat[[#This Row],[Prest. (m2 /jaar) werkdagen]]/Ruimtestaat[[#This Row],[Norm (m2/uur) werkdagen]],0)</f>
        <v>0</v>
      </c>
      <c r="Y83" s="221">
        <f>Ruimtestaat[[#This Row],[uren / jaar werkdagen]]*Tariefsopbouw!$D$38</f>
        <v>0</v>
      </c>
      <c r="Z83" s="33"/>
      <c r="AA83" s="33">
        <f>IF(Ruimtestaat[[#This Row],[Frequentie weekend]]&gt;0,VALUE(LEFT(Z83,1))*S83,0)</f>
        <v>0</v>
      </c>
      <c r="AB83" s="33">
        <f>IF($AA83&gt;0,VLOOKUP($K83,Ruimtegroepen[],3,FALSE)*VLOOKUP($M83,Vloersoorten[],3,FALSE)*VLOOKUP($Z83,Frequenties[],3,FALSE)*VLOOKUP(#REF!,Locaties[],3,FALSE),0)</f>
        <v>0</v>
      </c>
      <c r="AC83" s="33"/>
      <c r="AD83" s="33"/>
      <c r="AE83" s="33">
        <f>Ruimtestaat[[#This Row],[uren / jaar weekend]]*Tariefsopbouw!$D$40</f>
        <v>0</v>
      </c>
      <c r="AF83" s="79">
        <f>Ruimtestaat[[#This Row],[Prest. (m2 /jaar) weekend]]+Ruimtestaat[[#This Row],[Prest. (m2 /jaar) werkdagen]]</f>
        <v>680</v>
      </c>
      <c r="AG83" s="79">
        <f>Ruimtestaat[[#This Row],[uren / jaar weekend]]+Ruimtestaat[[#This Row],[uren / jaar werkdagen]]</f>
        <v>0</v>
      </c>
      <c r="AH83" s="80">
        <f>Ruimtestaat[[#This Row],[kosten / jaar weekend]]+Ruimtestaat[[#This Row],[kosten / jaar werkdagen]]</f>
        <v>0</v>
      </c>
      <c r="HM83" s="78"/>
    </row>
    <row r="84" spans="1:221" ht="15" customHeight="1">
      <c r="A84" s="117">
        <v>2</v>
      </c>
      <c r="B84" s="21" t="str">
        <f>VLOOKUP(Ruimtestaat[[#This Row],[Code]],Locaties[#All],2,FALSE)</f>
        <v>Neon College – Enschede</v>
      </c>
      <c r="C84" s="21" t="str">
        <f>VLOOKUP(Ruimtestaat[[#This Row],[Code]],Locaties[#All],4,FALSE)</f>
        <v>Mr. P.J. Troelstrastraat 9</v>
      </c>
      <c r="D84" s="212" t="str">
        <f>VLOOKUP(Ruimtestaat[[#This Row],[Code]],Locaties[#All],5,FALSE)</f>
        <v xml:space="preserve">7522 BD </v>
      </c>
      <c r="E84" s="212" t="str">
        <f>VLOOKUP(Ruimtestaat[[#This Row],[Code]],Locaties[#All],6,FALSE)</f>
        <v>Enschede</v>
      </c>
      <c r="F84" s="171"/>
      <c r="G84" s="171" t="s">
        <v>563</v>
      </c>
      <c r="H84" s="171"/>
      <c r="I84" s="171">
        <v>18</v>
      </c>
      <c r="J84" s="213" t="s">
        <v>652</v>
      </c>
      <c r="K84" s="171">
        <v>20</v>
      </c>
      <c r="L84" s="223" t="str">
        <f>VLOOKUP(Ruimtestaat[[#This Row],[Ruimte code]],Ruimtegroepen[#All],2,FALSE)</f>
        <v>Niet in onderhoud</v>
      </c>
      <c r="M84" s="185" t="s">
        <v>598</v>
      </c>
      <c r="N84" s="171" t="s">
        <v>900</v>
      </c>
      <c r="O84" s="172"/>
      <c r="P84" s="183">
        <v>16</v>
      </c>
      <c r="Q84" s="212" t="str">
        <f>VLOOKUP(Ruimtestaat[[#This Row],[Ruimte code]],Ruimtegroepen[#All],4,FALSE)</f>
        <v>niet in onderhoud</v>
      </c>
      <c r="R84" s="184"/>
      <c r="S84" s="185"/>
      <c r="T84" s="185"/>
      <c r="U84" s="185">
        <f>IF(S84&gt;0,IF(RIGHT(Ruimtestaat[[#This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4" s="185">
        <f>IF(U84&gt;0,VLOOKUP($K84,Ruimtegroepen[],3,FALSE)*VLOOKUP($M84,Vloersoorten[],3,FALSE)*VLOOKUP($T84,Frequenties[],3,FALSE)*VLOOKUP($A84,Locaties[],3,FALSE),0)</f>
        <v>0</v>
      </c>
      <c r="W84" s="185">
        <f>Ruimtestaat[[#This Row],[Uitvoeringen werkdagen]]*Ruimtestaat[[#This Row],[Oppervlak (netto)]]</f>
        <v>0</v>
      </c>
      <c r="X84" s="220">
        <f>IF(V84&gt;0,Ruimtestaat[[#This Row],[Prest. (m2 /jaar) werkdagen]]/Ruimtestaat[[#This Row],[Norm (m2/uur) werkdagen]],0)</f>
        <v>0</v>
      </c>
      <c r="Y84" s="221">
        <f>Ruimtestaat[[#This Row],[uren / jaar werkdagen]]*Tariefsopbouw!$D$38</f>
        <v>0</v>
      </c>
      <c r="Z84" s="33"/>
      <c r="AA84" s="33">
        <f>IF(Ruimtestaat[[#This Row],[Frequentie weekend]]&gt;0,VALUE(LEFT(Z84,1))*S84,0)</f>
        <v>0</v>
      </c>
      <c r="AB84" s="33">
        <f>IF($AA84&gt;0,VLOOKUP($K84,Ruimtegroepen[],3,FALSE)*VLOOKUP($M84,Vloersoorten[],3,FALSE)*VLOOKUP($Z84,Frequenties[],3,FALSE)*VLOOKUP(#REF!,Locaties[],3,FALSE),0)</f>
        <v>0</v>
      </c>
      <c r="AC84" s="33"/>
      <c r="AD84" s="33"/>
      <c r="AE84" s="33">
        <f>Ruimtestaat[[#This Row],[uren / jaar weekend]]*Tariefsopbouw!$D$40</f>
        <v>0</v>
      </c>
      <c r="AF84" s="79">
        <f>Ruimtestaat[[#This Row],[Prest. (m2 /jaar) weekend]]+Ruimtestaat[[#This Row],[Prest. (m2 /jaar) werkdagen]]</f>
        <v>0</v>
      </c>
      <c r="AG84" s="79">
        <f>Ruimtestaat[[#This Row],[uren / jaar weekend]]+Ruimtestaat[[#This Row],[uren / jaar werkdagen]]</f>
        <v>0</v>
      </c>
      <c r="AH84" s="80">
        <f>Ruimtestaat[[#This Row],[kosten / jaar weekend]]+Ruimtestaat[[#This Row],[kosten / jaar werkdagen]]</f>
        <v>0</v>
      </c>
      <c r="HM84" s="78"/>
    </row>
    <row r="85" spans="1:221" ht="15" customHeight="1">
      <c r="A85" s="117">
        <v>2</v>
      </c>
      <c r="B85" s="21" t="str">
        <f>VLOOKUP(Ruimtestaat[[#This Row],[Code]],Locaties[#All],2,FALSE)</f>
        <v>Neon College – Enschede</v>
      </c>
      <c r="C85" s="21" t="str">
        <f>VLOOKUP(Ruimtestaat[[#This Row],[Code]],Locaties[#All],4,FALSE)</f>
        <v>Mr. P.J. Troelstrastraat 9</v>
      </c>
      <c r="D85" s="212" t="str">
        <f>VLOOKUP(Ruimtestaat[[#This Row],[Code]],Locaties[#All],5,FALSE)</f>
        <v xml:space="preserve">7522 BD </v>
      </c>
      <c r="E85" s="212" t="str">
        <f>VLOOKUP(Ruimtestaat[[#This Row],[Code]],Locaties[#All],6,FALSE)</f>
        <v>Enschede</v>
      </c>
      <c r="F85" s="171"/>
      <c r="G85" s="171" t="s">
        <v>563</v>
      </c>
      <c r="H85" s="171"/>
      <c r="I85" s="171">
        <v>19</v>
      </c>
      <c r="J85" s="213" t="s">
        <v>567</v>
      </c>
      <c r="K85" s="171">
        <v>9</v>
      </c>
      <c r="L85" s="223" t="str">
        <f>VLOOKUP(Ruimtestaat[[#This Row],[Ruimte code]],Ruimtegroepen[#All],2,FALSE)</f>
        <v>Time-out ruimte</v>
      </c>
      <c r="M85" s="185" t="s">
        <v>598</v>
      </c>
      <c r="N85" s="171" t="s">
        <v>900</v>
      </c>
      <c r="O85" s="172">
        <v>14</v>
      </c>
      <c r="P85" s="183"/>
      <c r="Q85" s="212" t="str">
        <f>VLOOKUP(Ruimtestaat[[#This Row],[Ruimte code]],Ruimtegroepen[#All],4,FALSE)</f>
        <v>V  (Verkeersruimte)</v>
      </c>
      <c r="R85" s="184"/>
      <c r="S85" s="185">
        <v>40</v>
      </c>
      <c r="T85" s="185" t="s">
        <v>2</v>
      </c>
      <c r="U85" s="185">
        <f>IF(S85&gt;0,IF(RIGHT(Ruimtestaat[[#This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" s="185">
        <f>IF(U85&gt;0,VLOOKUP($K85,Ruimtegroepen[],3,FALSE)*VLOOKUP($M85,Vloersoorten[],3,FALSE)*VLOOKUP($T85,Frequenties[],3,FALSE)*VLOOKUP($A85,Locaties[],3,FALSE),0)</f>
        <v>0</v>
      </c>
      <c r="W85" s="185">
        <f>Ruimtestaat[[#This Row],[Uitvoeringen werkdagen]]*Ruimtestaat[[#This Row],[Oppervlak (netto)]]</f>
        <v>2800</v>
      </c>
      <c r="X85" s="220">
        <f>IF(V85&gt;0,Ruimtestaat[[#This Row],[Prest. (m2 /jaar) werkdagen]]/Ruimtestaat[[#This Row],[Norm (m2/uur) werkdagen]],0)</f>
        <v>0</v>
      </c>
      <c r="Y85" s="221">
        <f>Ruimtestaat[[#This Row],[uren / jaar werkdagen]]*Tariefsopbouw!$D$38</f>
        <v>0</v>
      </c>
      <c r="Z85" s="33"/>
      <c r="AA85" s="33">
        <f>IF(Ruimtestaat[[#This Row],[Frequentie weekend]]&gt;0,VALUE(LEFT(Z85,1))*S85,0)</f>
        <v>0</v>
      </c>
      <c r="AB85" s="33">
        <f>IF($AA85&gt;0,VLOOKUP($K85,Ruimtegroepen[],3,FALSE)*VLOOKUP($M85,Vloersoorten[],3,FALSE)*VLOOKUP($Z85,Frequenties[],3,FALSE)*VLOOKUP(#REF!,Locaties[],3,FALSE),0)</f>
        <v>0</v>
      </c>
      <c r="AC85" s="33"/>
      <c r="AD85" s="33"/>
      <c r="AE85" s="33">
        <f>Ruimtestaat[[#This Row],[uren / jaar weekend]]*Tariefsopbouw!$D$40</f>
        <v>0</v>
      </c>
      <c r="AF85" s="79">
        <f>Ruimtestaat[[#This Row],[Prest. (m2 /jaar) weekend]]+Ruimtestaat[[#This Row],[Prest. (m2 /jaar) werkdagen]]</f>
        <v>2800</v>
      </c>
      <c r="AG85" s="79">
        <f>Ruimtestaat[[#This Row],[uren / jaar weekend]]+Ruimtestaat[[#This Row],[uren / jaar werkdagen]]</f>
        <v>0</v>
      </c>
      <c r="AH85" s="80">
        <f>Ruimtestaat[[#This Row],[kosten / jaar weekend]]+Ruimtestaat[[#This Row],[kosten / jaar werkdagen]]</f>
        <v>0</v>
      </c>
      <c r="HM85" s="78"/>
    </row>
    <row r="86" spans="1:221" ht="15" customHeight="1">
      <c r="A86" s="117">
        <v>2</v>
      </c>
      <c r="B86" s="21" t="str">
        <f>VLOOKUP(Ruimtestaat[[#This Row],[Code]],Locaties[#All],2,FALSE)</f>
        <v>Neon College – Enschede</v>
      </c>
      <c r="C86" s="21" t="str">
        <f>VLOOKUP(Ruimtestaat[[#This Row],[Code]],Locaties[#All],4,FALSE)</f>
        <v>Mr. P.J. Troelstrastraat 9</v>
      </c>
      <c r="D86" s="212" t="str">
        <f>VLOOKUP(Ruimtestaat[[#This Row],[Code]],Locaties[#All],5,FALSE)</f>
        <v xml:space="preserve">7522 BD </v>
      </c>
      <c r="E86" s="212" t="str">
        <f>VLOOKUP(Ruimtestaat[[#This Row],[Code]],Locaties[#All],6,FALSE)</f>
        <v>Enschede</v>
      </c>
      <c r="F86" s="171"/>
      <c r="G86" s="171" t="s">
        <v>563</v>
      </c>
      <c r="H86" s="171"/>
      <c r="I86" s="171">
        <v>20</v>
      </c>
      <c r="J86" s="213" t="s">
        <v>866</v>
      </c>
      <c r="K86" s="171">
        <v>1</v>
      </c>
      <c r="L86" s="223" t="str">
        <f>VLOOKUP(Ruimtestaat[[#This Row],[Ruimte code]],Ruimtegroepen[#All],2,FALSE)</f>
        <v>Magazijnen/bergingen</v>
      </c>
      <c r="M86" s="185" t="s">
        <v>598</v>
      </c>
      <c r="N86" s="171" t="s">
        <v>900</v>
      </c>
      <c r="O86" s="172">
        <v>18</v>
      </c>
      <c r="P86" s="183"/>
      <c r="Q86" s="212" t="str">
        <f>VLOOKUP(Ruimtestaat[[#This Row],[Ruimte code]],Ruimtegroepen[#All],4,FALSE)</f>
        <v>V  (Verkeersruimte)</v>
      </c>
      <c r="R86" s="184"/>
      <c r="S86" s="185">
        <v>40</v>
      </c>
      <c r="T86" s="185" t="s">
        <v>16</v>
      </c>
      <c r="U86" s="185">
        <f>IF(S86&gt;0,IF(RIGHT(Ruimtestaat[[#This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86" s="185">
        <f>IF(U86&gt;0,VLOOKUP($K86,Ruimtegroepen[],3,FALSE)*VLOOKUP($M86,Vloersoorten[],3,FALSE)*VLOOKUP($T86,Frequenties[],3,FALSE)*VLOOKUP($A86,Locaties[],3,FALSE),0)</f>
        <v>0</v>
      </c>
      <c r="W86" s="185">
        <f>Ruimtestaat[[#This Row],[Uitvoeringen werkdagen]]*Ruimtestaat[[#This Row],[Oppervlak (netto)]]</f>
        <v>216</v>
      </c>
      <c r="X86" s="220">
        <f>IF(V86&gt;0,Ruimtestaat[[#This Row],[Prest. (m2 /jaar) werkdagen]]/Ruimtestaat[[#This Row],[Norm (m2/uur) werkdagen]],0)</f>
        <v>0</v>
      </c>
      <c r="Y86" s="221">
        <f>Ruimtestaat[[#This Row],[uren / jaar werkdagen]]*Tariefsopbouw!$D$38</f>
        <v>0</v>
      </c>
      <c r="Z86" s="33"/>
      <c r="AA86" s="33">
        <f>IF(Ruimtestaat[[#This Row],[Frequentie weekend]]&gt;0,VALUE(LEFT(Z86,1))*S86,0)</f>
        <v>0</v>
      </c>
      <c r="AB86" s="33">
        <f>IF($AA86&gt;0,VLOOKUP($K86,Ruimtegroepen[],3,FALSE)*VLOOKUP($M86,Vloersoorten[],3,FALSE)*VLOOKUP($Z86,Frequenties[],3,FALSE)*VLOOKUP(#REF!,Locaties[],3,FALSE),0)</f>
        <v>0</v>
      </c>
      <c r="AC86" s="33"/>
      <c r="AD86" s="33"/>
      <c r="AE86" s="33">
        <f>Ruimtestaat[[#This Row],[uren / jaar weekend]]*Tariefsopbouw!$D$40</f>
        <v>0</v>
      </c>
      <c r="AF86" s="79">
        <f>Ruimtestaat[[#This Row],[Prest. (m2 /jaar) weekend]]+Ruimtestaat[[#This Row],[Prest. (m2 /jaar) werkdagen]]</f>
        <v>216</v>
      </c>
      <c r="AG86" s="79">
        <f>Ruimtestaat[[#This Row],[uren / jaar weekend]]+Ruimtestaat[[#This Row],[uren / jaar werkdagen]]</f>
        <v>0</v>
      </c>
      <c r="AH86" s="80">
        <f>Ruimtestaat[[#This Row],[kosten / jaar weekend]]+Ruimtestaat[[#This Row],[kosten / jaar werkdagen]]</f>
        <v>0</v>
      </c>
      <c r="HM86" s="78"/>
    </row>
    <row r="87" spans="1:221" ht="15" customHeight="1">
      <c r="A87" s="117">
        <v>2</v>
      </c>
      <c r="B87" s="21" t="str">
        <f>VLOOKUP(Ruimtestaat[[#This Row],[Code]],Locaties[#All],2,FALSE)</f>
        <v>Neon College – Enschede</v>
      </c>
      <c r="C87" s="21" t="str">
        <f>VLOOKUP(Ruimtestaat[[#This Row],[Code]],Locaties[#All],4,FALSE)</f>
        <v>Mr. P.J. Troelstrastraat 9</v>
      </c>
      <c r="D87" s="212" t="str">
        <f>VLOOKUP(Ruimtestaat[[#This Row],[Code]],Locaties[#All],5,FALSE)</f>
        <v xml:space="preserve">7522 BD </v>
      </c>
      <c r="E87" s="212" t="str">
        <f>VLOOKUP(Ruimtestaat[[#This Row],[Code]],Locaties[#All],6,FALSE)</f>
        <v>Enschede</v>
      </c>
      <c r="F87" s="171"/>
      <c r="G87" s="171" t="s">
        <v>563</v>
      </c>
      <c r="H87" s="171"/>
      <c r="I87" s="171">
        <v>21</v>
      </c>
      <c r="J87" s="213" t="s">
        <v>422</v>
      </c>
      <c r="K87" s="171">
        <v>14</v>
      </c>
      <c r="L87" s="223" t="str">
        <f>VLOOKUP(Ruimtestaat[[#This Row],[Ruimte code]],Ruimtegroepen[#All],2,FALSE)</f>
        <v>Praktijklokalen</v>
      </c>
      <c r="M87" s="185" t="s">
        <v>598</v>
      </c>
      <c r="N87" s="171" t="s">
        <v>900</v>
      </c>
      <c r="O87" s="172">
        <v>52</v>
      </c>
      <c r="P87" s="183"/>
      <c r="Q87" s="212" t="str">
        <f>VLOOKUP(Ruimtestaat[[#This Row],[Ruimte code]],Ruimtegroepen[#All],4,FALSE)</f>
        <v>L  (Lesruimte)</v>
      </c>
      <c r="R87" s="184"/>
      <c r="S87" s="185">
        <v>40</v>
      </c>
      <c r="T87" s="185" t="s">
        <v>2</v>
      </c>
      <c r="U87" s="185">
        <f>IF(S87&gt;0,IF(RIGHT(Ruimtestaat[[#This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" s="185">
        <f>IF(U87&gt;0,VLOOKUP($K87,Ruimtegroepen[],3,FALSE)*VLOOKUP($M87,Vloersoorten[],3,FALSE)*VLOOKUP($T87,Frequenties[],3,FALSE)*VLOOKUP($A87,Locaties[],3,FALSE),0)</f>
        <v>0</v>
      </c>
      <c r="W87" s="185">
        <f>Ruimtestaat[[#This Row],[Uitvoeringen werkdagen]]*Ruimtestaat[[#This Row],[Oppervlak (netto)]]</f>
        <v>10400</v>
      </c>
      <c r="X87" s="220">
        <f>IF(V87&gt;0,Ruimtestaat[[#This Row],[Prest. (m2 /jaar) werkdagen]]/Ruimtestaat[[#This Row],[Norm (m2/uur) werkdagen]],0)</f>
        <v>0</v>
      </c>
      <c r="Y87" s="221">
        <f>Ruimtestaat[[#This Row],[uren / jaar werkdagen]]*Tariefsopbouw!$D$38</f>
        <v>0</v>
      </c>
      <c r="Z87" s="33"/>
      <c r="AA87" s="33">
        <f>IF(Ruimtestaat[[#This Row],[Frequentie weekend]]&gt;0,VALUE(LEFT(Z87,1))*S87,0)</f>
        <v>0</v>
      </c>
      <c r="AB87" s="33">
        <f>IF($AA87&gt;0,VLOOKUP($K87,Ruimtegroepen[],3,FALSE)*VLOOKUP($M87,Vloersoorten[],3,FALSE)*VLOOKUP($Z87,Frequenties[],3,FALSE)*VLOOKUP(#REF!,Locaties[],3,FALSE),0)</f>
        <v>0</v>
      </c>
      <c r="AC87" s="33"/>
      <c r="AD87" s="33"/>
      <c r="AE87" s="33">
        <f>Ruimtestaat[[#This Row],[uren / jaar weekend]]*Tariefsopbouw!$D$40</f>
        <v>0</v>
      </c>
      <c r="AF87" s="79">
        <f>Ruimtestaat[[#This Row],[Prest. (m2 /jaar) weekend]]+Ruimtestaat[[#This Row],[Prest. (m2 /jaar) werkdagen]]</f>
        <v>10400</v>
      </c>
      <c r="AG87" s="79">
        <f>Ruimtestaat[[#This Row],[uren / jaar weekend]]+Ruimtestaat[[#This Row],[uren / jaar werkdagen]]</f>
        <v>0</v>
      </c>
      <c r="AH87" s="80">
        <f>Ruimtestaat[[#This Row],[kosten / jaar weekend]]+Ruimtestaat[[#This Row],[kosten / jaar werkdagen]]</f>
        <v>0</v>
      </c>
      <c r="HM87" s="78"/>
    </row>
    <row r="88" spans="1:221" ht="15" customHeight="1">
      <c r="A88" s="117">
        <v>2</v>
      </c>
      <c r="B88" s="21" t="str">
        <f>VLOOKUP(Ruimtestaat[[#This Row],[Code]],Locaties[#All],2,FALSE)</f>
        <v>Neon College – Enschede</v>
      </c>
      <c r="C88" s="21" t="str">
        <f>VLOOKUP(Ruimtestaat[[#This Row],[Code]],Locaties[#All],4,FALSE)</f>
        <v>Mr. P.J. Troelstrastraat 9</v>
      </c>
      <c r="D88" s="212" t="str">
        <f>VLOOKUP(Ruimtestaat[[#This Row],[Code]],Locaties[#All],5,FALSE)</f>
        <v xml:space="preserve">7522 BD </v>
      </c>
      <c r="E88" s="212" t="str">
        <f>VLOOKUP(Ruimtestaat[[#This Row],[Code]],Locaties[#All],6,FALSE)</f>
        <v>Enschede</v>
      </c>
      <c r="F88" s="171"/>
      <c r="G88" s="171" t="s">
        <v>563</v>
      </c>
      <c r="H88" s="171"/>
      <c r="I88" s="171">
        <v>22</v>
      </c>
      <c r="J88" s="213" t="s">
        <v>422</v>
      </c>
      <c r="K88" s="171">
        <v>14</v>
      </c>
      <c r="L88" s="223" t="str">
        <f>VLOOKUP(Ruimtestaat[[#This Row],[Ruimte code]],Ruimtegroepen[#All],2,FALSE)</f>
        <v>Praktijklokalen</v>
      </c>
      <c r="M88" s="185" t="s">
        <v>598</v>
      </c>
      <c r="N88" s="171" t="s">
        <v>900</v>
      </c>
      <c r="O88" s="172">
        <v>53</v>
      </c>
      <c r="P88" s="183"/>
      <c r="Q88" s="212" t="str">
        <f>VLOOKUP(Ruimtestaat[[#This Row],[Ruimte code]],Ruimtegroepen[#All],4,FALSE)</f>
        <v>L  (Lesruimte)</v>
      </c>
      <c r="R88" s="184"/>
      <c r="S88" s="185">
        <v>40</v>
      </c>
      <c r="T88" s="185" t="s">
        <v>2</v>
      </c>
      <c r="U88" s="185">
        <f>IF(S88&gt;0,IF(RIGHT(Ruimtestaat[[#This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" s="185">
        <f>IF(U88&gt;0,VLOOKUP($K88,Ruimtegroepen[],3,FALSE)*VLOOKUP($M88,Vloersoorten[],3,FALSE)*VLOOKUP($T88,Frequenties[],3,FALSE)*VLOOKUP($A88,Locaties[],3,FALSE),0)</f>
        <v>0</v>
      </c>
      <c r="W88" s="185">
        <f>Ruimtestaat[[#This Row],[Uitvoeringen werkdagen]]*Ruimtestaat[[#This Row],[Oppervlak (netto)]]</f>
        <v>10600</v>
      </c>
      <c r="X88" s="220">
        <f>IF(V88&gt;0,Ruimtestaat[[#This Row],[Prest. (m2 /jaar) werkdagen]]/Ruimtestaat[[#This Row],[Norm (m2/uur) werkdagen]],0)</f>
        <v>0</v>
      </c>
      <c r="Y88" s="221">
        <f>Ruimtestaat[[#This Row],[uren / jaar werkdagen]]*Tariefsopbouw!$D$38</f>
        <v>0</v>
      </c>
      <c r="Z88" s="33"/>
      <c r="AA88" s="33">
        <f>IF(Ruimtestaat[[#This Row],[Frequentie weekend]]&gt;0,VALUE(LEFT(Z88,1))*S88,0)</f>
        <v>0</v>
      </c>
      <c r="AB88" s="33">
        <f>IF($AA88&gt;0,VLOOKUP($K88,Ruimtegroepen[],3,FALSE)*VLOOKUP($M88,Vloersoorten[],3,FALSE)*VLOOKUP($Z88,Frequenties[],3,FALSE)*VLOOKUP(#REF!,Locaties[],3,FALSE),0)</f>
        <v>0</v>
      </c>
      <c r="AC88" s="33"/>
      <c r="AD88" s="33"/>
      <c r="AE88" s="33">
        <f>Ruimtestaat[[#This Row],[uren / jaar weekend]]*Tariefsopbouw!$D$40</f>
        <v>0</v>
      </c>
      <c r="AF88" s="79">
        <f>Ruimtestaat[[#This Row],[Prest. (m2 /jaar) weekend]]+Ruimtestaat[[#This Row],[Prest. (m2 /jaar) werkdagen]]</f>
        <v>10600</v>
      </c>
      <c r="AG88" s="79">
        <f>Ruimtestaat[[#This Row],[uren / jaar weekend]]+Ruimtestaat[[#This Row],[uren / jaar werkdagen]]</f>
        <v>0</v>
      </c>
      <c r="AH88" s="80">
        <f>Ruimtestaat[[#This Row],[kosten / jaar weekend]]+Ruimtestaat[[#This Row],[kosten / jaar werkdagen]]</f>
        <v>0</v>
      </c>
      <c r="HM88" s="78"/>
    </row>
    <row r="89" spans="1:221" ht="15" customHeight="1">
      <c r="A89" s="117">
        <v>2</v>
      </c>
      <c r="B89" s="21" t="str">
        <f>VLOOKUP(Ruimtestaat[[#This Row],[Code]],Locaties[#All],2,FALSE)</f>
        <v>Neon College – Enschede</v>
      </c>
      <c r="C89" s="21" t="str">
        <f>VLOOKUP(Ruimtestaat[[#This Row],[Code]],Locaties[#All],4,FALSE)</f>
        <v>Mr. P.J. Troelstrastraat 9</v>
      </c>
      <c r="D89" s="212" t="str">
        <f>VLOOKUP(Ruimtestaat[[#This Row],[Code]],Locaties[#All],5,FALSE)</f>
        <v xml:space="preserve">7522 BD </v>
      </c>
      <c r="E89" s="212" t="str">
        <f>VLOOKUP(Ruimtestaat[[#This Row],[Code]],Locaties[#All],6,FALSE)</f>
        <v>Enschede</v>
      </c>
      <c r="F89" s="171"/>
      <c r="G89" s="171" t="s">
        <v>563</v>
      </c>
      <c r="H89" s="171"/>
      <c r="I89" s="171">
        <v>23</v>
      </c>
      <c r="J89" s="213" t="s">
        <v>723</v>
      </c>
      <c r="K89" s="171">
        <v>5</v>
      </c>
      <c r="L89" s="223" t="str">
        <f>VLOOKUP(Ruimtestaat[[#This Row],[Ruimte code]],Ruimtegroepen[#All],2,FALSE)</f>
        <v>Sanitair</v>
      </c>
      <c r="M89" s="212" t="s">
        <v>111</v>
      </c>
      <c r="N89" s="171" t="s">
        <v>606</v>
      </c>
      <c r="O89" s="172">
        <v>7</v>
      </c>
      <c r="P89" s="183"/>
      <c r="Q89" s="212" t="str">
        <f>VLOOKUP(Ruimtestaat[[#This Row],[Ruimte code]],Ruimtegroepen[#All],4,FALSE)</f>
        <v>S  (Sanitair)</v>
      </c>
      <c r="R89" s="184"/>
      <c r="S89" s="185">
        <v>40</v>
      </c>
      <c r="T89" s="185" t="s">
        <v>2</v>
      </c>
      <c r="U89" s="185">
        <f>IF(S89&gt;0,IF(RIGHT(Ruimtestaat[[#This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" s="185">
        <f>IF(U89&gt;0,VLOOKUP($K89,Ruimtegroepen[],3,FALSE)*VLOOKUP($M89,Vloersoorten[],3,FALSE)*VLOOKUP($T89,Frequenties[],3,FALSE)*VLOOKUP($A89,Locaties[],3,FALSE),0)</f>
        <v>0</v>
      </c>
      <c r="W89" s="185">
        <f>Ruimtestaat[[#This Row],[Uitvoeringen werkdagen]]*Ruimtestaat[[#This Row],[Oppervlak (netto)]]</f>
        <v>1400</v>
      </c>
      <c r="X89" s="220">
        <f>IF(V89&gt;0,Ruimtestaat[[#This Row],[Prest. (m2 /jaar) werkdagen]]/Ruimtestaat[[#This Row],[Norm (m2/uur) werkdagen]],0)</f>
        <v>0</v>
      </c>
      <c r="Y89" s="221">
        <f>Ruimtestaat[[#This Row],[uren / jaar werkdagen]]*Tariefsopbouw!$D$38</f>
        <v>0</v>
      </c>
      <c r="Z89" s="33"/>
      <c r="AA89" s="33">
        <f>IF(Ruimtestaat[[#This Row],[Frequentie weekend]]&gt;0,VALUE(LEFT(Z89,1))*S89,0)</f>
        <v>0</v>
      </c>
      <c r="AB89" s="33">
        <f>IF($AA89&gt;0,VLOOKUP($K89,Ruimtegroepen[],3,FALSE)*VLOOKUP($M89,Vloersoorten[],3,FALSE)*VLOOKUP($Z89,Frequenties[],3,FALSE)*VLOOKUP(#REF!,Locaties[],3,FALSE),0)</f>
        <v>0</v>
      </c>
      <c r="AC89" s="33"/>
      <c r="AD89" s="33"/>
      <c r="AE89" s="33">
        <f>Ruimtestaat[[#This Row],[uren / jaar weekend]]*Tariefsopbouw!$D$40</f>
        <v>0</v>
      </c>
      <c r="AF89" s="79">
        <f>Ruimtestaat[[#This Row],[Prest. (m2 /jaar) weekend]]+Ruimtestaat[[#This Row],[Prest. (m2 /jaar) werkdagen]]</f>
        <v>1400</v>
      </c>
      <c r="AG89" s="79">
        <f>Ruimtestaat[[#This Row],[uren / jaar weekend]]+Ruimtestaat[[#This Row],[uren / jaar werkdagen]]</f>
        <v>0</v>
      </c>
      <c r="AH89" s="80">
        <f>Ruimtestaat[[#This Row],[kosten / jaar weekend]]+Ruimtestaat[[#This Row],[kosten / jaar werkdagen]]</f>
        <v>0</v>
      </c>
      <c r="HM89" s="78"/>
    </row>
    <row r="90" spans="1:221" ht="15" customHeight="1">
      <c r="A90" s="117">
        <v>2</v>
      </c>
      <c r="B90" s="21" t="str">
        <f>VLOOKUP(Ruimtestaat[[#This Row],[Code]],Locaties[#All],2,FALSE)</f>
        <v>Neon College – Enschede</v>
      </c>
      <c r="C90" s="21" t="str">
        <f>VLOOKUP(Ruimtestaat[[#This Row],[Code]],Locaties[#All],4,FALSE)</f>
        <v>Mr. P.J. Troelstrastraat 9</v>
      </c>
      <c r="D90" s="212" t="str">
        <f>VLOOKUP(Ruimtestaat[[#This Row],[Code]],Locaties[#All],5,FALSE)</f>
        <v xml:space="preserve">7522 BD </v>
      </c>
      <c r="E90" s="212" t="str">
        <f>VLOOKUP(Ruimtestaat[[#This Row],[Code]],Locaties[#All],6,FALSE)</f>
        <v>Enschede</v>
      </c>
      <c r="F90" s="171"/>
      <c r="G90" s="171" t="s">
        <v>563</v>
      </c>
      <c r="H90" s="171"/>
      <c r="I90" s="171" t="s">
        <v>867</v>
      </c>
      <c r="J90" s="213" t="s">
        <v>722</v>
      </c>
      <c r="K90" s="171">
        <v>5</v>
      </c>
      <c r="L90" s="223" t="str">
        <f>VLOOKUP(Ruimtestaat[[#This Row],[Ruimte code]],Ruimtegroepen[#All],2,FALSE)</f>
        <v>Sanitair</v>
      </c>
      <c r="M90" s="212" t="s">
        <v>111</v>
      </c>
      <c r="N90" s="171" t="s">
        <v>606</v>
      </c>
      <c r="O90" s="172">
        <v>7</v>
      </c>
      <c r="P90" s="183"/>
      <c r="Q90" s="212" t="str">
        <f>VLOOKUP(Ruimtestaat[[#This Row],[Ruimte code]],Ruimtegroepen[#All],4,FALSE)</f>
        <v>S  (Sanitair)</v>
      </c>
      <c r="R90" s="184"/>
      <c r="S90" s="185">
        <v>40</v>
      </c>
      <c r="T90" s="185" t="s">
        <v>2</v>
      </c>
      <c r="U90" s="185">
        <f>IF(S90&gt;0,IF(RIGHT(Ruimtestaat[[#This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" s="185">
        <f>IF(U90&gt;0,VLOOKUP($K90,Ruimtegroepen[],3,FALSE)*VLOOKUP($M90,Vloersoorten[],3,FALSE)*VLOOKUP($T90,Frequenties[],3,FALSE)*VLOOKUP($A90,Locaties[],3,FALSE),0)</f>
        <v>0</v>
      </c>
      <c r="W90" s="185">
        <f>Ruimtestaat[[#This Row],[Uitvoeringen werkdagen]]*Ruimtestaat[[#This Row],[Oppervlak (netto)]]</f>
        <v>1400</v>
      </c>
      <c r="X90" s="220">
        <f>IF(V90&gt;0,Ruimtestaat[[#This Row],[Prest. (m2 /jaar) werkdagen]]/Ruimtestaat[[#This Row],[Norm (m2/uur) werkdagen]],0)</f>
        <v>0</v>
      </c>
      <c r="Y90" s="221">
        <f>Ruimtestaat[[#This Row],[uren / jaar werkdagen]]*Tariefsopbouw!$D$38</f>
        <v>0</v>
      </c>
      <c r="Z90" s="33"/>
      <c r="AA90" s="33">
        <f>IF(Ruimtestaat[[#This Row],[Frequentie weekend]]&gt;0,VALUE(LEFT(Z90,1))*S90,0)</f>
        <v>0</v>
      </c>
      <c r="AB90" s="33">
        <f>IF($AA90&gt;0,VLOOKUP($K90,Ruimtegroepen[],3,FALSE)*VLOOKUP($M90,Vloersoorten[],3,FALSE)*VLOOKUP($Z90,Frequenties[],3,FALSE)*VLOOKUP(#REF!,Locaties[],3,FALSE),0)</f>
        <v>0</v>
      </c>
      <c r="AC90" s="33"/>
      <c r="AD90" s="33"/>
      <c r="AE90" s="33">
        <f>Ruimtestaat[[#This Row],[uren / jaar weekend]]*Tariefsopbouw!$D$40</f>
        <v>0</v>
      </c>
      <c r="AF90" s="79">
        <f>Ruimtestaat[[#This Row],[Prest. (m2 /jaar) weekend]]+Ruimtestaat[[#This Row],[Prest. (m2 /jaar) werkdagen]]</f>
        <v>1400</v>
      </c>
      <c r="AG90" s="79">
        <f>Ruimtestaat[[#This Row],[uren / jaar weekend]]+Ruimtestaat[[#This Row],[uren / jaar werkdagen]]</f>
        <v>0</v>
      </c>
      <c r="AH90" s="80">
        <f>Ruimtestaat[[#This Row],[kosten / jaar weekend]]+Ruimtestaat[[#This Row],[kosten / jaar werkdagen]]</f>
        <v>0</v>
      </c>
      <c r="HM90" s="78"/>
    </row>
    <row r="91" spans="1:221" ht="15" customHeight="1">
      <c r="A91" s="117">
        <v>2</v>
      </c>
      <c r="B91" s="21" t="str">
        <f>VLOOKUP(Ruimtestaat[[#This Row],[Code]],Locaties[#All],2,FALSE)</f>
        <v>Neon College – Enschede</v>
      </c>
      <c r="C91" s="21" t="str">
        <f>VLOOKUP(Ruimtestaat[[#This Row],[Code]],Locaties[#All],4,FALSE)</f>
        <v>Mr. P.J. Troelstrastraat 9</v>
      </c>
      <c r="D91" s="212" t="str">
        <f>VLOOKUP(Ruimtestaat[[#This Row],[Code]],Locaties[#All],5,FALSE)</f>
        <v xml:space="preserve">7522 BD </v>
      </c>
      <c r="E91" s="212" t="str">
        <f>VLOOKUP(Ruimtestaat[[#This Row],[Code]],Locaties[#All],6,FALSE)</f>
        <v>Enschede</v>
      </c>
      <c r="F91" s="171"/>
      <c r="G91" s="171" t="s">
        <v>563</v>
      </c>
      <c r="H91" s="171"/>
      <c r="I91" s="171" t="s">
        <v>868</v>
      </c>
      <c r="J91" s="213" t="s">
        <v>384</v>
      </c>
      <c r="K91" s="171">
        <v>12</v>
      </c>
      <c r="L91" s="223" t="str">
        <f>VLOOKUP(Ruimtestaat[[#This Row],[Ruimte code]],Ruimtegroepen[#All],2,FALSE)</f>
        <v>Kantine</v>
      </c>
      <c r="M91" s="185" t="s">
        <v>598</v>
      </c>
      <c r="N91" s="171" t="s">
        <v>900</v>
      </c>
      <c r="O91" s="172">
        <v>63</v>
      </c>
      <c r="P91" s="183"/>
      <c r="Q91" s="212" t="str">
        <f>VLOOKUP(Ruimtestaat[[#This Row],[Ruimte code]],Ruimtegroepen[#All],4,FALSE)</f>
        <v>V  (Verkeersruimte)</v>
      </c>
      <c r="R91" s="184"/>
      <c r="S91" s="185">
        <v>40</v>
      </c>
      <c r="T91" s="185" t="s">
        <v>2</v>
      </c>
      <c r="U91" s="185">
        <f>IF(S91&gt;0,IF(RIGHT(Ruimtestaat[[#This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" s="185">
        <f>IF(U91&gt;0,VLOOKUP($K91,Ruimtegroepen[],3,FALSE)*VLOOKUP($M91,Vloersoorten[],3,FALSE)*VLOOKUP($T91,Frequenties[],3,FALSE)*VLOOKUP($A91,Locaties[],3,FALSE),0)</f>
        <v>0</v>
      </c>
      <c r="W91" s="185">
        <f>Ruimtestaat[[#This Row],[Uitvoeringen werkdagen]]*Ruimtestaat[[#This Row],[Oppervlak (netto)]]</f>
        <v>12600</v>
      </c>
      <c r="X91" s="220">
        <f>IF(V91&gt;0,Ruimtestaat[[#This Row],[Prest. (m2 /jaar) werkdagen]]/Ruimtestaat[[#This Row],[Norm (m2/uur) werkdagen]],0)</f>
        <v>0</v>
      </c>
      <c r="Y91" s="221">
        <f>Ruimtestaat[[#This Row],[uren / jaar werkdagen]]*Tariefsopbouw!$D$38</f>
        <v>0</v>
      </c>
      <c r="Z91" s="33"/>
      <c r="AA91" s="33">
        <f>IF(Ruimtestaat[[#This Row],[Frequentie weekend]]&gt;0,VALUE(LEFT(Z91,1))*S91,0)</f>
        <v>0</v>
      </c>
      <c r="AB91" s="33">
        <f>IF($AA91&gt;0,VLOOKUP($K91,Ruimtegroepen[],3,FALSE)*VLOOKUP($M91,Vloersoorten[],3,FALSE)*VLOOKUP($Z91,Frequenties[],3,FALSE)*VLOOKUP(#REF!,Locaties[],3,FALSE),0)</f>
        <v>0</v>
      </c>
      <c r="AC91" s="33"/>
      <c r="AD91" s="33"/>
      <c r="AE91" s="33">
        <f>Ruimtestaat[[#This Row],[uren / jaar weekend]]*Tariefsopbouw!$D$40</f>
        <v>0</v>
      </c>
      <c r="AF91" s="79">
        <f>Ruimtestaat[[#This Row],[Prest. (m2 /jaar) weekend]]+Ruimtestaat[[#This Row],[Prest. (m2 /jaar) werkdagen]]</f>
        <v>12600</v>
      </c>
      <c r="AG91" s="79">
        <f>Ruimtestaat[[#This Row],[uren / jaar weekend]]+Ruimtestaat[[#This Row],[uren / jaar werkdagen]]</f>
        <v>0</v>
      </c>
      <c r="AH91" s="80">
        <f>Ruimtestaat[[#This Row],[kosten / jaar weekend]]+Ruimtestaat[[#This Row],[kosten / jaar werkdagen]]</f>
        <v>0</v>
      </c>
      <c r="HM91" s="78"/>
    </row>
    <row r="92" spans="1:221" ht="15" customHeight="1">
      <c r="A92" s="117">
        <v>2</v>
      </c>
      <c r="B92" s="21" t="str">
        <f>VLOOKUP(Ruimtestaat[[#This Row],[Code]],Locaties[#All],2,FALSE)</f>
        <v>Neon College – Enschede</v>
      </c>
      <c r="C92" s="21" t="str">
        <f>VLOOKUP(Ruimtestaat[[#This Row],[Code]],Locaties[#All],4,FALSE)</f>
        <v>Mr. P.J. Troelstrastraat 9</v>
      </c>
      <c r="D92" s="212" t="str">
        <f>VLOOKUP(Ruimtestaat[[#This Row],[Code]],Locaties[#All],5,FALSE)</f>
        <v xml:space="preserve">7522 BD </v>
      </c>
      <c r="E92" s="212" t="str">
        <f>VLOOKUP(Ruimtestaat[[#This Row],[Code]],Locaties[#All],6,FALSE)</f>
        <v>Enschede</v>
      </c>
      <c r="F92" s="171"/>
      <c r="G92" s="171" t="s">
        <v>563</v>
      </c>
      <c r="H92" s="171"/>
      <c r="I92" s="171">
        <v>26</v>
      </c>
      <c r="J92" s="213" t="s">
        <v>574</v>
      </c>
      <c r="K92" s="171">
        <v>6</v>
      </c>
      <c r="L92" s="223" t="str">
        <f>VLOOKUP(Ruimtestaat[[#This Row],[Ruimte code]],Ruimtegroepen[#All],2,FALSE)</f>
        <v>Gangen/hallen</v>
      </c>
      <c r="M92" s="185" t="s">
        <v>598</v>
      </c>
      <c r="N92" s="171" t="s">
        <v>900</v>
      </c>
      <c r="O92" s="172">
        <v>17</v>
      </c>
      <c r="P92" s="183"/>
      <c r="Q92" s="212" t="str">
        <f>VLOOKUP(Ruimtestaat[[#This Row],[Ruimte code]],Ruimtegroepen[#All],4,FALSE)</f>
        <v>V  (Verkeersruimte)</v>
      </c>
      <c r="R92" s="184"/>
      <c r="S92" s="185">
        <v>40</v>
      </c>
      <c r="T92" s="185" t="s">
        <v>2</v>
      </c>
      <c r="U92" s="185">
        <f>IF(S92&gt;0,IF(RIGHT(Ruimtestaat[[#This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" s="185">
        <f>IF(U92&gt;0,VLOOKUP($K92,Ruimtegroepen[],3,FALSE)*VLOOKUP($M92,Vloersoorten[],3,FALSE)*VLOOKUP($T92,Frequenties[],3,FALSE)*VLOOKUP($A92,Locaties[],3,FALSE),0)</f>
        <v>0</v>
      </c>
      <c r="W92" s="185">
        <f>Ruimtestaat[[#This Row],[Uitvoeringen werkdagen]]*Ruimtestaat[[#This Row],[Oppervlak (netto)]]</f>
        <v>3400</v>
      </c>
      <c r="X92" s="220">
        <f>IF(V92&gt;0,Ruimtestaat[[#This Row],[Prest. (m2 /jaar) werkdagen]]/Ruimtestaat[[#This Row],[Norm (m2/uur) werkdagen]],0)</f>
        <v>0</v>
      </c>
      <c r="Y92" s="221">
        <f>Ruimtestaat[[#This Row],[uren / jaar werkdagen]]*Tariefsopbouw!$D$38</f>
        <v>0</v>
      </c>
      <c r="Z92" s="33"/>
      <c r="AA92" s="33">
        <f>IF(Ruimtestaat[[#This Row],[Frequentie weekend]]&gt;0,VALUE(LEFT(Z92,1))*S92,0)</f>
        <v>0</v>
      </c>
      <c r="AB92" s="33">
        <f>IF($AA92&gt;0,VLOOKUP($K92,Ruimtegroepen[],3,FALSE)*VLOOKUP($M92,Vloersoorten[],3,FALSE)*VLOOKUP($Z92,Frequenties[],3,FALSE)*VLOOKUP(#REF!,Locaties[],3,FALSE),0)</f>
        <v>0</v>
      </c>
      <c r="AC92" s="33"/>
      <c r="AD92" s="33"/>
      <c r="AE92" s="33">
        <f>Ruimtestaat[[#This Row],[uren / jaar weekend]]*Tariefsopbouw!$D$40</f>
        <v>0</v>
      </c>
      <c r="AF92" s="79">
        <f>Ruimtestaat[[#This Row],[Prest. (m2 /jaar) weekend]]+Ruimtestaat[[#This Row],[Prest. (m2 /jaar) werkdagen]]</f>
        <v>3400</v>
      </c>
      <c r="AG92" s="79">
        <f>Ruimtestaat[[#This Row],[uren / jaar weekend]]+Ruimtestaat[[#This Row],[uren / jaar werkdagen]]</f>
        <v>0</v>
      </c>
      <c r="AH92" s="80">
        <f>Ruimtestaat[[#This Row],[kosten / jaar weekend]]+Ruimtestaat[[#This Row],[kosten / jaar werkdagen]]</f>
        <v>0</v>
      </c>
      <c r="HM92" s="78"/>
    </row>
    <row r="93" spans="1:221" ht="15" customHeight="1">
      <c r="A93" s="117">
        <v>2</v>
      </c>
      <c r="B93" s="21" t="str">
        <f>VLOOKUP(Ruimtestaat[[#This Row],[Code]],Locaties[#All],2,FALSE)</f>
        <v>Neon College – Enschede</v>
      </c>
      <c r="C93" s="21" t="str">
        <f>VLOOKUP(Ruimtestaat[[#This Row],[Code]],Locaties[#All],4,FALSE)</f>
        <v>Mr. P.J. Troelstrastraat 9</v>
      </c>
      <c r="D93" s="212" t="str">
        <f>VLOOKUP(Ruimtestaat[[#This Row],[Code]],Locaties[#All],5,FALSE)</f>
        <v xml:space="preserve">7522 BD </v>
      </c>
      <c r="E93" s="212" t="str">
        <f>VLOOKUP(Ruimtestaat[[#This Row],[Code]],Locaties[#All],6,FALSE)</f>
        <v>Enschede</v>
      </c>
      <c r="F93" s="171"/>
      <c r="G93" s="171" t="s">
        <v>563</v>
      </c>
      <c r="H93" s="171"/>
      <c r="I93" s="171">
        <v>27</v>
      </c>
      <c r="J93" s="213" t="s">
        <v>719</v>
      </c>
      <c r="K93" s="171">
        <v>8</v>
      </c>
      <c r="L93" s="223" t="str">
        <f>VLOOKUP(Ruimtestaat[[#This Row],[Ruimte code]],Ruimtegroepen[#All],2,FALSE)</f>
        <v>Receptie</v>
      </c>
      <c r="M93" s="185" t="s">
        <v>597</v>
      </c>
      <c r="N93" s="171" t="s">
        <v>38</v>
      </c>
      <c r="O93" s="172">
        <v>27</v>
      </c>
      <c r="P93" s="183"/>
      <c r="Q93" s="212" t="str">
        <f>VLOOKUP(Ruimtestaat[[#This Row],[Ruimte code]],Ruimtegroepen[#All],4,FALSE)</f>
        <v>B  (Bureauruimte)</v>
      </c>
      <c r="R93" s="184"/>
      <c r="S93" s="185">
        <v>40</v>
      </c>
      <c r="T93" s="185" t="s">
        <v>2</v>
      </c>
      <c r="U93" s="185">
        <f>IF(S93&gt;0,IF(RIGHT(Ruimtestaat[[#This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" s="185">
        <f>IF(U93&gt;0,VLOOKUP($K93,Ruimtegroepen[],3,FALSE)*VLOOKUP($M93,Vloersoorten[],3,FALSE)*VLOOKUP($T93,Frequenties[],3,FALSE)*VLOOKUP($A93,Locaties[],3,FALSE),0)</f>
        <v>0</v>
      </c>
      <c r="W93" s="185">
        <f>Ruimtestaat[[#This Row],[Uitvoeringen werkdagen]]*Ruimtestaat[[#This Row],[Oppervlak (netto)]]</f>
        <v>5400</v>
      </c>
      <c r="X93" s="220">
        <f>IF(V93&gt;0,Ruimtestaat[[#This Row],[Prest. (m2 /jaar) werkdagen]]/Ruimtestaat[[#This Row],[Norm (m2/uur) werkdagen]],0)</f>
        <v>0</v>
      </c>
      <c r="Y93" s="221">
        <f>Ruimtestaat[[#This Row],[uren / jaar werkdagen]]*Tariefsopbouw!$D$38</f>
        <v>0</v>
      </c>
      <c r="Z93" s="33"/>
      <c r="AA93" s="33">
        <f>IF(Ruimtestaat[[#This Row],[Frequentie weekend]]&gt;0,VALUE(LEFT(Z93,1))*S93,0)</f>
        <v>0</v>
      </c>
      <c r="AB93" s="33">
        <f>IF($AA93&gt;0,VLOOKUP($K93,Ruimtegroepen[],3,FALSE)*VLOOKUP($M93,Vloersoorten[],3,FALSE)*VLOOKUP($Z93,Frequenties[],3,FALSE)*VLOOKUP(#REF!,Locaties[],3,FALSE),0)</f>
        <v>0</v>
      </c>
      <c r="AC93" s="33"/>
      <c r="AD93" s="33"/>
      <c r="AE93" s="33">
        <f>Ruimtestaat[[#This Row],[uren / jaar weekend]]*Tariefsopbouw!$D$40</f>
        <v>0</v>
      </c>
      <c r="AF93" s="79">
        <f>Ruimtestaat[[#This Row],[Prest. (m2 /jaar) weekend]]+Ruimtestaat[[#This Row],[Prest. (m2 /jaar) werkdagen]]</f>
        <v>5400</v>
      </c>
      <c r="AG93" s="79">
        <f>Ruimtestaat[[#This Row],[uren / jaar weekend]]+Ruimtestaat[[#This Row],[uren / jaar werkdagen]]</f>
        <v>0</v>
      </c>
      <c r="AH93" s="80">
        <f>Ruimtestaat[[#This Row],[kosten / jaar weekend]]+Ruimtestaat[[#This Row],[kosten / jaar werkdagen]]</f>
        <v>0</v>
      </c>
      <c r="HM93" s="78"/>
    </row>
    <row r="94" spans="1:221" ht="15" customHeight="1">
      <c r="A94" s="117">
        <v>2</v>
      </c>
      <c r="B94" s="21" t="str">
        <f>VLOOKUP(Ruimtestaat[[#This Row],[Code]],Locaties[#All],2,FALSE)</f>
        <v>Neon College – Enschede</v>
      </c>
      <c r="C94" s="21" t="str">
        <f>VLOOKUP(Ruimtestaat[[#This Row],[Code]],Locaties[#All],4,FALSE)</f>
        <v>Mr. P.J. Troelstrastraat 9</v>
      </c>
      <c r="D94" s="212" t="str">
        <f>VLOOKUP(Ruimtestaat[[#This Row],[Code]],Locaties[#All],5,FALSE)</f>
        <v xml:space="preserve">7522 BD </v>
      </c>
      <c r="E94" s="212" t="str">
        <f>VLOOKUP(Ruimtestaat[[#This Row],[Code]],Locaties[#All],6,FALSE)</f>
        <v>Enschede</v>
      </c>
      <c r="F94" s="171"/>
      <c r="G94" s="171" t="s">
        <v>563</v>
      </c>
      <c r="H94" s="171"/>
      <c r="I94" s="171">
        <v>28</v>
      </c>
      <c r="J94" s="213" t="s">
        <v>869</v>
      </c>
      <c r="K94" s="185">
        <v>7</v>
      </c>
      <c r="L94" s="223" t="str">
        <f>VLOOKUP(Ruimtestaat[[#This Row],[Ruimte code]],Ruimtegroepen[#All],2,FALSE)</f>
        <v>Entree</v>
      </c>
      <c r="M94" s="185" t="s">
        <v>597</v>
      </c>
      <c r="N94" s="171" t="s">
        <v>38</v>
      </c>
      <c r="O94" s="172">
        <v>18</v>
      </c>
      <c r="P94" s="183"/>
      <c r="Q94" s="212" t="str">
        <f>VLOOKUP(Ruimtestaat[[#This Row],[Ruimte code]],Ruimtegroepen[#All],4,FALSE)</f>
        <v>V  (Verkeersruimte)</v>
      </c>
      <c r="R94" s="184"/>
      <c r="S94" s="185">
        <v>40</v>
      </c>
      <c r="T94" s="185" t="s">
        <v>2</v>
      </c>
      <c r="U94" s="185">
        <f>IF(S94&gt;0,IF(RIGHT(Ruimtestaat[[#This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" s="185">
        <f>IF(U94&gt;0,VLOOKUP($K94,Ruimtegroepen[],3,FALSE)*VLOOKUP($M94,Vloersoorten[],3,FALSE)*VLOOKUP($T94,Frequenties[],3,FALSE)*VLOOKUP($A94,Locaties[],3,FALSE),0)</f>
        <v>0</v>
      </c>
      <c r="W94" s="185">
        <f>Ruimtestaat[[#This Row],[Uitvoeringen werkdagen]]*Ruimtestaat[[#This Row],[Oppervlak (netto)]]</f>
        <v>3600</v>
      </c>
      <c r="X94" s="220">
        <f>IF(V94&gt;0,Ruimtestaat[[#This Row],[Prest. (m2 /jaar) werkdagen]]/Ruimtestaat[[#This Row],[Norm (m2/uur) werkdagen]],0)</f>
        <v>0</v>
      </c>
      <c r="Y94" s="221">
        <f>Ruimtestaat[[#This Row],[uren / jaar werkdagen]]*Tariefsopbouw!$D$38</f>
        <v>0</v>
      </c>
      <c r="Z94" s="33"/>
      <c r="AA94" s="33">
        <f>IF(Ruimtestaat[[#This Row],[Frequentie weekend]]&gt;0,VALUE(LEFT(Z94,1))*S94,0)</f>
        <v>0</v>
      </c>
      <c r="AB94" s="33">
        <f>IF($AA94&gt;0,VLOOKUP($K94,Ruimtegroepen[],3,FALSE)*VLOOKUP($M94,Vloersoorten[],3,FALSE)*VLOOKUP($Z94,Frequenties[],3,FALSE)*VLOOKUP(#REF!,Locaties[],3,FALSE),0)</f>
        <v>0</v>
      </c>
      <c r="AC94" s="33"/>
      <c r="AD94" s="33"/>
      <c r="AE94" s="33">
        <f>Ruimtestaat[[#This Row],[uren / jaar weekend]]*Tariefsopbouw!$D$40</f>
        <v>0</v>
      </c>
      <c r="AF94" s="79">
        <f>Ruimtestaat[[#This Row],[Prest. (m2 /jaar) weekend]]+Ruimtestaat[[#This Row],[Prest. (m2 /jaar) werkdagen]]</f>
        <v>3600</v>
      </c>
      <c r="AG94" s="79">
        <f>Ruimtestaat[[#This Row],[uren / jaar weekend]]+Ruimtestaat[[#This Row],[uren / jaar werkdagen]]</f>
        <v>0</v>
      </c>
      <c r="AH94" s="80">
        <f>Ruimtestaat[[#This Row],[kosten / jaar weekend]]+Ruimtestaat[[#This Row],[kosten / jaar werkdagen]]</f>
        <v>0</v>
      </c>
      <c r="HM94" s="78"/>
    </row>
    <row r="95" spans="1:221" ht="15" customHeight="1">
      <c r="A95" s="117">
        <v>2</v>
      </c>
      <c r="B95" s="21" t="str">
        <f>VLOOKUP(Ruimtestaat[[#This Row],[Code]],Locaties[#All],2,FALSE)</f>
        <v>Neon College – Enschede</v>
      </c>
      <c r="C95" s="21" t="str">
        <f>VLOOKUP(Ruimtestaat[[#This Row],[Code]],Locaties[#All],4,FALSE)</f>
        <v>Mr. P.J. Troelstrastraat 9</v>
      </c>
      <c r="D95" s="212" t="str">
        <f>VLOOKUP(Ruimtestaat[[#This Row],[Code]],Locaties[#All],5,FALSE)</f>
        <v xml:space="preserve">7522 BD </v>
      </c>
      <c r="E95" s="212" t="str">
        <f>VLOOKUP(Ruimtestaat[[#This Row],[Code]],Locaties[#All],6,FALSE)</f>
        <v>Enschede</v>
      </c>
      <c r="F95" s="171"/>
      <c r="G95" s="171" t="s">
        <v>563</v>
      </c>
      <c r="H95" s="171"/>
      <c r="I95" s="171">
        <v>29</v>
      </c>
      <c r="J95" s="213" t="s">
        <v>574</v>
      </c>
      <c r="K95" s="171">
        <v>6</v>
      </c>
      <c r="L95" s="223" t="str">
        <f>VLOOKUP(Ruimtestaat[[#This Row],[Ruimte code]],Ruimtegroepen[#All],2,FALSE)</f>
        <v>Gangen/hallen</v>
      </c>
      <c r="M95" s="185" t="s">
        <v>598</v>
      </c>
      <c r="N95" s="171" t="s">
        <v>900</v>
      </c>
      <c r="O95" s="172">
        <v>12</v>
      </c>
      <c r="P95" s="183"/>
      <c r="Q95" s="212" t="str">
        <f>VLOOKUP(Ruimtestaat[[#This Row],[Ruimte code]],Ruimtegroepen[#All],4,FALSE)</f>
        <v>V  (Verkeersruimte)</v>
      </c>
      <c r="R95" s="184"/>
      <c r="S95" s="185">
        <v>40</v>
      </c>
      <c r="T95" s="185" t="s">
        <v>2</v>
      </c>
      <c r="U95" s="185">
        <f>IF(S95&gt;0,IF(RIGHT(Ruimtestaat[[#This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" s="185">
        <f>IF(U95&gt;0,VLOOKUP($K95,Ruimtegroepen[],3,FALSE)*VLOOKUP($M95,Vloersoorten[],3,FALSE)*VLOOKUP($T95,Frequenties[],3,FALSE)*VLOOKUP($A95,Locaties[],3,FALSE),0)</f>
        <v>0</v>
      </c>
      <c r="W95" s="185">
        <f>Ruimtestaat[[#This Row],[Uitvoeringen werkdagen]]*Ruimtestaat[[#This Row],[Oppervlak (netto)]]</f>
        <v>2400</v>
      </c>
      <c r="X95" s="220">
        <f>IF(V95&gt;0,Ruimtestaat[[#This Row],[Prest. (m2 /jaar) werkdagen]]/Ruimtestaat[[#This Row],[Norm (m2/uur) werkdagen]],0)</f>
        <v>0</v>
      </c>
      <c r="Y95" s="221">
        <f>Ruimtestaat[[#This Row],[uren / jaar werkdagen]]*Tariefsopbouw!$D$38</f>
        <v>0</v>
      </c>
      <c r="Z95" s="33"/>
      <c r="AA95" s="33">
        <f>IF(Ruimtestaat[[#This Row],[Frequentie weekend]]&gt;0,VALUE(LEFT(Z95,1))*S95,0)</f>
        <v>0</v>
      </c>
      <c r="AB95" s="33">
        <f>IF($AA95&gt;0,VLOOKUP($K95,Ruimtegroepen[],3,FALSE)*VLOOKUP($M95,Vloersoorten[],3,FALSE)*VLOOKUP($Z95,Frequenties[],3,FALSE)*VLOOKUP(#REF!,Locaties[],3,FALSE),0)</f>
        <v>0</v>
      </c>
      <c r="AC95" s="33"/>
      <c r="AD95" s="33"/>
      <c r="AE95" s="33">
        <f>Ruimtestaat[[#This Row],[uren / jaar weekend]]*Tariefsopbouw!$D$40</f>
        <v>0</v>
      </c>
      <c r="AF95" s="79">
        <f>Ruimtestaat[[#This Row],[Prest. (m2 /jaar) weekend]]+Ruimtestaat[[#This Row],[Prest. (m2 /jaar) werkdagen]]</f>
        <v>2400</v>
      </c>
      <c r="AG95" s="79">
        <f>Ruimtestaat[[#This Row],[uren / jaar weekend]]+Ruimtestaat[[#This Row],[uren / jaar werkdagen]]</f>
        <v>0</v>
      </c>
      <c r="AH95" s="80">
        <f>Ruimtestaat[[#This Row],[kosten / jaar weekend]]+Ruimtestaat[[#This Row],[kosten / jaar werkdagen]]</f>
        <v>0</v>
      </c>
      <c r="HM95" s="78"/>
    </row>
    <row r="96" spans="1:221" ht="15" customHeight="1">
      <c r="A96" s="117">
        <v>2</v>
      </c>
      <c r="B96" s="21" t="str">
        <f>VLOOKUP(Ruimtestaat[[#This Row],[Code]],Locaties[#All],2,FALSE)</f>
        <v>Neon College – Enschede</v>
      </c>
      <c r="C96" s="21" t="str">
        <f>VLOOKUP(Ruimtestaat[[#This Row],[Code]],Locaties[#All],4,FALSE)</f>
        <v>Mr. P.J. Troelstrastraat 9</v>
      </c>
      <c r="D96" s="212" t="str">
        <f>VLOOKUP(Ruimtestaat[[#This Row],[Code]],Locaties[#All],5,FALSE)</f>
        <v xml:space="preserve">7522 BD </v>
      </c>
      <c r="E96" s="212" t="str">
        <f>VLOOKUP(Ruimtestaat[[#This Row],[Code]],Locaties[#All],6,FALSE)</f>
        <v>Enschede</v>
      </c>
      <c r="F96" s="171"/>
      <c r="G96" s="171" t="s">
        <v>563</v>
      </c>
      <c r="H96" s="171"/>
      <c r="I96" s="171" t="s">
        <v>870</v>
      </c>
      <c r="J96" s="213" t="s">
        <v>694</v>
      </c>
      <c r="K96" s="171">
        <v>5</v>
      </c>
      <c r="L96" s="223" t="str">
        <f>VLOOKUP(Ruimtestaat[[#This Row],[Ruimte code]],Ruimtegroepen[#All],2,FALSE)</f>
        <v>Sanitair</v>
      </c>
      <c r="M96" s="212" t="s">
        <v>111</v>
      </c>
      <c r="N96" s="171" t="s">
        <v>606</v>
      </c>
      <c r="O96" s="172">
        <v>5</v>
      </c>
      <c r="P96" s="183"/>
      <c r="Q96" s="212" t="str">
        <f>VLOOKUP(Ruimtestaat[[#This Row],[Ruimte code]],Ruimtegroepen[#All],4,FALSE)</f>
        <v>S  (Sanitair)</v>
      </c>
      <c r="R96" s="184"/>
      <c r="S96" s="185">
        <v>40</v>
      </c>
      <c r="T96" s="185" t="s">
        <v>2</v>
      </c>
      <c r="U96" s="185">
        <f>IF(S96&gt;0,IF(RIGHT(Ruimtestaat[[#This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" s="185">
        <f>IF(U96&gt;0,VLOOKUP($K96,Ruimtegroepen[],3,FALSE)*VLOOKUP($M96,Vloersoorten[],3,FALSE)*VLOOKUP($T96,Frequenties[],3,FALSE)*VLOOKUP($A96,Locaties[],3,FALSE),0)</f>
        <v>0</v>
      </c>
      <c r="W96" s="185">
        <f>Ruimtestaat[[#This Row],[Uitvoeringen werkdagen]]*Ruimtestaat[[#This Row],[Oppervlak (netto)]]</f>
        <v>1000</v>
      </c>
      <c r="X96" s="220">
        <f>IF(V96&gt;0,Ruimtestaat[[#This Row],[Prest. (m2 /jaar) werkdagen]]/Ruimtestaat[[#This Row],[Norm (m2/uur) werkdagen]],0)</f>
        <v>0</v>
      </c>
      <c r="Y96" s="221">
        <f>Ruimtestaat[[#This Row],[uren / jaar werkdagen]]*Tariefsopbouw!$D$38</f>
        <v>0</v>
      </c>
      <c r="Z96" s="33"/>
      <c r="AA96" s="33">
        <f>IF(Ruimtestaat[[#This Row],[Frequentie weekend]]&gt;0,VALUE(LEFT(Z96,1))*S96,0)</f>
        <v>0</v>
      </c>
      <c r="AB96" s="33">
        <f>IF($AA96&gt;0,VLOOKUP($K96,Ruimtegroepen[],3,FALSE)*VLOOKUP($M96,Vloersoorten[],3,FALSE)*VLOOKUP($Z96,Frequenties[],3,FALSE)*VLOOKUP(#REF!,Locaties[],3,FALSE),0)</f>
        <v>0</v>
      </c>
      <c r="AC96" s="33"/>
      <c r="AD96" s="33"/>
      <c r="AE96" s="33">
        <f>Ruimtestaat[[#This Row],[uren / jaar weekend]]*Tariefsopbouw!$D$40</f>
        <v>0</v>
      </c>
      <c r="AF96" s="79">
        <f>Ruimtestaat[[#This Row],[Prest. (m2 /jaar) weekend]]+Ruimtestaat[[#This Row],[Prest. (m2 /jaar) werkdagen]]</f>
        <v>1000</v>
      </c>
      <c r="AG96" s="79">
        <f>Ruimtestaat[[#This Row],[uren / jaar weekend]]+Ruimtestaat[[#This Row],[uren / jaar werkdagen]]</f>
        <v>0</v>
      </c>
      <c r="AH96" s="80">
        <f>Ruimtestaat[[#This Row],[kosten / jaar weekend]]+Ruimtestaat[[#This Row],[kosten / jaar werkdagen]]</f>
        <v>0</v>
      </c>
      <c r="HM96" s="78"/>
    </row>
    <row r="97" spans="1:34" ht="15" customHeight="1">
      <c r="A97" s="117">
        <v>2</v>
      </c>
      <c r="B97" s="21" t="str">
        <f>VLOOKUP(Ruimtestaat[[#This Row],[Code]],Locaties[#All],2,FALSE)</f>
        <v>Neon College – Enschede</v>
      </c>
      <c r="C97" s="21" t="str">
        <f>VLOOKUP(Ruimtestaat[[#This Row],[Code]],Locaties[#All],4,FALSE)</f>
        <v>Mr. P.J. Troelstrastraat 9</v>
      </c>
      <c r="D97" s="212" t="str">
        <f>VLOOKUP(Ruimtestaat[[#This Row],[Code]],Locaties[#All],5,FALSE)</f>
        <v xml:space="preserve">7522 BD </v>
      </c>
      <c r="E97" s="212" t="str">
        <f>VLOOKUP(Ruimtestaat[[#This Row],[Code]],Locaties[#All],6,FALSE)</f>
        <v>Enschede</v>
      </c>
      <c r="F97" s="171"/>
      <c r="G97" s="171" t="s">
        <v>563</v>
      </c>
      <c r="H97" s="171"/>
      <c r="I97" s="185" t="s">
        <v>871</v>
      </c>
      <c r="J97" s="219" t="s">
        <v>812</v>
      </c>
      <c r="K97" s="171">
        <v>5</v>
      </c>
      <c r="L97" s="225" t="str">
        <f>VLOOKUP(Ruimtestaat[[#This Row],[Ruimte code]],Ruimtegroepen[#All],2,FALSE)</f>
        <v>Sanitair</v>
      </c>
      <c r="M97" s="212" t="s">
        <v>111</v>
      </c>
      <c r="N97" s="171" t="s">
        <v>606</v>
      </c>
      <c r="O97" s="172">
        <v>3</v>
      </c>
      <c r="P97" s="183"/>
      <c r="Q97" s="212" t="str">
        <f>VLOOKUP(Ruimtestaat[[#This Row],[Ruimte code]],Ruimtegroepen[#All],4,FALSE)</f>
        <v>S  (Sanitair)</v>
      </c>
      <c r="R97" s="184"/>
      <c r="S97" s="185">
        <v>40</v>
      </c>
      <c r="T97" s="185" t="s">
        <v>2</v>
      </c>
      <c r="U97" s="185">
        <f>IF(S97&gt;0,IF(RIGHT(Ruimtestaat[[#This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" s="185">
        <f>IF(U97&gt;0,VLOOKUP($K97,Ruimtegroepen[],3,FALSE)*VLOOKUP($M97,Vloersoorten[],3,FALSE)*VLOOKUP($T97,Frequenties[],3,FALSE)*VLOOKUP($A97,Locaties[],3,FALSE),0)</f>
        <v>0</v>
      </c>
      <c r="W97" s="185">
        <f>Ruimtestaat[[#This Row],[Uitvoeringen werkdagen]]*Ruimtestaat[[#This Row],[Oppervlak (netto)]]</f>
        <v>600</v>
      </c>
      <c r="X97" s="220">
        <f>IF(V97&gt;0,Ruimtestaat[[#This Row],[Prest. (m2 /jaar) werkdagen]]/Ruimtestaat[[#This Row],[Norm (m2/uur) werkdagen]],0)</f>
        <v>0</v>
      </c>
      <c r="Y97" s="221">
        <f>Ruimtestaat[[#This Row],[uren / jaar werkdagen]]*Tariefsopbouw!$D$38</f>
        <v>0</v>
      </c>
      <c r="Z97" s="33"/>
      <c r="AA97" s="33">
        <f>IF(Ruimtestaat[[#This Row],[Frequentie weekend]]&gt;0,VALUE(LEFT(Z97,1))*S97,0)</f>
        <v>0</v>
      </c>
      <c r="AB97" s="33">
        <f>IF($AA97&gt;0,VLOOKUP($K97,Ruimtegroepen[],3,FALSE)*VLOOKUP($M97,Vloersoorten[],3,FALSE)*VLOOKUP($Z97,Frequenties[],3,FALSE)*VLOOKUP(#REF!,Locaties[],3,FALSE),0)</f>
        <v>0</v>
      </c>
      <c r="AC97" s="33"/>
      <c r="AD97" s="33"/>
      <c r="AE97" s="33">
        <f>Ruimtestaat[[#This Row],[uren / jaar weekend]]*Tariefsopbouw!$D$40</f>
        <v>0</v>
      </c>
      <c r="AF97" s="79">
        <f>Ruimtestaat[[#This Row],[Prest. (m2 /jaar) weekend]]+Ruimtestaat[[#This Row],[Prest. (m2 /jaar) werkdagen]]</f>
        <v>600</v>
      </c>
      <c r="AG97" s="79">
        <f>Ruimtestaat[[#This Row],[uren / jaar weekend]]+Ruimtestaat[[#This Row],[uren / jaar werkdagen]]</f>
        <v>0</v>
      </c>
      <c r="AH97" s="80">
        <f>Ruimtestaat[[#This Row],[kosten / jaar weekend]]+Ruimtestaat[[#This Row],[kosten / jaar werkdagen]]</f>
        <v>0</v>
      </c>
    </row>
    <row r="98" spans="1:34" ht="15" customHeight="1">
      <c r="A98" s="117">
        <v>2</v>
      </c>
      <c r="B98" s="21" t="str">
        <f>VLOOKUP(Ruimtestaat[[#This Row],[Code]],Locaties[#All],2,FALSE)</f>
        <v>Neon College – Enschede</v>
      </c>
      <c r="C98" s="21" t="str">
        <f>VLOOKUP(Ruimtestaat[[#This Row],[Code]],Locaties[#All],4,FALSE)</f>
        <v>Mr. P.J. Troelstrastraat 9</v>
      </c>
      <c r="D98" s="212" t="str">
        <f>VLOOKUP(Ruimtestaat[[#This Row],[Code]],Locaties[#All],5,FALSE)</f>
        <v xml:space="preserve">7522 BD </v>
      </c>
      <c r="E98" s="212" t="str">
        <f>VLOOKUP(Ruimtestaat[[#This Row],[Code]],Locaties[#All],6,FALSE)</f>
        <v>Enschede</v>
      </c>
      <c r="F98" s="171"/>
      <c r="G98" s="171" t="s">
        <v>563</v>
      </c>
      <c r="H98" s="171"/>
      <c r="I98" s="185" t="s">
        <v>872</v>
      </c>
      <c r="J98" s="219" t="s">
        <v>812</v>
      </c>
      <c r="K98" s="171">
        <v>5</v>
      </c>
      <c r="L98" s="225" t="str">
        <f>VLOOKUP(Ruimtestaat[[#This Row],[Ruimte code]],Ruimtegroepen[#All],2,FALSE)</f>
        <v>Sanitair</v>
      </c>
      <c r="M98" s="212" t="s">
        <v>111</v>
      </c>
      <c r="N98" s="171" t="s">
        <v>606</v>
      </c>
      <c r="O98" s="172">
        <v>3</v>
      </c>
      <c r="P98" s="183"/>
      <c r="Q98" s="212" t="str">
        <f>VLOOKUP(Ruimtestaat[[#This Row],[Ruimte code]],Ruimtegroepen[#All],4,FALSE)</f>
        <v>S  (Sanitair)</v>
      </c>
      <c r="R98" s="184"/>
      <c r="S98" s="185">
        <v>40</v>
      </c>
      <c r="T98" s="185" t="s">
        <v>2</v>
      </c>
      <c r="U98" s="185">
        <f>IF(S98&gt;0,IF(RIGHT(Ruimtestaat[[#This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" s="185">
        <f>IF(U98&gt;0,VLOOKUP($K98,Ruimtegroepen[],3,FALSE)*VLOOKUP($M98,Vloersoorten[],3,FALSE)*VLOOKUP($T98,Frequenties[],3,FALSE)*VLOOKUP($A98,Locaties[],3,FALSE),0)</f>
        <v>0</v>
      </c>
      <c r="W98" s="185">
        <f>Ruimtestaat[[#This Row],[Uitvoeringen werkdagen]]*Ruimtestaat[[#This Row],[Oppervlak (netto)]]</f>
        <v>600</v>
      </c>
      <c r="X98" s="220">
        <f>IF(V98&gt;0,Ruimtestaat[[#This Row],[Prest. (m2 /jaar) werkdagen]]/Ruimtestaat[[#This Row],[Norm (m2/uur) werkdagen]],0)</f>
        <v>0</v>
      </c>
      <c r="Y98" s="221">
        <f>Ruimtestaat[[#This Row],[uren / jaar werkdagen]]*Tariefsopbouw!$D$38</f>
        <v>0</v>
      </c>
      <c r="Z98" s="33"/>
      <c r="AA98" s="33">
        <f>IF(Ruimtestaat[[#This Row],[Frequentie weekend]]&gt;0,VALUE(LEFT(Z98,1))*S98,0)</f>
        <v>0</v>
      </c>
      <c r="AB98" s="33">
        <f>IF($AA98&gt;0,VLOOKUP($K98,Ruimtegroepen[],3,FALSE)*VLOOKUP($M98,Vloersoorten[],3,FALSE)*VLOOKUP($Z98,Frequenties[],3,FALSE)*VLOOKUP(#REF!,Locaties[],3,FALSE),0)</f>
        <v>0</v>
      </c>
      <c r="AC98" s="33"/>
      <c r="AD98" s="33"/>
      <c r="AE98" s="33">
        <f>Ruimtestaat[[#This Row],[uren / jaar weekend]]*Tariefsopbouw!$D$40</f>
        <v>0</v>
      </c>
      <c r="AF98" s="79">
        <f>Ruimtestaat[[#This Row],[Prest. (m2 /jaar) weekend]]+Ruimtestaat[[#This Row],[Prest. (m2 /jaar) werkdagen]]</f>
        <v>600</v>
      </c>
      <c r="AG98" s="79">
        <f>Ruimtestaat[[#This Row],[uren / jaar weekend]]+Ruimtestaat[[#This Row],[uren / jaar werkdagen]]</f>
        <v>0</v>
      </c>
      <c r="AH98" s="80">
        <f>Ruimtestaat[[#This Row],[kosten / jaar weekend]]+Ruimtestaat[[#This Row],[kosten / jaar werkdagen]]</f>
        <v>0</v>
      </c>
    </row>
    <row r="99" spans="1:34" ht="15" customHeight="1">
      <c r="A99" s="117">
        <v>2</v>
      </c>
      <c r="B99" s="21" t="str">
        <f>VLOOKUP(Ruimtestaat[[#This Row],[Code]],Locaties[#All],2,FALSE)</f>
        <v>Neon College – Enschede</v>
      </c>
      <c r="C99" s="21" t="str">
        <f>VLOOKUP(Ruimtestaat[[#This Row],[Code]],Locaties[#All],4,FALSE)</f>
        <v>Mr. P.J. Troelstrastraat 9</v>
      </c>
      <c r="D99" s="212" t="str">
        <f>VLOOKUP(Ruimtestaat[[#This Row],[Code]],Locaties[#All],5,FALSE)</f>
        <v xml:space="preserve">7522 BD </v>
      </c>
      <c r="E99" s="212" t="str">
        <f>VLOOKUP(Ruimtestaat[[#This Row],[Code]],Locaties[#All],6,FALSE)</f>
        <v>Enschede</v>
      </c>
      <c r="F99" s="171"/>
      <c r="G99" s="171" t="s">
        <v>563</v>
      </c>
      <c r="H99" s="171"/>
      <c r="I99" s="171" t="s">
        <v>873</v>
      </c>
      <c r="J99" s="213" t="s">
        <v>574</v>
      </c>
      <c r="K99" s="171">
        <v>6</v>
      </c>
      <c r="L99" s="223" t="str">
        <f>VLOOKUP(Ruimtestaat[[#This Row],[Ruimte code]],Ruimtegroepen[#All],2,FALSE)</f>
        <v>Gangen/hallen</v>
      </c>
      <c r="M99" s="185" t="s">
        <v>598</v>
      </c>
      <c r="N99" s="171" t="s">
        <v>900</v>
      </c>
      <c r="O99" s="172">
        <v>17</v>
      </c>
      <c r="P99" s="183"/>
      <c r="Q99" s="212" t="str">
        <f>VLOOKUP(Ruimtestaat[[#This Row],[Ruimte code]],Ruimtegroepen[#All],4,FALSE)</f>
        <v>V  (Verkeersruimte)</v>
      </c>
      <c r="R99" s="184"/>
      <c r="S99" s="185">
        <v>40</v>
      </c>
      <c r="T99" s="185" t="s">
        <v>2</v>
      </c>
      <c r="U99" s="185">
        <f>IF(S99&gt;0,IF(RIGHT(Ruimtestaat[[#This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" s="185">
        <f>IF(U99&gt;0,VLOOKUP($K99,Ruimtegroepen[],3,FALSE)*VLOOKUP($M99,Vloersoorten[],3,FALSE)*VLOOKUP($T99,Frequenties[],3,FALSE)*VLOOKUP($A99,Locaties[],3,FALSE),0)</f>
        <v>0</v>
      </c>
      <c r="W99" s="185">
        <f>Ruimtestaat[[#This Row],[Uitvoeringen werkdagen]]*Ruimtestaat[[#This Row],[Oppervlak (netto)]]</f>
        <v>3400</v>
      </c>
      <c r="X99" s="220">
        <f>IF(V99&gt;0,Ruimtestaat[[#This Row],[Prest. (m2 /jaar) werkdagen]]/Ruimtestaat[[#This Row],[Norm (m2/uur) werkdagen]],0)</f>
        <v>0</v>
      </c>
      <c r="Y99" s="221">
        <f>Ruimtestaat[[#This Row],[uren / jaar werkdagen]]*Tariefsopbouw!$D$38</f>
        <v>0</v>
      </c>
      <c r="Z99" s="33"/>
      <c r="AA99" s="33">
        <f>IF(Ruimtestaat[[#This Row],[Frequentie weekend]]&gt;0,VALUE(LEFT(Z99,1))*S99,0)</f>
        <v>0</v>
      </c>
      <c r="AB99" s="33">
        <f>IF($AA99&gt;0,VLOOKUP($K99,Ruimtegroepen[],3,FALSE)*VLOOKUP($M99,Vloersoorten[],3,FALSE)*VLOOKUP($Z99,Frequenties[],3,FALSE)*VLOOKUP(#REF!,Locaties[],3,FALSE),0)</f>
        <v>0</v>
      </c>
      <c r="AC99" s="33"/>
      <c r="AD99" s="33"/>
      <c r="AE99" s="33">
        <f>Ruimtestaat[[#This Row],[uren / jaar weekend]]*Tariefsopbouw!$D$40</f>
        <v>0</v>
      </c>
      <c r="AF99" s="79">
        <f>Ruimtestaat[[#This Row],[Prest. (m2 /jaar) weekend]]+Ruimtestaat[[#This Row],[Prest. (m2 /jaar) werkdagen]]</f>
        <v>3400</v>
      </c>
      <c r="AG99" s="79">
        <f>Ruimtestaat[[#This Row],[uren / jaar weekend]]+Ruimtestaat[[#This Row],[uren / jaar werkdagen]]</f>
        <v>0</v>
      </c>
      <c r="AH99" s="80">
        <f>Ruimtestaat[[#This Row],[kosten / jaar weekend]]+Ruimtestaat[[#This Row],[kosten / jaar werkdagen]]</f>
        <v>0</v>
      </c>
    </row>
    <row r="100" spans="1:34" ht="15" customHeight="1">
      <c r="A100" s="117">
        <v>2</v>
      </c>
      <c r="B100" s="21" t="str">
        <f>VLOOKUP(Ruimtestaat[[#This Row],[Code]],Locaties[#All],2,FALSE)</f>
        <v>Neon College – Enschede</v>
      </c>
      <c r="C100" s="21" t="str">
        <f>VLOOKUP(Ruimtestaat[[#This Row],[Code]],Locaties[#All],4,FALSE)</f>
        <v>Mr. P.J. Troelstrastraat 9</v>
      </c>
      <c r="D100" s="212" t="str">
        <f>VLOOKUP(Ruimtestaat[[#This Row],[Code]],Locaties[#All],5,FALSE)</f>
        <v xml:space="preserve">7522 BD </v>
      </c>
      <c r="E100" s="212" t="str">
        <f>VLOOKUP(Ruimtestaat[[#This Row],[Code]],Locaties[#All],6,FALSE)</f>
        <v>Enschede</v>
      </c>
      <c r="F100" s="171"/>
      <c r="G100" s="171" t="s">
        <v>563</v>
      </c>
      <c r="H100" s="171"/>
      <c r="I100" s="171" t="s">
        <v>874</v>
      </c>
      <c r="J100" s="213" t="s">
        <v>704</v>
      </c>
      <c r="K100" s="224">
        <v>1</v>
      </c>
      <c r="L100" s="223" t="str">
        <f>VLOOKUP(Ruimtestaat[[#This Row],[Ruimte code]],Ruimtegroepen[#All],2,FALSE)</f>
        <v>Magazijnen/bergingen</v>
      </c>
      <c r="M100" s="185" t="s">
        <v>598</v>
      </c>
      <c r="N100" s="171" t="s">
        <v>900</v>
      </c>
      <c r="O100" s="172">
        <v>10</v>
      </c>
      <c r="P100" s="183"/>
      <c r="Q100" s="212" t="str">
        <f>VLOOKUP(Ruimtestaat[[#This Row],[Ruimte code]],Ruimtegroepen[#All],4,FALSE)</f>
        <v>V  (Verkeersruimte)</v>
      </c>
      <c r="R100" s="184"/>
      <c r="S100" s="185">
        <v>40</v>
      </c>
      <c r="T100" s="185" t="s">
        <v>2</v>
      </c>
      <c r="U100" s="185">
        <f>IF(S100&gt;0,IF(RIGHT(Ruimtestaat[[#This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" s="185">
        <f>IF(U100&gt;0,VLOOKUP($K100,Ruimtegroepen[],3,FALSE)*VLOOKUP($M100,Vloersoorten[],3,FALSE)*VLOOKUP($T100,Frequenties[],3,FALSE)*VLOOKUP($A100,Locaties[],3,FALSE),0)</f>
        <v>0</v>
      </c>
      <c r="W100" s="185">
        <f>Ruimtestaat[[#This Row],[Uitvoeringen werkdagen]]*Ruimtestaat[[#This Row],[Oppervlak (netto)]]</f>
        <v>2000</v>
      </c>
      <c r="X100" s="220">
        <f>IF(V100&gt;0,Ruimtestaat[[#This Row],[Prest. (m2 /jaar) werkdagen]]/Ruimtestaat[[#This Row],[Norm (m2/uur) werkdagen]],0)</f>
        <v>0</v>
      </c>
      <c r="Y100" s="221">
        <f>Ruimtestaat[[#This Row],[uren / jaar werkdagen]]*Tariefsopbouw!$D$38</f>
        <v>0</v>
      </c>
      <c r="Z100" s="33"/>
      <c r="AA100" s="33">
        <f>IF(Ruimtestaat[[#This Row],[Frequentie weekend]]&gt;0,VALUE(LEFT(Z100,1))*S100,0)</f>
        <v>0</v>
      </c>
      <c r="AB100" s="33">
        <f>IF($AA100&gt;0,VLOOKUP($K100,Ruimtegroepen[],3,FALSE)*VLOOKUP($M100,Vloersoorten[],3,FALSE)*VLOOKUP($Z100,Frequenties[],3,FALSE)*VLOOKUP(#REF!,Locaties[],3,FALSE),0)</f>
        <v>0</v>
      </c>
      <c r="AC100" s="33"/>
      <c r="AD100" s="33"/>
      <c r="AE100" s="33">
        <f>Ruimtestaat[[#This Row],[uren / jaar weekend]]*Tariefsopbouw!$D$40</f>
        <v>0</v>
      </c>
      <c r="AF100" s="79">
        <f>Ruimtestaat[[#This Row],[Prest. (m2 /jaar) weekend]]+Ruimtestaat[[#This Row],[Prest. (m2 /jaar) werkdagen]]</f>
        <v>2000</v>
      </c>
      <c r="AG100" s="79">
        <f>Ruimtestaat[[#This Row],[uren / jaar weekend]]+Ruimtestaat[[#This Row],[uren / jaar werkdagen]]</f>
        <v>0</v>
      </c>
      <c r="AH100" s="80">
        <f>Ruimtestaat[[#This Row],[kosten / jaar weekend]]+Ruimtestaat[[#This Row],[kosten / jaar werkdagen]]</f>
        <v>0</v>
      </c>
    </row>
    <row r="101" spans="1:34" ht="15" customHeight="1">
      <c r="A101" s="117">
        <v>2</v>
      </c>
      <c r="B101" s="21" t="str">
        <f>VLOOKUP(Ruimtestaat[[#This Row],[Code]],Locaties[#All],2,FALSE)</f>
        <v>Neon College – Enschede</v>
      </c>
      <c r="C101" s="21" t="str">
        <f>VLOOKUP(Ruimtestaat[[#This Row],[Code]],Locaties[#All],4,FALSE)</f>
        <v>Mr. P.J. Troelstrastraat 9</v>
      </c>
      <c r="D101" s="212" t="str">
        <f>VLOOKUP(Ruimtestaat[[#This Row],[Code]],Locaties[#All],5,FALSE)</f>
        <v xml:space="preserve">7522 BD </v>
      </c>
      <c r="E101" s="212" t="str">
        <f>VLOOKUP(Ruimtestaat[[#This Row],[Code]],Locaties[#All],6,FALSE)</f>
        <v>Enschede</v>
      </c>
      <c r="F101" s="171"/>
      <c r="G101" s="171" t="s">
        <v>563</v>
      </c>
      <c r="H101" s="171"/>
      <c r="I101" s="171" t="s">
        <v>875</v>
      </c>
      <c r="J101" s="213" t="s">
        <v>61</v>
      </c>
      <c r="K101" s="171">
        <v>3</v>
      </c>
      <c r="L101" s="223" t="str">
        <f>VLOOKUP(Ruimtestaat[[#This Row],[Ruimte code]],Ruimtegroepen[#All],2,FALSE)</f>
        <v>Reproruimte</v>
      </c>
      <c r="M101" s="185" t="s">
        <v>598</v>
      </c>
      <c r="N101" s="171" t="s">
        <v>900</v>
      </c>
      <c r="O101" s="172">
        <v>11</v>
      </c>
      <c r="P101" s="183"/>
      <c r="Q101" s="212" t="str">
        <f>VLOOKUP(Ruimtestaat[[#This Row],[Ruimte code]],Ruimtegroepen[#All],4,FALSE)</f>
        <v>V  (Verkeersruimte)</v>
      </c>
      <c r="R101" s="184"/>
      <c r="S101" s="185">
        <v>40</v>
      </c>
      <c r="T101" s="185" t="s">
        <v>15</v>
      </c>
      <c r="U101" s="185">
        <f>IF(S101&gt;0,IF(RIGHT(Ruimtestaat[[#This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01" s="185">
        <f>IF(U101&gt;0,VLOOKUP($K101,Ruimtegroepen[],3,FALSE)*VLOOKUP($M101,Vloersoorten[],3,FALSE)*VLOOKUP($T101,Frequenties[],3,FALSE)*VLOOKUP($A101,Locaties[],3,FALSE),0)</f>
        <v>0</v>
      </c>
      <c r="W101" s="185">
        <f>Ruimtestaat[[#This Row],[Uitvoeringen werkdagen]]*Ruimtestaat[[#This Row],[Oppervlak (netto)]]</f>
        <v>440</v>
      </c>
      <c r="X101" s="220">
        <f>IF(V101&gt;0,Ruimtestaat[[#This Row],[Prest. (m2 /jaar) werkdagen]]/Ruimtestaat[[#This Row],[Norm (m2/uur) werkdagen]],0)</f>
        <v>0</v>
      </c>
      <c r="Y101" s="221">
        <f>Ruimtestaat[[#This Row],[uren / jaar werkdagen]]*Tariefsopbouw!$D$38</f>
        <v>0</v>
      </c>
      <c r="Z101" s="33"/>
      <c r="AA101" s="33">
        <f>IF(Ruimtestaat[[#This Row],[Frequentie weekend]]&gt;0,VALUE(LEFT(Z101,1))*S101,0)</f>
        <v>0</v>
      </c>
      <c r="AB101" s="33">
        <f>IF($AA101&gt;0,VLOOKUP($K101,Ruimtegroepen[],3,FALSE)*VLOOKUP($M101,Vloersoorten[],3,FALSE)*VLOOKUP($Z101,Frequenties[],3,FALSE)*VLOOKUP(#REF!,Locaties[],3,FALSE),0)</f>
        <v>0</v>
      </c>
      <c r="AC101" s="33"/>
      <c r="AD101" s="33"/>
      <c r="AE101" s="33">
        <f>Ruimtestaat[[#This Row],[uren / jaar weekend]]*Tariefsopbouw!$D$40</f>
        <v>0</v>
      </c>
      <c r="AF101" s="79">
        <f>Ruimtestaat[[#This Row],[Prest. (m2 /jaar) weekend]]+Ruimtestaat[[#This Row],[Prest. (m2 /jaar) werkdagen]]</f>
        <v>440</v>
      </c>
      <c r="AG101" s="79">
        <f>Ruimtestaat[[#This Row],[uren / jaar weekend]]+Ruimtestaat[[#This Row],[uren / jaar werkdagen]]</f>
        <v>0</v>
      </c>
      <c r="AH101" s="80">
        <f>Ruimtestaat[[#This Row],[kosten / jaar weekend]]+Ruimtestaat[[#This Row],[kosten / jaar werkdagen]]</f>
        <v>0</v>
      </c>
    </row>
    <row r="102" spans="1:34" ht="15" customHeight="1">
      <c r="A102" s="117">
        <v>2</v>
      </c>
      <c r="B102" s="21" t="str">
        <f>VLOOKUP(Ruimtestaat[[#This Row],[Code]],Locaties[#All],2,FALSE)</f>
        <v>Neon College – Enschede</v>
      </c>
      <c r="C102" s="21" t="str">
        <f>VLOOKUP(Ruimtestaat[[#This Row],[Code]],Locaties[#All],4,FALSE)</f>
        <v>Mr. P.J. Troelstrastraat 9</v>
      </c>
      <c r="D102" s="212" t="str">
        <f>VLOOKUP(Ruimtestaat[[#This Row],[Code]],Locaties[#All],5,FALSE)</f>
        <v xml:space="preserve">7522 BD </v>
      </c>
      <c r="E102" s="212" t="str">
        <f>VLOOKUP(Ruimtestaat[[#This Row],[Code]],Locaties[#All],6,FALSE)</f>
        <v>Enschede</v>
      </c>
      <c r="F102" s="171"/>
      <c r="G102" s="171" t="s">
        <v>563</v>
      </c>
      <c r="H102" s="171"/>
      <c r="I102" s="171" t="s">
        <v>876</v>
      </c>
      <c r="J102" s="213" t="s">
        <v>581</v>
      </c>
      <c r="K102" s="171">
        <v>19</v>
      </c>
      <c r="L102" s="223" t="str">
        <f>VLOOKUP(Ruimtestaat[[#This Row],[Ruimte code]],Ruimtegroepen[#All],2,FALSE)</f>
        <v>Kleedruimten</v>
      </c>
      <c r="M102" s="212" t="s">
        <v>111</v>
      </c>
      <c r="N102" s="171" t="s">
        <v>606</v>
      </c>
      <c r="O102" s="172">
        <v>6</v>
      </c>
      <c r="P102" s="183"/>
      <c r="Q102" s="212" t="str">
        <f>VLOOKUP(Ruimtestaat[[#This Row],[Ruimte code]],Ruimtegroepen[#All],4,FALSE)</f>
        <v>V  (Verkeersruimte)</v>
      </c>
      <c r="R102" s="184"/>
      <c r="S102" s="185">
        <v>40</v>
      </c>
      <c r="T102" s="185" t="s">
        <v>2</v>
      </c>
      <c r="U102" s="185">
        <f>IF(S102&gt;0,IF(RIGHT(Ruimtestaat[[#This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" s="185">
        <f>IF(U102&gt;0,VLOOKUP($K102,Ruimtegroepen[],3,FALSE)*VLOOKUP($M102,Vloersoorten[],3,FALSE)*VLOOKUP($T102,Frequenties[],3,FALSE)*VLOOKUP($A102,Locaties[],3,FALSE),0)</f>
        <v>0</v>
      </c>
      <c r="W102" s="185">
        <f>Ruimtestaat[[#This Row],[Uitvoeringen werkdagen]]*Ruimtestaat[[#This Row],[Oppervlak (netto)]]</f>
        <v>1200</v>
      </c>
      <c r="X102" s="220">
        <f>IF(V102&gt;0,Ruimtestaat[[#This Row],[Prest. (m2 /jaar) werkdagen]]/Ruimtestaat[[#This Row],[Norm (m2/uur) werkdagen]],0)</f>
        <v>0</v>
      </c>
      <c r="Y102" s="221">
        <f>Ruimtestaat[[#This Row],[uren / jaar werkdagen]]*Tariefsopbouw!$D$38</f>
        <v>0</v>
      </c>
      <c r="Z102" s="33"/>
      <c r="AA102" s="33">
        <f>IF(Ruimtestaat[[#This Row],[Frequentie weekend]]&gt;0,VALUE(LEFT(Z102,1))*S102,0)</f>
        <v>0</v>
      </c>
      <c r="AB102" s="33">
        <f>IF($AA102&gt;0,VLOOKUP($K102,Ruimtegroepen[],3,FALSE)*VLOOKUP($M102,Vloersoorten[],3,FALSE)*VLOOKUP($Z102,Frequenties[],3,FALSE)*VLOOKUP(#REF!,Locaties[],3,FALSE),0)</f>
        <v>0</v>
      </c>
      <c r="AC102" s="33"/>
      <c r="AD102" s="33"/>
      <c r="AE102" s="33">
        <f>Ruimtestaat[[#This Row],[uren / jaar weekend]]*Tariefsopbouw!$D$40</f>
        <v>0</v>
      </c>
      <c r="AF102" s="79">
        <f>Ruimtestaat[[#This Row],[Prest. (m2 /jaar) weekend]]+Ruimtestaat[[#This Row],[Prest. (m2 /jaar) werkdagen]]</f>
        <v>1200</v>
      </c>
      <c r="AG102" s="79">
        <f>Ruimtestaat[[#This Row],[uren / jaar weekend]]+Ruimtestaat[[#This Row],[uren / jaar werkdagen]]</f>
        <v>0</v>
      </c>
      <c r="AH102" s="80">
        <f>Ruimtestaat[[#This Row],[kosten / jaar weekend]]+Ruimtestaat[[#This Row],[kosten / jaar werkdagen]]</f>
        <v>0</v>
      </c>
    </row>
    <row r="103" spans="1:34" ht="15" customHeight="1">
      <c r="A103" s="117">
        <v>2</v>
      </c>
      <c r="B103" s="21" t="str">
        <f>VLOOKUP(Ruimtestaat[[#This Row],[Code]],Locaties[#All],2,FALSE)</f>
        <v>Neon College – Enschede</v>
      </c>
      <c r="C103" s="21" t="str">
        <f>VLOOKUP(Ruimtestaat[[#This Row],[Code]],Locaties[#All],4,FALSE)</f>
        <v>Mr. P.J. Troelstrastraat 9</v>
      </c>
      <c r="D103" s="212" t="str">
        <f>VLOOKUP(Ruimtestaat[[#This Row],[Code]],Locaties[#All],5,FALSE)</f>
        <v xml:space="preserve">7522 BD </v>
      </c>
      <c r="E103" s="212" t="str">
        <f>VLOOKUP(Ruimtestaat[[#This Row],[Code]],Locaties[#All],6,FALSE)</f>
        <v>Enschede</v>
      </c>
      <c r="F103" s="171"/>
      <c r="G103" s="171" t="s">
        <v>563</v>
      </c>
      <c r="H103" s="171"/>
      <c r="I103" s="171" t="s">
        <v>877</v>
      </c>
      <c r="J103" s="213" t="s">
        <v>583</v>
      </c>
      <c r="K103" s="171">
        <v>20</v>
      </c>
      <c r="L103" s="223" t="str">
        <f>VLOOKUP(Ruimtestaat[[#This Row],[Ruimte code]],Ruimtegroepen[#All],2,FALSE)</f>
        <v>Niet in onderhoud</v>
      </c>
      <c r="M103" s="185" t="s">
        <v>598</v>
      </c>
      <c r="N103" s="171" t="s">
        <v>900</v>
      </c>
      <c r="O103" s="172"/>
      <c r="P103" s="183">
        <v>0.8</v>
      </c>
      <c r="Q103" s="212" t="str">
        <f>VLOOKUP(Ruimtestaat[[#This Row],[Ruimte code]],Ruimtegroepen[#All],4,FALSE)</f>
        <v>niet in onderhoud</v>
      </c>
      <c r="R103" s="184"/>
      <c r="S103" s="185"/>
      <c r="T103" s="185"/>
      <c r="U103" s="185">
        <f>IF(S103&gt;0,IF(RIGHT(Ruimtestaat[[#This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" s="185">
        <f>IF(U103&gt;0,VLOOKUP($K103,Ruimtegroepen[],3,FALSE)*VLOOKUP($M103,Vloersoorten[],3,FALSE)*VLOOKUP($T103,Frequenties[],3,FALSE)*VLOOKUP($A103,Locaties[],3,FALSE),0)</f>
        <v>0</v>
      </c>
      <c r="W103" s="185">
        <f>Ruimtestaat[[#This Row],[Uitvoeringen werkdagen]]*Ruimtestaat[[#This Row],[Oppervlak (netto)]]</f>
        <v>0</v>
      </c>
      <c r="X103" s="220">
        <f>IF(V103&gt;0,Ruimtestaat[[#This Row],[Prest. (m2 /jaar) werkdagen]]/Ruimtestaat[[#This Row],[Norm (m2/uur) werkdagen]],0)</f>
        <v>0</v>
      </c>
      <c r="Y103" s="221">
        <f>Ruimtestaat[[#This Row],[uren / jaar werkdagen]]*Tariefsopbouw!$D$38</f>
        <v>0</v>
      </c>
      <c r="Z103" s="33"/>
      <c r="AA103" s="33">
        <f>IF(Ruimtestaat[[#This Row],[Frequentie weekend]]&gt;0,VALUE(LEFT(Z103,1))*S103,0)</f>
        <v>0</v>
      </c>
      <c r="AB103" s="33">
        <f>IF($AA103&gt;0,VLOOKUP($K103,Ruimtegroepen[],3,FALSE)*VLOOKUP($M103,Vloersoorten[],3,FALSE)*VLOOKUP($Z103,Frequenties[],3,FALSE)*VLOOKUP(#REF!,Locaties[],3,FALSE),0)</f>
        <v>0</v>
      </c>
      <c r="AC103" s="33"/>
      <c r="AD103" s="33"/>
      <c r="AE103" s="33">
        <f>Ruimtestaat[[#This Row],[uren / jaar weekend]]*Tariefsopbouw!$D$40</f>
        <v>0</v>
      </c>
      <c r="AF103" s="79">
        <f>Ruimtestaat[[#This Row],[Prest. (m2 /jaar) weekend]]+Ruimtestaat[[#This Row],[Prest. (m2 /jaar) werkdagen]]</f>
        <v>0</v>
      </c>
      <c r="AG103" s="79">
        <f>Ruimtestaat[[#This Row],[uren / jaar weekend]]+Ruimtestaat[[#This Row],[uren / jaar werkdagen]]</f>
        <v>0</v>
      </c>
      <c r="AH103" s="80">
        <f>Ruimtestaat[[#This Row],[kosten / jaar weekend]]+Ruimtestaat[[#This Row],[kosten / jaar werkdagen]]</f>
        <v>0</v>
      </c>
    </row>
    <row r="104" spans="1:34" ht="15" customHeight="1">
      <c r="A104" s="117">
        <v>2</v>
      </c>
      <c r="B104" s="21" t="str">
        <f>VLOOKUP(Ruimtestaat[[#This Row],[Code]],Locaties[#All],2,FALSE)</f>
        <v>Neon College – Enschede</v>
      </c>
      <c r="C104" s="21" t="str">
        <f>VLOOKUP(Ruimtestaat[[#This Row],[Code]],Locaties[#All],4,FALSE)</f>
        <v>Mr. P.J. Troelstrastraat 9</v>
      </c>
      <c r="D104" s="212" t="str">
        <f>VLOOKUP(Ruimtestaat[[#This Row],[Code]],Locaties[#All],5,FALSE)</f>
        <v xml:space="preserve">7522 BD </v>
      </c>
      <c r="E104" s="212" t="str">
        <f>VLOOKUP(Ruimtestaat[[#This Row],[Code]],Locaties[#All],6,FALSE)</f>
        <v>Enschede</v>
      </c>
      <c r="F104" s="171"/>
      <c r="G104" s="171" t="s">
        <v>563</v>
      </c>
      <c r="H104" s="171"/>
      <c r="I104" s="171" t="s">
        <v>806</v>
      </c>
      <c r="J104" s="213" t="s">
        <v>601</v>
      </c>
      <c r="K104" s="185">
        <v>19</v>
      </c>
      <c r="L104" s="223" t="str">
        <f>VLOOKUP(Ruimtestaat[[#This Row],[Ruimte code]],Ruimtegroepen[#All],2,FALSE)</f>
        <v>Kleedruimten</v>
      </c>
      <c r="M104" s="212" t="s">
        <v>111</v>
      </c>
      <c r="N104" s="171" t="s">
        <v>606</v>
      </c>
      <c r="O104" s="172">
        <v>12</v>
      </c>
      <c r="P104" s="183"/>
      <c r="Q104" s="212" t="str">
        <f>VLOOKUP(Ruimtestaat[[#This Row],[Ruimte code]],Ruimtegroepen[#All],4,FALSE)</f>
        <v>V  (Verkeersruimte)</v>
      </c>
      <c r="R104" s="184"/>
      <c r="S104" s="185">
        <v>40</v>
      </c>
      <c r="T104" s="185" t="s">
        <v>2</v>
      </c>
      <c r="U104" s="185">
        <f>IF(S104&gt;0,IF(RIGHT(Ruimtestaat[[#This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" s="185">
        <f>IF(U104&gt;0,VLOOKUP($K104,Ruimtegroepen[],3,FALSE)*VLOOKUP($M104,Vloersoorten[],3,FALSE)*VLOOKUP($T104,Frequenties[],3,FALSE)*VLOOKUP($A104,Locaties[],3,FALSE),0)</f>
        <v>0</v>
      </c>
      <c r="W104" s="185">
        <f>Ruimtestaat[[#This Row],[Uitvoeringen werkdagen]]*Ruimtestaat[[#This Row],[Oppervlak (netto)]]</f>
        <v>2400</v>
      </c>
      <c r="X104" s="220">
        <f>IF(V104&gt;0,Ruimtestaat[[#This Row],[Prest. (m2 /jaar) werkdagen]]/Ruimtestaat[[#This Row],[Norm (m2/uur) werkdagen]],0)</f>
        <v>0</v>
      </c>
      <c r="Y104" s="221">
        <f>Ruimtestaat[[#This Row],[uren / jaar werkdagen]]*Tariefsopbouw!$D$38</f>
        <v>0</v>
      </c>
      <c r="Z104" s="33"/>
      <c r="AA104" s="33">
        <f>IF(Ruimtestaat[[#This Row],[Frequentie weekend]]&gt;0,VALUE(LEFT(Z104,1))*S104,0)</f>
        <v>0</v>
      </c>
      <c r="AB104" s="33">
        <f>IF($AA104&gt;0,VLOOKUP($K104,Ruimtegroepen[],3,FALSE)*VLOOKUP($M104,Vloersoorten[],3,FALSE)*VLOOKUP($Z104,Frequenties[],3,FALSE)*VLOOKUP(#REF!,Locaties[],3,FALSE),0)</f>
        <v>0</v>
      </c>
      <c r="AC104" s="33"/>
      <c r="AD104" s="33"/>
      <c r="AE104" s="33">
        <f>Ruimtestaat[[#This Row],[uren / jaar weekend]]*Tariefsopbouw!$D$40</f>
        <v>0</v>
      </c>
      <c r="AF104" s="79">
        <f>Ruimtestaat[[#This Row],[Prest. (m2 /jaar) weekend]]+Ruimtestaat[[#This Row],[Prest. (m2 /jaar) werkdagen]]</f>
        <v>2400</v>
      </c>
      <c r="AG104" s="79">
        <f>Ruimtestaat[[#This Row],[uren / jaar weekend]]+Ruimtestaat[[#This Row],[uren / jaar werkdagen]]</f>
        <v>0</v>
      </c>
      <c r="AH104" s="80">
        <f>Ruimtestaat[[#This Row],[kosten / jaar weekend]]+Ruimtestaat[[#This Row],[kosten / jaar werkdagen]]</f>
        <v>0</v>
      </c>
    </row>
    <row r="105" spans="1:34" ht="15" customHeight="1">
      <c r="A105" s="117">
        <v>2</v>
      </c>
      <c r="B105" s="21" t="str">
        <f>VLOOKUP(Ruimtestaat[[#This Row],[Code]],Locaties[#All],2,FALSE)</f>
        <v>Neon College – Enschede</v>
      </c>
      <c r="C105" s="21" t="str">
        <f>VLOOKUP(Ruimtestaat[[#This Row],[Code]],Locaties[#All],4,FALSE)</f>
        <v>Mr. P.J. Troelstrastraat 9</v>
      </c>
      <c r="D105" s="212" t="str">
        <f>VLOOKUP(Ruimtestaat[[#This Row],[Code]],Locaties[#All],5,FALSE)</f>
        <v xml:space="preserve">7522 BD </v>
      </c>
      <c r="E105" s="212" t="str">
        <f>VLOOKUP(Ruimtestaat[[#This Row],[Code]],Locaties[#All],6,FALSE)</f>
        <v>Enschede</v>
      </c>
      <c r="F105" s="171"/>
      <c r="G105" s="171" t="s">
        <v>563</v>
      </c>
      <c r="H105" s="171"/>
      <c r="I105" s="171" t="s">
        <v>878</v>
      </c>
      <c r="J105" s="213" t="s">
        <v>602</v>
      </c>
      <c r="K105" s="212">
        <v>19</v>
      </c>
      <c r="L105" s="223" t="str">
        <f>VLOOKUP(Ruimtestaat[[#This Row],[Ruimte code]],Ruimtegroepen[#All],2,FALSE)</f>
        <v>Kleedruimten</v>
      </c>
      <c r="M105" s="212" t="s">
        <v>111</v>
      </c>
      <c r="N105" s="171" t="s">
        <v>606</v>
      </c>
      <c r="O105" s="172">
        <v>4</v>
      </c>
      <c r="P105" s="183"/>
      <c r="Q105" s="212" t="str">
        <f>VLOOKUP(Ruimtestaat[[#This Row],[Ruimte code]],Ruimtegroepen[#All],4,FALSE)</f>
        <v>V  (Verkeersruimte)</v>
      </c>
      <c r="R105" s="184"/>
      <c r="S105" s="185">
        <v>40</v>
      </c>
      <c r="T105" s="185" t="s">
        <v>2</v>
      </c>
      <c r="U105" s="185">
        <f>IF(S105&gt;0,IF(RIGHT(Ruimtestaat[[#This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" s="185">
        <f>IF(U105&gt;0,VLOOKUP($K105,Ruimtegroepen[],3,FALSE)*VLOOKUP($M105,Vloersoorten[],3,FALSE)*VLOOKUP($T105,Frequenties[],3,FALSE)*VLOOKUP($A105,Locaties[],3,FALSE),0)</f>
        <v>0</v>
      </c>
      <c r="W105" s="185">
        <f>Ruimtestaat[[#This Row],[Uitvoeringen werkdagen]]*Ruimtestaat[[#This Row],[Oppervlak (netto)]]</f>
        <v>800</v>
      </c>
      <c r="X105" s="220">
        <f>IF(V105&gt;0,Ruimtestaat[[#This Row],[Prest. (m2 /jaar) werkdagen]]/Ruimtestaat[[#This Row],[Norm (m2/uur) werkdagen]],0)</f>
        <v>0</v>
      </c>
      <c r="Y105" s="221">
        <f>Ruimtestaat[[#This Row],[uren / jaar werkdagen]]*Tariefsopbouw!$D$38</f>
        <v>0</v>
      </c>
      <c r="Z105" s="33"/>
      <c r="AA105" s="33">
        <f>IF(Ruimtestaat[[#This Row],[Frequentie weekend]]&gt;0,VALUE(LEFT(Z105,1))*S105,0)</f>
        <v>0</v>
      </c>
      <c r="AB105" s="33">
        <f>IF($AA105&gt;0,VLOOKUP($K105,Ruimtegroepen[],3,FALSE)*VLOOKUP($M105,Vloersoorten[],3,FALSE)*VLOOKUP($Z105,Frequenties[],3,FALSE)*VLOOKUP(#REF!,Locaties[],3,FALSE),0)</f>
        <v>0</v>
      </c>
      <c r="AC105" s="33"/>
      <c r="AD105" s="33"/>
      <c r="AE105" s="33">
        <f>Ruimtestaat[[#This Row],[uren / jaar weekend]]*Tariefsopbouw!$D$40</f>
        <v>0</v>
      </c>
      <c r="AF105" s="79">
        <f>Ruimtestaat[[#This Row],[Prest. (m2 /jaar) weekend]]+Ruimtestaat[[#This Row],[Prest. (m2 /jaar) werkdagen]]</f>
        <v>800</v>
      </c>
      <c r="AG105" s="79">
        <f>Ruimtestaat[[#This Row],[uren / jaar weekend]]+Ruimtestaat[[#This Row],[uren / jaar werkdagen]]</f>
        <v>0</v>
      </c>
      <c r="AH105" s="80">
        <f>Ruimtestaat[[#This Row],[kosten / jaar weekend]]+Ruimtestaat[[#This Row],[kosten / jaar werkdagen]]</f>
        <v>0</v>
      </c>
    </row>
    <row r="106" spans="1:34" ht="15" customHeight="1">
      <c r="A106" s="117">
        <v>2</v>
      </c>
      <c r="B106" s="21" t="str">
        <f>VLOOKUP(Ruimtestaat[[#This Row],[Code]],Locaties[#All],2,FALSE)</f>
        <v>Neon College – Enschede</v>
      </c>
      <c r="C106" s="21" t="str">
        <f>VLOOKUP(Ruimtestaat[[#This Row],[Code]],Locaties[#All],4,FALSE)</f>
        <v>Mr. P.J. Troelstrastraat 9</v>
      </c>
      <c r="D106" s="212" t="str">
        <f>VLOOKUP(Ruimtestaat[[#This Row],[Code]],Locaties[#All],5,FALSE)</f>
        <v xml:space="preserve">7522 BD </v>
      </c>
      <c r="E106" s="212" t="str">
        <f>VLOOKUP(Ruimtestaat[[#This Row],[Code]],Locaties[#All],6,FALSE)</f>
        <v>Enschede</v>
      </c>
      <c r="F106" s="171"/>
      <c r="G106" s="171" t="s">
        <v>563</v>
      </c>
      <c r="H106" s="171"/>
      <c r="I106" s="171" t="s">
        <v>879</v>
      </c>
      <c r="J106" s="213" t="s">
        <v>569</v>
      </c>
      <c r="K106" s="171">
        <v>5</v>
      </c>
      <c r="L106" s="223" t="str">
        <f>VLOOKUP(Ruimtestaat[[#This Row],[Ruimte code]],Ruimtegroepen[#All],2,FALSE)</f>
        <v>Sanitair</v>
      </c>
      <c r="M106" s="212" t="s">
        <v>111</v>
      </c>
      <c r="N106" s="171" t="s">
        <v>606</v>
      </c>
      <c r="O106" s="172">
        <v>1.5</v>
      </c>
      <c r="P106" s="183"/>
      <c r="Q106" s="212" t="str">
        <f>VLOOKUP(Ruimtestaat[[#This Row],[Ruimte code]],Ruimtegroepen[#All],4,FALSE)</f>
        <v>S  (Sanitair)</v>
      </c>
      <c r="R106" s="184"/>
      <c r="S106" s="185">
        <v>40</v>
      </c>
      <c r="T106" s="185" t="s">
        <v>2</v>
      </c>
      <c r="U106" s="185">
        <f>IF(S106&gt;0,IF(RIGHT(Ruimtestaat[[#This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" s="185">
        <f>IF(U106&gt;0,VLOOKUP($K106,Ruimtegroepen[],3,FALSE)*VLOOKUP($M106,Vloersoorten[],3,FALSE)*VLOOKUP($T106,Frequenties[],3,FALSE)*VLOOKUP($A106,Locaties[],3,FALSE),0)</f>
        <v>0</v>
      </c>
      <c r="W106" s="185">
        <f>Ruimtestaat[[#This Row],[Uitvoeringen werkdagen]]*Ruimtestaat[[#This Row],[Oppervlak (netto)]]</f>
        <v>300</v>
      </c>
      <c r="X106" s="220">
        <f>IF(V106&gt;0,Ruimtestaat[[#This Row],[Prest. (m2 /jaar) werkdagen]]/Ruimtestaat[[#This Row],[Norm (m2/uur) werkdagen]],0)</f>
        <v>0</v>
      </c>
      <c r="Y106" s="221">
        <f>Ruimtestaat[[#This Row],[uren / jaar werkdagen]]*Tariefsopbouw!$D$38</f>
        <v>0</v>
      </c>
      <c r="Z106" s="33"/>
      <c r="AA106" s="33">
        <f>IF(Ruimtestaat[[#This Row],[Frequentie weekend]]&gt;0,VALUE(LEFT(Z106,1))*S106,0)</f>
        <v>0</v>
      </c>
      <c r="AB106" s="33">
        <f>IF($AA106&gt;0,VLOOKUP($K106,Ruimtegroepen[],3,FALSE)*VLOOKUP($M106,Vloersoorten[],3,FALSE)*VLOOKUP($Z106,Frequenties[],3,FALSE)*VLOOKUP(#REF!,Locaties[],3,FALSE),0)</f>
        <v>0</v>
      </c>
      <c r="AC106" s="33"/>
      <c r="AD106" s="33"/>
      <c r="AE106" s="33">
        <f>Ruimtestaat[[#This Row],[uren / jaar weekend]]*Tariefsopbouw!$D$40</f>
        <v>0</v>
      </c>
      <c r="AF106" s="79">
        <f>Ruimtestaat[[#This Row],[Prest. (m2 /jaar) weekend]]+Ruimtestaat[[#This Row],[Prest. (m2 /jaar) werkdagen]]</f>
        <v>300</v>
      </c>
      <c r="AG106" s="79">
        <f>Ruimtestaat[[#This Row],[uren / jaar weekend]]+Ruimtestaat[[#This Row],[uren / jaar werkdagen]]</f>
        <v>0</v>
      </c>
      <c r="AH106" s="80">
        <f>Ruimtestaat[[#This Row],[kosten / jaar weekend]]+Ruimtestaat[[#This Row],[kosten / jaar werkdagen]]</f>
        <v>0</v>
      </c>
    </row>
    <row r="107" spans="1:34" ht="15" customHeight="1">
      <c r="A107" s="117">
        <v>2</v>
      </c>
      <c r="B107" s="21" t="str">
        <f>VLOOKUP(Ruimtestaat[[#This Row],[Code]],Locaties[#All],2,FALSE)</f>
        <v>Neon College – Enschede</v>
      </c>
      <c r="C107" s="21" t="str">
        <f>VLOOKUP(Ruimtestaat[[#This Row],[Code]],Locaties[#All],4,FALSE)</f>
        <v>Mr. P.J. Troelstrastraat 9</v>
      </c>
      <c r="D107" s="212" t="str">
        <f>VLOOKUP(Ruimtestaat[[#This Row],[Code]],Locaties[#All],5,FALSE)</f>
        <v xml:space="preserve">7522 BD </v>
      </c>
      <c r="E107" s="212" t="str">
        <f>VLOOKUP(Ruimtestaat[[#This Row],[Code]],Locaties[#All],6,FALSE)</f>
        <v>Enschede</v>
      </c>
      <c r="F107" s="171"/>
      <c r="G107" s="171" t="s">
        <v>563</v>
      </c>
      <c r="H107" s="171"/>
      <c r="I107" s="171">
        <v>33</v>
      </c>
      <c r="J107" s="213" t="s">
        <v>574</v>
      </c>
      <c r="K107" s="212">
        <v>6</v>
      </c>
      <c r="L107" s="223" t="str">
        <f>VLOOKUP(Ruimtestaat[[#This Row],[Ruimte code]],Ruimtegroepen[#All],2,FALSE)</f>
        <v>Gangen/hallen</v>
      </c>
      <c r="M107" s="185" t="s">
        <v>598</v>
      </c>
      <c r="N107" s="171" t="s">
        <v>900</v>
      </c>
      <c r="O107" s="172">
        <v>9</v>
      </c>
      <c r="P107" s="183"/>
      <c r="Q107" s="212" t="str">
        <f>VLOOKUP(Ruimtestaat[[#This Row],[Ruimte code]],Ruimtegroepen[#All],4,FALSE)</f>
        <v>V  (Verkeersruimte)</v>
      </c>
      <c r="R107" s="184"/>
      <c r="S107" s="185">
        <v>40</v>
      </c>
      <c r="T107" s="185" t="s">
        <v>2</v>
      </c>
      <c r="U107" s="185">
        <f>IF(S107&gt;0,IF(RIGHT(Ruimtestaat[[#This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" s="185">
        <f>IF(U107&gt;0,VLOOKUP($K107,Ruimtegroepen[],3,FALSE)*VLOOKUP($M107,Vloersoorten[],3,FALSE)*VLOOKUP($T107,Frequenties[],3,FALSE)*VLOOKUP($A107,Locaties[],3,FALSE),0)</f>
        <v>0</v>
      </c>
      <c r="W107" s="185">
        <f>Ruimtestaat[[#This Row],[Uitvoeringen werkdagen]]*Ruimtestaat[[#This Row],[Oppervlak (netto)]]</f>
        <v>1800</v>
      </c>
      <c r="X107" s="220">
        <f>IF(V107&gt;0,Ruimtestaat[[#This Row],[Prest. (m2 /jaar) werkdagen]]/Ruimtestaat[[#This Row],[Norm (m2/uur) werkdagen]],0)</f>
        <v>0</v>
      </c>
      <c r="Y107" s="221">
        <f>Ruimtestaat[[#This Row],[uren / jaar werkdagen]]*Tariefsopbouw!$D$38</f>
        <v>0</v>
      </c>
      <c r="Z107" s="33"/>
      <c r="AA107" s="33">
        <f>IF(Ruimtestaat[[#This Row],[Frequentie weekend]]&gt;0,VALUE(LEFT(Z107,1))*S107,0)</f>
        <v>0</v>
      </c>
      <c r="AB107" s="33">
        <f>IF($AA107&gt;0,VLOOKUP($K107,Ruimtegroepen[],3,FALSE)*VLOOKUP($M107,Vloersoorten[],3,FALSE)*VLOOKUP($Z107,Frequenties[],3,FALSE)*VLOOKUP(#REF!,Locaties[],3,FALSE),0)</f>
        <v>0</v>
      </c>
      <c r="AC107" s="33"/>
      <c r="AD107" s="33"/>
      <c r="AE107" s="33">
        <f>Ruimtestaat[[#This Row],[uren / jaar weekend]]*Tariefsopbouw!$D$40</f>
        <v>0</v>
      </c>
      <c r="AF107" s="79">
        <f>Ruimtestaat[[#This Row],[Prest. (m2 /jaar) weekend]]+Ruimtestaat[[#This Row],[Prest. (m2 /jaar) werkdagen]]</f>
        <v>1800</v>
      </c>
      <c r="AG107" s="79">
        <f>Ruimtestaat[[#This Row],[uren / jaar weekend]]+Ruimtestaat[[#This Row],[uren / jaar werkdagen]]</f>
        <v>0</v>
      </c>
      <c r="AH107" s="80">
        <f>Ruimtestaat[[#This Row],[kosten / jaar weekend]]+Ruimtestaat[[#This Row],[kosten / jaar werkdagen]]</f>
        <v>0</v>
      </c>
    </row>
    <row r="108" spans="1:34" ht="15" customHeight="1">
      <c r="A108" s="117">
        <v>2</v>
      </c>
      <c r="B108" s="21" t="str">
        <f>VLOOKUP(Ruimtestaat[[#This Row],[Code]],Locaties[#All],2,FALSE)</f>
        <v>Neon College – Enschede</v>
      </c>
      <c r="C108" s="21" t="str">
        <f>VLOOKUP(Ruimtestaat[[#This Row],[Code]],Locaties[#All],4,FALSE)</f>
        <v>Mr. P.J. Troelstrastraat 9</v>
      </c>
      <c r="D108" s="212" t="str">
        <f>VLOOKUP(Ruimtestaat[[#This Row],[Code]],Locaties[#All],5,FALSE)</f>
        <v xml:space="preserve">7522 BD </v>
      </c>
      <c r="E108" s="212" t="str">
        <f>VLOOKUP(Ruimtestaat[[#This Row],[Code]],Locaties[#All],6,FALSE)</f>
        <v>Enschede</v>
      </c>
      <c r="F108" s="171"/>
      <c r="G108" s="171" t="s">
        <v>563</v>
      </c>
      <c r="H108" s="171"/>
      <c r="I108" s="171">
        <v>34</v>
      </c>
      <c r="J108" s="213" t="s">
        <v>580</v>
      </c>
      <c r="K108" s="171">
        <v>18</v>
      </c>
      <c r="L108" s="223" t="str">
        <f>VLOOKUP(Ruimtestaat[[#This Row],[Ruimte code]],Ruimtegroepen[#All],2,FALSE)</f>
        <v>Gymzaal</v>
      </c>
      <c r="M108" s="185" t="s">
        <v>112</v>
      </c>
      <c r="N108" s="171" t="s">
        <v>596</v>
      </c>
      <c r="O108" s="172">
        <v>180</v>
      </c>
      <c r="P108" s="183"/>
      <c r="Q108" s="212" t="str">
        <f>VLOOKUP(Ruimtestaat[[#This Row],[Ruimte code]],Ruimtegroepen[#All],4,FALSE)</f>
        <v>Sp  (Sportruimte)</v>
      </c>
      <c r="R108" s="184"/>
      <c r="S108" s="185">
        <v>40</v>
      </c>
      <c r="T108" s="185" t="s">
        <v>2</v>
      </c>
      <c r="U108" s="185">
        <f>IF(S108&gt;0,IF(RIGHT(Ruimtestaat[[#This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" s="185">
        <f>IF(U108&gt;0,VLOOKUP($K108,Ruimtegroepen[],3,FALSE)*VLOOKUP($M108,Vloersoorten[],3,FALSE)*VLOOKUP($T108,Frequenties[],3,FALSE)*VLOOKUP($A108,Locaties[],3,FALSE),0)</f>
        <v>0</v>
      </c>
      <c r="W108" s="185">
        <f>Ruimtestaat[[#This Row],[Uitvoeringen werkdagen]]*Ruimtestaat[[#This Row],[Oppervlak (netto)]]</f>
        <v>36000</v>
      </c>
      <c r="X108" s="220">
        <f>IF(V108&gt;0,Ruimtestaat[[#This Row],[Prest. (m2 /jaar) werkdagen]]/Ruimtestaat[[#This Row],[Norm (m2/uur) werkdagen]],0)</f>
        <v>0</v>
      </c>
      <c r="Y108" s="221">
        <f>Ruimtestaat[[#This Row],[uren / jaar werkdagen]]*Tariefsopbouw!$D$38</f>
        <v>0</v>
      </c>
      <c r="Z108" s="33"/>
      <c r="AA108" s="33">
        <f>IF(Ruimtestaat[[#This Row],[Frequentie weekend]]&gt;0,VALUE(LEFT(Z108,1))*S108,0)</f>
        <v>0</v>
      </c>
      <c r="AB108" s="33">
        <f>IF($AA108&gt;0,VLOOKUP($K108,Ruimtegroepen[],3,FALSE)*VLOOKUP($M108,Vloersoorten[],3,FALSE)*VLOOKUP($Z108,Frequenties[],3,FALSE)*VLOOKUP(#REF!,Locaties[],3,FALSE),0)</f>
        <v>0</v>
      </c>
      <c r="AC108" s="33"/>
      <c r="AD108" s="33"/>
      <c r="AE108" s="33">
        <f>Ruimtestaat[[#This Row],[uren / jaar weekend]]*Tariefsopbouw!$D$40</f>
        <v>0</v>
      </c>
      <c r="AF108" s="79">
        <f>Ruimtestaat[[#This Row],[Prest. (m2 /jaar) weekend]]+Ruimtestaat[[#This Row],[Prest. (m2 /jaar) werkdagen]]</f>
        <v>36000</v>
      </c>
      <c r="AG108" s="79">
        <f>Ruimtestaat[[#This Row],[uren / jaar weekend]]+Ruimtestaat[[#This Row],[uren / jaar werkdagen]]</f>
        <v>0</v>
      </c>
      <c r="AH108" s="80">
        <f>Ruimtestaat[[#This Row],[kosten / jaar weekend]]+Ruimtestaat[[#This Row],[kosten / jaar werkdagen]]</f>
        <v>0</v>
      </c>
    </row>
    <row r="109" spans="1:34" ht="15" customHeight="1">
      <c r="A109" s="117">
        <v>2</v>
      </c>
      <c r="B109" s="21" t="str">
        <f>VLOOKUP(Ruimtestaat[[#This Row],[Code]],Locaties[#All],2,FALSE)</f>
        <v>Neon College – Enschede</v>
      </c>
      <c r="C109" s="21" t="str">
        <f>VLOOKUP(Ruimtestaat[[#This Row],[Code]],Locaties[#All],4,FALSE)</f>
        <v>Mr. P.J. Troelstrastraat 9</v>
      </c>
      <c r="D109" s="212" t="str">
        <f>VLOOKUP(Ruimtestaat[[#This Row],[Code]],Locaties[#All],5,FALSE)</f>
        <v xml:space="preserve">7522 BD </v>
      </c>
      <c r="E109" s="212" t="str">
        <f>VLOOKUP(Ruimtestaat[[#This Row],[Code]],Locaties[#All],6,FALSE)</f>
        <v>Enschede</v>
      </c>
      <c r="F109" s="171"/>
      <c r="G109" s="171" t="s">
        <v>563</v>
      </c>
      <c r="H109" s="171"/>
      <c r="I109" s="171">
        <v>35</v>
      </c>
      <c r="J109" s="213" t="s">
        <v>579</v>
      </c>
      <c r="K109" s="171">
        <v>17</v>
      </c>
      <c r="L109" s="223" t="str">
        <f>VLOOKUP(Ruimtestaat[[#This Row],[Ruimte code]],Ruimtegroepen[#All],2,FALSE)</f>
        <v>Toestelberging</v>
      </c>
      <c r="M109" s="185" t="s">
        <v>112</v>
      </c>
      <c r="N109" s="171" t="s">
        <v>596</v>
      </c>
      <c r="O109" s="172">
        <v>27</v>
      </c>
      <c r="P109" s="183"/>
      <c r="Q109" s="212" t="str">
        <f>VLOOKUP(Ruimtestaat[[#This Row],[Ruimte code]],Ruimtegroepen[#All],4,FALSE)</f>
        <v>V  (Verkeersruimte)</v>
      </c>
      <c r="R109" s="184"/>
      <c r="S109" s="185">
        <v>40</v>
      </c>
      <c r="T109" s="185" t="s">
        <v>16</v>
      </c>
      <c r="U109" s="185">
        <f>IF(S109&gt;0,IF(RIGHT(Ruimtestaat[[#This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09" s="185">
        <f>IF(U109&gt;0,VLOOKUP($K109,Ruimtegroepen[],3,FALSE)*VLOOKUP($M109,Vloersoorten[],3,FALSE)*VLOOKUP($T109,Frequenties[],3,FALSE)*VLOOKUP($A109,Locaties[],3,FALSE),0)</f>
        <v>0</v>
      </c>
      <c r="W109" s="185">
        <f>Ruimtestaat[[#This Row],[Uitvoeringen werkdagen]]*Ruimtestaat[[#This Row],[Oppervlak (netto)]]</f>
        <v>324</v>
      </c>
      <c r="X109" s="220">
        <f>IF(V109&gt;0,Ruimtestaat[[#This Row],[Prest. (m2 /jaar) werkdagen]]/Ruimtestaat[[#This Row],[Norm (m2/uur) werkdagen]],0)</f>
        <v>0</v>
      </c>
      <c r="Y109" s="221">
        <f>Ruimtestaat[[#This Row],[uren / jaar werkdagen]]*Tariefsopbouw!$D$38</f>
        <v>0</v>
      </c>
      <c r="Z109" s="33"/>
      <c r="AA109" s="33">
        <f>IF(Ruimtestaat[[#This Row],[Frequentie weekend]]&gt;0,VALUE(LEFT(Z109,1))*S109,0)</f>
        <v>0</v>
      </c>
      <c r="AB109" s="33">
        <f>IF($AA109&gt;0,VLOOKUP($K109,Ruimtegroepen[],3,FALSE)*VLOOKUP($M109,Vloersoorten[],3,FALSE)*VLOOKUP($Z109,Frequenties[],3,FALSE)*VLOOKUP(#REF!,Locaties[],3,FALSE),0)</f>
        <v>0</v>
      </c>
      <c r="AC109" s="33"/>
      <c r="AD109" s="33"/>
      <c r="AE109" s="33">
        <f>Ruimtestaat[[#This Row],[uren / jaar weekend]]*Tariefsopbouw!$D$40</f>
        <v>0</v>
      </c>
      <c r="AF109" s="79">
        <f>Ruimtestaat[[#This Row],[Prest. (m2 /jaar) weekend]]+Ruimtestaat[[#This Row],[Prest. (m2 /jaar) werkdagen]]</f>
        <v>324</v>
      </c>
      <c r="AG109" s="79">
        <f>Ruimtestaat[[#This Row],[uren / jaar weekend]]+Ruimtestaat[[#This Row],[uren / jaar werkdagen]]</f>
        <v>0</v>
      </c>
      <c r="AH109" s="80">
        <f>Ruimtestaat[[#This Row],[kosten / jaar weekend]]+Ruimtestaat[[#This Row],[kosten / jaar werkdagen]]</f>
        <v>0</v>
      </c>
    </row>
    <row r="110" spans="1:34" ht="15" customHeight="1">
      <c r="A110" s="117">
        <v>2</v>
      </c>
      <c r="B110" s="21" t="str">
        <f>VLOOKUP(Ruimtestaat[[#This Row],[Code]],Locaties[#All],2,FALSE)</f>
        <v>Neon College – Enschede</v>
      </c>
      <c r="C110" s="21" t="str">
        <f>VLOOKUP(Ruimtestaat[[#This Row],[Code]],Locaties[#All],4,FALSE)</f>
        <v>Mr. P.J. Troelstrastraat 9</v>
      </c>
      <c r="D110" s="212" t="str">
        <f>VLOOKUP(Ruimtestaat[[#This Row],[Code]],Locaties[#All],5,FALSE)</f>
        <v xml:space="preserve">7522 BD </v>
      </c>
      <c r="E110" s="212" t="str">
        <f>VLOOKUP(Ruimtestaat[[#This Row],[Code]],Locaties[#All],6,FALSE)</f>
        <v>Enschede</v>
      </c>
      <c r="F110" s="171"/>
      <c r="G110" s="171" t="s">
        <v>563</v>
      </c>
      <c r="H110" s="171"/>
      <c r="I110" s="171" t="s">
        <v>880</v>
      </c>
      <c r="J110" s="213" t="s">
        <v>583</v>
      </c>
      <c r="K110" s="171">
        <v>20</v>
      </c>
      <c r="L110" s="223" t="str">
        <f>VLOOKUP(Ruimtestaat[[#This Row],[Ruimte code]],Ruimtegroepen[#All],2,FALSE)</f>
        <v>Niet in onderhoud</v>
      </c>
      <c r="M110" s="185" t="s">
        <v>598</v>
      </c>
      <c r="N110" s="171" t="s">
        <v>900</v>
      </c>
      <c r="O110" s="172"/>
      <c r="P110" s="183">
        <v>3</v>
      </c>
      <c r="Q110" s="212" t="str">
        <f>VLOOKUP(Ruimtestaat[[#This Row],[Ruimte code]],Ruimtegroepen[#All],4,FALSE)</f>
        <v>niet in onderhoud</v>
      </c>
      <c r="R110" s="184"/>
      <c r="S110" s="185"/>
      <c r="T110" s="185"/>
      <c r="U110" s="185">
        <f>IF(S110&gt;0,IF(RIGHT(Ruimtestaat[[#This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0" s="185">
        <f>IF(U110&gt;0,VLOOKUP($K110,Ruimtegroepen[],3,FALSE)*VLOOKUP($M110,Vloersoorten[],3,FALSE)*VLOOKUP($T110,Frequenties[],3,FALSE)*VLOOKUP($A110,Locaties[],3,FALSE),0)</f>
        <v>0</v>
      </c>
      <c r="W110" s="185">
        <f>Ruimtestaat[[#This Row],[Uitvoeringen werkdagen]]*Ruimtestaat[[#This Row],[Oppervlak (netto)]]</f>
        <v>0</v>
      </c>
      <c r="X110" s="220">
        <f>IF(V110&gt;0,Ruimtestaat[[#This Row],[Prest. (m2 /jaar) werkdagen]]/Ruimtestaat[[#This Row],[Norm (m2/uur) werkdagen]],0)</f>
        <v>0</v>
      </c>
      <c r="Y110" s="221">
        <f>Ruimtestaat[[#This Row],[uren / jaar werkdagen]]*Tariefsopbouw!$D$38</f>
        <v>0</v>
      </c>
      <c r="Z110" s="33"/>
      <c r="AA110" s="33">
        <f>IF(Ruimtestaat[[#This Row],[Frequentie weekend]]&gt;0,VALUE(LEFT(Z110,1))*S110,0)</f>
        <v>0</v>
      </c>
      <c r="AB110" s="33">
        <f>IF($AA110&gt;0,VLOOKUP($K110,Ruimtegroepen[],3,FALSE)*VLOOKUP($M110,Vloersoorten[],3,FALSE)*VLOOKUP($Z110,Frequenties[],3,FALSE)*VLOOKUP(#REF!,Locaties[],3,FALSE),0)</f>
        <v>0</v>
      </c>
      <c r="AC110" s="33"/>
      <c r="AD110" s="33"/>
      <c r="AE110" s="33">
        <f>Ruimtestaat[[#This Row],[uren / jaar weekend]]*Tariefsopbouw!$D$40</f>
        <v>0</v>
      </c>
      <c r="AF110" s="79">
        <f>Ruimtestaat[[#This Row],[Prest. (m2 /jaar) weekend]]+Ruimtestaat[[#This Row],[Prest. (m2 /jaar) werkdagen]]</f>
        <v>0</v>
      </c>
      <c r="AG110" s="79">
        <f>Ruimtestaat[[#This Row],[uren / jaar weekend]]+Ruimtestaat[[#This Row],[uren / jaar werkdagen]]</f>
        <v>0</v>
      </c>
      <c r="AH110" s="80">
        <f>Ruimtestaat[[#This Row],[kosten / jaar weekend]]+Ruimtestaat[[#This Row],[kosten / jaar werkdagen]]</f>
        <v>0</v>
      </c>
    </row>
    <row r="111" spans="1:34" ht="15" customHeight="1">
      <c r="A111" s="117">
        <v>2</v>
      </c>
      <c r="B111" s="21" t="str">
        <f>VLOOKUP(Ruimtestaat[[#This Row],[Code]],Locaties[#All],2,FALSE)</f>
        <v>Neon College – Enschede</v>
      </c>
      <c r="C111" s="21" t="str">
        <f>VLOOKUP(Ruimtestaat[[#This Row],[Code]],Locaties[#All],4,FALSE)</f>
        <v>Mr. P.J. Troelstrastraat 9</v>
      </c>
      <c r="D111" s="212" t="str">
        <f>VLOOKUP(Ruimtestaat[[#This Row],[Code]],Locaties[#All],5,FALSE)</f>
        <v xml:space="preserve">7522 BD </v>
      </c>
      <c r="E111" s="212" t="str">
        <f>VLOOKUP(Ruimtestaat[[#This Row],[Code]],Locaties[#All],6,FALSE)</f>
        <v>Enschede</v>
      </c>
      <c r="F111" s="171"/>
      <c r="G111" s="171" t="s">
        <v>563</v>
      </c>
      <c r="H111" s="171"/>
      <c r="I111" s="171" t="s">
        <v>881</v>
      </c>
      <c r="J111" s="213" t="s">
        <v>601</v>
      </c>
      <c r="K111" s="171">
        <v>19</v>
      </c>
      <c r="L111" s="223" t="str">
        <f>VLOOKUP(Ruimtestaat[[#This Row],[Ruimte code]],Ruimtegroepen[#All],2,FALSE)</f>
        <v>Kleedruimten</v>
      </c>
      <c r="M111" s="212" t="s">
        <v>111</v>
      </c>
      <c r="N111" s="171" t="s">
        <v>606</v>
      </c>
      <c r="O111" s="172">
        <v>11</v>
      </c>
      <c r="P111" s="183"/>
      <c r="Q111" s="212" t="str">
        <f>VLOOKUP(Ruimtestaat[[#This Row],[Ruimte code]],Ruimtegroepen[#All],4,FALSE)</f>
        <v>V  (Verkeersruimte)</v>
      </c>
      <c r="R111" s="184"/>
      <c r="S111" s="185">
        <v>40</v>
      </c>
      <c r="T111" s="185" t="s">
        <v>2</v>
      </c>
      <c r="U111" s="185">
        <f>IF(S111&gt;0,IF(RIGHT(Ruimtestaat[[#This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" s="185">
        <f>IF(U111&gt;0,VLOOKUP($K111,Ruimtegroepen[],3,FALSE)*VLOOKUP($M111,Vloersoorten[],3,FALSE)*VLOOKUP($T111,Frequenties[],3,FALSE)*VLOOKUP($A111,Locaties[],3,FALSE),0)</f>
        <v>0</v>
      </c>
      <c r="W111" s="185">
        <f>Ruimtestaat[[#This Row],[Uitvoeringen werkdagen]]*Ruimtestaat[[#This Row],[Oppervlak (netto)]]</f>
        <v>2200</v>
      </c>
      <c r="X111" s="220">
        <f>IF(V111&gt;0,Ruimtestaat[[#This Row],[Prest. (m2 /jaar) werkdagen]]/Ruimtestaat[[#This Row],[Norm (m2/uur) werkdagen]],0)</f>
        <v>0</v>
      </c>
      <c r="Y111" s="221">
        <f>Ruimtestaat[[#This Row],[uren / jaar werkdagen]]*Tariefsopbouw!$D$38</f>
        <v>0</v>
      </c>
      <c r="Z111" s="33"/>
      <c r="AA111" s="33">
        <f>IF(Ruimtestaat[[#This Row],[Frequentie weekend]]&gt;0,VALUE(LEFT(Z111,1))*S111,0)</f>
        <v>0</v>
      </c>
      <c r="AB111" s="33">
        <f>IF($AA111&gt;0,VLOOKUP($K111,Ruimtegroepen[],3,FALSE)*VLOOKUP($M111,Vloersoorten[],3,FALSE)*VLOOKUP($Z111,Frequenties[],3,FALSE)*VLOOKUP(#REF!,Locaties[],3,FALSE),0)</f>
        <v>0</v>
      </c>
      <c r="AC111" s="33"/>
      <c r="AD111" s="33"/>
      <c r="AE111" s="33">
        <f>Ruimtestaat[[#This Row],[uren / jaar weekend]]*Tariefsopbouw!$D$40</f>
        <v>0</v>
      </c>
      <c r="AF111" s="79">
        <f>Ruimtestaat[[#This Row],[Prest. (m2 /jaar) weekend]]+Ruimtestaat[[#This Row],[Prest. (m2 /jaar) werkdagen]]</f>
        <v>2200</v>
      </c>
      <c r="AG111" s="79">
        <f>Ruimtestaat[[#This Row],[uren / jaar weekend]]+Ruimtestaat[[#This Row],[uren / jaar werkdagen]]</f>
        <v>0</v>
      </c>
      <c r="AH111" s="80">
        <f>Ruimtestaat[[#This Row],[kosten / jaar weekend]]+Ruimtestaat[[#This Row],[kosten / jaar werkdagen]]</f>
        <v>0</v>
      </c>
    </row>
    <row r="112" spans="1:34" ht="15" customHeight="1">
      <c r="A112" s="117">
        <v>2</v>
      </c>
      <c r="B112" s="21" t="str">
        <f>VLOOKUP(Ruimtestaat[[#This Row],[Code]],Locaties[#All],2,FALSE)</f>
        <v>Neon College – Enschede</v>
      </c>
      <c r="C112" s="21" t="str">
        <f>VLOOKUP(Ruimtestaat[[#This Row],[Code]],Locaties[#All],4,FALSE)</f>
        <v>Mr. P.J. Troelstrastraat 9</v>
      </c>
      <c r="D112" s="212" t="str">
        <f>VLOOKUP(Ruimtestaat[[#This Row],[Code]],Locaties[#All],5,FALSE)</f>
        <v xml:space="preserve">7522 BD </v>
      </c>
      <c r="E112" s="212" t="str">
        <f>VLOOKUP(Ruimtestaat[[#This Row],[Code]],Locaties[#All],6,FALSE)</f>
        <v>Enschede</v>
      </c>
      <c r="F112" s="171"/>
      <c r="G112" s="171" t="s">
        <v>563</v>
      </c>
      <c r="H112" s="171"/>
      <c r="I112" s="171" t="s">
        <v>882</v>
      </c>
      <c r="J112" s="213" t="s">
        <v>602</v>
      </c>
      <c r="K112" s="171">
        <v>19</v>
      </c>
      <c r="L112" s="223" t="str">
        <f>VLOOKUP(Ruimtestaat[[#This Row],[Ruimte code]],Ruimtegroepen[#All],2,FALSE)</f>
        <v>Kleedruimten</v>
      </c>
      <c r="M112" s="212" t="s">
        <v>111</v>
      </c>
      <c r="N112" s="171" t="s">
        <v>606</v>
      </c>
      <c r="O112" s="172">
        <v>4</v>
      </c>
      <c r="P112" s="183"/>
      <c r="Q112" s="212" t="str">
        <f>VLOOKUP(Ruimtestaat[[#This Row],[Ruimte code]],Ruimtegroepen[#All],4,FALSE)</f>
        <v>V  (Verkeersruimte)</v>
      </c>
      <c r="R112" s="184"/>
      <c r="S112" s="185">
        <v>40</v>
      </c>
      <c r="T112" s="185" t="s">
        <v>2</v>
      </c>
      <c r="U112" s="185">
        <f>IF(S112&gt;0,IF(RIGHT(Ruimtestaat[[#This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" s="185">
        <f>IF(U112&gt;0,VLOOKUP($K112,Ruimtegroepen[],3,FALSE)*VLOOKUP($M112,Vloersoorten[],3,FALSE)*VLOOKUP($T112,Frequenties[],3,FALSE)*VLOOKUP($A112,Locaties[],3,FALSE),0)</f>
        <v>0</v>
      </c>
      <c r="W112" s="185">
        <f>Ruimtestaat[[#This Row],[Uitvoeringen werkdagen]]*Ruimtestaat[[#This Row],[Oppervlak (netto)]]</f>
        <v>800</v>
      </c>
      <c r="X112" s="220">
        <f>IF(V112&gt;0,Ruimtestaat[[#This Row],[Prest. (m2 /jaar) werkdagen]]/Ruimtestaat[[#This Row],[Norm (m2/uur) werkdagen]],0)</f>
        <v>0</v>
      </c>
      <c r="Y112" s="221">
        <f>Ruimtestaat[[#This Row],[uren / jaar werkdagen]]*Tariefsopbouw!$D$38</f>
        <v>0</v>
      </c>
      <c r="Z112" s="33"/>
      <c r="AA112" s="33">
        <f>IF(Ruimtestaat[[#This Row],[Frequentie weekend]]&gt;0,VALUE(LEFT(Z112,1))*S112,0)</f>
        <v>0</v>
      </c>
      <c r="AB112" s="33">
        <f>IF($AA112&gt;0,VLOOKUP($K112,Ruimtegroepen[],3,FALSE)*VLOOKUP($M112,Vloersoorten[],3,FALSE)*VLOOKUP($Z112,Frequenties[],3,FALSE)*VLOOKUP(#REF!,Locaties[],3,FALSE),0)</f>
        <v>0</v>
      </c>
      <c r="AC112" s="33"/>
      <c r="AD112" s="33"/>
      <c r="AE112" s="33">
        <f>Ruimtestaat[[#This Row],[uren / jaar weekend]]*Tariefsopbouw!$D$40</f>
        <v>0</v>
      </c>
      <c r="AF112" s="79">
        <f>Ruimtestaat[[#This Row],[Prest. (m2 /jaar) weekend]]+Ruimtestaat[[#This Row],[Prest. (m2 /jaar) werkdagen]]</f>
        <v>800</v>
      </c>
      <c r="AG112" s="79">
        <f>Ruimtestaat[[#This Row],[uren / jaar weekend]]+Ruimtestaat[[#This Row],[uren / jaar werkdagen]]</f>
        <v>0</v>
      </c>
      <c r="AH112" s="80">
        <f>Ruimtestaat[[#This Row],[kosten / jaar weekend]]+Ruimtestaat[[#This Row],[kosten / jaar werkdagen]]</f>
        <v>0</v>
      </c>
    </row>
    <row r="113" spans="1:34" ht="15" customHeight="1">
      <c r="A113" s="117">
        <v>2</v>
      </c>
      <c r="B113" s="21" t="str">
        <f>VLOOKUP(Ruimtestaat[[#This Row],[Code]],Locaties[#All],2,FALSE)</f>
        <v>Neon College – Enschede</v>
      </c>
      <c r="C113" s="21" t="str">
        <f>VLOOKUP(Ruimtestaat[[#This Row],[Code]],Locaties[#All],4,FALSE)</f>
        <v>Mr. P.J. Troelstrastraat 9</v>
      </c>
      <c r="D113" s="212" t="str">
        <f>VLOOKUP(Ruimtestaat[[#This Row],[Code]],Locaties[#All],5,FALSE)</f>
        <v xml:space="preserve">7522 BD </v>
      </c>
      <c r="E113" s="212" t="str">
        <f>VLOOKUP(Ruimtestaat[[#This Row],[Code]],Locaties[#All],6,FALSE)</f>
        <v>Enschede</v>
      </c>
      <c r="F113" s="171"/>
      <c r="G113" s="171" t="s">
        <v>563</v>
      </c>
      <c r="H113" s="171"/>
      <c r="I113" s="171" t="s">
        <v>883</v>
      </c>
      <c r="J113" s="213" t="s">
        <v>569</v>
      </c>
      <c r="K113" s="171">
        <v>5</v>
      </c>
      <c r="L113" s="223" t="str">
        <f>VLOOKUP(Ruimtestaat[[#This Row],[Ruimte code]],Ruimtegroepen[#All],2,FALSE)</f>
        <v>Sanitair</v>
      </c>
      <c r="M113" s="212" t="s">
        <v>111</v>
      </c>
      <c r="N113" s="171" t="s">
        <v>606</v>
      </c>
      <c r="O113" s="172">
        <v>1.5</v>
      </c>
      <c r="P113" s="183"/>
      <c r="Q113" s="212" t="str">
        <f>VLOOKUP(Ruimtestaat[[#This Row],[Ruimte code]],Ruimtegroepen[#All],4,FALSE)</f>
        <v>S  (Sanitair)</v>
      </c>
      <c r="R113" s="184"/>
      <c r="S113" s="185">
        <v>40</v>
      </c>
      <c r="T113" s="185" t="s">
        <v>2</v>
      </c>
      <c r="U113" s="185">
        <f>IF(S113&gt;0,IF(RIGHT(Ruimtestaat[[#This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" s="185">
        <f>IF(U113&gt;0,VLOOKUP($K113,Ruimtegroepen[],3,FALSE)*VLOOKUP($M113,Vloersoorten[],3,FALSE)*VLOOKUP($T113,Frequenties[],3,FALSE)*VLOOKUP($A113,Locaties[],3,FALSE),0)</f>
        <v>0</v>
      </c>
      <c r="W113" s="185">
        <f>Ruimtestaat[[#This Row],[Uitvoeringen werkdagen]]*Ruimtestaat[[#This Row],[Oppervlak (netto)]]</f>
        <v>300</v>
      </c>
      <c r="X113" s="220">
        <f>IF(V113&gt;0,Ruimtestaat[[#This Row],[Prest. (m2 /jaar) werkdagen]]/Ruimtestaat[[#This Row],[Norm (m2/uur) werkdagen]],0)</f>
        <v>0</v>
      </c>
      <c r="Y113" s="221">
        <f>Ruimtestaat[[#This Row],[uren / jaar werkdagen]]*Tariefsopbouw!$D$38</f>
        <v>0</v>
      </c>
      <c r="Z113" s="33"/>
      <c r="AA113" s="33">
        <f>IF(Ruimtestaat[[#This Row],[Frequentie weekend]]&gt;0,VALUE(LEFT(Z113,1))*S113,0)</f>
        <v>0</v>
      </c>
      <c r="AB113" s="33">
        <f>IF($AA113&gt;0,VLOOKUP($K113,Ruimtegroepen[],3,FALSE)*VLOOKUP($M113,Vloersoorten[],3,FALSE)*VLOOKUP($Z113,Frequenties[],3,FALSE)*VLOOKUP(#REF!,Locaties[],3,FALSE),0)</f>
        <v>0</v>
      </c>
      <c r="AC113" s="33"/>
      <c r="AD113" s="33"/>
      <c r="AE113" s="33">
        <f>Ruimtestaat[[#This Row],[uren / jaar weekend]]*Tariefsopbouw!$D$40</f>
        <v>0</v>
      </c>
      <c r="AF113" s="79">
        <f>Ruimtestaat[[#This Row],[Prest. (m2 /jaar) weekend]]+Ruimtestaat[[#This Row],[Prest. (m2 /jaar) werkdagen]]</f>
        <v>300</v>
      </c>
      <c r="AG113" s="79">
        <f>Ruimtestaat[[#This Row],[uren / jaar weekend]]+Ruimtestaat[[#This Row],[uren / jaar werkdagen]]</f>
        <v>0</v>
      </c>
      <c r="AH113" s="80">
        <f>Ruimtestaat[[#This Row],[kosten / jaar weekend]]+Ruimtestaat[[#This Row],[kosten / jaar werkdagen]]</f>
        <v>0</v>
      </c>
    </row>
    <row r="114" spans="1:34" ht="15" customHeight="1">
      <c r="A114" s="117">
        <v>2</v>
      </c>
      <c r="B114" s="21" t="str">
        <f>VLOOKUP(Ruimtestaat[[#This Row],[Code]],Locaties[#All],2,FALSE)</f>
        <v>Neon College – Enschede</v>
      </c>
      <c r="C114" s="21" t="str">
        <f>VLOOKUP(Ruimtestaat[[#This Row],[Code]],Locaties[#All],4,FALSE)</f>
        <v>Mr. P.J. Troelstrastraat 9</v>
      </c>
      <c r="D114" s="212" t="str">
        <f>VLOOKUP(Ruimtestaat[[#This Row],[Code]],Locaties[#All],5,FALSE)</f>
        <v xml:space="preserve">7522 BD </v>
      </c>
      <c r="E114" s="212" t="str">
        <f>VLOOKUP(Ruimtestaat[[#This Row],[Code]],Locaties[#All],6,FALSE)</f>
        <v>Enschede</v>
      </c>
      <c r="F114" s="171"/>
      <c r="G114" s="171" t="s">
        <v>564</v>
      </c>
      <c r="H114" s="171"/>
      <c r="I114" s="171">
        <v>101</v>
      </c>
      <c r="J114" s="213" t="s">
        <v>587</v>
      </c>
      <c r="K114" s="171">
        <v>6</v>
      </c>
      <c r="L114" s="223" t="str">
        <f>VLOOKUP(Ruimtestaat[[#This Row],[Ruimte code]],Ruimtegroepen[#All],2,FALSE)</f>
        <v>Gangen/hallen</v>
      </c>
      <c r="M114" s="212" t="s">
        <v>111</v>
      </c>
      <c r="N114" s="171" t="s">
        <v>605</v>
      </c>
      <c r="O114" s="172">
        <v>15</v>
      </c>
      <c r="P114" s="183"/>
      <c r="Q114" s="212" t="str">
        <f>VLOOKUP(Ruimtestaat[[#This Row],[Ruimte code]],Ruimtegroepen[#All],4,FALSE)</f>
        <v>V  (Verkeersruimte)</v>
      </c>
      <c r="R114" s="184"/>
      <c r="S114" s="185">
        <v>40</v>
      </c>
      <c r="T114" s="185" t="s">
        <v>2</v>
      </c>
      <c r="U114" s="185">
        <f>IF(S114&gt;0,IF(RIGHT(Ruimtestaat[[#This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" s="185">
        <f>IF(U114&gt;0,VLOOKUP($K114,Ruimtegroepen[],3,FALSE)*VLOOKUP($M114,Vloersoorten[],3,FALSE)*VLOOKUP($T114,Frequenties[],3,FALSE)*VLOOKUP($A114,Locaties[],3,FALSE),0)</f>
        <v>0</v>
      </c>
      <c r="W114" s="185">
        <f>Ruimtestaat[[#This Row],[Uitvoeringen werkdagen]]*Ruimtestaat[[#This Row],[Oppervlak (netto)]]</f>
        <v>3000</v>
      </c>
      <c r="X114" s="220">
        <f>IF(V114&gt;0,Ruimtestaat[[#This Row],[Prest. (m2 /jaar) werkdagen]]/Ruimtestaat[[#This Row],[Norm (m2/uur) werkdagen]],0)</f>
        <v>0</v>
      </c>
      <c r="Y114" s="221">
        <f>Ruimtestaat[[#This Row],[uren / jaar werkdagen]]*Tariefsopbouw!$D$38</f>
        <v>0</v>
      </c>
      <c r="Z114" s="33"/>
      <c r="AA114" s="33">
        <f>IF(Ruimtestaat[[#This Row],[Frequentie weekend]]&gt;0,VALUE(LEFT(Z114,1))*S114,0)</f>
        <v>0</v>
      </c>
      <c r="AB114" s="33">
        <f>IF($AA114&gt;0,VLOOKUP($K114,Ruimtegroepen[],3,FALSE)*VLOOKUP($M114,Vloersoorten[],3,FALSE)*VLOOKUP($Z114,Frequenties[],3,FALSE)*VLOOKUP(#REF!,Locaties[],3,FALSE),0)</f>
        <v>0</v>
      </c>
      <c r="AC114" s="33"/>
      <c r="AD114" s="33"/>
      <c r="AE114" s="33">
        <f>Ruimtestaat[[#This Row],[uren / jaar weekend]]*Tariefsopbouw!$D$40</f>
        <v>0</v>
      </c>
      <c r="AF114" s="79">
        <f>Ruimtestaat[[#This Row],[Prest. (m2 /jaar) weekend]]+Ruimtestaat[[#This Row],[Prest. (m2 /jaar) werkdagen]]</f>
        <v>3000</v>
      </c>
      <c r="AG114" s="79">
        <f>Ruimtestaat[[#This Row],[uren / jaar weekend]]+Ruimtestaat[[#This Row],[uren / jaar werkdagen]]</f>
        <v>0</v>
      </c>
      <c r="AH114" s="80">
        <f>Ruimtestaat[[#This Row],[kosten / jaar weekend]]+Ruimtestaat[[#This Row],[kosten / jaar werkdagen]]</f>
        <v>0</v>
      </c>
    </row>
    <row r="115" spans="1:34" ht="15" customHeight="1">
      <c r="A115" s="117">
        <v>2</v>
      </c>
      <c r="B115" s="21" t="str">
        <f>VLOOKUP(Ruimtestaat[[#This Row],[Code]],Locaties[#All],2,FALSE)</f>
        <v>Neon College – Enschede</v>
      </c>
      <c r="C115" s="21" t="str">
        <f>VLOOKUP(Ruimtestaat[[#This Row],[Code]],Locaties[#All],4,FALSE)</f>
        <v>Mr. P.J. Troelstrastraat 9</v>
      </c>
      <c r="D115" s="212" t="str">
        <f>VLOOKUP(Ruimtestaat[[#This Row],[Code]],Locaties[#All],5,FALSE)</f>
        <v xml:space="preserve">7522 BD </v>
      </c>
      <c r="E115" s="212" t="str">
        <f>VLOOKUP(Ruimtestaat[[#This Row],[Code]],Locaties[#All],6,FALSE)</f>
        <v>Enschede</v>
      </c>
      <c r="F115" s="171"/>
      <c r="G115" s="171" t="s">
        <v>564</v>
      </c>
      <c r="H115" s="171"/>
      <c r="I115" s="171" t="s">
        <v>884</v>
      </c>
      <c r="J115" s="213" t="s">
        <v>61</v>
      </c>
      <c r="K115" s="171">
        <v>3</v>
      </c>
      <c r="L115" s="223" t="str">
        <f>VLOOKUP(Ruimtestaat[[#This Row],[Ruimte code]],Ruimtegroepen[#All],2,FALSE)</f>
        <v>Reproruimte</v>
      </c>
      <c r="M115" s="212" t="s">
        <v>111</v>
      </c>
      <c r="N115" s="171" t="s">
        <v>605</v>
      </c>
      <c r="O115" s="172">
        <v>3</v>
      </c>
      <c r="P115" s="183"/>
      <c r="Q115" s="212" t="str">
        <f>VLOOKUP(Ruimtestaat[[#This Row],[Ruimte code]],Ruimtegroepen[#All],4,FALSE)</f>
        <v>V  (Verkeersruimte)</v>
      </c>
      <c r="R115" s="184"/>
      <c r="S115" s="185">
        <v>40</v>
      </c>
      <c r="T115" s="185" t="s">
        <v>15</v>
      </c>
      <c r="U115" s="185">
        <f>IF(S115&gt;0,IF(RIGHT(Ruimtestaat[[#This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15" s="185">
        <f>IF(U115&gt;0,VLOOKUP($K115,Ruimtegroepen[],3,FALSE)*VLOOKUP($M115,Vloersoorten[],3,FALSE)*VLOOKUP($T115,Frequenties[],3,FALSE)*VLOOKUP($A115,Locaties[],3,FALSE),0)</f>
        <v>0</v>
      </c>
      <c r="W115" s="185">
        <f>Ruimtestaat[[#This Row],[Uitvoeringen werkdagen]]*Ruimtestaat[[#This Row],[Oppervlak (netto)]]</f>
        <v>120</v>
      </c>
      <c r="X115" s="220">
        <f>IF(V115&gt;0,Ruimtestaat[[#This Row],[Prest. (m2 /jaar) werkdagen]]/Ruimtestaat[[#This Row],[Norm (m2/uur) werkdagen]],0)</f>
        <v>0</v>
      </c>
      <c r="Y115" s="221">
        <f>Ruimtestaat[[#This Row],[uren / jaar werkdagen]]*Tariefsopbouw!$D$38</f>
        <v>0</v>
      </c>
      <c r="Z115" s="33"/>
      <c r="AA115" s="33">
        <f>IF(Ruimtestaat[[#This Row],[Frequentie weekend]]&gt;0,VALUE(LEFT(Z115,1))*S115,0)</f>
        <v>0</v>
      </c>
      <c r="AB115" s="33">
        <f>IF($AA115&gt;0,VLOOKUP($K115,Ruimtegroepen[],3,FALSE)*VLOOKUP($M115,Vloersoorten[],3,FALSE)*VLOOKUP($Z115,Frequenties[],3,FALSE)*VLOOKUP(#REF!,Locaties[],3,FALSE),0)</f>
        <v>0</v>
      </c>
      <c r="AC115" s="33"/>
      <c r="AD115" s="33"/>
      <c r="AE115" s="33">
        <f>Ruimtestaat[[#This Row],[uren / jaar weekend]]*Tariefsopbouw!$D$40</f>
        <v>0</v>
      </c>
      <c r="AF115" s="79">
        <f>Ruimtestaat[[#This Row],[Prest. (m2 /jaar) weekend]]+Ruimtestaat[[#This Row],[Prest. (m2 /jaar) werkdagen]]</f>
        <v>120</v>
      </c>
      <c r="AG115" s="79">
        <f>Ruimtestaat[[#This Row],[uren / jaar weekend]]+Ruimtestaat[[#This Row],[uren / jaar werkdagen]]</f>
        <v>0</v>
      </c>
      <c r="AH115" s="80">
        <f>Ruimtestaat[[#This Row],[kosten / jaar weekend]]+Ruimtestaat[[#This Row],[kosten / jaar werkdagen]]</f>
        <v>0</v>
      </c>
    </row>
    <row r="116" spans="1:34" ht="15" customHeight="1">
      <c r="A116" s="117">
        <v>2</v>
      </c>
      <c r="B116" s="21" t="str">
        <f>VLOOKUP(Ruimtestaat[[#This Row],[Code]],Locaties[#All],2,FALSE)</f>
        <v>Neon College – Enschede</v>
      </c>
      <c r="C116" s="21" t="str">
        <f>VLOOKUP(Ruimtestaat[[#This Row],[Code]],Locaties[#All],4,FALSE)</f>
        <v>Mr. P.J. Troelstrastraat 9</v>
      </c>
      <c r="D116" s="212" t="str">
        <f>VLOOKUP(Ruimtestaat[[#This Row],[Code]],Locaties[#All],5,FALSE)</f>
        <v xml:space="preserve">7522 BD </v>
      </c>
      <c r="E116" s="212" t="str">
        <f>VLOOKUP(Ruimtestaat[[#This Row],[Code]],Locaties[#All],6,FALSE)</f>
        <v>Enschede</v>
      </c>
      <c r="F116" s="171"/>
      <c r="G116" s="171" t="s">
        <v>564</v>
      </c>
      <c r="H116" s="171"/>
      <c r="I116" s="171" t="s">
        <v>885</v>
      </c>
      <c r="J116" s="213" t="s">
        <v>695</v>
      </c>
      <c r="K116" s="171">
        <v>10</v>
      </c>
      <c r="L116" s="223" t="str">
        <f>VLOOKUP(Ruimtestaat[[#This Row],[Ruimte code]],Ruimtegroepen[#All],2,FALSE)</f>
        <v>Trappenhuizen/lift</v>
      </c>
      <c r="M116" s="212" t="s">
        <v>111</v>
      </c>
      <c r="N116" s="171" t="s">
        <v>605</v>
      </c>
      <c r="O116" s="172">
        <v>21</v>
      </c>
      <c r="P116" s="183"/>
      <c r="Q116" s="212" t="str">
        <f>VLOOKUP(Ruimtestaat[[#This Row],[Ruimte code]],Ruimtegroepen[#All],4,FALSE)</f>
        <v>V  (Verkeersruimte)</v>
      </c>
      <c r="R116" s="184"/>
      <c r="S116" s="185">
        <v>40</v>
      </c>
      <c r="T116" s="185" t="s">
        <v>2</v>
      </c>
      <c r="U116" s="185">
        <f>IF(S116&gt;0,IF(RIGHT(Ruimtestaat[[#This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" s="185">
        <f>IF(U116&gt;0,VLOOKUP($K116,Ruimtegroepen[],3,FALSE)*VLOOKUP($M116,Vloersoorten[],3,FALSE)*VLOOKUP($T116,Frequenties[],3,FALSE)*VLOOKUP($A116,Locaties[],3,FALSE),0)</f>
        <v>0</v>
      </c>
      <c r="W116" s="185">
        <f>Ruimtestaat[[#This Row],[Uitvoeringen werkdagen]]*Ruimtestaat[[#This Row],[Oppervlak (netto)]]</f>
        <v>4200</v>
      </c>
      <c r="X116" s="220">
        <f>IF(V116&gt;0,Ruimtestaat[[#This Row],[Prest. (m2 /jaar) werkdagen]]/Ruimtestaat[[#This Row],[Norm (m2/uur) werkdagen]],0)</f>
        <v>0</v>
      </c>
      <c r="Y116" s="221">
        <f>Ruimtestaat[[#This Row],[uren / jaar werkdagen]]*Tariefsopbouw!$D$38</f>
        <v>0</v>
      </c>
      <c r="Z116" s="33"/>
      <c r="AA116" s="33">
        <f>IF(Ruimtestaat[[#This Row],[Frequentie weekend]]&gt;0,VALUE(LEFT(Z116,1))*S116,0)</f>
        <v>0</v>
      </c>
      <c r="AB116" s="33">
        <f>IF($AA116&gt;0,VLOOKUP($K116,Ruimtegroepen[],3,FALSE)*VLOOKUP($M116,Vloersoorten[],3,FALSE)*VLOOKUP($Z116,Frequenties[],3,FALSE)*VLOOKUP(#REF!,Locaties[],3,FALSE),0)</f>
        <v>0</v>
      </c>
      <c r="AC116" s="33"/>
      <c r="AD116" s="33"/>
      <c r="AE116" s="33">
        <f>Ruimtestaat[[#This Row],[uren / jaar weekend]]*Tariefsopbouw!$D$40</f>
        <v>0</v>
      </c>
      <c r="AF116" s="79">
        <f>Ruimtestaat[[#This Row],[Prest. (m2 /jaar) weekend]]+Ruimtestaat[[#This Row],[Prest. (m2 /jaar) werkdagen]]</f>
        <v>4200</v>
      </c>
      <c r="AG116" s="79">
        <f>Ruimtestaat[[#This Row],[uren / jaar weekend]]+Ruimtestaat[[#This Row],[uren / jaar werkdagen]]</f>
        <v>0</v>
      </c>
      <c r="AH116" s="80">
        <f>Ruimtestaat[[#This Row],[kosten / jaar weekend]]+Ruimtestaat[[#This Row],[kosten / jaar werkdagen]]</f>
        <v>0</v>
      </c>
    </row>
    <row r="117" spans="1:34" ht="15" customHeight="1">
      <c r="A117" s="117">
        <v>2</v>
      </c>
      <c r="B117" s="21" t="str">
        <f>VLOOKUP(Ruimtestaat[[#This Row],[Code]],Locaties[#All],2,FALSE)</f>
        <v>Neon College – Enschede</v>
      </c>
      <c r="C117" s="21" t="str">
        <f>VLOOKUP(Ruimtestaat[[#This Row],[Code]],Locaties[#All],4,FALSE)</f>
        <v>Mr. P.J. Troelstrastraat 9</v>
      </c>
      <c r="D117" s="212" t="str">
        <f>VLOOKUP(Ruimtestaat[[#This Row],[Code]],Locaties[#All],5,FALSE)</f>
        <v xml:space="preserve">7522 BD </v>
      </c>
      <c r="E117" s="212" t="str">
        <f>VLOOKUP(Ruimtestaat[[#This Row],[Code]],Locaties[#All],6,FALSE)</f>
        <v>Enschede</v>
      </c>
      <c r="F117" s="171"/>
      <c r="G117" s="171" t="s">
        <v>564</v>
      </c>
      <c r="H117" s="171"/>
      <c r="I117" s="171">
        <v>102</v>
      </c>
      <c r="J117" s="213" t="s">
        <v>571</v>
      </c>
      <c r="K117" s="171">
        <v>2</v>
      </c>
      <c r="L117" s="223" t="str">
        <f>VLOOKUP(Ruimtestaat[[#This Row],[Ruimte code]],Ruimtegroepen[#All],2,FALSE)</f>
        <v>Kantoren</v>
      </c>
      <c r="M117" s="212" t="s">
        <v>597</v>
      </c>
      <c r="N117" s="171" t="s">
        <v>38</v>
      </c>
      <c r="O117" s="172">
        <v>25</v>
      </c>
      <c r="P117" s="183"/>
      <c r="Q117" s="212" t="str">
        <f>VLOOKUP(Ruimtestaat[[#This Row],[Ruimte code]],Ruimtegroepen[#All],4,FALSE)</f>
        <v>B  (Bureauruimte)</v>
      </c>
      <c r="R117" s="184"/>
      <c r="S117" s="185">
        <v>40</v>
      </c>
      <c r="T117" s="185" t="s">
        <v>2</v>
      </c>
      <c r="U117" s="185">
        <f>IF(S117&gt;0,IF(RIGHT(Ruimtestaat[[#This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" s="185">
        <f>IF(U117&gt;0,VLOOKUP($K117,Ruimtegroepen[],3,FALSE)*VLOOKUP($M117,Vloersoorten[],3,FALSE)*VLOOKUP($T117,Frequenties[],3,FALSE)*VLOOKUP($A117,Locaties[],3,FALSE),0)</f>
        <v>0</v>
      </c>
      <c r="W117" s="185">
        <f>Ruimtestaat[[#This Row],[Uitvoeringen werkdagen]]*Ruimtestaat[[#This Row],[Oppervlak (netto)]]</f>
        <v>5000</v>
      </c>
      <c r="X117" s="220">
        <f>IF(V117&gt;0,Ruimtestaat[[#This Row],[Prest. (m2 /jaar) werkdagen]]/Ruimtestaat[[#This Row],[Norm (m2/uur) werkdagen]],0)</f>
        <v>0</v>
      </c>
      <c r="Y117" s="221">
        <f>Ruimtestaat[[#This Row],[uren / jaar werkdagen]]*Tariefsopbouw!$D$38</f>
        <v>0</v>
      </c>
      <c r="Z117" s="33"/>
      <c r="AA117" s="33">
        <f>IF(Ruimtestaat[[#This Row],[Frequentie weekend]]&gt;0,VALUE(LEFT(Z117,1))*S117,0)</f>
        <v>0</v>
      </c>
      <c r="AB117" s="33">
        <f>IF($AA117&gt;0,VLOOKUP($K117,Ruimtegroepen[],3,FALSE)*VLOOKUP($M117,Vloersoorten[],3,FALSE)*VLOOKUP($Z117,Frequenties[],3,FALSE)*VLOOKUP(#REF!,Locaties[],3,FALSE),0)</f>
        <v>0</v>
      </c>
      <c r="AC117" s="33"/>
      <c r="AD117" s="33"/>
      <c r="AE117" s="33">
        <f>Ruimtestaat[[#This Row],[uren / jaar weekend]]*Tariefsopbouw!$D$40</f>
        <v>0</v>
      </c>
      <c r="AF117" s="79">
        <f>Ruimtestaat[[#This Row],[Prest. (m2 /jaar) weekend]]+Ruimtestaat[[#This Row],[Prest. (m2 /jaar) werkdagen]]</f>
        <v>5000</v>
      </c>
      <c r="AG117" s="79">
        <f>Ruimtestaat[[#This Row],[uren / jaar weekend]]+Ruimtestaat[[#This Row],[uren / jaar werkdagen]]</f>
        <v>0</v>
      </c>
      <c r="AH117" s="80">
        <f>Ruimtestaat[[#This Row],[kosten / jaar weekend]]+Ruimtestaat[[#This Row],[kosten / jaar werkdagen]]</f>
        <v>0</v>
      </c>
    </row>
    <row r="118" spans="1:34" ht="15" customHeight="1">
      <c r="A118" s="117">
        <v>2</v>
      </c>
      <c r="B118" s="21" t="str">
        <f>VLOOKUP(Ruimtestaat[[#This Row],[Code]],Locaties[#All],2,FALSE)</f>
        <v>Neon College – Enschede</v>
      </c>
      <c r="C118" s="21" t="str">
        <f>VLOOKUP(Ruimtestaat[[#This Row],[Code]],Locaties[#All],4,FALSE)</f>
        <v>Mr. P.J. Troelstrastraat 9</v>
      </c>
      <c r="D118" s="212" t="str">
        <f>VLOOKUP(Ruimtestaat[[#This Row],[Code]],Locaties[#All],5,FALSE)</f>
        <v xml:space="preserve">7522 BD </v>
      </c>
      <c r="E118" s="212" t="str">
        <f>VLOOKUP(Ruimtestaat[[#This Row],[Code]],Locaties[#All],6,FALSE)</f>
        <v>Enschede</v>
      </c>
      <c r="F118" s="171"/>
      <c r="G118" s="171" t="s">
        <v>564</v>
      </c>
      <c r="H118" s="171"/>
      <c r="I118" s="171">
        <v>103</v>
      </c>
      <c r="J118" s="213" t="s">
        <v>574</v>
      </c>
      <c r="K118" s="224">
        <v>6</v>
      </c>
      <c r="L118" s="223" t="str">
        <f>VLOOKUP(Ruimtestaat[[#This Row],[Ruimte code]],Ruimtegroepen[#All],2,FALSE)</f>
        <v>Gangen/hallen</v>
      </c>
      <c r="M118" s="185" t="s">
        <v>598</v>
      </c>
      <c r="N118" s="171" t="s">
        <v>900</v>
      </c>
      <c r="O118" s="172">
        <v>46</v>
      </c>
      <c r="P118" s="183"/>
      <c r="Q118" s="212" t="str">
        <f>VLOOKUP(Ruimtestaat[[#This Row],[Ruimte code]],Ruimtegroepen[#All],4,FALSE)</f>
        <v>V  (Verkeersruimte)</v>
      </c>
      <c r="R118" s="184"/>
      <c r="S118" s="185">
        <v>40</v>
      </c>
      <c r="T118" s="185" t="s">
        <v>2</v>
      </c>
      <c r="U118" s="185">
        <f>IF(S118&gt;0,IF(RIGHT(Ruimtestaat[[#This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" s="185">
        <f>IF(U118&gt;0,VLOOKUP($K118,Ruimtegroepen[],3,FALSE)*VLOOKUP($M118,Vloersoorten[],3,FALSE)*VLOOKUP($T118,Frequenties[],3,FALSE)*VLOOKUP($A118,Locaties[],3,FALSE),0)</f>
        <v>0</v>
      </c>
      <c r="W118" s="185">
        <f>Ruimtestaat[[#This Row],[Uitvoeringen werkdagen]]*Ruimtestaat[[#This Row],[Oppervlak (netto)]]</f>
        <v>9200</v>
      </c>
      <c r="X118" s="220">
        <f>IF(V118&gt;0,Ruimtestaat[[#This Row],[Prest. (m2 /jaar) werkdagen]]/Ruimtestaat[[#This Row],[Norm (m2/uur) werkdagen]],0)</f>
        <v>0</v>
      </c>
      <c r="Y118" s="221">
        <f>Ruimtestaat[[#This Row],[uren / jaar werkdagen]]*Tariefsopbouw!$D$38</f>
        <v>0</v>
      </c>
      <c r="Z118" s="33"/>
      <c r="AA118" s="33">
        <f>IF(Ruimtestaat[[#This Row],[Frequentie weekend]]&gt;0,VALUE(LEFT(Z118,1))*S118,0)</f>
        <v>0</v>
      </c>
      <c r="AB118" s="33">
        <f>IF($AA118&gt;0,VLOOKUP($K118,Ruimtegroepen[],3,FALSE)*VLOOKUP($M118,Vloersoorten[],3,FALSE)*VLOOKUP($Z118,Frequenties[],3,FALSE)*VLOOKUP(#REF!,Locaties[],3,FALSE),0)</f>
        <v>0</v>
      </c>
      <c r="AC118" s="33"/>
      <c r="AD118" s="33"/>
      <c r="AE118" s="33">
        <f>Ruimtestaat[[#This Row],[uren / jaar weekend]]*Tariefsopbouw!$D$40</f>
        <v>0</v>
      </c>
      <c r="AF118" s="79">
        <f>Ruimtestaat[[#This Row],[Prest. (m2 /jaar) weekend]]+Ruimtestaat[[#This Row],[Prest. (m2 /jaar) werkdagen]]</f>
        <v>9200</v>
      </c>
      <c r="AG118" s="79">
        <f>Ruimtestaat[[#This Row],[uren / jaar weekend]]+Ruimtestaat[[#This Row],[uren / jaar werkdagen]]</f>
        <v>0</v>
      </c>
      <c r="AH118" s="80">
        <f>Ruimtestaat[[#This Row],[kosten / jaar weekend]]+Ruimtestaat[[#This Row],[kosten / jaar werkdagen]]</f>
        <v>0</v>
      </c>
    </row>
    <row r="119" spans="1:34" ht="15" customHeight="1">
      <c r="A119" s="117">
        <v>2</v>
      </c>
      <c r="B119" s="21" t="str">
        <f>VLOOKUP(Ruimtestaat[[#This Row],[Code]],Locaties[#All],2,FALSE)</f>
        <v>Neon College – Enschede</v>
      </c>
      <c r="C119" s="21" t="str">
        <f>VLOOKUP(Ruimtestaat[[#This Row],[Code]],Locaties[#All],4,FALSE)</f>
        <v>Mr. P.J. Troelstrastraat 9</v>
      </c>
      <c r="D119" s="212" t="str">
        <f>VLOOKUP(Ruimtestaat[[#This Row],[Code]],Locaties[#All],5,FALSE)</f>
        <v xml:space="preserve">7522 BD </v>
      </c>
      <c r="E119" s="212" t="str">
        <f>VLOOKUP(Ruimtestaat[[#This Row],[Code]],Locaties[#All],6,FALSE)</f>
        <v>Enschede</v>
      </c>
      <c r="F119" s="171"/>
      <c r="G119" s="171" t="s">
        <v>564</v>
      </c>
      <c r="H119" s="171"/>
      <c r="I119" s="171">
        <v>106</v>
      </c>
      <c r="J119" s="213" t="s">
        <v>576</v>
      </c>
      <c r="K119" s="185">
        <v>16</v>
      </c>
      <c r="L119" s="223" t="str">
        <f>VLOOKUP(Ruimtestaat[[#This Row],[Ruimte code]],Ruimtegroepen[#All],2,FALSE)</f>
        <v>Leslokalen</v>
      </c>
      <c r="M119" s="185" t="s">
        <v>598</v>
      </c>
      <c r="N119" s="171" t="s">
        <v>900</v>
      </c>
      <c r="O119" s="172">
        <v>63</v>
      </c>
      <c r="P119" s="183"/>
      <c r="Q119" s="212" t="str">
        <f>VLOOKUP(Ruimtestaat[[#This Row],[Ruimte code]],Ruimtegroepen[#All],4,FALSE)</f>
        <v>L  (Lesruimte)</v>
      </c>
      <c r="R119" s="184"/>
      <c r="S119" s="185">
        <v>40</v>
      </c>
      <c r="T119" s="185" t="s">
        <v>2</v>
      </c>
      <c r="U119" s="185">
        <f>IF(S119&gt;0,IF(RIGHT(Ruimtestaat[[#This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9" s="185">
        <f>IF(U119&gt;0,VLOOKUP($K119,Ruimtegroepen[],3,FALSE)*VLOOKUP($M119,Vloersoorten[],3,FALSE)*VLOOKUP($T119,Frequenties[],3,FALSE)*VLOOKUP($A119,Locaties[],3,FALSE),0)</f>
        <v>0</v>
      </c>
      <c r="W119" s="185">
        <f>Ruimtestaat[[#This Row],[Uitvoeringen werkdagen]]*Ruimtestaat[[#This Row],[Oppervlak (netto)]]</f>
        <v>12600</v>
      </c>
      <c r="X119" s="220">
        <f>IF(V119&gt;0,Ruimtestaat[[#This Row],[Prest. (m2 /jaar) werkdagen]]/Ruimtestaat[[#This Row],[Norm (m2/uur) werkdagen]],0)</f>
        <v>0</v>
      </c>
      <c r="Y119" s="221">
        <f>Ruimtestaat[[#This Row],[uren / jaar werkdagen]]*Tariefsopbouw!$D$38</f>
        <v>0</v>
      </c>
      <c r="Z119" s="33"/>
      <c r="AA119" s="33">
        <f>IF(Ruimtestaat[[#This Row],[Frequentie weekend]]&gt;0,VALUE(LEFT(Z119,1))*S119,0)</f>
        <v>0</v>
      </c>
      <c r="AB119" s="33">
        <f>IF($AA119&gt;0,VLOOKUP($K119,Ruimtegroepen[],3,FALSE)*VLOOKUP($M119,Vloersoorten[],3,FALSE)*VLOOKUP($Z119,Frequenties[],3,FALSE)*VLOOKUP(#REF!,Locaties[],3,FALSE),0)</f>
        <v>0</v>
      </c>
      <c r="AC119" s="33"/>
      <c r="AD119" s="33"/>
      <c r="AE119" s="33">
        <f>Ruimtestaat[[#This Row],[uren / jaar weekend]]*Tariefsopbouw!$D$40</f>
        <v>0</v>
      </c>
      <c r="AF119" s="79">
        <f>Ruimtestaat[[#This Row],[Prest. (m2 /jaar) weekend]]+Ruimtestaat[[#This Row],[Prest. (m2 /jaar) werkdagen]]</f>
        <v>12600</v>
      </c>
      <c r="AG119" s="79">
        <f>Ruimtestaat[[#This Row],[uren / jaar weekend]]+Ruimtestaat[[#This Row],[uren / jaar werkdagen]]</f>
        <v>0</v>
      </c>
      <c r="AH119" s="80">
        <f>Ruimtestaat[[#This Row],[kosten / jaar weekend]]+Ruimtestaat[[#This Row],[kosten / jaar werkdagen]]</f>
        <v>0</v>
      </c>
    </row>
    <row r="120" spans="1:34" ht="15" customHeight="1">
      <c r="A120" s="117">
        <v>2</v>
      </c>
      <c r="B120" s="21" t="str">
        <f>VLOOKUP(Ruimtestaat[[#This Row],[Code]],Locaties[#All],2,FALSE)</f>
        <v>Neon College – Enschede</v>
      </c>
      <c r="C120" s="21" t="str">
        <f>VLOOKUP(Ruimtestaat[[#This Row],[Code]],Locaties[#All],4,FALSE)</f>
        <v>Mr. P.J. Troelstrastraat 9</v>
      </c>
      <c r="D120" s="212" t="str">
        <f>VLOOKUP(Ruimtestaat[[#This Row],[Code]],Locaties[#All],5,FALSE)</f>
        <v xml:space="preserve">7522 BD </v>
      </c>
      <c r="E120" s="212" t="str">
        <f>VLOOKUP(Ruimtestaat[[#This Row],[Code]],Locaties[#All],6,FALSE)</f>
        <v>Enschede</v>
      </c>
      <c r="F120" s="171"/>
      <c r="G120" s="171" t="s">
        <v>564</v>
      </c>
      <c r="H120" s="171"/>
      <c r="I120" s="171" t="s">
        <v>886</v>
      </c>
      <c r="J120" s="213" t="s">
        <v>422</v>
      </c>
      <c r="K120" s="171">
        <v>14</v>
      </c>
      <c r="L120" s="223" t="str">
        <f>VLOOKUP(Ruimtestaat[[#This Row],[Ruimte code]],Ruimtegroepen[#All],2,FALSE)</f>
        <v>Praktijklokalen</v>
      </c>
      <c r="M120" s="185" t="s">
        <v>598</v>
      </c>
      <c r="N120" s="171" t="s">
        <v>900</v>
      </c>
      <c r="O120" s="172">
        <v>33</v>
      </c>
      <c r="P120" s="183"/>
      <c r="Q120" s="212" t="str">
        <f>VLOOKUP(Ruimtestaat[[#This Row],[Ruimte code]],Ruimtegroepen[#All],4,FALSE)</f>
        <v>L  (Lesruimte)</v>
      </c>
      <c r="R120" s="184"/>
      <c r="S120" s="185">
        <v>40</v>
      </c>
      <c r="T120" s="185" t="s">
        <v>2</v>
      </c>
      <c r="U120" s="185">
        <f>IF(S120&gt;0,IF(RIGHT(Ruimtestaat[[#This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" s="185">
        <f>IF(U120&gt;0,VLOOKUP($K120,Ruimtegroepen[],3,FALSE)*VLOOKUP($M120,Vloersoorten[],3,FALSE)*VLOOKUP($T120,Frequenties[],3,FALSE)*VLOOKUP($A120,Locaties[],3,FALSE),0)</f>
        <v>0</v>
      </c>
      <c r="W120" s="185">
        <f>Ruimtestaat[[#This Row],[Uitvoeringen werkdagen]]*Ruimtestaat[[#This Row],[Oppervlak (netto)]]</f>
        <v>6600</v>
      </c>
      <c r="X120" s="220">
        <f>IF(V120&gt;0,Ruimtestaat[[#This Row],[Prest. (m2 /jaar) werkdagen]]/Ruimtestaat[[#This Row],[Norm (m2/uur) werkdagen]],0)</f>
        <v>0</v>
      </c>
      <c r="Y120" s="221">
        <f>Ruimtestaat[[#This Row],[uren / jaar werkdagen]]*Tariefsopbouw!$D$38</f>
        <v>0</v>
      </c>
      <c r="Z120" s="33"/>
      <c r="AA120" s="33">
        <f>IF(Ruimtestaat[[#This Row],[Frequentie weekend]]&gt;0,VALUE(LEFT(Z120,1))*S120,0)</f>
        <v>0</v>
      </c>
      <c r="AB120" s="33">
        <f>IF($AA120&gt;0,VLOOKUP($K120,Ruimtegroepen[],3,FALSE)*VLOOKUP($M120,Vloersoorten[],3,FALSE)*VLOOKUP($Z120,Frequenties[],3,FALSE)*VLOOKUP(#REF!,Locaties[],3,FALSE),0)</f>
        <v>0</v>
      </c>
      <c r="AC120" s="33"/>
      <c r="AD120" s="33"/>
      <c r="AE120" s="33">
        <f>Ruimtestaat[[#This Row],[uren / jaar weekend]]*Tariefsopbouw!$D$40</f>
        <v>0</v>
      </c>
      <c r="AF120" s="79">
        <f>Ruimtestaat[[#This Row],[Prest. (m2 /jaar) weekend]]+Ruimtestaat[[#This Row],[Prest. (m2 /jaar) werkdagen]]</f>
        <v>6600</v>
      </c>
      <c r="AG120" s="79">
        <f>Ruimtestaat[[#This Row],[uren / jaar weekend]]+Ruimtestaat[[#This Row],[uren / jaar werkdagen]]</f>
        <v>0</v>
      </c>
      <c r="AH120" s="80">
        <f>Ruimtestaat[[#This Row],[kosten / jaar weekend]]+Ruimtestaat[[#This Row],[kosten / jaar werkdagen]]</f>
        <v>0</v>
      </c>
    </row>
    <row r="121" spans="1:34" ht="15" customHeight="1">
      <c r="A121" s="117">
        <v>2</v>
      </c>
      <c r="B121" s="21" t="str">
        <f>VLOOKUP(Ruimtestaat[[#This Row],[Code]],Locaties[#All],2,FALSE)</f>
        <v>Neon College – Enschede</v>
      </c>
      <c r="C121" s="21" t="str">
        <f>VLOOKUP(Ruimtestaat[[#This Row],[Code]],Locaties[#All],4,FALSE)</f>
        <v>Mr. P.J. Troelstrastraat 9</v>
      </c>
      <c r="D121" s="212" t="str">
        <f>VLOOKUP(Ruimtestaat[[#This Row],[Code]],Locaties[#All],5,FALSE)</f>
        <v xml:space="preserve">7522 BD </v>
      </c>
      <c r="E121" s="212" t="str">
        <f>VLOOKUP(Ruimtestaat[[#This Row],[Code]],Locaties[#All],6,FALSE)</f>
        <v>Enschede</v>
      </c>
      <c r="F121" s="171"/>
      <c r="G121" s="171" t="s">
        <v>564</v>
      </c>
      <c r="H121" s="171"/>
      <c r="I121" s="171" t="s">
        <v>887</v>
      </c>
      <c r="J121" s="213" t="s">
        <v>593</v>
      </c>
      <c r="K121" s="171">
        <v>14</v>
      </c>
      <c r="L121" s="223" t="str">
        <f>VLOOKUP(Ruimtestaat[[#This Row],[Ruimte code]],Ruimtegroepen[#All],2,FALSE)</f>
        <v>Praktijklokalen</v>
      </c>
      <c r="M121" s="185" t="s">
        <v>598</v>
      </c>
      <c r="N121" s="171" t="s">
        <v>900</v>
      </c>
      <c r="O121" s="172">
        <v>38</v>
      </c>
      <c r="P121" s="183"/>
      <c r="Q121" s="212" t="str">
        <f>VLOOKUP(Ruimtestaat[[#This Row],[Ruimte code]],Ruimtegroepen[#All],4,FALSE)</f>
        <v>L  (Lesruimte)</v>
      </c>
      <c r="R121" s="184"/>
      <c r="S121" s="185">
        <v>40</v>
      </c>
      <c r="T121" s="185" t="s">
        <v>2</v>
      </c>
      <c r="U121" s="185">
        <f>IF(S121&gt;0,IF(RIGHT(Ruimtestaat[[#This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1" s="185">
        <f>IF(U121&gt;0,VLOOKUP($K121,Ruimtegroepen[],3,FALSE)*VLOOKUP($M121,Vloersoorten[],3,FALSE)*VLOOKUP($T121,Frequenties[],3,FALSE)*VLOOKUP($A121,Locaties[],3,FALSE),0)</f>
        <v>0</v>
      </c>
      <c r="W121" s="185">
        <f>Ruimtestaat[[#This Row],[Uitvoeringen werkdagen]]*Ruimtestaat[[#This Row],[Oppervlak (netto)]]</f>
        <v>7600</v>
      </c>
      <c r="X121" s="220">
        <f>IF(V121&gt;0,Ruimtestaat[[#This Row],[Prest. (m2 /jaar) werkdagen]]/Ruimtestaat[[#This Row],[Norm (m2/uur) werkdagen]],0)</f>
        <v>0</v>
      </c>
      <c r="Y121" s="221">
        <f>Ruimtestaat[[#This Row],[uren / jaar werkdagen]]*Tariefsopbouw!$D$38</f>
        <v>0</v>
      </c>
      <c r="Z121" s="33"/>
      <c r="AA121" s="33">
        <f>IF(Ruimtestaat[[#This Row],[Frequentie weekend]]&gt;0,VALUE(LEFT(Z121,1))*S121,0)</f>
        <v>0</v>
      </c>
      <c r="AB121" s="33">
        <f>IF($AA121&gt;0,VLOOKUP($K121,Ruimtegroepen[],3,FALSE)*VLOOKUP($M121,Vloersoorten[],3,FALSE)*VLOOKUP($Z121,Frequenties[],3,FALSE)*VLOOKUP(#REF!,Locaties[],3,FALSE),0)</f>
        <v>0</v>
      </c>
      <c r="AC121" s="33"/>
      <c r="AD121" s="33"/>
      <c r="AE121" s="33">
        <f>Ruimtestaat[[#This Row],[uren / jaar weekend]]*Tariefsopbouw!$D$40</f>
        <v>0</v>
      </c>
      <c r="AF121" s="79">
        <f>Ruimtestaat[[#This Row],[Prest. (m2 /jaar) weekend]]+Ruimtestaat[[#This Row],[Prest. (m2 /jaar) werkdagen]]</f>
        <v>7600</v>
      </c>
      <c r="AG121" s="79">
        <f>Ruimtestaat[[#This Row],[uren / jaar weekend]]+Ruimtestaat[[#This Row],[uren / jaar werkdagen]]</f>
        <v>0</v>
      </c>
      <c r="AH121" s="80">
        <f>Ruimtestaat[[#This Row],[kosten / jaar weekend]]+Ruimtestaat[[#This Row],[kosten / jaar werkdagen]]</f>
        <v>0</v>
      </c>
    </row>
    <row r="122" spans="1:34" ht="15" customHeight="1">
      <c r="A122" s="117">
        <v>2</v>
      </c>
      <c r="B122" s="21" t="str">
        <f>VLOOKUP(Ruimtestaat[[#This Row],[Code]],Locaties[#All],2,FALSE)</f>
        <v>Neon College – Enschede</v>
      </c>
      <c r="C122" s="21" t="str">
        <f>VLOOKUP(Ruimtestaat[[#This Row],[Code]],Locaties[#All],4,FALSE)</f>
        <v>Mr. P.J. Troelstrastraat 9</v>
      </c>
      <c r="D122" s="212" t="str">
        <f>VLOOKUP(Ruimtestaat[[#This Row],[Code]],Locaties[#All],5,FALSE)</f>
        <v xml:space="preserve">7522 BD </v>
      </c>
      <c r="E122" s="212" t="str">
        <f>VLOOKUP(Ruimtestaat[[#This Row],[Code]],Locaties[#All],6,FALSE)</f>
        <v>Enschede</v>
      </c>
      <c r="F122" s="171"/>
      <c r="G122" s="171" t="s">
        <v>564</v>
      </c>
      <c r="H122" s="171"/>
      <c r="I122" s="171">
        <v>108</v>
      </c>
      <c r="J122" s="213" t="s">
        <v>576</v>
      </c>
      <c r="K122" s="171">
        <v>16</v>
      </c>
      <c r="L122" s="223" t="str">
        <f>VLOOKUP(Ruimtestaat[[#This Row],[Ruimte code]],Ruimtegroepen[#All],2,FALSE)</f>
        <v>Leslokalen</v>
      </c>
      <c r="M122" s="185" t="s">
        <v>598</v>
      </c>
      <c r="N122" s="171" t="s">
        <v>900</v>
      </c>
      <c r="O122" s="172">
        <v>60</v>
      </c>
      <c r="P122" s="183"/>
      <c r="Q122" s="212" t="str">
        <f>VLOOKUP(Ruimtestaat[[#This Row],[Ruimte code]],Ruimtegroepen[#All],4,FALSE)</f>
        <v>L  (Lesruimte)</v>
      </c>
      <c r="R122" s="184"/>
      <c r="S122" s="185">
        <v>40</v>
      </c>
      <c r="T122" s="185" t="s">
        <v>2</v>
      </c>
      <c r="U122" s="185">
        <f>IF(S122&gt;0,IF(RIGHT(Ruimtestaat[[#This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2" s="185">
        <f>IF(U122&gt;0,VLOOKUP($K122,Ruimtegroepen[],3,FALSE)*VLOOKUP($M122,Vloersoorten[],3,FALSE)*VLOOKUP($T122,Frequenties[],3,FALSE)*VLOOKUP($A122,Locaties[],3,FALSE),0)</f>
        <v>0</v>
      </c>
      <c r="W122" s="185">
        <f>Ruimtestaat[[#This Row],[Uitvoeringen werkdagen]]*Ruimtestaat[[#This Row],[Oppervlak (netto)]]</f>
        <v>12000</v>
      </c>
      <c r="X122" s="220">
        <f>IF(V122&gt;0,Ruimtestaat[[#This Row],[Prest. (m2 /jaar) werkdagen]]/Ruimtestaat[[#This Row],[Norm (m2/uur) werkdagen]],0)</f>
        <v>0</v>
      </c>
      <c r="Y122" s="221">
        <f>Ruimtestaat[[#This Row],[uren / jaar werkdagen]]*Tariefsopbouw!$D$38</f>
        <v>0</v>
      </c>
      <c r="Z122" s="33"/>
      <c r="AA122" s="33">
        <f>IF(Ruimtestaat[[#This Row],[Frequentie weekend]]&gt;0,VALUE(LEFT(Z122,1))*S122,0)</f>
        <v>0</v>
      </c>
      <c r="AB122" s="33">
        <f>IF($AA122&gt;0,VLOOKUP($K122,Ruimtegroepen[],3,FALSE)*VLOOKUP($M122,Vloersoorten[],3,FALSE)*VLOOKUP($Z122,Frequenties[],3,FALSE)*VLOOKUP(#REF!,Locaties[],3,FALSE),0)</f>
        <v>0</v>
      </c>
      <c r="AC122" s="33"/>
      <c r="AD122" s="33"/>
      <c r="AE122" s="33">
        <f>Ruimtestaat[[#This Row],[uren / jaar weekend]]*Tariefsopbouw!$D$40</f>
        <v>0</v>
      </c>
      <c r="AF122" s="79">
        <f>Ruimtestaat[[#This Row],[Prest. (m2 /jaar) weekend]]+Ruimtestaat[[#This Row],[Prest. (m2 /jaar) werkdagen]]</f>
        <v>12000</v>
      </c>
      <c r="AG122" s="79">
        <f>Ruimtestaat[[#This Row],[uren / jaar weekend]]+Ruimtestaat[[#This Row],[uren / jaar werkdagen]]</f>
        <v>0</v>
      </c>
      <c r="AH122" s="80">
        <f>Ruimtestaat[[#This Row],[kosten / jaar weekend]]+Ruimtestaat[[#This Row],[kosten / jaar werkdagen]]</f>
        <v>0</v>
      </c>
    </row>
    <row r="123" spans="1:34" ht="15" customHeight="1">
      <c r="A123" s="117">
        <v>2</v>
      </c>
      <c r="B123" s="21" t="str">
        <f>VLOOKUP(Ruimtestaat[[#This Row],[Code]],Locaties[#All],2,FALSE)</f>
        <v>Neon College – Enschede</v>
      </c>
      <c r="C123" s="21" t="str">
        <f>VLOOKUP(Ruimtestaat[[#This Row],[Code]],Locaties[#All],4,FALSE)</f>
        <v>Mr. P.J. Troelstrastraat 9</v>
      </c>
      <c r="D123" s="212" t="str">
        <f>VLOOKUP(Ruimtestaat[[#This Row],[Code]],Locaties[#All],5,FALSE)</f>
        <v xml:space="preserve">7522 BD </v>
      </c>
      <c r="E123" s="212" t="str">
        <f>VLOOKUP(Ruimtestaat[[#This Row],[Code]],Locaties[#All],6,FALSE)</f>
        <v>Enschede</v>
      </c>
      <c r="F123" s="171"/>
      <c r="G123" s="171" t="s">
        <v>564</v>
      </c>
      <c r="H123" s="171"/>
      <c r="I123" s="171">
        <v>109</v>
      </c>
      <c r="J123" s="213" t="s">
        <v>652</v>
      </c>
      <c r="K123" s="171">
        <v>20</v>
      </c>
      <c r="L123" s="223" t="str">
        <f>VLOOKUP(Ruimtestaat[[#This Row],[Ruimte code]],Ruimtegroepen[#All],2,FALSE)</f>
        <v>Niet in onderhoud</v>
      </c>
      <c r="M123" s="212" t="s">
        <v>598</v>
      </c>
      <c r="N123" s="171" t="s">
        <v>900</v>
      </c>
      <c r="O123" s="172"/>
      <c r="P123" s="183">
        <v>11</v>
      </c>
      <c r="Q123" s="212" t="str">
        <f>VLOOKUP(Ruimtestaat[[#This Row],[Ruimte code]],Ruimtegroepen[#All],4,FALSE)</f>
        <v>niet in onderhoud</v>
      </c>
      <c r="R123" s="184"/>
      <c r="S123" s="185"/>
      <c r="T123" s="185"/>
      <c r="U123" s="185">
        <f>IF(S123&gt;0,IF(RIGHT(Ruimtestaat[[#This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3" s="185">
        <f>IF(U123&gt;0,VLOOKUP($K123,Ruimtegroepen[],3,FALSE)*VLOOKUP($M123,Vloersoorten[],3,FALSE)*VLOOKUP($T123,Frequenties[],3,FALSE)*VLOOKUP($A123,Locaties[],3,FALSE),0)</f>
        <v>0</v>
      </c>
      <c r="W123" s="185">
        <f>Ruimtestaat[[#This Row],[Uitvoeringen werkdagen]]*Ruimtestaat[[#This Row],[Oppervlak (netto)]]</f>
        <v>0</v>
      </c>
      <c r="X123" s="220">
        <f>IF(V123&gt;0,Ruimtestaat[[#This Row],[Prest. (m2 /jaar) werkdagen]]/Ruimtestaat[[#This Row],[Norm (m2/uur) werkdagen]],0)</f>
        <v>0</v>
      </c>
      <c r="Y123" s="221">
        <f>Ruimtestaat[[#This Row],[uren / jaar werkdagen]]*Tariefsopbouw!$D$38</f>
        <v>0</v>
      </c>
      <c r="Z123" s="33"/>
      <c r="AA123" s="33">
        <f>IF(Ruimtestaat[[#This Row],[Frequentie weekend]]&gt;0,VALUE(LEFT(Z123,1))*S123,0)</f>
        <v>0</v>
      </c>
      <c r="AB123" s="33">
        <f>IF($AA123&gt;0,VLOOKUP($K123,Ruimtegroepen[],3,FALSE)*VLOOKUP($M123,Vloersoorten[],3,FALSE)*VLOOKUP($Z123,Frequenties[],3,FALSE)*VLOOKUP(#REF!,Locaties[],3,FALSE),0)</f>
        <v>0</v>
      </c>
      <c r="AC123" s="33"/>
      <c r="AD123" s="33"/>
      <c r="AE123" s="33">
        <f>Ruimtestaat[[#This Row],[uren / jaar weekend]]*Tariefsopbouw!$D$40</f>
        <v>0</v>
      </c>
      <c r="AF123" s="79">
        <f>Ruimtestaat[[#This Row],[Prest. (m2 /jaar) weekend]]+Ruimtestaat[[#This Row],[Prest. (m2 /jaar) werkdagen]]</f>
        <v>0</v>
      </c>
      <c r="AG123" s="79">
        <f>Ruimtestaat[[#This Row],[uren / jaar weekend]]+Ruimtestaat[[#This Row],[uren / jaar werkdagen]]</f>
        <v>0</v>
      </c>
      <c r="AH123" s="80">
        <f>Ruimtestaat[[#This Row],[kosten / jaar weekend]]+Ruimtestaat[[#This Row],[kosten / jaar werkdagen]]</f>
        <v>0</v>
      </c>
    </row>
    <row r="124" spans="1:34" ht="15" customHeight="1">
      <c r="A124" s="117">
        <v>2</v>
      </c>
      <c r="B124" s="21" t="str">
        <f>VLOOKUP(Ruimtestaat[[#This Row],[Code]],Locaties[#All],2,FALSE)</f>
        <v>Neon College – Enschede</v>
      </c>
      <c r="C124" s="21" t="str">
        <f>VLOOKUP(Ruimtestaat[[#This Row],[Code]],Locaties[#All],4,FALSE)</f>
        <v>Mr. P.J. Troelstrastraat 9</v>
      </c>
      <c r="D124" s="212" t="str">
        <f>VLOOKUP(Ruimtestaat[[#This Row],[Code]],Locaties[#All],5,FALSE)</f>
        <v xml:space="preserve">7522 BD </v>
      </c>
      <c r="E124" s="212" t="str">
        <f>VLOOKUP(Ruimtestaat[[#This Row],[Code]],Locaties[#All],6,FALSE)</f>
        <v>Enschede</v>
      </c>
      <c r="F124" s="171"/>
      <c r="G124" s="171" t="s">
        <v>564</v>
      </c>
      <c r="H124" s="171"/>
      <c r="I124" s="171">
        <v>110</v>
      </c>
      <c r="J124" s="213" t="s">
        <v>576</v>
      </c>
      <c r="K124" s="171">
        <v>16</v>
      </c>
      <c r="L124" s="223" t="str">
        <f>VLOOKUP(Ruimtestaat[[#This Row],[Ruimte code]],Ruimtegroepen[#All],2,FALSE)</f>
        <v>Leslokalen</v>
      </c>
      <c r="M124" s="212" t="s">
        <v>598</v>
      </c>
      <c r="N124" s="171" t="s">
        <v>900</v>
      </c>
      <c r="O124" s="172">
        <v>62</v>
      </c>
      <c r="P124" s="183"/>
      <c r="Q124" s="212" t="str">
        <f>VLOOKUP(Ruimtestaat[[#This Row],[Ruimte code]],Ruimtegroepen[#All],4,FALSE)</f>
        <v>L  (Lesruimte)</v>
      </c>
      <c r="R124" s="184"/>
      <c r="S124" s="185">
        <v>40</v>
      </c>
      <c r="T124" s="185" t="s">
        <v>2</v>
      </c>
      <c r="U124" s="185">
        <f>IF(S124&gt;0,IF(RIGHT(Ruimtestaat[[#This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4" s="185">
        <f>IF(U124&gt;0,VLOOKUP($K124,Ruimtegroepen[],3,FALSE)*VLOOKUP($M124,Vloersoorten[],3,FALSE)*VLOOKUP($T124,Frequenties[],3,FALSE)*VLOOKUP($A124,Locaties[],3,FALSE),0)</f>
        <v>0</v>
      </c>
      <c r="W124" s="185">
        <f>Ruimtestaat[[#This Row],[Uitvoeringen werkdagen]]*Ruimtestaat[[#This Row],[Oppervlak (netto)]]</f>
        <v>12400</v>
      </c>
      <c r="X124" s="220">
        <f>IF(V124&gt;0,Ruimtestaat[[#This Row],[Prest. (m2 /jaar) werkdagen]]/Ruimtestaat[[#This Row],[Norm (m2/uur) werkdagen]],0)</f>
        <v>0</v>
      </c>
      <c r="Y124" s="221">
        <f>Ruimtestaat[[#This Row],[uren / jaar werkdagen]]*Tariefsopbouw!$D$38</f>
        <v>0</v>
      </c>
      <c r="Z124" s="33"/>
      <c r="AA124" s="33">
        <f>IF(Ruimtestaat[[#This Row],[Frequentie weekend]]&gt;0,VALUE(LEFT(Z124,1))*S124,0)</f>
        <v>0</v>
      </c>
      <c r="AB124" s="33">
        <f>IF($AA124&gt;0,VLOOKUP($K124,Ruimtegroepen[],3,FALSE)*VLOOKUP($M124,Vloersoorten[],3,FALSE)*VLOOKUP($Z124,Frequenties[],3,FALSE)*VLOOKUP(#REF!,Locaties[],3,FALSE),0)</f>
        <v>0</v>
      </c>
      <c r="AC124" s="33"/>
      <c r="AD124" s="33"/>
      <c r="AE124" s="33">
        <f>Ruimtestaat[[#This Row],[uren / jaar weekend]]*Tariefsopbouw!$D$40</f>
        <v>0</v>
      </c>
      <c r="AF124" s="79">
        <f>Ruimtestaat[[#This Row],[Prest. (m2 /jaar) weekend]]+Ruimtestaat[[#This Row],[Prest. (m2 /jaar) werkdagen]]</f>
        <v>12400</v>
      </c>
      <c r="AG124" s="79">
        <f>Ruimtestaat[[#This Row],[uren / jaar weekend]]+Ruimtestaat[[#This Row],[uren / jaar werkdagen]]</f>
        <v>0</v>
      </c>
      <c r="AH124" s="80">
        <f>Ruimtestaat[[#This Row],[kosten / jaar weekend]]+Ruimtestaat[[#This Row],[kosten / jaar werkdagen]]</f>
        <v>0</v>
      </c>
    </row>
    <row r="125" spans="1:34" ht="15" customHeight="1">
      <c r="A125" s="117">
        <v>2</v>
      </c>
      <c r="B125" s="21" t="str">
        <f>VLOOKUP(Ruimtestaat[[#This Row],[Code]],Locaties[#All],2,FALSE)</f>
        <v>Neon College – Enschede</v>
      </c>
      <c r="C125" s="21" t="str">
        <f>VLOOKUP(Ruimtestaat[[#This Row],[Code]],Locaties[#All],4,FALSE)</f>
        <v>Mr. P.J. Troelstrastraat 9</v>
      </c>
      <c r="D125" s="212" t="str">
        <f>VLOOKUP(Ruimtestaat[[#This Row],[Code]],Locaties[#All],5,FALSE)</f>
        <v xml:space="preserve">7522 BD </v>
      </c>
      <c r="E125" s="212" t="str">
        <f>VLOOKUP(Ruimtestaat[[#This Row],[Code]],Locaties[#All],6,FALSE)</f>
        <v>Enschede</v>
      </c>
      <c r="F125" s="171"/>
      <c r="G125" s="171" t="s">
        <v>564</v>
      </c>
      <c r="H125" s="171"/>
      <c r="I125" s="171">
        <v>111</v>
      </c>
      <c r="J125" s="213" t="s">
        <v>576</v>
      </c>
      <c r="K125" s="171">
        <v>16</v>
      </c>
      <c r="L125" s="223" t="str">
        <f>VLOOKUP(Ruimtestaat[[#This Row],[Ruimte code]],Ruimtegroepen[#All],2,FALSE)</f>
        <v>Leslokalen</v>
      </c>
      <c r="M125" s="212" t="s">
        <v>598</v>
      </c>
      <c r="N125" s="171" t="s">
        <v>900</v>
      </c>
      <c r="O125" s="172">
        <v>60</v>
      </c>
      <c r="P125" s="183"/>
      <c r="Q125" s="212" t="str">
        <f>VLOOKUP(Ruimtestaat[[#This Row],[Ruimte code]],Ruimtegroepen[#All],4,FALSE)</f>
        <v>L  (Lesruimte)</v>
      </c>
      <c r="R125" s="184"/>
      <c r="S125" s="185">
        <v>40</v>
      </c>
      <c r="T125" s="185" t="s">
        <v>2</v>
      </c>
      <c r="U125" s="185">
        <f>IF(S125&gt;0,IF(RIGHT(Ruimtestaat[[#This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5" s="185">
        <f>IF(U125&gt;0,VLOOKUP($K125,Ruimtegroepen[],3,FALSE)*VLOOKUP($M125,Vloersoorten[],3,FALSE)*VLOOKUP($T125,Frequenties[],3,FALSE)*VLOOKUP($A125,Locaties[],3,FALSE),0)</f>
        <v>0</v>
      </c>
      <c r="W125" s="185">
        <f>Ruimtestaat[[#This Row],[Uitvoeringen werkdagen]]*Ruimtestaat[[#This Row],[Oppervlak (netto)]]</f>
        <v>12000</v>
      </c>
      <c r="X125" s="220">
        <f>IF(V125&gt;0,Ruimtestaat[[#This Row],[Prest. (m2 /jaar) werkdagen]]/Ruimtestaat[[#This Row],[Norm (m2/uur) werkdagen]],0)</f>
        <v>0</v>
      </c>
      <c r="Y125" s="221">
        <f>Ruimtestaat[[#This Row],[uren / jaar werkdagen]]*Tariefsopbouw!$D$38</f>
        <v>0</v>
      </c>
      <c r="Z125" s="33"/>
      <c r="AA125" s="33">
        <f>IF(Ruimtestaat[[#This Row],[Frequentie weekend]]&gt;0,VALUE(LEFT(Z125,1))*S125,0)</f>
        <v>0</v>
      </c>
      <c r="AB125" s="33">
        <f>IF($AA125&gt;0,VLOOKUP($K125,Ruimtegroepen[],3,FALSE)*VLOOKUP($M125,Vloersoorten[],3,FALSE)*VLOOKUP($Z125,Frequenties[],3,FALSE)*VLOOKUP(#REF!,Locaties[],3,FALSE),0)</f>
        <v>0</v>
      </c>
      <c r="AC125" s="33"/>
      <c r="AD125" s="33"/>
      <c r="AE125" s="33">
        <f>Ruimtestaat[[#This Row],[uren / jaar weekend]]*Tariefsopbouw!$D$40</f>
        <v>0</v>
      </c>
      <c r="AF125" s="79">
        <f>Ruimtestaat[[#This Row],[Prest. (m2 /jaar) weekend]]+Ruimtestaat[[#This Row],[Prest. (m2 /jaar) werkdagen]]</f>
        <v>12000</v>
      </c>
      <c r="AG125" s="79">
        <f>Ruimtestaat[[#This Row],[uren / jaar weekend]]+Ruimtestaat[[#This Row],[uren / jaar werkdagen]]</f>
        <v>0</v>
      </c>
      <c r="AH125" s="80">
        <f>Ruimtestaat[[#This Row],[kosten / jaar weekend]]+Ruimtestaat[[#This Row],[kosten / jaar werkdagen]]</f>
        <v>0</v>
      </c>
    </row>
    <row r="126" spans="1:34" ht="15" customHeight="1">
      <c r="A126" s="117">
        <v>2</v>
      </c>
      <c r="B126" s="21" t="str">
        <f>VLOOKUP(Ruimtestaat[[#This Row],[Code]],Locaties[#All],2,FALSE)</f>
        <v>Neon College – Enschede</v>
      </c>
      <c r="C126" s="21" t="str">
        <f>VLOOKUP(Ruimtestaat[[#This Row],[Code]],Locaties[#All],4,FALSE)</f>
        <v>Mr. P.J. Troelstrastraat 9</v>
      </c>
      <c r="D126" s="212" t="str">
        <f>VLOOKUP(Ruimtestaat[[#This Row],[Code]],Locaties[#All],5,FALSE)</f>
        <v xml:space="preserve">7522 BD </v>
      </c>
      <c r="E126" s="212" t="str">
        <f>VLOOKUP(Ruimtestaat[[#This Row],[Code]],Locaties[#All],6,FALSE)</f>
        <v>Enschede</v>
      </c>
      <c r="F126" s="171"/>
      <c r="G126" s="171" t="s">
        <v>564</v>
      </c>
      <c r="H126" s="171"/>
      <c r="I126" s="171" t="s">
        <v>888</v>
      </c>
      <c r="J126" s="213" t="s">
        <v>567</v>
      </c>
      <c r="K126" s="185">
        <v>9</v>
      </c>
      <c r="L126" s="223" t="str">
        <f>VLOOKUP(Ruimtestaat[[#This Row],[Ruimte code]],Ruimtegroepen[#All],2,FALSE)</f>
        <v>Time-out ruimte</v>
      </c>
      <c r="M126" s="212" t="s">
        <v>598</v>
      </c>
      <c r="N126" s="171" t="s">
        <v>900</v>
      </c>
      <c r="O126" s="172">
        <v>17</v>
      </c>
      <c r="P126" s="183"/>
      <c r="Q126" s="212" t="str">
        <f>VLOOKUP(Ruimtestaat[[#This Row],[Ruimte code]],Ruimtegroepen[#All],4,FALSE)</f>
        <v>V  (Verkeersruimte)</v>
      </c>
      <c r="R126" s="184"/>
      <c r="S126" s="185">
        <v>40</v>
      </c>
      <c r="T126" s="185" t="s">
        <v>2</v>
      </c>
      <c r="U126" s="185">
        <f>IF(S126&gt;0,IF(RIGHT(Ruimtestaat[[#This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6" s="185">
        <f>IF(U126&gt;0,VLOOKUP($K126,Ruimtegroepen[],3,FALSE)*VLOOKUP($M126,Vloersoorten[],3,FALSE)*VLOOKUP($T126,Frequenties[],3,FALSE)*VLOOKUP($A126,Locaties[],3,FALSE),0)</f>
        <v>0</v>
      </c>
      <c r="W126" s="185">
        <f>Ruimtestaat[[#This Row],[Uitvoeringen werkdagen]]*Ruimtestaat[[#This Row],[Oppervlak (netto)]]</f>
        <v>3400</v>
      </c>
      <c r="X126" s="220">
        <f>IF(V126&gt;0,Ruimtestaat[[#This Row],[Prest. (m2 /jaar) werkdagen]]/Ruimtestaat[[#This Row],[Norm (m2/uur) werkdagen]],0)</f>
        <v>0</v>
      </c>
      <c r="Y126" s="221">
        <f>Ruimtestaat[[#This Row],[uren / jaar werkdagen]]*Tariefsopbouw!$D$38</f>
        <v>0</v>
      </c>
      <c r="Z126" s="33"/>
      <c r="AA126" s="33">
        <f>IF(Ruimtestaat[[#This Row],[Frequentie weekend]]&gt;0,VALUE(LEFT(Z126,1))*S126,0)</f>
        <v>0</v>
      </c>
      <c r="AB126" s="33">
        <f>IF($AA126&gt;0,VLOOKUP($K126,Ruimtegroepen[],3,FALSE)*VLOOKUP($M126,Vloersoorten[],3,FALSE)*VLOOKUP($Z126,Frequenties[],3,FALSE)*VLOOKUP(#REF!,Locaties[],3,FALSE),0)</f>
        <v>0</v>
      </c>
      <c r="AC126" s="33"/>
      <c r="AD126" s="33"/>
      <c r="AE126" s="33">
        <f>Ruimtestaat[[#This Row],[uren / jaar weekend]]*Tariefsopbouw!$D$40</f>
        <v>0</v>
      </c>
      <c r="AF126" s="79">
        <f>Ruimtestaat[[#This Row],[Prest. (m2 /jaar) weekend]]+Ruimtestaat[[#This Row],[Prest. (m2 /jaar) werkdagen]]</f>
        <v>3400</v>
      </c>
      <c r="AG126" s="79">
        <f>Ruimtestaat[[#This Row],[uren / jaar weekend]]+Ruimtestaat[[#This Row],[uren / jaar werkdagen]]</f>
        <v>0</v>
      </c>
      <c r="AH126" s="80">
        <f>Ruimtestaat[[#This Row],[kosten / jaar weekend]]+Ruimtestaat[[#This Row],[kosten / jaar werkdagen]]</f>
        <v>0</v>
      </c>
    </row>
    <row r="127" spans="1:34" ht="15" customHeight="1">
      <c r="A127" s="117">
        <v>2</v>
      </c>
      <c r="B127" s="21" t="str">
        <f>VLOOKUP(Ruimtestaat[[#This Row],[Code]],Locaties[#All],2,FALSE)</f>
        <v>Neon College – Enschede</v>
      </c>
      <c r="C127" s="21" t="str">
        <f>VLOOKUP(Ruimtestaat[[#This Row],[Code]],Locaties[#All],4,FALSE)</f>
        <v>Mr. P.J. Troelstrastraat 9</v>
      </c>
      <c r="D127" s="212" t="str">
        <f>VLOOKUP(Ruimtestaat[[#This Row],[Code]],Locaties[#All],5,FALSE)</f>
        <v xml:space="preserve">7522 BD </v>
      </c>
      <c r="E127" s="212" t="str">
        <f>VLOOKUP(Ruimtestaat[[#This Row],[Code]],Locaties[#All],6,FALSE)</f>
        <v>Enschede</v>
      </c>
      <c r="F127" s="171"/>
      <c r="G127" s="171" t="s">
        <v>564</v>
      </c>
      <c r="H127" s="171"/>
      <c r="I127" s="171" t="s">
        <v>889</v>
      </c>
      <c r="J127" s="213" t="s">
        <v>576</v>
      </c>
      <c r="K127" s="171">
        <v>16</v>
      </c>
      <c r="L127" s="223" t="str">
        <f>VLOOKUP(Ruimtestaat[[#This Row],[Ruimte code]],Ruimtegroepen[#All],2,FALSE)</f>
        <v>Leslokalen</v>
      </c>
      <c r="M127" s="185" t="s">
        <v>598</v>
      </c>
      <c r="N127" s="171" t="s">
        <v>900</v>
      </c>
      <c r="O127" s="172">
        <v>56</v>
      </c>
      <c r="P127" s="183"/>
      <c r="Q127" s="212" t="str">
        <f>VLOOKUP(Ruimtestaat[[#This Row],[Ruimte code]],Ruimtegroepen[#All],4,FALSE)</f>
        <v>L  (Lesruimte)</v>
      </c>
      <c r="R127" s="184"/>
      <c r="S127" s="185">
        <v>40</v>
      </c>
      <c r="T127" s="185" t="s">
        <v>2</v>
      </c>
      <c r="U127" s="185">
        <f>IF(S127&gt;0,IF(RIGHT(Ruimtestaat[[#This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7" s="185">
        <f>IF(U127&gt;0,VLOOKUP($K127,Ruimtegroepen[],3,FALSE)*VLOOKUP($M127,Vloersoorten[],3,FALSE)*VLOOKUP($T127,Frequenties[],3,FALSE)*VLOOKUP($A127,Locaties[],3,FALSE),0)</f>
        <v>0</v>
      </c>
      <c r="W127" s="185">
        <f>Ruimtestaat[[#This Row],[Uitvoeringen werkdagen]]*Ruimtestaat[[#This Row],[Oppervlak (netto)]]</f>
        <v>11200</v>
      </c>
      <c r="X127" s="220">
        <f>IF(V127&gt;0,Ruimtestaat[[#This Row],[Prest. (m2 /jaar) werkdagen]]/Ruimtestaat[[#This Row],[Norm (m2/uur) werkdagen]],0)</f>
        <v>0</v>
      </c>
      <c r="Y127" s="221">
        <f>Ruimtestaat[[#This Row],[uren / jaar werkdagen]]*Tariefsopbouw!$D$38</f>
        <v>0</v>
      </c>
      <c r="Z127" s="33"/>
      <c r="AA127" s="33">
        <f>IF(Ruimtestaat[[#This Row],[Frequentie weekend]]&gt;0,VALUE(LEFT(Z127,1))*S127,0)</f>
        <v>0</v>
      </c>
      <c r="AB127" s="33">
        <f>IF($AA127&gt;0,VLOOKUP($K127,Ruimtegroepen[],3,FALSE)*VLOOKUP($M127,Vloersoorten[],3,FALSE)*VLOOKUP($Z127,Frequenties[],3,FALSE)*VLOOKUP(#REF!,Locaties[],3,FALSE),0)</f>
        <v>0</v>
      </c>
      <c r="AC127" s="33"/>
      <c r="AD127" s="33"/>
      <c r="AE127" s="33">
        <f>Ruimtestaat[[#This Row],[uren / jaar weekend]]*Tariefsopbouw!$D$40</f>
        <v>0</v>
      </c>
      <c r="AF127" s="79">
        <f>Ruimtestaat[[#This Row],[Prest. (m2 /jaar) weekend]]+Ruimtestaat[[#This Row],[Prest. (m2 /jaar) werkdagen]]</f>
        <v>11200</v>
      </c>
      <c r="AG127" s="79">
        <f>Ruimtestaat[[#This Row],[uren / jaar weekend]]+Ruimtestaat[[#This Row],[uren / jaar werkdagen]]</f>
        <v>0</v>
      </c>
      <c r="AH127" s="80">
        <f>Ruimtestaat[[#This Row],[kosten / jaar weekend]]+Ruimtestaat[[#This Row],[kosten / jaar werkdagen]]</f>
        <v>0</v>
      </c>
    </row>
    <row r="128" spans="1:34" ht="15" customHeight="1">
      <c r="A128" s="117">
        <v>2</v>
      </c>
      <c r="B128" s="21" t="str">
        <f>VLOOKUP(Ruimtestaat[[#This Row],[Code]],Locaties[#All],2,FALSE)</f>
        <v>Neon College – Enschede</v>
      </c>
      <c r="C128" s="21" t="str">
        <f>VLOOKUP(Ruimtestaat[[#This Row],[Code]],Locaties[#All],4,FALSE)</f>
        <v>Mr. P.J. Troelstrastraat 9</v>
      </c>
      <c r="D128" s="212" t="str">
        <f>VLOOKUP(Ruimtestaat[[#This Row],[Code]],Locaties[#All],5,FALSE)</f>
        <v xml:space="preserve">7522 BD </v>
      </c>
      <c r="E128" s="212" t="str">
        <f>VLOOKUP(Ruimtestaat[[#This Row],[Code]],Locaties[#All],6,FALSE)</f>
        <v>Enschede</v>
      </c>
      <c r="F128" s="171"/>
      <c r="G128" s="171" t="s">
        <v>564</v>
      </c>
      <c r="H128" s="171"/>
      <c r="I128" s="171">
        <v>113</v>
      </c>
      <c r="J128" s="213" t="s">
        <v>623</v>
      </c>
      <c r="K128" s="171">
        <v>20</v>
      </c>
      <c r="L128" s="223" t="str">
        <f>VLOOKUP(Ruimtestaat[[#This Row],[Ruimte code]],Ruimtegroepen[#All],2,FALSE)</f>
        <v>Niet in onderhoud</v>
      </c>
      <c r="M128" s="185" t="s">
        <v>598</v>
      </c>
      <c r="N128" s="171" t="s">
        <v>900</v>
      </c>
      <c r="O128" s="172"/>
      <c r="P128" s="183">
        <v>3</v>
      </c>
      <c r="Q128" s="212" t="str">
        <f>VLOOKUP(Ruimtestaat[[#This Row],[Ruimte code]],Ruimtegroepen[#All],4,FALSE)</f>
        <v>niet in onderhoud</v>
      </c>
      <c r="R128" s="184"/>
      <c r="S128" s="185"/>
      <c r="T128" s="185"/>
      <c r="U128" s="185">
        <f>IF(S128&gt;0,IF(RIGHT(Ruimtestaat[[#This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8" s="185">
        <f>IF(U128&gt;0,VLOOKUP($K128,Ruimtegroepen[],3,FALSE)*VLOOKUP($M128,Vloersoorten[],3,FALSE)*VLOOKUP($T128,Frequenties[],3,FALSE)*VLOOKUP($A128,Locaties[],3,FALSE),0)</f>
        <v>0</v>
      </c>
      <c r="W128" s="185">
        <f>Ruimtestaat[[#This Row],[Uitvoeringen werkdagen]]*Ruimtestaat[[#This Row],[Oppervlak (netto)]]</f>
        <v>0</v>
      </c>
      <c r="X128" s="220">
        <f>IF(V128&gt;0,Ruimtestaat[[#This Row],[Prest. (m2 /jaar) werkdagen]]/Ruimtestaat[[#This Row],[Norm (m2/uur) werkdagen]],0)</f>
        <v>0</v>
      </c>
      <c r="Y128" s="221">
        <f>Ruimtestaat[[#This Row],[uren / jaar werkdagen]]*Tariefsopbouw!$D$38</f>
        <v>0</v>
      </c>
      <c r="Z128" s="33"/>
      <c r="AA128" s="33">
        <f>IF(Ruimtestaat[[#This Row],[Frequentie weekend]]&gt;0,VALUE(LEFT(Z128,1))*S128,0)</f>
        <v>0</v>
      </c>
      <c r="AB128" s="33">
        <f>IF($AA128&gt;0,VLOOKUP($K128,Ruimtegroepen[],3,FALSE)*VLOOKUP($M128,Vloersoorten[],3,FALSE)*VLOOKUP($Z128,Frequenties[],3,FALSE)*VLOOKUP(#REF!,Locaties[],3,FALSE),0)</f>
        <v>0</v>
      </c>
      <c r="AC128" s="33"/>
      <c r="AD128" s="33"/>
      <c r="AE128" s="33">
        <f>Ruimtestaat[[#This Row],[uren / jaar weekend]]*Tariefsopbouw!$D$40</f>
        <v>0</v>
      </c>
      <c r="AF128" s="79">
        <f>Ruimtestaat[[#This Row],[Prest. (m2 /jaar) weekend]]+Ruimtestaat[[#This Row],[Prest. (m2 /jaar) werkdagen]]</f>
        <v>0</v>
      </c>
      <c r="AG128" s="79">
        <f>Ruimtestaat[[#This Row],[uren / jaar weekend]]+Ruimtestaat[[#This Row],[uren / jaar werkdagen]]</f>
        <v>0</v>
      </c>
      <c r="AH128" s="80">
        <f>Ruimtestaat[[#This Row],[kosten / jaar weekend]]+Ruimtestaat[[#This Row],[kosten / jaar werkdagen]]</f>
        <v>0</v>
      </c>
    </row>
    <row r="129" spans="1:34" ht="15" customHeight="1">
      <c r="A129" s="117">
        <v>2</v>
      </c>
      <c r="B129" s="21" t="str">
        <f>VLOOKUP(Ruimtestaat[[#This Row],[Code]],Locaties[#All],2,FALSE)</f>
        <v>Neon College – Enschede</v>
      </c>
      <c r="C129" s="21" t="str">
        <f>VLOOKUP(Ruimtestaat[[#This Row],[Code]],Locaties[#All],4,FALSE)</f>
        <v>Mr. P.J. Troelstrastraat 9</v>
      </c>
      <c r="D129" s="212" t="str">
        <f>VLOOKUP(Ruimtestaat[[#This Row],[Code]],Locaties[#All],5,FALSE)</f>
        <v xml:space="preserve">7522 BD </v>
      </c>
      <c r="E129" s="212" t="str">
        <f>VLOOKUP(Ruimtestaat[[#This Row],[Code]],Locaties[#All],6,FALSE)</f>
        <v>Enschede</v>
      </c>
      <c r="F129" s="171"/>
      <c r="G129" s="171" t="s">
        <v>564</v>
      </c>
      <c r="H129" s="171"/>
      <c r="I129" s="171">
        <v>114</v>
      </c>
      <c r="J129" s="213" t="s">
        <v>574</v>
      </c>
      <c r="K129" s="185">
        <v>6</v>
      </c>
      <c r="L129" s="223" t="str">
        <f>VLOOKUP(Ruimtestaat[[#This Row],[Ruimte code]],Ruimtegroepen[#All],2,FALSE)</f>
        <v>Gangen/hallen</v>
      </c>
      <c r="M129" s="212" t="s">
        <v>111</v>
      </c>
      <c r="N129" s="171" t="s">
        <v>606</v>
      </c>
      <c r="O129" s="246">
        <v>6</v>
      </c>
      <c r="P129" s="172"/>
      <c r="Q129" s="212" t="str">
        <f>VLOOKUP(Ruimtestaat[[#This Row],[Ruimte code]],Ruimtegroepen[#All],4,FALSE)</f>
        <v>V  (Verkeersruimte)</v>
      </c>
      <c r="R129" s="184"/>
      <c r="S129" s="185">
        <v>40</v>
      </c>
      <c r="T129" s="185" t="s">
        <v>2</v>
      </c>
      <c r="U129" s="185">
        <f>IF(S129&gt;0,IF(RIGHT(Ruimtestaat[[#This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9" s="185">
        <f>IF(U129&gt;0,VLOOKUP($K129,Ruimtegroepen[],3,FALSE)*VLOOKUP($M129,Vloersoorten[],3,FALSE)*VLOOKUP($T129,Frequenties[],3,FALSE)*VLOOKUP($A129,Locaties[],3,FALSE),0)</f>
        <v>0</v>
      </c>
      <c r="W129" s="185">
        <f>Ruimtestaat[[#This Row],[Uitvoeringen werkdagen]]*Ruimtestaat[[#This Row],[Oppervlak (netto)]]</f>
        <v>1200</v>
      </c>
      <c r="X129" s="220">
        <f>IF(V129&gt;0,Ruimtestaat[[#This Row],[Prest. (m2 /jaar) werkdagen]]/Ruimtestaat[[#This Row],[Norm (m2/uur) werkdagen]],0)</f>
        <v>0</v>
      </c>
      <c r="Y129" s="221">
        <f>Ruimtestaat[[#This Row],[uren / jaar werkdagen]]*Tariefsopbouw!$D$38</f>
        <v>0</v>
      </c>
      <c r="Z129" s="33"/>
      <c r="AA129" s="33">
        <f>IF(Ruimtestaat[[#This Row],[Frequentie weekend]]&gt;0,VALUE(LEFT(Z129,1))*S129,0)</f>
        <v>0</v>
      </c>
      <c r="AB129" s="33">
        <f>IF($AA129&gt;0,VLOOKUP($K129,Ruimtegroepen[],3,FALSE)*VLOOKUP($M129,Vloersoorten[],3,FALSE)*VLOOKUP($Z129,Frequenties[],3,FALSE)*VLOOKUP(#REF!,Locaties[],3,FALSE),0)</f>
        <v>0</v>
      </c>
      <c r="AC129" s="33"/>
      <c r="AD129" s="33"/>
      <c r="AE129" s="33">
        <f>Ruimtestaat[[#This Row],[uren / jaar weekend]]*Tariefsopbouw!$D$40</f>
        <v>0</v>
      </c>
      <c r="AF129" s="79">
        <f>Ruimtestaat[[#This Row],[Prest. (m2 /jaar) weekend]]+Ruimtestaat[[#This Row],[Prest. (m2 /jaar) werkdagen]]</f>
        <v>1200</v>
      </c>
      <c r="AG129" s="79">
        <f>Ruimtestaat[[#This Row],[uren / jaar weekend]]+Ruimtestaat[[#This Row],[uren / jaar werkdagen]]</f>
        <v>0</v>
      </c>
      <c r="AH129" s="80">
        <f>Ruimtestaat[[#This Row],[kosten / jaar weekend]]+Ruimtestaat[[#This Row],[kosten / jaar werkdagen]]</f>
        <v>0</v>
      </c>
    </row>
    <row r="130" spans="1:34" ht="15" customHeight="1">
      <c r="A130" s="117">
        <v>2</v>
      </c>
      <c r="B130" s="21" t="str">
        <f>VLOOKUP(Ruimtestaat[[#This Row],[Code]],Locaties[#All],2,FALSE)</f>
        <v>Neon College – Enschede</v>
      </c>
      <c r="C130" s="21" t="str">
        <f>VLOOKUP(Ruimtestaat[[#This Row],[Code]],Locaties[#All],4,FALSE)</f>
        <v>Mr. P.J. Troelstrastraat 9</v>
      </c>
      <c r="D130" s="212" t="str">
        <f>VLOOKUP(Ruimtestaat[[#This Row],[Code]],Locaties[#All],5,FALSE)</f>
        <v xml:space="preserve">7522 BD </v>
      </c>
      <c r="E130" s="212" t="str">
        <f>VLOOKUP(Ruimtestaat[[#This Row],[Code]],Locaties[#All],6,FALSE)</f>
        <v>Enschede</v>
      </c>
      <c r="F130" s="171"/>
      <c r="G130" s="171" t="s">
        <v>564</v>
      </c>
      <c r="H130" s="171"/>
      <c r="I130" s="171" t="s">
        <v>890</v>
      </c>
      <c r="J130" s="213" t="s">
        <v>723</v>
      </c>
      <c r="K130" s="185">
        <v>5</v>
      </c>
      <c r="L130" s="223" t="str">
        <f>VLOOKUP(Ruimtestaat[[#This Row],[Ruimte code]],Ruimtegroepen[#All],2,FALSE)</f>
        <v>Sanitair</v>
      </c>
      <c r="M130" s="212" t="s">
        <v>111</v>
      </c>
      <c r="N130" s="171" t="s">
        <v>606</v>
      </c>
      <c r="O130" s="172">
        <v>9</v>
      </c>
      <c r="P130" s="183"/>
      <c r="Q130" s="212" t="str">
        <f>VLOOKUP(Ruimtestaat[[#This Row],[Ruimte code]],Ruimtegroepen[#All],4,FALSE)</f>
        <v>S  (Sanitair)</v>
      </c>
      <c r="R130" s="184"/>
      <c r="S130" s="185">
        <v>40</v>
      </c>
      <c r="T130" s="185" t="s">
        <v>2</v>
      </c>
      <c r="U130" s="185">
        <f>IF(S130&gt;0,IF(RIGHT(Ruimtestaat[[#This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0" s="185">
        <f>IF(U130&gt;0,VLOOKUP($K130,Ruimtegroepen[],3,FALSE)*VLOOKUP($M130,Vloersoorten[],3,FALSE)*VLOOKUP($T130,Frequenties[],3,FALSE)*VLOOKUP($A130,Locaties[],3,FALSE),0)</f>
        <v>0</v>
      </c>
      <c r="W130" s="185">
        <f>Ruimtestaat[[#This Row],[Uitvoeringen werkdagen]]*Ruimtestaat[[#This Row],[Oppervlak (netto)]]</f>
        <v>1800</v>
      </c>
      <c r="X130" s="220">
        <f>IF(V130&gt;0,Ruimtestaat[[#This Row],[Prest. (m2 /jaar) werkdagen]]/Ruimtestaat[[#This Row],[Norm (m2/uur) werkdagen]],0)</f>
        <v>0</v>
      </c>
      <c r="Y130" s="221">
        <f>Ruimtestaat[[#This Row],[uren / jaar werkdagen]]*Tariefsopbouw!$D$38</f>
        <v>0</v>
      </c>
      <c r="Z130" s="33"/>
      <c r="AA130" s="33">
        <f>IF(Ruimtestaat[[#This Row],[Frequentie weekend]]&gt;0,VALUE(LEFT(Z130,1))*S130,0)</f>
        <v>0</v>
      </c>
      <c r="AB130" s="33">
        <f>IF($AA130&gt;0,VLOOKUP($K130,Ruimtegroepen[],3,FALSE)*VLOOKUP($M130,Vloersoorten[],3,FALSE)*VLOOKUP($Z130,Frequenties[],3,FALSE)*VLOOKUP(#REF!,Locaties[],3,FALSE),0)</f>
        <v>0</v>
      </c>
      <c r="AC130" s="33"/>
      <c r="AD130" s="33"/>
      <c r="AE130" s="33">
        <f>Ruimtestaat[[#This Row],[uren / jaar weekend]]*Tariefsopbouw!$D$40</f>
        <v>0</v>
      </c>
      <c r="AF130" s="79">
        <f>Ruimtestaat[[#This Row],[Prest. (m2 /jaar) weekend]]+Ruimtestaat[[#This Row],[Prest. (m2 /jaar) werkdagen]]</f>
        <v>1800</v>
      </c>
      <c r="AG130" s="79">
        <f>Ruimtestaat[[#This Row],[uren / jaar weekend]]+Ruimtestaat[[#This Row],[uren / jaar werkdagen]]</f>
        <v>0</v>
      </c>
      <c r="AH130" s="80">
        <f>Ruimtestaat[[#This Row],[kosten / jaar weekend]]+Ruimtestaat[[#This Row],[kosten / jaar werkdagen]]</f>
        <v>0</v>
      </c>
    </row>
    <row r="131" spans="1:34" ht="15" customHeight="1">
      <c r="A131" s="117">
        <v>2</v>
      </c>
      <c r="B131" s="21" t="str">
        <f>VLOOKUP(Ruimtestaat[[#This Row],[Code]],Locaties[#All],2,FALSE)</f>
        <v>Neon College – Enschede</v>
      </c>
      <c r="C131" s="21" t="str">
        <f>VLOOKUP(Ruimtestaat[[#This Row],[Code]],Locaties[#All],4,FALSE)</f>
        <v>Mr. P.J. Troelstrastraat 9</v>
      </c>
      <c r="D131" s="212" t="str">
        <f>VLOOKUP(Ruimtestaat[[#This Row],[Code]],Locaties[#All],5,FALSE)</f>
        <v xml:space="preserve">7522 BD </v>
      </c>
      <c r="E131" s="212" t="str">
        <f>VLOOKUP(Ruimtestaat[[#This Row],[Code]],Locaties[#All],6,FALSE)</f>
        <v>Enschede</v>
      </c>
      <c r="F131" s="171"/>
      <c r="G131" s="171" t="s">
        <v>564</v>
      </c>
      <c r="H131" s="171"/>
      <c r="I131" s="171" t="s">
        <v>891</v>
      </c>
      <c r="J131" s="213" t="s">
        <v>722</v>
      </c>
      <c r="K131" s="171">
        <v>5</v>
      </c>
      <c r="L131" s="223" t="str">
        <f>VLOOKUP(Ruimtestaat[[#This Row],[Ruimte code]],Ruimtegroepen[#All],2,FALSE)</f>
        <v>Sanitair</v>
      </c>
      <c r="M131" s="212" t="s">
        <v>111</v>
      </c>
      <c r="N131" s="171" t="s">
        <v>606</v>
      </c>
      <c r="O131" s="172">
        <v>9</v>
      </c>
      <c r="P131" s="183"/>
      <c r="Q131" s="212" t="str">
        <f>VLOOKUP(Ruimtestaat[[#This Row],[Ruimte code]],Ruimtegroepen[#All],4,FALSE)</f>
        <v>S  (Sanitair)</v>
      </c>
      <c r="R131" s="184"/>
      <c r="S131" s="185">
        <v>40</v>
      </c>
      <c r="T131" s="185" t="s">
        <v>2</v>
      </c>
      <c r="U131" s="185">
        <f>IF(S131&gt;0,IF(RIGHT(Ruimtestaat[[#This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1" s="185">
        <f>IF(U131&gt;0,VLOOKUP($K131,Ruimtegroepen[],3,FALSE)*VLOOKUP($M131,Vloersoorten[],3,FALSE)*VLOOKUP($T131,Frequenties[],3,FALSE)*VLOOKUP($A131,Locaties[],3,FALSE),0)</f>
        <v>0</v>
      </c>
      <c r="W131" s="185">
        <f>Ruimtestaat[[#This Row],[Uitvoeringen werkdagen]]*Ruimtestaat[[#This Row],[Oppervlak (netto)]]</f>
        <v>1800</v>
      </c>
      <c r="X131" s="220">
        <f>IF(V131&gt;0,Ruimtestaat[[#This Row],[Prest. (m2 /jaar) werkdagen]]/Ruimtestaat[[#This Row],[Norm (m2/uur) werkdagen]],0)</f>
        <v>0</v>
      </c>
      <c r="Y131" s="221">
        <f>Ruimtestaat[[#This Row],[uren / jaar werkdagen]]*Tariefsopbouw!$D$38</f>
        <v>0</v>
      </c>
      <c r="Z131" s="33"/>
      <c r="AA131" s="33">
        <f>IF(Ruimtestaat[[#This Row],[Frequentie weekend]]&gt;0,VALUE(LEFT(Z131,1))*S131,0)</f>
        <v>0</v>
      </c>
      <c r="AB131" s="33">
        <f>IF($AA131&gt;0,VLOOKUP($K131,Ruimtegroepen[],3,FALSE)*VLOOKUP($M131,Vloersoorten[],3,FALSE)*VLOOKUP($Z131,Frequenties[],3,FALSE)*VLOOKUP(#REF!,Locaties[],3,FALSE),0)</f>
        <v>0</v>
      </c>
      <c r="AC131" s="33"/>
      <c r="AD131" s="33"/>
      <c r="AE131" s="33">
        <f>Ruimtestaat[[#This Row],[uren / jaar weekend]]*Tariefsopbouw!$D$40</f>
        <v>0</v>
      </c>
      <c r="AF131" s="79">
        <f>Ruimtestaat[[#This Row],[Prest. (m2 /jaar) weekend]]+Ruimtestaat[[#This Row],[Prest. (m2 /jaar) werkdagen]]</f>
        <v>1800</v>
      </c>
      <c r="AG131" s="79">
        <f>Ruimtestaat[[#This Row],[uren / jaar weekend]]+Ruimtestaat[[#This Row],[uren / jaar werkdagen]]</f>
        <v>0</v>
      </c>
      <c r="AH131" s="80">
        <f>Ruimtestaat[[#This Row],[kosten / jaar weekend]]+Ruimtestaat[[#This Row],[kosten / jaar werkdagen]]</f>
        <v>0</v>
      </c>
    </row>
    <row r="132" spans="1:34" ht="15" customHeight="1">
      <c r="A132" s="117">
        <v>2</v>
      </c>
      <c r="B132" s="21" t="str">
        <f>VLOOKUP(Ruimtestaat[[#This Row],[Code]],Locaties[#All],2,FALSE)</f>
        <v>Neon College – Enschede</v>
      </c>
      <c r="C132" s="21" t="str">
        <f>VLOOKUP(Ruimtestaat[[#This Row],[Code]],Locaties[#All],4,FALSE)</f>
        <v>Mr. P.J. Troelstrastraat 9</v>
      </c>
      <c r="D132" s="212" t="str">
        <f>VLOOKUP(Ruimtestaat[[#This Row],[Code]],Locaties[#All],5,FALSE)</f>
        <v xml:space="preserve">7522 BD </v>
      </c>
      <c r="E132" s="212" t="str">
        <f>VLOOKUP(Ruimtestaat[[#This Row],[Code]],Locaties[#All],6,FALSE)</f>
        <v>Enschede</v>
      </c>
      <c r="F132" s="171"/>
      <c r="G132" s="171" t="s">
        <v>564</v>
      </c>
      <c r="H132" s="171"/>
      <c r="I132" s="171">
        <v>116</v>
      </c>
      <c r="J132" s="213" t="s">
        <v>571</v>
      </c>
      <c r="K132" s="171">
        <v>2</v>
      </c>
      <c r="L132" s="223" t="str">
        <f>VLOOKUP(Ruimtestaat[[#This Row],[Ruimte code]],Ruimtegroepen[#All],2,FALSE)</f>
        <v>Kantoren</v>
      </c>
      <c r="M132" s="185" t="s">
        <v>597</v>
      </c>
      <c r="N132" s="171" t="s">
        <v>38</v>
      </c>
      <c r="O132" s="172">
        <v>20</v>
      </c>
      <c r="P132" s="183"/>
      <c r="Q132" s="212" t="str">
        <f>VLOOKUP(Ruimtestaat[[#This Row],[Ruimte code]],Ruimtegroepen[#All],4,FALSE)</f>
        <v>B  (Bureauruimte)</v>
      </c>
      <c r="R132" s="184"/>
      <c r="S132" s="185">
        <v>40</v>
      </c>
      <c r="T132" s="185" t="s">
        <v>2</v>
      </c>
      <c r="U132" s="185">
        <f>IF(S132&gt;0,IF(RIGHT(Ruimtestaat[[#This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2" s="185">
        <f>IF(U132&gt;0,VLOOKUP($K132,Ruimtegroepen[],3,FALSE)*VLOOKUP($M132,Vloersoorten[],3,FALSE)*VLOOKUP($T132,Frequenties[],3,FALSE)*VLOOKUP($A132,Locaties[],3,FALSE),0)</f>
        <v>0</v>
      </c>
      <c r="W132" s="185">
        <f>Ruimtestaat[[#This Row],[Uitvoeringen werkdagen]]*Ruimtestaat[[#This Row],[Oppervlak (netto)]]</f>
        <v>4000</v>
      </c>
      <c r="X132" s="220">
        <f>IF(V132&gt;0,Ruimtestaat[[#This Row],[Prest. (m2 /jaar) werkdagen]]/Ruimtestaat[[#This Row],[Norm (m2/uur) werkdagen]],0)</f>
        <v>0</v>
      </c>
      <c r="Y132" s="221">
        <f>Ruimtestaat[[#This Row],[uren / jaar werkdagen]]*Tariefsopbouw!$D$38</f>
        <v>0</v>
      </c>
      <c r="Z132" s="33"/>
      <c r="AA132" s="33">
        <f>IF(Ruimtestaat[[#This Row],[Frequentie weekend]]&gt;0,VALUE(LEFT(Z132,1))*S132,0)</f>
        <v>0</v>
      </c>
      <c r="AB132" s="33">
        <f>IF($AA132&gt;0,VLOOKUP($K132,Ruimtegroepen[],3,FALSE)*VLOOKUP($M132,Vloersoorten[],3,FALSE)*VLOOKUP($Z132,Frequenties[],3,FALSE)*VLOOKUP(#REF!,Locaties[],3,FALSE),0)</f>
        <v>0</v>
      </c>
      <c r="AC132" s="33"/>
      <c r="AD132" s="33"/>
      <c r="AE132" s="33">
        <f>Ruimtestaat[[#This Row],[uren / jaar weekend]]*Tariefsopbouw!$D$40</f>
        <v>0</v>
      </c>
      <c r="AF132" s="79">
        <f>Ruimtestaat[[#This Row],[Prest. (m2 /jaar) weekend]]+Ruimtestaat[[#This Row],[Prest. (m2 /jaar) werkdagen]]</f>
        <v>4000</v>
      </c>
      <c r="AG132" s="79">
        <f>Ruimtestaat[[#This Row],[uren / jaar weekend]]+Ruimtestaat[[#This Row],[uren / jaar werkdagen]]</f>
        <v>0</v>
      </c>
      <c r="AH132" s="80">
        <f>Ruimtestaat[[#This Row],[kosten / jaar weekend]]+Ruimtestaat[[#This Row],[kosten / jaar werkdagen]]</f>
        <v>0</v>
      </c>
    </row>
    <row r="133" spans="1:34" ht="15" customHeight="1">
      <c r="A133" s="117">
        <v>2</v>
      </c>
      <c r="B133" s="21" t="str">
        <f>VLOOKUP(Ruimtestaat[[#This Row],[Code]],Locaties[#All],2,FALSE)</f>
        <v>Neon College – Enschede</v>
      </c>
      <c r="C133" s="21" t="str">
        <f>VLOOKUP(Ruimtestaat[[#This Row],[Code]],Locaties[#All],4,FALSE)</f>
        <v>Mr. P.J. Troelstrastraat 9</v>
      </c>
      <c r="D133" s="212" t="str">
        <f>VLOOKUP(Ruimtestaat[[#This Row],[Code]],Locaties[#All],5,FALSE)</f>
        <v xml:space="preserve">7522 BD </v>
      </c>
      <c r="E133" s="212" t="str">
        <f>VLOOKUP(Ruimtestaat[[#This Row],[Code]],Locaties[#All],6,FALSE)</f>
        <v>Enschede</v>
      </c>
      <c r="F133" s="171"/>
      <c r="G133" s="171" t="s">
        <v>564</v>
      </c>
      <c r="H133" s="171"/>
      <c r="I133" s="171">
        <v>117</v>
      </c>
      <c r="J133" s="213" t="s">
        <v>695</v>
      </c>
      <c r="K133" s="171">
        <v>10</v>
      </c>
      <c r="L133" s="223" t="str">
        <f>VLOOKUP(Ruimtestaat[[#This Row],[Ruimte code]],Ruimtegroepen[#All],2,FALSE)</f>
        <v>Trappenhuizen/lift</v>
      </c>
      <c r="M133" s="212" t="s">
        <v>111</v>
      </c>
      <c r="N133" s="171" t="s">
        <v>128</v>
      </c>
      <c r="O133" s="172">
        <v>11</v>
      </c>
      <c r="P133" s="183"/>
      <c r="Q133" s="212" t="str">
        <f>VLOOKUP(Ruimtestaat[[#This Row],[Ruimte code]],Ruimtegroepen[#All],4,FALSE)</f>
        <v>V  (Verkeersruimte)</v>
      </c>
      <c r="R133" s="184"/>
      <c r="S133" s="185">
        <v>40</v>
      </c>
      <c r="T133" s="185" t="s">
        <v>16</v>
      </c>
      <c r="U133" s="185">
        <f>IF(S133&gt;0,IF(RIGHT(Ruimtestaat[[#This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33" s="185">
        <f>IF(U133&gt;0,VLOOKUP($K133,Ruimtegroepen[],3,FALSE)*VLOOKUP($M133,Vloersoorten[],3,FALSE)*VLOOKUP($T133,Frequenties[],3,FALSE)*VLOOKUP($A133,Locaties[],3,FALSE),0)</f>
        <v>0</v>
      </c>
      <c r="W133" s="185">
        <f>Ruimtestaat[[#This Row],[Uitvoeringen werkdagen]]*Ruimtestaat[[#This Row],[Oppervlak (netto)]]</f>
        <v>132</v>
      </c>
      <c r="X133" s="220">
        <f>IF(V133&gt;0,Ruimtestaat[[#This Row],[Prest. (m2 /jaar) werkdagen]]/Ruimtestaat[[#This Row],[Norm (m2/uur) werkdagen]],0)</f>
        <v>0</v>
      </c>
      <c r="Y133" s="221">
        <f>Ruimtestaat[[#This Row],[uren / jaar werkdagen]]*Tariefsopbouw!$D$38</f>
        <v>0</v>
      </c>
      <c r="Z133" s="33"/>
      <c r="AA133" s="33">
        <f>IF(Ruimtestaat[[#This Row],[Frequentie weekend]]&gt;0,VALUE(LEFT(Z133,1))*S133,0)</f>
        <v>0</v>
      </c>
      <c r="AB133" s="33">
        <f>IF($AA133&gt;0,VLOOKUP($K133,Ruimtegroepen[],3,FALSE)*VLOOKUP($M133,Vloersoorten[],3,FALSE)*VLOOKUP($Z133,Frequenties[],3,FALSE)*VLOOKUP(#REF!,Locaties[],3,FALSE),0)</f>
        <v>0</v>
      </c>
      <c r="AC133" s="33"/>
      <c r="AD133" s="33"/>
      <c r="AE133" s="33">
        <f>Ruimtestaat[[#This Row],[uren / jaar weekend]]*Tariefsopbouw!$D$40</f>
        <v>0</v>
      </c>
      <c r="AF133" s="79">
        <f>Ruimtestaat[[#This Row],[Prest. (m2 /jaar) weekend]]+Ruimtestaat[[#This Row],[Prest. (m2 /jaar) werkdagen]]</f>
        <v>132</v>
      </c>
      <c r="AG133" s="79">
        <f>Ruimtestaat[[#This Row],[uren / jaar weekend]]+Ruimtestaat[[#This Row],[uren / jaar werkdagen]]</f>
        <v>0</v>
      </c>
      <c r="AH133" s="80">
        <f>Ruimtestaat[[#This Row],[kosten / jaar weekend]]+Ruimtestaat[[#This Row],[kosten / jaar werkdagen]]</f>
        <v>0</v>
      </c>
    </row>
    <row r="134" spans="1:34" ht="15" customHeight="1">
      <c r="A134" s="117">
        <v>2</v>
      </c>
      <c r="B134" s="21" t="str">
        <f>VLOOKUP(Ruimtestaat[[#This Row],[Code]],Locaties[#All],2,FALSE)</f>
        <v>Neon College – Enschede</v>
      </c>
      <c r="C134" s="21" t="str">
        <f>VLOOKUP(Ruimtestaat[[#This Row],[Code]],Locaties[#All],4,FALSE)</f>
        <v>Mr. P.J. Troelstrastraat 9</v>
      </c>
      <c r="D134" s="212" t="str">
        <f>VLOOKUP(Ruimtestaat[[#This Row],[Code]],Locaties[#All],5,FALSE)</f>
        <v xml:space="preserve">7522 BD </v>
      </c>
      <c r="E134" s="212" t="str">
        <f>VLOOKUP(Ruimtestaat[[#This Row],[Code]],Locaties[#All],6,FALSE)</f>
        <v>Enschede</v>
      </c>
      <c r="F134" s="171"/>
      <c r="G134" s="171" t="s">
        <v>564</v>
      </c>
      <c r="H134" s="171"/>
      <c r="I134" s="171">
        <v>118</v>
      </c>
      <c r="J134" s="213" t="s">
        <v>892</v>
      </c>
      <c r="K134" s="171">
        <v>20</v>
      </c>
      <c r="L134" s="223" t="str">
        <f>VLOOKUP(Ruimtestaat[[#This Row],[Ruimte code]],Ruimtegroepen[#All],2,FALSE)</f>
        <v>Niet in onderhoud</v>
      </c>
      <c r="M134" s="185"/>
      <c r="N134" s="171"/>
      <c r="O134" s="172"/>
      <c r="P134" s="183">
        <v>4.5</v>
      </c>
      <c r="Q134" s="212" t="str">
        <f>VLOOKUP(Ruimtestaat[[#This Row],[Ruimte code]],Ruimtegroepen[#All],4,FALSE)</f>
        <v>niet in onderhoud</v>
      </c>
      <c r="R134" s="184"/>
      <c r="S134" s="185"/>
      <c r="T134" s="185"/>
      <c r="U134" s="185">
        <f>IF(S134&gt;0,IF(RIGHT(Ruimtestaat[[#This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34" s="185">
        <f>IF(U134&gt;0,VLOOKUP($K134,Ruimtegroepen[],3,FALSE)*VLOOKUP($M134,Vloersoorten[],3,FALSE)*VLOOKUP($T134,Frequenties[],3,FALSE)*VLOOKUP($A134,Locaties[],3,FALSE),0)</f>
        <v>0</v>
      </c>
      <c r="W134" s="185">
        <f>Ruimtestaat[[#This Row],[Uitvoeringen werkdagen]]*Ruimtestaat[[#This Row],[Oppervlak (netto)]]</f>
        <v>0</v>
      </c>
      <c r="X134" s="220">
        <f>IF(V134&gt;0,Ruimtestaat[[#This Row],[Prest. (m2 /jaar) werkdagen]]/Ruimtestaat[[#This Row],[Norm (m2/uur) werkdagen]],0)</f>
        <v>0</v>
      </c>
      <c r="Y134" s="221">
        <f>Ruimtestaat[[#This Row],[uren / jaar werkdagen]]*Tariefsopbouw!$D$38</f>
        <v>0</v>
      </c>
      <c r="Z134" s="33"/>
      <c r="AA134" s="33">
        <f>IF(Ruimtestaat[[#This Row],[Frequentie weekend]]&gt;0,VALUE(LEFT(Z134,1))*S134,0)</f>
        <v>0</v>
      </c>
      <c r="AB134" s="33">
        <f>IF($AA134&gt;0,VLOOKUP($K134,Ruimtegroepen[],3,FALSE)*VLOOKUP($M134,Vloersoorten[],3,FALSE)*VLOOKUP($Z134,Frequenties[],3,FALSE)*VLOOKUP(#REF!,Locaties[],3,FALSE),0)</f>
        <v>0</v>
      </c>
      <c r="AC134" s="33"/>
      <c r="AD134" s="33"/>
      <c r="AE134" s="33">
        <f>Ruimtestaat[[#This Row],[uren / jaar weekend]]*Tariefsopbouw!$D$40</f>
        <v>0</v>
      </c>
      <c r="AF134" s="79">
        <f>Ruimtestaat[[#This Row],[Prest. (m2 /jaar) weekend]]+Ruimtestaat[[#This Row],[Prest. (m2 /jaar) werkdagen]]</f>
        <v>0</v>
      </c>
      <c r="AG134" s="79">
        <f>Ruimtestaat[[#This Row],[uren / jaar weekend]]+Ruimtestaat[[#This Row],[uren / jaar werkdagen]]</f>
        <v>0</v>
      </c>
      <c r="AH134" s="80">
        <f>Ruimtestaat[[#This Row],[kosten / jaar weekend]]+Ruimtestaat[[#This Row],[kosten / jaar werkdagen]]</f>
        <v>0</v>
      </c>
    </row>
    <row r="135" spans="1:34" ht="15" customHeight="1">
      <c r="A135" s="117">
        <v>2</v>
      </c>
      <c r="B135" s="21" t="str">
        <f>VLOOKUP(Ruimtestaat[[#This Row],[Code]],Locaties[#All],2,FALSE)</f>
        <v>Neon College – Enschede</v>
      </c>
      <c r="C135" s="21" t="str">
        <f>VLOOKUP(Ruimtestaat[[#This Row],[Code]],Locaties[#All],4,FALSE)</f>
        <v>Mr. P.J. Troelstrastraat 9</v>
      </c>
      <c r="D135" s="212" t="str">
        <f>VLOOKUP(Ruimtestaat[[#This Row],[Code]],Locaties[#All],5,FALSE)</f>
        <v xml:space="preserve">7522 BD </v>
      </c>
      <c r="E135" s="212" t="str">
        <f>VLOOKUP(Ruimtestaat[[#This Row],[Code]],Locaties[#All],6,FALSE)</f>
        <v>Enschede</v>
      </c>
      <c r="F135" s="171"/>
      <c r="G135" s="171" t="s">
        <v>564</v>
      </c>
      <c r="H135" s="171"/>
      <c r="I135" s="171">
        <v>119</v>
      </c>
      <c r="J135" s="213" t="s">
        <v>603</v>
      </c>
      <c r="K135" s="185">
        <v>2</v>
      </c>
      <c r="L135" s="223" t="str">
        <f>VLOOKUP(Ruimtestaat[[#This Row],[Ruimte code]],Ruimtegroepen[#All],2,FALSE)</f>
        <v>Kantoren</v>
      </c>
      <c r="M135" s="185" t="s">
        <v>598</v>
      </c>
      <c r="N135" s="171" t="s">
        <v>132</v>
      </c>
      <c r="O135" s="172">
        <v>5.5</v>
      </c>
      <c r="P135" s="183"/>
      <c r="Q135" s="212" t="str">
        <f>VLOOKUP(Ruimtestaat[[#This Row],[Ruimte code]],Ruimtegroepen[#All],4,FALSE)</f>
        <v>B  (Bureauruimte)</v>
      </c>
      <c r="R135" s="184"/>
      <c r="S135" s="185">
        <v>40</v>
      </c>
      <c r="T135" s="185" t="s">
        <v>2</v>
      </c>
      <c r="U135" s="185">
        <f>IF(S135&gt;0,IF(RIGHT(Ruimtestaat[[#This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5" s="185">
        <f>IF(U135&gt;0,VLOOKUP($K135,Ruimtegroepen[],3,FALSE)*VLOOKUP($M135,Vloersoorten[],3,FALSE)*VLOOKUP($T135,Frequenties[],3,FALSE)*VLOOKUP($A135,Locaties[],3,FALSE),0)</f>
        <v>0</v>
      </c>
      <c r="W135" s="185">
        <f>Ruimtestaat[[#This Row],[Uitvoeringen werkdagen]]*Ruimtestaat[[#This Row],[Oppervlak (netto)]]</f>
        <v>1100</v>
      </c>
      <c r="X135" s="220">
        <f>IF(V135&gt;0,Ruimtestaat[[#This Row],[Prest. (m2 /jaar) werkdagen]]/Ruimtestaat[[#This Row],[Norm (m2/uur) werkdagen]],0)</f>
        <v>0</v>
      </c>
      <c r="Y135" s="221">
        <f>Ruimtestaat[[#This Row],[uren / jaar werkdagen]]*Tariefsopbouw!$D$38</f>
        <v>0</v>
      </c>
      <c r="Z135" s="33"/>
      <c r="AA135" s="33">
        <f>IF(Ruimtestaat[[#This Row],[Frequentie weekend]]&gt;0,VALUE(LEFT(Z135,1))*S135,0)</f>
        <v>0</v>
      </c>
      <c r="AB135" s="33">
        <f>IF($AA135&gt;0,VLOOKUP($K135,Ruimtegroepen[],3,FALSE)*VLOOKUP($M135,Vloersoorten[],3,FALSE)*VLOOKUP($Z135,Frequenties[],3,FALSE)*VLOOKUP(#REF!,Locaties[],3,FALSE),0)</f>
        <v>0</v>
      </c>
      <c r="AC135" s="33"/>
      <c r="AD135" s="33"/>
      <c r="AE135" s="33">
        <f>Ruimtestaat[[#This Row],[uren / jaar weekend]]*Tariefsopbouw!$D$40</f>
        <v>0</v>
      </c>
      <c r="AF135" s="79">
        <f>Ruimtestaat[[#This Row],[Prest. (m2 /jaar) weekend]]+Ruimtestaat[[#This Row],[Prest. (m2 /jaar) werkdagen]]</f>
        <v>1100</v>
      </c>
      <c r="AG135" s="79">
        <f>Ruimtestaat[[#This Row],[uren / jaar weekend]]+Ruimtestaat[[#This Row],[uren / jaar werkdagen]]</f>
        <v>0</v>
      </c>
      <c r="AH135" s="80">
        <f>Ruimtestaat[[#This Row],[kosten / jaar weekend]]+Ruimtestaat[[#This Row],[kosten / jaar werkdagen]]</f>
        <v>0</v>
      </c>
    </row>
    <row r="136" spans="1:34" ht="15" customHeight="1">
      <c r="A136" s="117">
        <v>2</v>
      </c>
      <c r="B136" s="21" t="str">
        <f>VLOOKUP(Ruimtestaat[[#This Row],[Code]],Locaties[#All],2,FALSE)</f>
        <v>Neon College – Enschede</v>
      </c>
      <c r="C136" s="21" t="str">
        <f>VLOOKUP(Ruimtestaat[[#This Row],[Code]],Locaties[#All],4,FALSE)</f>
        <v>Mr. P.J. Troelstrastraat 9</v>
      </c>
      <c r="D136" s="212" t="str">
        <f>VLOOKUP(Ruimtestaat[[#This Row],[Code]],Locaties[#All],5,FALSE)</f>
        <v xml:space="preserve">7522 BD </v>
      </c>
      <c r="E136" s="212" t="str">
        <f>VLOOKUP(Ruimtestaat[[#This Row],[Code]],Locaties[#All],6,FALSE)</f>
        <v>Enschede</v>
      </c>
      <c r="F136" s="171"/>
      <c r="G136" s="171" t="s">
        <v>564</v>
      </c>
      <c r="H136" s="171"/>
      <c r="I136" s="171">
        <v>120</v>
      </c>
      <c r="J136" s="213" t="s">
        <v>599</v>
      </c>
      <c r="K136" s="171">
        <v>12</v>
      </c>
      <c r="L136" s="223" t="str">
        <f>VLOOKUP(Ruimtestaat[[#This Row],[Ruimte code]],Ruimtegroepen[#All],2,FALSE)</f>
        <v>Kantine</v>
      </c>
      <c r="M136" s="185" t="s">
        <v>598</v>
      </c>
      <c r="N136" s="171" t="s">
        <v>132</v>
      </c>
      <c r="O136" s="172">
        <v>80</v>
      </c>
      <c r="P136" s="183"/>
      <c r="Q136" s="212" t="str">
        <f>VLOOKUP(Ruimtestaat[[#This Row],[Ruimte code]],Ruimtegroepen[#All],4,FALSE)</f>
        <v>V  (Verkeersruimte)</v>
      </c>
      <c r="R136" s="184"/>
      <c r="S136" s="185">
        <v>40</v>
      </c>
      <c r="T136" s="185" t="s">
        <v>2</v>
      </c>
      <c r="U136" s="185">
        <f>IF(S136&gt;0,IF(RIGHT(Ruimtestaat[[#This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6" s="185">
        <f>IF(U136&gt;0,VLOOKUP($K136,Ruimtegroepen[],3,FALSE)*VLOOKUP($M136,Vloersoorten[],3,FALSE)*VLOOKUP($T136,Frequenties[],3,FALSE)*VLOOKUP($A136,Locaties[],3,FALSE),0)</f>
        <v>0</v>
      </c>
      <c r="W136" s="185">
        <f>Ruimtestaat[[#This Row],[Uitvoeringen werkdagen]]*Ruimtestaat[[#This Row],[Oppervlak (netto)]]</f>
        <v>16000</v>
      </c>
      <c r="X136" s="220">
        <f>IF(V136&gt;0,Ruimtestaat[[#This Row],[Prest. (m2 /jaar) werkdagen]]/Ruimtestaat[[#This Row],[Norm (m2/uur) werkdagen]],0)</f>
        <v>0</v>
      </c>
      <c r="Y136" s="221">
        <f>Ruimtestaat[[#This Row],[uren / jaar werkdagen]]*Tariefsopbouw!$D$38</f>
        <v>0</v>
      </c>
      <c r="Z136" s="33"/>
      <c r="AA136" s="33">
        <f>IF(Ruimtestaat[[#This Row],[Frequentie weekend]]&gt;0,VALUE(LEFT(Z136,1))*S136,0)</f>
        <v>0</v>
      </c>
      <c r="AB136" s="33">
        <f>IF($AA136&gt;0,VLOOKUP($K136,Ruimtegroepen[],3,FALSE)*VLOOKUP($M136,Vloersoorten[],3,FALSE)*VLOOKUP($Z136,Frequenties[],3,FALSE)*VLOOKUP(#REF!,Locaties[],3,FALSE),0)</f>
        <v>0</v>
      </c>
      <c r="AC136" s="33"/>
      <c r="AD136" s="33"/>
      <c r="AE136" s="33">
        <f>Ruimtestaat[[#This Row],[uren / jaar weekend]]*Tariefsopbouw!$D$40</f>
        <v>0</v>
      </c>
      <c r="AF136" s="79">
        <f>Ruimtestaat[[#This Row],[Prest. (m2 /jaar) weekend]]+Ruimtestaat[[#This Row],[Prest. (m2 /jaar) werkdagen]]</f>
        <v>16000</v>
      </c>
      <c r="AG136" s="79">
        <f>Ruimtestaat[[#This Row],[uren / jaar weekend]]+Ruimtestaat[[#This Row],[uren / jaar werkdagen]]</f>
        <v>0</v>
      </c>
      <c r="AH136" s="80">
        <f>Ruimtestaat[[#This Row],[kosten / jaar weekend]]+Ruimtestaat[[#This Row],[kosten / jaar werkdagen]]</f>
        <v>0</v>
      </c>
    </row>
    <row r="137" spans="1:34" ht="15" customHeight="1">
      <c r="A137" s="117">
        <v>2</v>
      </c>
      <c r="B137" s="21" t="str">
        <f>VLOOKUP(Ruimtestaat[[#This Row],[Code]],Locaties[#All],2,FALSE)</f>
        <v>Neon College – Enschede</v>
      </c>
      <c r="C137" s="21" t="str">
        <f>VLOOKUP(Ruimtestaat[[#This Row],[Code]],Locaties[#All],4,FALSE)</f>
        <v>Mr. P.J. Troelstrastraat 9</v>
      </c>
      <c r="D137" s="212" t="str">
        <f>VLOOKUP(Ruimtestaat[[#This Row],[Code]],Locaties[#All],5,FALSE)</f>
        <v xml:space="preserve">7522 BD </v>
      </c>
      <c r="E137" s="212" t="str">
        <f>VLOOKUP(Ruimtestaat[[#This Row],[Code]],Locaties[#All],6,FALSE)</f>
        <v>Enschede</v>
      </c>
      <c r="F137" s="171"/>
      <c r="G137" s="171" t="s">
        <v>564</v>
      </c>
      <c r="H137" s="171"/>
      <c r="I137" s="171" t="s">
        <v>893</v>
      </c>
      <c r="J137" s="213" t="s">
        <v>600</v>
      </c>
      <c r="K137" s="171">
        <v>15</v>
      </c>
      <c r="L137" s="223" t="str">
        <f>VLOOKUP(Ruimtestaat[[#This Row],[Ruimte code]],Ruimtegroepen[#All],2,FALSE)</f>
        <v>Keuken/pantry</v>
      </c>
      <c r="M137" s="185" t="s">
        <v>598</v>
      </c>
      <c r="N137" s="171" t="s">
        <v>132</v>
      </c>
      <c r="O137" s="172">
        <v>19.5</v>
      </c>
      <c r="P137" s="183"/>
      <c r="Q137" s="212" t="str">
        <f>VLOOKUP(Ruimtestaat[[#This Row],[Ruimte code]],Ruimtegroepen[#All],4,FALSE)</f>
        <v>V  (Verkeersruimte)</v>
      </c>
      <c r="R137" s="184"/>
      <c r="S137" s="185">
        <v>40</v>
      </c>
      <c r="T137" s="185" t="s">
        <v>2</v>
      </c>
      <c r="U137" s="185">
        <f>IF(S137&gt;0,IF(RIGHT(Ruimtestaat[[#This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7" s="185">
        <f>IF(U137&gt;0,VLOOKUP($K137,Ruimtegroepen[],3,FALSE)*VLOOKUP($M137,Vloersoorten[],3,FALSE)*VLOOKUP($T137,Frequenties[],3,FALSE)*VLOOKUP($A137,Locaties[],3,FALSE),0)</f>
        <v>0</v>
      </c>
      <c r="W137" s="185">
        <f>Ruimtestaat[[#This Row],[Uitvoeringen werkdagen]]*Ruimtestaat[[#This Row],[Oppervlak (netto)]]</f>
        <v>3900</v>
      </c>
      <c r="X137" s="220">
        <f>IF(V137&gt;0,Ruimtestaat[[#This Row],[Prest. (m2 /jaar) werkdagen]]/Ruimtestaat[[#This Row],[Norm (m2/uur) werkdagen]],0)</f>
        <v>0</v>
      </c>
      <c r="Y137" s="221">
        <f>Ruimtestaat[[#This Row],[uren / jaar werkdagen]]*Tariefsopbouw!$D$38</f>
        <v>0</v>
      </c>
      <c r="Z137" s="33"/>
      <c r="AA137" s="33">
        <f>IF(Ruimtestaat[[#This Row],[Frequentie weekend]]&gt;0,VALUE(LEFT(Z137,1))*S137,0)</f>
        <v>0</v>
      </c>
      <c r="AB137" s="33">
        <f>IF($AA137&gt;0,VLOOKUP($K137,Ruimtegroepen[],3,FALSE)*VLOOKUP($M137,Vloersoorten[],3,FALSE)*VLOOKUP($Z137,Frequenties[],3,FALSE)*VLOOKUP(#REF!,Locaties[],3,FALSE),0)</f>
        <v>0</v>
      </c>
      <c r="AC137" s="33"/>
      <c r="AD137" s="33"/>
      <c r="AE137" s="33">
        <f>Ruimtestaat[[#This Row],[uren / jaar weekend]]*Tariefsopbouw!$D$40</f>
        <v>0</v>
      </c>
      <c r="AF137" s="79">
        <f>Ruimtestaat[[#This Row],[Prest. (m2 /jaar) weekend]]+Ruimtestaat[[#This Row],[Prest. (m2 /jaar) werkdagen]]</f>
        <v>3900</v>
      </c>
      <c r="AG137" s="79">
        <f>Ruimtestaat[[#This Row],[uren / jaar weekend]]+Ruimtestaat[[#This Row],[uren / jaar werkdagen]]</f>
        <v>0</v>
      </c>
      <c r="AH137" s="80">
        <f>Ruimtestaat[[#This Row],[kosten / jaar weekend]]+Ruimtestaat[[#This Row],[kosten / jaar werkdagen]]</f>
        <v>0</v>
      </c>
    </row>
    <row r="138" spans="1:34" ht="15" customHeight="1">
      <c r="A138" s="117">
        <v>2</v>
      </c>
      <c r="B138" s="21" t="str">
        <f>VLOOKUP(Ruimtestaat[[#This Row],[Code]],Locaties[#All],2,FALSE)</f>
        <v>Neon College – Enschede</v>
      </c>
      <c r="C138" s="21" t="str">
        <f>VLOOKUP(Ruimtestaat[[#This Row],[Code]],Locaties[#All],4,FALSE)</f>
        <v>Mr. P.J. Troelstrastraat 9</v>
      </c>
      <c r="D138" s="212" t="str">
        <f>VLOOKUP(Ruimtestaat[[#This Row],[Code]],Locaties[#All],5,FALSE)</f>
        <v xml:space="preserve">7522 BD </v>
      </c>
      <c r="E138" s="212" t="str">
        <f>VLOOKUP(Ruimtestaat[[#This Row],[Code]],Locaties[#All],6,FALSE)</f>
        <v>Enschede</v>
      </c>
      <c r="F138" s="171"/>
      <c r="G138" s="171" t="s">
        <v>564</v>
      </c>
      <c r="H138" s="171"/>
      <c r="I138" s="171">
        <v>121</v>
      </c>
      <c r="J138" s="213" t="s">
        <v>892</v>
      </c>
      <c r="K138" s="185">
        <v>20</v>
      </c>
      <c r="L138" s="223" t="str">
        <f>VLOOKUP(Ruimtestaat[[#This Row],[Ruimte code]],Ruimtegroepen[#All],2,FALSE)</f>
        <v>Niet in onderhoud</v>
      </c>
      <c r="M138" s="185"/>
      <c r="N138" s="171"/>
      <c r="O138" s="172"/>
      <c r="P138" s="183">
        <v>56</v>
      </c>
      <c r="Q138" s="212" t="str">
        <f>VLOOKUP(Ruimtestaat[[#This Row],[Ruimte code]],Ruimtegroepen[#All],4,FALSE)</f>
        <v>niet in onderhoud</v>
      </c>
      <c r="R138" s="184"/>
      <c r="S138" s="185"/>
      <c r="T138" s="185"/>
      <c r="U138" s="185">
        <f>IF(S138&gt;0,IF(RIGHT(Ruimtestaat[[#This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38" s="185">
        <f>IF(U138&gt;0,VLOOKUP($K138,Ruimtegroepen[],3,FALSE)*VLOOKUP($M138,Vloersoorten[],3,FALSE)*VLOOKUP($T138,Frequenties[],3,FALSE)*VLOOKUP($A138,Locaties[],3,FALSE),0)</f>
        <v>0</v>
      </c>
      <c r="W138" s="185">
        <f>Ruimtestaat[[#This Row],[Uitvoeringen werkdagen]]*Ruimtestaat[[#This Row],[Oppervlak (netto)]]</f>
        <v>0</v>
      </c>
      <c r="X138" s="220">
        <f>IF(V138&gt;0,Ruimtestaat[[#This Row],[Prest. (m2 /jaar) werkdagen]]/Ruimtestaat[[#This Row],[Norm (m2/uur) werkdagen]],0)</f>
        <v>0</v>
      </c>
      <c r="Y138" s="221">
        <f>Ruimtestaat[[#This Row],[uren / jaar werkdagen]]*Tariefsopbouw!$D$38</f>
        <v>0</v>
      </c>
      <c r="Z138" s="33"/>
      <c r="AA138" s="33">
        <f>IF(Ruimtestaat[[#This Row],[Frequentie weekend]]&gt;0,VALUE(LEFT(Z138,1))*S138,0)</f>
        <v>0</v>
      </c>
      <c r="AB138" s="33">
        <f>IF($AA138&gt;0,VLOOKUP($K138,Ruimtegroepen[],3,FALSE)*VLOOKUP($M138,Vloersoorten[],3,FALSE)*VLOOKUP($Z138,Frequenties[],3,FALSE)*VLOOKUP(#REF!,Locaties[],3,FALSE),0)</f>
        <v>0</v>
      </c>
      <c r="AC138" s="33"/>
      <c r="AD138" s="33"/>
      <c r="AE138" s="33">
        <f>Ruimtestaat[[#This Row],[uren / jaar weekend]]*Tariefsopbouw!$D$40</f>
        <v>0</v>
      </c>
      <c r="AF138" s="79">
        <f>Ruimtestaat[[#This Row],[Prest. (m2 /jaar) weekend]]+Ruimtestaat[[#This Row],[Prest. (m2 /jaar) werkdagen]]</f>
        <v>0</v>
      </c>
      <c r="AG138" s="79">
        <f>Ruimtestaat[[#This Row],[uren / jaar weekend]]+Ruimtestaat[[#This Row],[uren / jaar werkdagen]]</f>
        <v>0</v>
      </c>
      <c r="AH138" s="80">
        <f>Ruimtestaat[[#This Row],[kosten / jaar weekend]]+Ruimtestaat[[#This Row],[kosten / jaar werkdagen]]</f>
        <v>0</v>
      </c>
    </row>
    <row r="139" spans="1:34" ht="15" customHeight="1">
      <c r="A139" s="117">
        <v>2</v>
      </c>
      <c r="B139" s="21" t="str">
        <f>VLOOKUP(Ruimtestaat[[#This Row],[Code]],Locaties[#All],2,FALSE)</f>
        <v>Neon College – Enschede</v>
      </c>
      <c r="C139" s="21" t="str">
        <f>VLOOKUP(Ruimtestaat[[#This Row],[Code]],Locaties[#All],4,FALSE)</f>
        <v>Mr. P.J. Troelstrastraat 9</v>
      </c>
      <c r="D139" s="212" t="str">
        <f>VLOOKUP(Ruimtestaat[[#This Row],[Code]],Locaties[#All],5,FALSE)</f>
        <v xml:space="preserve">7522 BD </v>
      </c>
      <c r="E139" s="212" t="str">
        <f>VLOOKUP(Ruimtestaat[[#This Row],[Code]],Locaties[#All],6,FALSE)</f>
        <v>Enschede</v>
      </c>
      <c r="F139" s="171"/>
      <c r="G139" s="171" t="s">
        <v>857</v>
      </c>
      <c r="H139" s="171"/>
      <c r="I139" s="171">
        <v>201</v>
      </c>
      <c r="J139" s="213" t="s">
        <v>587</v>
      </c>
      <c r="K139" s="171">
        <v>6</v>
      </c>
      <c r="L139" s="223" t="str">
        <f>VLOOKUP(Ruimtestaat[[#This Row],[Ruimte code]],Ruimtegroepen[#All],2,FALSE)</f>
        <v>Gangen/hallen</v>
      </c>
      <c r="M139" s="212" t="s">
        <v>111</v>
      </c>
      <c r="N139" s="171" t="s">
        <v>605</v>
      </c>
      <c r="O139" s="172">
        <v>15</v>
      </c>
      <c r="P139" s="183"/>
      <c r="Q139" s="212" t="str">
        <f>VLOOKUP(Ruimtestaat[[#This Row],[Ruimte code]],Ruimtegroepen[#All],4,FALSE)</f>
        <v>V  (Verkeersruimte)</v>
      </c>
      <c r="R139" s="184"/>
      <c r="S139" s="185">
        <v>40</v>
      </c>
      <c r="T139" s="185" t="s">
        <v>2</v>
      </c>
      <c r="U139" s="185">
        <f>IF(S139&gt;0,IF(RIGHT(Ruimtestaat[[#This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9" s="185">
        <f>IF(U139&gt;0,VLOOKUP($K139,Ruimtegroepen[],3,FALSE)*VLOOKUP($M139,Vloersoorten[],3,FALSE)*VLOOKUP($T139,Frequenties[],3,FALSE)*VLOOKUP($A139,Locaties[],3,FALSE),0)</f>
        <v>0</v>
      </c>
      <c r="W139" s="185">
        <f>Ruimtestaat[[#This Row],[Uitvoeringen werkdagen]]*Ruimtestaat[[#This Row],[Oppervlak (netto)]]</f>
        <v>3000</v>
      </c>
      <c r="X139" s="220">
        <f>IF(V139&gt;0,Ruimtestaat[[#This Row],[Prest. (m2 /jaar) werkdagen]]/Ruimtestaat[[#This Row],[Norm (m2/uur) werkdagen]],0)</f>
        <v>0</v>
      </c>
      <c r="Y139" s="221">
        <f>Ruimtestaat[[#This Row],[uren / jaar werkdagen]]*Tariefsopbouw!$D$38</f>
        <v>0</v>
      </c>
      <c r="Z139" s="33"/>
      <c r="AA139" s="33">
        <f>IF(Ruimtestaat[[#This Row],[Frequentie weekend]]&gt;0,VALUE(LEFT(Z139,1))*S139,0)</f>
        <v>0</v>
      </c>
      <c r="AB139" s="33">
        <f>IF($AA139&gt;0,VLOOKUP($K139,Ruimtegroepen[],3,FALSE)*VLOOKUP($M139,Vloersoorten[],3,FALSE)*VLOOKUP($Z139,Frequenties[],3,FALSE)*VLOOKUP(#REF!,Locaties[],3,FALSE),0)</f>
        <v>0</v>
      </c>
      <c r="AC139" s="33"/>
      <c r="AD139" s="33"/>
      <c r="AE139" s="33">
        <f>Ruimtestaat[[#This Row],[uren / jaar weekend]]*Tariefsopbouw!$D$40</f>
        <v>0</v>
      </c>
      <c r="AF139" s="79">
        <f>Ruimtestaat[[#This Row],[Prest. (m2 /jaar) weekend]]+Ruimtestaat[[#This Row],[Prest. (m2 /jaar) werkdagen]]</f>
        <v>3000</v>
      </c>
      <c r="AG139" s="79">
        <f>Ruimtestaat[[#This Row],[uren / jaar weekend]]+Ruimtestaat[[#This Row],[uren / jaar werkdagen]]</f>
        <v>0</v>
      </c>
      <c r="AH139" s="80">
        <f>Ruimtestaat[[#This Row],[kosten / jaar weekend]]+Ruimtestaat[[#This Row],[kosten / jaar werkdagen]]</f>
        <v>0</v>
      </c>
    </row>
    <row r="140" spans="1:34" ht="15" customHeight="1">
      <c r="A140" s="117">
        <v>2</v>
      </c>
      <c r="B140" s="21" t="str">
        <f>VLOOKUP(Ruimtestaat[[#This Row],[Code]],Locaties[#All],2,FALSE)</f>
        <v>Neon College – Enschede</v>
      </c>
      <c r="C140" s="21" t="str">
        <f>VLOOKUP(Ruimtestaat[[#This Row],[Code]],Locaties[#All],4,FALSE)</f>
        <v>Mr. P.J. Troelstrastraat 9</v>
      </c>
      <c r="D140" s="212" t="str">
        <f>VLOOKUP(Ruimtestaat[[#This Row],[Code]],Locaties[#All],5,FALSE)</f>
        <v xml:space="preserve">7522 BD </v>
      </c>
      <c r="E140" s="212" t="str">
        <f>VLOOKUP(Ruimtestaat[[#This Row],[Code]],Locaties[#All],6,FALSE)</f>
        <v>Enschede</v>
      </c>
      <c r="F140" s="171"/>
      <c r="G140" s="171" t="s">
        <v>857</v>
      </c>
      <c r="H140" s="171"/>
      <c r="I140" s="171" t="s">
        <v>894</v>
      </c>
      <c r="J140" s="213" t="s">
        <v>695</v>
      </c>
      <c r="K140" s="171">
        <v>10</v>
      </c>
      <c r="L140" s="223" t="str">
        <f>VLOOKUP(Ruimtestaat[[#This Row],[Ruimte code]],Ruimtegroepen[#All],2,FALSE)</f>
        <v>Trappenhuizen/lift</v>
      </c>
      <c r="M140" s="212" t="s">
        <v>111</v>
      </c>
      <c r="N140" s="171" t="s">
        <v>605</v>
      </c>
      <c r="O140" s="172">
        <v>21</v>
      </c>
      <c r="P140" s="183"/>
      <c r="Q140" s="212" t="str">
        <f>VLOOKUP(Ruimtestaat[[#This Row],[Ruimte code]],Ruimtegroepen[#All],4,FALSE)</f>
        <v>V  (Verkeersruimte)</v>
      </c>
      <c r="R140" s="184"/>
      <c r="S140" s="185">
        <v>40</v>
      </c>
      <c r="T140" s="185" t="s">
        <v>2</v>
      </c>
      <c r="U140" s="185">
        <f>IF(S140&gt;0,IF(RIGHT(Ruimtestaat[[#This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0" s="185">
        <f>IF(U140&gt;0,VLOOKUP($K140,Ruimtegroepen[],3,FALSE)*VLOOKUP($M140,Vloersoorten[],3,FALSE)*VLOOKUP($T140,Frequenties[],3,FALSE)*VLOOKUP($A140,Locaties[],3,FALSE),0)</f>
        <v>0</v>
      </c>
      <c r="W140" s="185">
        <f>Ruimtestaat[[#This Row],[Uitvoeringen werkdagen]]*Ruimtestaat[[#This Row],[Oppervlak (netto)]]</f>
        <v>4200</v>
      </c>
      <c r="X140" s="220">
        <f>IF(V140&gt;0,Ruimtestaat[[#This Row],[Prest. (m2 /jaar) werkdagen]]/Ruimtestaat[[#This Row],[Norm (m2/uur) werkdagen]],0)</f>
        <v>0</v>
      </c>
      <c r="Y140" s="221">
        <f>Ruimtestaat[[#This Row],[uren / jaar werkdagen]]*Tariefsopbouw!$D$38</f>
        <v>0</v>
      </c>
      <c r="Z140" s="33"/>
      <c r="AA140" s="33">
        <f>IF(Ruimtestaat[[#This Row],[Frequentie weekend]]&gt;0,VALUE(LEFT(Z140,1))*S140,0)</f>
        <v>0</v>
      </c>
      <c r="AB140" s="33">
        <f>IF($AA140&gt;0,VLOOKUP($K140,Ruimtegroepen[],3,FALSE)*VLOOKUP($M140,Vloersoorten[],3,FALSE)*VLOOKUP($Z140,Frequenties[],3,FALSE)*VLOOKUP(#REF!,Locaties[],3,FALSE),0)</f>
        <v>0</v>
      </c>
      <c r="AC140" s="33"/>
      <c r="AD140" s="33"/>
      <c r="AE140" s="33">
        <f>Ruimtestaat[[#This Row],[uren / jaar weekend]]*Tariefsopbouw!$D$40</f>
        <v>0</v>
      </c>
      <c r="AF140" s="79">
        <f>Ruimtestaat[[#This Row],[Prest. (m2 /jaar) weekend]]+Ruimtestaat[[#This Row],[Prest. (m2 /jaar) werkdagen]]</f>
        <v>4200</v>
      </c>
      <c r="AG140" s="79">
        <f>Ruimtestaat[[#This Row],[uren / jaar weekend]]+Ruimtestaat[[#This Row],[uren / jaar werkdagen]]</f>
        <v>0</v>
      </c>
      <c r="AH140" s="80">
        <f>Ruimtestaat[[#This Row],[kosten / jaar weekend]]+Ruimtestaat[[#This Row],[kosten / jaar werkdagen]]</f>
        <v>0</v>
      </c>
    </row>
    <row r="141" spans="1:34" ht="15" customHeight="1">
      <c r="A141" s="117">
        <v>2</v>
      </c>
      <c r="B141" s="21" t="str">
        <f>VLOOKUP(Ruimtestaat[[#This Row],[Code]],Locaties[#All],2,FALSE)</f>
        <v>Neon College – Enschede</v>
      </c>
      <c r="C141" s="21" t="str">
        <f>VLOOKUP(Ruimtestaat[[#This Row],[Code]],Locaties[#All],4,FALSE)</f>
        <v>Mr. P.J. Troelstrastraat 9</v>
      </c>
      <c r="D141" s="212" t="str">
        <f>VLOOKUP(Ruimtestaat[[#This Row],[Code]],Locaties[#All],5,FALSE)</f>
        <v xml:space="preserve">7522 BD </v>
      </c>
      <c r="E141" s="212" t="str">
        <f>VLOOKUP(Ruimtestaat[[#This Row],[Code]],Locaties[#All],6,FALSE)</f>
        <v>Enschede</v>
      </c>
      <c r="F141" s="171"/>
      <c r="G141" s="171" t="s">
        <v>857</v>
      </c>
      <c r="H141" s="171"/>
      <c r="I141" s="171">
        <v>202</v>
      </c>
      <c r="J141" s="213" t="s">
        <v>61</v>
      </c>
      <c r="K141" s="224">
        <v>3</v>
      </c>
      <c r="L141" s="223" t="str">
        <f>VLOOKUP(Ruimtestaat[[#This Row],[Ruimte code]],Ruimtegroepen[#All],2,FALSE)</f>
        <v>Reproruimte</v>
      </c>
      <c r="M141" s="212" t="s">
        <v>111</v>
      </c>
      <c r="N141" s="171" t="s">
        <v>605</v>
      </c>
      <c r="O141" s="172">
        <v>3</v>
      </c>
      <c r="P141" s="183"/>
      <c r="Q141" s="212" t="str">
        <f>VLOOKUP(Ruimtestaat[[#This Row],[Ruimte code]],Ruimtegroepen[#All],4,FALSE)</f>
        <v>V  (Verkeersruimte)</v>
      </c>
      <c r="R141" s="184"/>
      <c r="S141" s="185">
        <v>40</v>
      </c>
      <c r="T141" s="185" t="s">
        <v>15</v>
      </c>
      <c r="U141" s="185">
        <f>IF(S141&gt;0,IF(RIGHT(Ruimtestaat[[#This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41" s="185">
        <f>IF(U141&gt;0,VLOOKUP($K141,Ruimtegroepen[],3,FALSE)*VLOOKUP($M141,Vloersoorten[],3,FALSE)*VLOOKUP($T141,Frequenties[],3,FALSE)*VLOOKUP($A141,Locaties[],3,FALSE),0)</f>
        <v>0</v>
      </c>
      <c r="W141" s="185">
        <f>Ruimtestaat[[#This Row],[Uitvoeringen werkdagen]]*Ruimtestaat[[#This Row],[Oppervlak (netto)]]</f>
        <v>120</v>
      </c>
      <c r="X141" s="220">
        <f>IF(V141&gt;0,Ruimtestaat[[#This Row],[Prest. (m2 /jaar) werkdagen]]/Ruimtestaat[[#This Row],[Norm (m2/uur) werkdagen]],0)</f>
        <v>0</v>
      </c>
      <c r="Y141" s="221">
        <f>Ruimtestaat[[#This Row],[uren / jaar werkdagen]]*Tariefsopbouw!$D$38</f>
        <v>0</v>
      </c>
      <c r="Z141" s="33"/>
      <c r="AA141" s="33">
        <f>IF(Ruimtestaat[[#This Row],[Frequentie weekend]]&gt;0,VALUE(LEFT(Z141,1))*S141,0)</f>
        <v>0</v>
      </c>
      <c r="AB141" s="33">
        <f>IF($AA141&gt;0,VLOOKUP($K141,Ruimtegroepen[],3,FALSE)*VLOOKUP($M141,Vloersoorten[],3,FALSE)*VLOOKUP($Z141,Frequenties[],3,FALSE)*VLOOKUP(#REF!,Locaties[],3,FALSE),0)</f>
        <v>0</v>
      </c>
      <c r="AC141" s="33"/>
      <c r="AD141" s="33"/>
      <c r="AE141" s="33">
        <f>Ruimtestaat[[#This Row],[uren / jaar weekend]]*Tariefsopbouw!$D$40</f>
        <v>0</v>
      </c>
      <c r="AF141" s="79">
        <f>Ruimtestaat[[#This Row],[Prest. (m2 /jaar) weekend]]+Ruimtestaat[[#This Row],[Prest. (m2 /jaar) werkdagen]]</f>
        <v>120</v>
      </c>
      <c r="AG141" s="79">
        <f>Ruimtestaat[[#This Row],[uren / jaar weekend]]+Ruimtestaat[[#This Row],[uren / jaar werkdagen]]</f>
        <v>0</v>
      </c>
      <c r="AH141" s="80">
        <f>Ruimtestaat[[#This Row],[kosten / jaar weekend]]+Ruimtestaat[[#This Row],[kosten / jaar werkdagen]]</f>
        <v>0</v>
      </c>
    </row>
    <row r="142" spans="1:34" ht="15" customHeight="1">
      <c r="A142" s="117">
        <v>2</v>
      </c>
      <c r="B142" s="21" t="str">
        <f>VLOOKUP(Ruimtestaat[[#This Row],[Code]],Locaties[#All],2,FALSE)</f>
        <v>Neon College – Enschede</v>
      </c>
      <c r="C142" s="21" t="str">
        <f>VLOOKUP(Ruimtestaat[[#This Row],[Code]],Locaties[#All],4,FALSE)</f>
        <v>Mr. P.J. Troelstrastraat 9</v>
      </c>
      <c r="D142" s="212" t="str">
        <f>VLOOKUP(Ruimtestaat[[#This Row],[Code]],Locaties[#All],5,FALSE)</f>
        <v xml:space="preserve">7522 BD </v>
      </c>
      <c r="E142" s="212" t="str">
        <f>VLOOKUP(Ruimtestaat[[#This Row],[Code]],Locaties[#All],6,FALSE)</f>
        <v>Enschede</v>
      </c>
      <c r="F142" s="171"/>
      <c r="G142" s="171" t="s">
        <v>857</v>
      </c>
      <c r="H142" s="171"/>
      <c r="I142" s="171">
        <v>203</v>
      </c>
      <c r="J142" s="213" t="s">
        <v>623</v>
      </c>
      <c r="K142" s="171">
        <v>20</v>
      </c>
      <c r="L142" s="223" t="str">
        <f>VLOOKUP(Ruimtestaat[[#This Row],[Ruimte code]],Ruimtegroepen[#All],2,FALSE)</f>
        <v>Niet in onderhoud</v>
      </c>
      <c r="M142" s="212" t="s">
        <v>111</v>
      </c>
      <c r="N142" s="171" t="s">
        <v>605</v>
      </c>
      <c r="O142" s="172"/>
      <c r="P142" s="183">
        <v>3</v>
      </c>
      <c r="Q142" s="212" t="str">
        <f>VLOOKUP(Ruimtestaat[[#This Row],[Ruimte code]],Ruimtegroepen[#All],4,FALSE)</f>
        <v>niet in onderhoud</v>
      </c>
      <c r="R142" s="184"/>
      <c r="S142" s="185"/>
      <c r="T142" s="185"/>
      <c r="U142" s="185">
        <f>IF(S142&gt;0,IF(RIGHT(Ruimtestaat[[#This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42" s="185">
        <f>IF(U142&gt;0,VLOOKUP($K142,Ruimtegroepen[],3,FALSE)*VLOOKUP($M142,Vloersoorten[],3,FALSE)*VLOOKUP($T142,Frequenties[],3,FALSE)*VLOOKUP($A142,Locaties[],3,FALSE),0)</f>
        <v>0</v>
      </c>
      <c r="W142" s="185">
        <f>Ruimtestaat[[#This Row],[Uitvoeringen werkdagen]]*Ruimtestaat[[#This Row],[Oppervlak (netto)]]</f>
        <v>0</v>
      </c>
      <c r="X142" s="220">
        <f>IF(V142&gt;0,Ruimtestaat[[#This Row],[Prest. (m2 /jaar) werkdagen]]/Ruimtestaat[[#This Row],[Norm (m2/uur) werkdagen]],0)</f>
        <v>0</v>
      </c>
      <c r="Y142" s="221">
        <f>Ruimtestaat[[#This Row],[uren / jaar werkdagen]]*Tariefsopbouw!$D$38</f>
        <v>0</v>
      </c>
      <c r="Z142" s="33"/>
      <c r="AA142" s="33">
        <f>IF(Ruimtestaat[[#This Row],[Frequentie weekend]]&gt;0,VALUE(LEFT(Z142,1))*S142,0)</f>
        <v>0</v>
      </c>
      <c r="AB142" s="33">
        <f>IF($AA142&gt;0,VLOOKUP($K142,Ruimtegroepen[],3,FALSE)*VLOOKUP($M142,Vloersoorten[],3,FALSE)*VLOOKUP($Z142,Frequenties[],3,FALSE)*VLOOKUP(#REF!,Locaties[],3,FALSE),0)</f>
        <v>0</v>
      </c>
      <c r="AC142" s="33"/>
      <c r="AD142" s="33"/>
      <c r="AE142" s="33">
        <f>Ruimtestaat[[#This Row],[uren / jaar weekend]]*Tariefsopbouw!$D$40</f>
        <v>0</v>
      </c>
      <c r="AF142" s="79">
        <f>Ruimtestaat[[#This Row],[Prest. (m2 /jaar) weekend]]+Ruimtestaat[[#This Row],[Prest. (m2 /jaar) werkdagen]]</f>
        <v>0</v>
      </c>
      <c r="AG142" s="79">
        <f>Ruimtestaat[[#This Row],[uren / jaar weekend]]+Ruimtestaat[[#This Row],[uren / jaar werkdagen]]</f>
        <v>0</v>
      </c>
      <c r="AH142" s="80">
        <f>Ruimtestaat[[#This Row],[kosten / jaar weekend]]+Ruimtestaat[[#This Row],[kosten / jaar werkdagen]]</f>
        <v>0</v>
      </c>
    </row>
    <row r="143" spans="1:34" ht="15" customHeight="1">
      <c r="A143" s="117">
        <v>2</v>
      </c>
      <c r="B143" s="171" t="str">
        <f>VLOOKUP(Ruimtestaat[[#This Row],[Code]],Locaties[#All],2,FALSE)</f>
        <v>Neon College – Enschede</v>
      </c>
      <c r="C143" s="212" t="str">
        <f>VLOOKUP(Ruimtestaat[[#This Row],[Code]],Locaties[#All],4,FALSE)</f>
        <v>Mr. P.J. Troelstrastraat 9</v>
      </c>
      <c r="D143" s="212" t="str">
        <f>VLOOKUP(Ruimtestaat[[#This Row],[Code]],Locaties[#All],5,FALSE)</f>
        <v xml:space="preserve">7522 BD </v>
      </c>
      <c r="E143" s="212" t="str">
        <f>VLOOKUP(Ruimtestaat[[#This Row],[Code]],Locaties[#All],6,FALSE)</f>
        <v>Enschede</v>
      </c>
      <c r="F143" s="171"/>
      <c r="G143" s="171" t="s">
        <v>857</v>
      </c>
      <c r="H143" s="171"/>
      <c r="I143" s="171">
        <v>204</v>
      </c>
      <c r="J143" s="213" t="s">
        <v>574</v>
      </c>
      <c r="K143" s="171">
        <v>6</v>
      </c>
      <c r="L143" s="223" t="str">
        <f>VLOOKUP(Ruimtestaat[[#This Row],[Ruimte code]],Ruimtegroepen[#All],2,FALSE)</f>
        <v>Gangen/hallen</v>
      </c>
      <c r="M143" s="185" t="s">
        <v>598</v>
      </c>
      <c r="N143" s="171" t="s">
        <v>900</v>
      </c>
      <c r="O143" s="172">
        <v>48</v>
      </c>
      <c r="P143" s="183"/>
      <c r="Q143" s="212" t="str">
        <f>VLOOKUP(Ruimtestaat[[#This Row],[Ruimte code]],Ruimtegroepen[#All],4,FALSE)</f>
        <v>V  (Verkeersruimte)</v>
      </c>
      <c r="R143" s="184"/>
      <c r="S143" s="185">
        <v>40</v>
      </c>
      <c r="T143" s="185" t="s">
        <v>2</v>
      </c>
      <c r="U143" s="185">
        <f>IF(S143&gt;0,IF(RIGHT(Ruimtestaat[[#This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3" s="185">
        <f>IF(U143&gt;0,VLOOKUP($K143,Ruimtegroepen[],3,FALSE)*VLOOKUP($M143,Vloersoorten[],3,FALSE)*VLOOKUP($T143,Frequenties[],3,FALSE)*VLOOKUP($A143,Locaties[],3,FALSE),0)</f>
        <v>0</v>
      </c>
      <c r="W143" s="185">
        <f>Ruimtestaat[[#This Row],[Uitvoeringen werkdagen]]*Ruimtestaat[[#This Row],[Oppervlak (netto)]]</f>
        <v>9600</v>
      </c>
      <c r="X143" s="220">
        <f>IF(V143&gt;0,Ruimtestaat[[#This Row],[Prest. (m2 /jaar) werkdagen]]/Ruimtestaat[[#This Row],[Norm (m2/uur) werkdagen]],0)</f>
        <v>0</v>
      </c>
      <c r="Y143" s="221">
        <f>Ruimtestaat[[#This Row],[uren / jaar werkdagen]]*Tariefsopbouw!$D$38</f>
        <v>0</v>
      </c>
      <c r="Z143" s="33"/>
      <c r="AA143" s="33">
        <f>IF(Ruimtestaat[[#This Row],[Frequentie weekend]]&gt;0,VALUE(LEFT(Z143,1))*S143,0)</f>
        <v>0</v>
      </c>
      <c r="AB143" s="33">
        <f>IF($AA143&gt;0,VLOOKUP($K143,Ruimtegroepen[],3,FALSE)*VLOOKUP($M143,Vloersoorten[],3,FALSE)*VLOOKUP($Z143,Frequenties[],3,FALSE)*VLOOKUP(#REF!,Locaties[],3,FALSE),0)</f>
        <v>0</v>
      </c>
      <c r="AC143" s="33"/>
      <c r="AD143" s="33"/>
      <c r="AE143" s="33">
        <f>Ruimtestaat[[#This Row],[uren / jaar weekend]]*Tariefsopbouw!$D$40</f>
        <v>0</v>
      </c>
      <c r="AF143" s="79">
        <f>Ruimtestaat[[#This Row],[Prest. (m2 /jaar) weekend]]+Ruimtestaat[[#This Row],[Prest. (m2 /jaar) werkdagen]]</f>
        <v>9600</v>
      </c>
      <c r="AG143" s="79">
        <f>Ruimtestaat[[#This Row],[uren / jaar weekend]]+Ruimtestaat[[#This Row],[uren / jaar werkdagen]]</f>
        <v>0</v>
      </c>
      <c r="AH143" s="80">
        <f>Ruimtestaat[[#This Row],[kosten / jaar weekend]]+Ruimtestaat[[#This Row],[kosten / jaar werkdagen]]</f>
        <v>0</v>
      </c>
    </row>
    <row r="144" spans="1:34" ht="15" customHeight="1">
      <c r="A144" s="117">
        <v>2</v>
      </c>
      <c r="B144" s="171" t="str">
        <f>VLOOKUP(Ruimtestaat[[#This Row],[Code]],Locaties[#All],2,FALSE)</f>
        <v>Neon College – Enschede</v>
      </c>
      <c r="C144" s="212" t="str">
        <f>VLOOKUP(Ruimtestaat[[#This Row],[Code]],Locaties[#All],4,FALSE)</f>
        <v>Mr. P.J. Troelstrastraat 9</v>
      </c>
      <c r="D144" s="212" t="str">
        <f>VLOOKUP(Ruimtestaat[[#This Row],[Code]],Locaties[#All],5,FALSE)</f>
        <v xml:space="preserve">7522 BD </v>
      </c>
      <c r="E144" s="212" t="str">
        <f>VLOOKUP(Ruimtestaat[[#This Row],[Code]],Locaties[#All],6,FALSE)</f>
        <v>Enschede</v>
      </c>
      <c r="F144" s="171"/>
      <c r="G144" s="171" t="s">
        <v>857</v>
      </c>
      <c r="H144" s="171"/>
      <c r="I144" s="171">
        <v>205</v>
      </c>
      <c r="J144" s="213" t="s">
        <v>576</v>
      </c>
      <c r="K144" s="171">
        <v>16</v>
      </c>
      <c r="L144" s="223" t="str">
        <f>VLOOKUP(Ruimtestaat[[#This Row],[Ruimte code]],Ruimtegroepen[#All],2,FALSE)</f>
        <v>Leslokalen</v>
      </c>
      <c r="M144" s="212" t="s">
        <v>598</v>
      </c>
      <c r="N144" s="171" t="s">
        <v>900</v>
      </c>
      <c r="O144" s="172">
        <v>46</v>
      </c>
      <c r="P144" s="183"/>
      <c r="Q144" s="212" t="str">
        <f>VLOOKUP(Ruimtestaat[[#This Row],[Ruimte code]],Ruimtegroepen[#All],4,FALSE)</f>
        <v>L  (Lesruimte)</v>
      </c>
      <c r="R144" s="184"/>
      <c r="S144" s="185">
        <v>40</v>
      </c>
      <c r="T144" s="185" t="s">
        <v>2</v>
      </c>
      <c r="U144" s="185">
        <f>IF(S144&gt;0,IF(RIGHT(Ruimtestaat[[#This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4" s="185">
        <f>IF(U144&gt;0,VLOOKUP($K144,Ruimtegroepen[],3,FALSE)*VLOOKUP($M144,Vloersoorten[],3,FALSE)*VLOOKUP($T144,Frequenties[],3,FALSE)*VLOOKUP($A144,Locaties[],3,FALSE),0)</f>
        <v>0</v>
      </c>
      <c r="W144" s="185">
        <f>Ruimtestaat[[#This Row],[Uitvoeringen werkdagen]]*Ruimtestaat[[#This Row],[Oppervlak (netto)]]</f>
        <v>9200</v>
      </c>
      <c r="X144" s="220">
        <f>IF(V144&gt;0,Ruimtestaat[[#This Row],[Prest. (m2 /jaar) werkdagen]]/Ruimtestaat[[#This Row],[Norm (m2/uur) werkdagen]],0)</f>
        <v>0</v>
      </c>
      <c r="Y144" s="221">
        <f>Ruimtestaat[[#This Row],[uren / jaar werkdagen]]*Tariefsopbouw!$D$38</f>
        <v>0</v>
      </c>
      <c r="Z144" s="33"/>
      <c r="AA144" s="33">
        <f>IF(Ruimtestaat[[#This Row],[Frequentie weekend]]&gt;0,VALUE(LEFT(Z144,1))*S144,0)</f>
        <v>0</v>
      </c>
      <c r="AB144" s="33">
        <f>IF($AA144&gt;0,VLOOKUP($K144,Ruimtegroepen[],3,FALSE)*VLOOKUP($M144,Vloersoorten[],3,FALSE)*VLOOKUP($Z144,Frequenties[],3,FALSE)*VLOOKUP(#REF!,Locaties[],3,FALSE),0)</f>
        <v>0</v>
      </c>
      <c r="AC144" s="33"/>
      <c r="AD144" s="33"/>
      <c r="AE144" s="33">
        <f>Ruimtestaat[[#This Row],[uren / jaar weekend]]*Tariefsopbouw!$D$40</f>
        <v>0</v>
      </c>
      <c r="AF144" s="79">
        <f>Ruimtestaat[[#This Row],[Prest. (m2 /jaar) weekend]]+Ruimtestaat[[#This Row],[Prest. (m2 /jaar) werkdagen]]</f>
        <v>9200</v>
      </c>
      <c r="AG144" s="79">
        <f>Ruimtestaat[[#This Row],[uren / jaar weekend]]+Ruimtestaat[[#This Row],[uren / jaar werkdagen]]</f>
        <v>0</v>
      </c>
      <c r="AH144" s="80">
        <f>Ruimtestaat[[#This Row],[kosten / jaar weekend]]+Ruimtestaat[[#This Row],[kosten / jaar werkdagen]]</f>
        <v>0</v>
      </c>
    </row>
    <row r="145" spans="1:34" ht="15" customHeight="1">
      <c r="A145" s="117">
        <v>2</v>
      </c>
      <c r="B145" s="171" t="str">
        <f>VLOOKUP(Ruimtestaat[[#This Row],[Code]],Locaties[#All],2,FALSE)</f>
        <v>Neon College – Enschede</v>
      </c>
      <c r="C145" s="212" t="str">
        <f>VLOOKUP(Ruimtestaat[[#This Row],[Code]],Locaties[#All],4,FALSE)</f>
        <v>Mr. P.J. Troelstrastraat 9</v>
      </c>
      <c r="D145" s="212" t="str">
        <f>VLOOKUP(Ruimtestaat[[#This Row],[Code]],Locaties[#All],5,FALSE)</f>
        <v xml:space="preserve">7522 BD </v>
      </c>
      <c r="E145" s="212" t="str">
        <f>VLOOKUP(Ruimtestaat[[#This Row],[Code]],Locaties[#All],6,FALSE)</f>
        <v>Enschede</v>
      </c>
      <c r="F145" s="171"/>
      <c r="G145" s="171" t="s">
        <v>857</v>
      </c>
      <c r="H145" s="171"/>
      <c r="I145" s="171">
        <v>207</v>
      </c>
      <c r="J145" s="213" t="s">
        <v>576</v>
      </c>
      <c r="K145" s="171">
        <v>16</v>
      </c>
      <c r="L145" s="223" t="str">
        <f>VLOOKUP(Ruimtestaat[[#This Row],[Ruimte code]],Ruimtegroepen[#All],2,FALSE)</f>
        <v>Leslokalen</v>
      </c>
      <c r="M145" s="185" t="s">
        <v>598</v>
      </c>
      <c r="N145" s="171" t="s">
        <v>900</v>
      </c>
      <c r="O145" s="172">
        <v>52</v>
      </c>
      <c r="P145" s="183"/>
      <c r="Q145" s="212" t="str">
        <f>VLOOKUP(Ruimtestaat[[#This Row],[Ruimte code]],Ruimtegroepen[#All],4,FALSE)</f>
        <v>L  (Lesruimte)</v>
      </c>
      <c r="R145" s="184"/>
      <c r="S145" s="185">
        <v>40</v>
      </c>
      <c r="T145" s="185" t="s">
        <v>2</v>
      </c>
      <c r="U145" s="185">
        <f>IF(S145&gt;0,IF(RIGHT(Ruimtestaat[[#This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5" s="185">
        <f>IF(U145&gt;0,VLOOKUP($K145,Ruimtegroepen[],3,FALSE)*VLOOKUP($M145,Vloersoorten[],3,FALSE)*VLOOKUP($T145,Frequenties[],3,FALSE)*VLOOKUP($A145,Locaties[],3,FALSE),0)</f>
        <v>0</v>
      </c>
      <c r="W145" s="185">
        <f>Ruimtestaat[[#This Row],[Uitvoeringen werkdagen]]*Ruimtestaat[[#This Row],[Oppervlak (netto)]]</f>
        <v>10400</v>
      </c>
      <c r="X145" s="220">
        <f>IF(V145&gt;0,Ruimtestaat[[#This Row],[Prest. (m2 /jaar) werkdagen]]/Ruimtestaat[[#This Row],[Norm (m2/uur) werkdagen]],0)</f>
        <v>0</v>
      </c>
      <c r="Y145" s="221">
        <f>Ruimtestaat[[#This Row],[uren / jaar werkdagen]]*Tariefsopbouw!$D$38</f>
        <v>0</v>
      </c>
      <c r="Z145" s="33"/>
      <c r="AA145" s="33">
        <f>IF(Ruimtestaat[[#This Row],[Frequentie weekend]]&gt;0,VALUE(LEFT(Z145,1))*S145,0)</f>
        <v>0</v>
      </c>
      <c r="AB145" s="33">
        <f>IF($AA145&gt;0,VLOOKUP($K145,Ruimtegroepen[],3,FALSE)*VLOOKUP($M145,Vloersoorten[],3,FALSE)*VLOOKUP($Z145,Frequenties[],3,FALSE)*VLOOKUP(#REF!,Locaties[],3,FALSE),0)</f>
        <v>0</v>
      </c>
      <c r="AC145" s="33"/>
      <c r="AD145" s="33"/>
      <c r="AE145" s="33">
        <f>Ruimtestaat[[#This Row],[uren / jaar weekend]]*Tariefsopbouw!$D$40</f>
        <v>0</v>
      </c>
      <c r="AF145" s="79">
        <f>Ruimtestaat[[#This Row],[Prest. (m2 /jaar) weekend]]+Ruimtestaat[[#This Row],[Prest. (m2 /jaar) werkdagen]]</f>
        <v>10400</v>
      </c>
      <c r="AG145" s="79">
        <f>Ruimtestaat[[#This Row],[uren / jaar weekend]]+Ruimtestaat[[#This Row],[uren / jaar werkdagen]]</f>
        <v>0</v>
      </c>
      <c r="AH145" s="80">
        <f>Ruimtestaat[[#This Row],[kosten / jaar weekend]]+Ruimtestaat[[#This Row],[kosten / jaar werkdagen]]</f>
        <v>0</v>
      </c>
    </row>
    <row r="146" spans="1:34" ht="15" customHeight="1">
      <c r="A146" s="117">
        <v>2</v>
      </c>
      <c r="B146" s="171" t="str">
        <f>VLOOKUP(Ruimtestaat[[#This Row],[Code]],Locaties[#All],2,FALSE)</f>
        <v>Neon College – Enschede</v>
      </c>
      <c r="C146" s="212" t="str">
        <f>VLOOKUP(Ruimtestaat[[#This Row],[Code]],Locaties[#All],4,FALSE)</f>
        <v>Mr. P.J. Troelstrastraat 9</v>
      </c>
      <c r="D146" s="212" t="str">
        <f>VLOOKUP(Ruimtestaat[[#This Row],[Code]],Locaties[#All],5,FALSE)</f>
        <v xml:space="preserve">7522 BD </v>
      </c>
      <c r="E146" s="212" t="str">
        <f>VLOOKUP(Ruimtestaat[[#This Row],[Code]],Locaties[#All],6,FALSE)</f>
        <v>Enschede</v>
      </c>
      <c r="F146" s="171"/>
      <c r="G146" s="171" t="s">
        <v>857</v>
      </c>
      <c r="H146" s="171"/>
      <c r="I146" s="171">
        <v>208</v>
      </c>
      <c r="J146" s="213" t="s">
        <v>576</v>
      </c>
      <c r="K146" s="171">
        <v>16</v>
      </c>
      <c r="L146" s="223" t="str">
        <f>VLOOKUP(Ruimtestaat[[#This Row],[Ruimte code]],Ruimtegroepen[#All],2,FALSE)</f>
        <v>Leslokalen</v>
      </c>
      <c r="M146" s="185" t="s">
        <v>598</v>
      </c>
      <c r="N146" s="171" t="s">
        <v>900</v>
      </c>
      <c r="O146" s="172">
        <v>53</v>
      </c>
      <c r="P146" s="183"/>
      <c r="Q146" s="212" t="str">
        <f>VLOOKUP(Ruimtestaat[[#This Row],[Ruimte code]],Ruimtegroepen[#All],4,FALSE)</f>
        <v>L  (Lesruimte)</v>
      </c>
      <c r="R146" s="184"/>
      <c r="S146" s="185">
        <v>40</v>
      </c>
      <c r="T146" s="185" t="s">
        <v>2</v>
      </c>
      <c r="U146" s="185">
        <f>IF(S146&gt;0,IF(RIGHT(Ruimtestaat[[#This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6" s="185">
        <f>IF(U146&gt;0,VLOOKUP($K146,Ruimtegroepen[],3,FALSE)*VLOOKUP($M146,Vloersoorten[],3,FALSE)*VLOOKUP($T146,Frequenties[],3,FALSE)*VLOOKUP($A146,Locaties[],3,FALSE),0)</f>
        <v>0</v>
      </c>
      <c r="W146" s="185">
        <f>Ruimtestaat[[#This Row],[Uitvoeringen werkdagen]]*Ruimtestaat[[#This Row],[Oppervlak (netto)]]</f>
        <v>10600</v>
      </c>
      <c r="X146" s="220">
        <f>IF(V146&gt;0,Ruimtestaat[[#This Row],[Prest. (m2 /jaar) werkdagen]]/Ruimtestaat[[#This Row],[Norm (m2/uur) werkdagen]],0)</f>
        <v>0</v>
      </c>
      <c r="Y146" s="221">
        <f>Ruimtestaat[[#This Row],[uren / jaar werkdagen]]*Tariefsopbouw!$D$38</f>
        <v>0</v>
      </c>
      <c r="Z146" s="33"/>
      <c r="AA146" s="33">
        <f>IF(Ruimtestaat[[#This Row],[Frequentie weekend]]&gt;0,VALUE(LEFT(Z146,1))*S146,0)</f>
        <v>0</v>
      </c>
      <c r="AB146" s="33">
        <f>IF($AA146&gt;0,VLOOKUP($K146,Ruimtegroepen[],3,FALSE)*VLOOKUP($M146,Vloersoorten[],3,FALSE)*VLOOKUP($Z146,Frequenties[],3,FALSE)*VLOOKUP(#REF!,Locaties[],3,FALSE),0)</f>
        <v>0</v>
      </c>
      <c r="AC146" s="33"/>
      <c r="AD146" s="33"/>
      <c r="AE146" s="33">
        <f>Ruimtestaat[[#This Row],[uren / jaar weekend]]*Tariefsopbouw!$D$40</f>
        <v>0</v>
      </c>
      <c r="AF146" s="79">
        <f>Ruimtestaat[[#This Row],[Prest. (m2 /jaar) weekend]]+Ruimtestaat[[#This Row],[Prest. (m2 /jaar) werkdagen]]</f>
        <v>10600</v>
      </c>
      <c r="AG146" s="79">
        <f>Ruimtestaat[[#This Row],[uren / jaar weekend]]+Ruimtestaat[[#This Row],[uren / jaar werkdagen]]</f>
        <v>0</v>
      </c>
      <c r="AH146" s="80">
        <f>Ruimtestaat[[#This Row],[kosten / jaar weekend]]+Ruimtestaat[[#This Row],[kosten / jaar werkdagen]]</f>
        <v>0</v>
      </c>
    </row>
    <row r="147" spans="1:34" ht="15" customHeight="1">
      <c r="A147" s="256">
        <v>2</v>
      </c>
      <c r="B147" s="171" t="str">
        <f>VLOOKUP(Ruimtestaat[[#This Row],[Code]],Locaties[#All],2,FALSE)</f>
        <v>Neon College – Enschede</v>
      </c>
      <c r="C147" s="258" t="str">
        <f>VLOOKUP(Ruimtestaat[[#This Row],[Code]],Locaties[#All],4,FALSE)</f>
        <v>Mr. P.J. Troelstrastraat 9</v>
      </c>
      <c r="D147" s="258" t="str">
        <f>VLOOKUP(Ruimtestaat[[#This Row],[Code]],Locaties[#All],5,FALSE)</f>
        <v xml:space="preserve">7522 BD </v>
      </c>
      <c r="E147" s="258" t="str">
        <f>VLOOKUP(Ruimtestaat[[#This Row],[Code]],Locaties[#All],6,FALSE)</f>
        <v>Enschede</v>
      </c>
      <c r="F147" s="257"/>
      <c r="G147" s="257" t="s">
        <v>857</v>
      </c>
      <c r="H147" s="171"/>
      <c r="I147" s="257">
        <v>209</v>
      </c>
      <c r="J147" s="259" t="s">
        <v>576</v>
      </c>
      <c r="K147" s="224">
        <v>16</v>
      </c>
      <c r="L147" s="260" t="str">
        <f>VLOOKUP(Ruimtestaat[[#This Row],[Ruimte code]],Ruimtegroepen[#All],2,FALSE)</f>
        <v>Leslokalen</v>
      </c>
      <c r="M147" s="258" t="s">
        <v>598</v>
      </c>
      <c r="N147" s="257" t="s">
        <v>900</v>
      </c>
      <c r="O147" s="261">
        <v>45</v>
      </c>
      <c r="P147" s="183"/>
      <c r="Q147" s="212" t="str">
        <f>VLOOKUP(Ruimtestaat[[#This Row],[Ruimte code]],Ruimtegroepen[#All],4,FALSE)</f>
        <v>L  (Lesruimte)</v>
      </c>
      <c r="R147" s="184"/>
      <c r="S147" s="185">
        <v>40</v>
      </c>
      <c r="T147" s="185" t="s">
        <v>2</v>
      </c>
      <c r="U147" s="185">
        <f>IF(S147&gt;0,IF(RIGHT(Ruimtestaat[[#This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7" s="185">
        <f>IF(U147&gt;0,VLOOKUP($K147,Ruimtegroepen[],3,FALSE)*VLOOKUP($M147,Vloersoorten[],3,FALSE)*VLOOKUP($T147,Frequenties[],3,FALSE)*VLOOKUP($A147,Locaties[],3,FALSE),0)</f>
        <v>0</v>
      </c>
      <c r="W147" s="185">
        <f>Ruimtestaat[[#This Row],[Uitvoeringen werkdagen]]*Ruimtestaat[[#This Row],[Oppervlak (netto)]]</f>
        <v>9000</v>
      </c>
      <c r="X147" s="220">
        <f>IF(V147&gt;0,Ruimtestaat[[#This Row],[Prest. (m2 /jaar) werkdagen]]/Ruimtestaat[[#This Row],[Norm (m2/uur) werkdagen]],0)</f>
        <v>0</v>
      </c>
      <c r="Y147" s="221">
        <f>Ruimtestaat[[#This Row],[uren / jaar werkdagen]]*Tariefsopbouw!$D$38</f>
        <v>0</v>
      </c>
      <c r="Z147" s="33"/>
      <c r="AA147" s="33">
        <f>IF(Ruimtestaat[[#This Row],[Frequentie weekend]]&gt;0,VALUE(LEFT(Z147,1))*S147,0)</f>
        <v>0</v>
      </c>
      <c r="AB147" s="33">
        <f>IF($AA147&gt;0,VLOOKUP($K147,Ruimtegroepen[],3,FALSE)*VLOOKUP($M147,Vloersoorten[],3,FALSE)*VLOOKUP($Z147,Frequenties[],3,FALSE)*VLOOKUP(#REF!,Locaties[],3,FALSE),0)</f>
        <v>0</v>
      </c>
      <c r="AC147" s="33"/>
      <c r="AD147" s="33"/>
      <c r="AE147" s="33">
        <f>Ruimtestaat[[#This Row],[uren / jaar weekend]]*Tariefsopbouw!$D$40</f>
        <v>0</v>
      </c>
      <c r="AF147" s="79">
        <f>Ruimtestaat[[#This Row],[Prest. (m2 /jaar) weekend]]+Ruimtestaat[[#This Row],[Prest. (m2 /jaar) werkdagen]]</f>
        <v>9000</v>
      </c>
      <c r="AG147" s="79">
        <f>Ruimtestaat[[#This Row],[uren / jaar weekend]]+Ruimtestaat[[#This Row],[uren / jaar werkdagen]]</f>
        <v>0</v>
      </c>
      <c r="AH147" s="80">
        <f>Ruimtestaat[[#This Row],[kosten / jaar weekend]]+Ruimtestaat[[#This Row],[kosten / jaar werkdagen]]</f>
        <v>0</v>
      </c>
    </row>
    <row r="148" spans="1:34" ht="15" customHeight="1">
      <c r="A148" s="256">
        <v>2</v>
      </c>
      <c r="B148" s="171" t="str">
        <f>VLOOKUP(Ruimtestaat[[#This Row],[Code]],Locaties[#All],2,FALSE)</f>
        <v>Neon College – Enschede</v>
      </c>
      <c r="C148" s="258" t="str">
        <f>VLOOKUP(Ruimtestaat[[#This Row],[Code]],Locaties[#All],4,FALSE)</f>
        <v>Mr. P.J. Troelstrastraat 9</v>
      </c>
      <c r="D148" s="258" t="str">
        <f>VLOOKUP(Ruimtestaat[[#This Row],[Code]],Locaties[#All],5,FALSE)</f>
        <v xml:space="preserve">7522 BD </v>
      </c>
      <c r="E148" s="258" t="str">
        <f>VLOOKUP(Ruimtestaat[[#This Row],[Code]],Locaties[#All],6,FALSE)</f>
        <v>Enschede</v>
      </c>
      <c r="F148" s="257"/>
      <c r="G148" s="257" t="s">
        <v>857</v>
      </c>
      <c r="H148" s="171"/>
      <c r="I148" s="257">
        <v>210</v>
      </c>
      <c r="J148" s="259" t="s">
        <v>652</v>
      </c>
      <c r="K148" s="258">
        <v>20</v>
      </c>
      <c r="L148" s="260" t="str">
        <f>VLOOKUP(Ruimtestaat[[#This Row],[Ruimte code]],Ruimtegroepen[#All],2,FALSE)</f>
        <v>Niet in onderhoud</v>
      </c>
      <c r="M148" s="212" t="s">
        <v>111</v>
      </c>
      <c r="N148" s="257" t="s">
        <v>605</v>
      </c>
      <c r="O148" s="261"/>
      <c r="P148" s="183">
        <v>9</v>
      </c>
      <c r="Q148" s="212" t="str">
        <f>VLOOKUP(Ruimtestaat[[#This Row],[Ruimte code]],Ruimtegroepen[#All],4,FALSE)</f>
        <v>niet in onderhoud</v>
      </c>
      <c r="R148" s="184"/>
      <c r="S148" s="185"/>
      <c r="T148" s="185"/>
      <c r="U148" s="185">
        <f>IF(S148&gt;0,IF(RIGHT(Ruimtestaat[[#This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48" s="185">
        <f>IF(U148&gt;0,VLOOKUP($K148,Ruimtegroepen[],3,FALSE)*VLOOKUP($M148,Vloersoorten[],3,FALSE)*VLOOKUP($T148,Frequenties[],3,FALSE)*VLOOKUP($A148,Locaties[],3,FALSE),0)</f>
        <v>0</v>
      </c>
      <c r="W148" s="185">
        <f>Ruimtestaat[[#This Row],[Uitvoeringen werkdagen]]*Ruimtestaat[[#This Row],[Oppervlak (netto)]]</f>
        <v>0</v>
      </c>
      <c r="X148" s="220">
        <f>IF(V148&gt;0,Ruimtestaat[[#This Row],[Prest. (m2 /jaar) werkdagen]]/Ruimtestaat[[#This Row],[Norm (m2/uur) werkdagen]],0)</f>
        <v>0</v>
      </c>
      <c r="Y148" s="221">
        <f>Ruimtestaat[[#This Row],[uren / jaar werkdagen]]*Tariefsopbouw!$D$38</f>
        <v>0</v>
      </c>
      <c r="Z148" s="33"/>
      <c r="AA148" s="33">
        <f>IF(Ruimtestaat[[#This Row],[Frequentie weekend]]&gt;0,VALUE(LEFT(Z148,1))*S148,0)</f>
        <v>0</v>
      </c>
      <c r="AB148" s="33">
        <f>IF($AA148&gt;0,VLOOKUP($K148,Ruimtegroepen[],3,FALSE)*VLOOKUP($M148,Vloersoorten[],3,FALSE)*VLOOKUP($Z148,Frequenties[],3,FALSE)*VLOOKUP(#REF!,Locaties[],3,FALSE),0)</f>
        <v>0</v>
      </c>
      <c r="AC148" s="33"/>
      <c r="AD148" s="33"/>
      <c r="AE148" s="33">
        <f>Ruimtestaat[[#This Row],[uren / jaar weekend]]*Tariefsopbouw!$D$40</f>
        <v>0</v>
      </c>
      <c r="AF148" s="79">
        <f>Ruimtestaat[[#This Row],[Prest. (m2 /jaar) weekend]]+Ruimtestaat[[#This Row],[Prest. (m2 /jaar) werkdagen]]</f>
        <v>0</v>
      </c>
      <c r="AG148" s="79">
        <f>Ruimtestaat[[#This Row],[uren / jaar weekend]]+Ruimtestaat[[#This Row],[uren / jaar werkdagen]]</f>
        <v>0</v>
      </c>
      <c r="AH148" s="80">
        <f>Ruimtestaat[[#This Row],[kosten / jaar weekend]]+Ruimtestaat[[#This Row],[kosten / jaar werkdagen]]</f>
        <v>0</v>
      </c>
    </row>
    <row r="149" spans="1:34" ht="15" customHeight="1">
      <c r="A149" s="256">
        <v>2</v>
      </c>
      <c r="B149" s="171" t="str">
        <f>VLOOKUP(Ruimtestaat[[#This Row],[Code]],Locaties[#All],2,FALSE)</f>
        <v>Neon College – Enschede</v>
      </c>
      <c r="C149" s="258" t="str">
        <f>VLOOKUP(Ruimtestaat[[#This Row],[Code]],Locaties[#All],4,FALSE)</f>
        <v>Mr. P.J. Troelstrastraat 9</v>
      </c>
      <c r="D149" s="258" t="str">
        <f>VLOOKUP(Ruimtestaat[[#This Row],[Code]],Locaties[#All],5,FALSE)</f>
        <v xml:space="preserve">7522 BD </v>
      </c>
      <c r="E149" s="258" t="str">
        <f>VLOOKUP(Ruimtestaat[[#This Row],[Code]],Locaties[#All],6,FALSE)</f>
        <v>Enschede</v>
      </c>
      <c r="F149" s="257"/>
      <c r="G149" s="257" t="s">
        <v>857</v>
      </c>
      <c r="H149" s="171"/>
      <c r="I149" s="257">
        <v>212</v>
      </c>
      <c r="J149" s="259" t="s">
        <v>576</v>
      </c>
      <c r="K149" s="258">
        <v>16</v>
      </c>
      <c r="L149" s="260" t="str">
        <f>VLOOKUP(Ruimtestaat[[#This Row],[Ruimte code]],Ruimtegroepen[#All],2,FALSE)</f>
        <v>Leslokalen</v>
      </c>
      <c r="M149" s="258" t="s">
        <v>598</v>
      </c>
      <c r="N149" s="257" t="s">
        <v>900</v>
      </c>
      <c r="O149" s="261">
        <v>62</v>
      </c>
      <c r="P149" s="183"/>
      <c r="Q149" s="212" t="str">
        <f>VLOOKUP(Ruimtestaat[[#This Row],[Ruimte code]],Ruimtegroepen[#All],4,FALSE)</f>
        <v>L  (Lesruimte)</v>
      </c>
      <c r="R149" s="184"/>
      <c r="S149" s="185">
        <v>40</v>
      </c>
      <c r="T149" s="185" t="s">
        <v>2</v>
      </c>
      <c r="U149" s="185">
        <f>IF(S149&gt;0,IF(RIGHT(Ruimtestaat[[#This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9" s="185">
        <f>IF(U149&gt;0,VLOOKUP($K149,Ruimtegroepen[],3,FALSE)*VLOOKUP($M149,Vloersoorten[],3,FALSE)*VLOOKUP($T149,Frequenties[],3,FALSE)*VLOOKUP($A149,Locaties[],3,FALSE),0)</f>
        <v>0</v>
      </c>
      <c r="W149" s="185">
        <f>Ruimtestaat[[#This Row],[Uitvoeringen werkdagen]]*Ruimtestaat[[#This Row],[Oppervlak (netto)]]</f>
        <v>12400</v>
      </c>
      <c r="X149" s="220">
        <f>IF(V149&gt;0,Ruimtestaat[[#This Row],[Prest. (m2 /jaar) werkdagen]]/Ruimtestaat[[#This Row],[Norm (m2/uur) werkdagen]],0)</f>
        <v>0</v>
      </c>
      <c r="Y149" s="221">
        <f>Ruimtestaat[[#This Row],[uren / jaar werkdagen]]*Tariefsopbouw!$D$38</f>
        <v>0</v>
      </c>
      <c r="Z149" s="33"/>
      <c r="AA149" s="33">
        <f>IF(Ruimtestaat[[#This Row],[Frequentie weekend]]&gt;0,VALUE(LEFT(Z149,1))*S149,0)</f>
        <v>0</v>
      </c>
      <c r="AB149" s="33">
        <f>IF($AA149&gt;0,VLOOKUP($K149,Ruimtegroepen[],3,FALSE)*VLOOKUP($M149,Vloersoorten[],3,FALSE)*VLOOKUP($Z149,Frequenties[],3,FALSE)*VLOOKUP(#REF!,Locaties[],3,FALSE),0)</f>
        <v>0</v>
      </c>
      <c r="AC149" s="33"/>
      <c r="AD149" s="33"/>
      <c r="AE149" s="33">
        <f>Ruimtestaat[[#This Row],[uren / jaar weekend]]*Tariefsopbouw!$D$40</f>
        <v>0</v>
      </c>
      <c r="AF149" s="79">
        <f>Ruimtestaat[[#This Row],[Prest. (m2 /jaar) weekend]]+Ruimtestaat[[#This Row],[Prest. (m2 /jaar) werkdagen]]</f>
        <v>12400</v>
      </c>
      <c r="AG149" s="79">
        <f>Ruimtestaat[[#This Row],[uren / jaar weekend]]+Ruimtestaat[[#This Row],[uren / jaar werkdagen]]</f>
        <v>0</v>
      </c>
      <c r="AH149" s="80">
        <f>Ruimtestaat[[#This Row],[kosten / jaar weekend]]+Ruimtestaat[[#This Row],[kosten / jaar werkdagen]]</f>
        <v>0</v>
      </c>
    </row>
    <row r="150" spans="1:34" ht="15" customHeight="1">
      <c r="A150" s="256">
        <v>2</v>
      </c>
      <c r="B150" s="171" t="str">
        <f>VLOOKUP(Ruimtestaat[[#This Row],[Code]],Locaties[#All],2,FALSE)</f>
        <v>Neon College – Enschede</v>
      </c>
      <c r="C150" s="258" t="str">
        <f>VLOOKUP(Ruimtestaat[[#This Row],[Code]],Locaties[#All],4,FALSE)</f>
        <v>Mr. P.J. Troelstrastraat 9</v>
      </c>
      <c r="D150" s="258" t="str">
        <f>VLOOKUP(Ruimtestaat[[#This Row],[Code]],Locaties[#All],5,FALSE)</f>
        <v xml:space="preserve">7522 BD </v>
      </c>
      <c r="E150" s="258" t="str">
        <f>VLOOKUP(Ruimtestaat[[#This Row],[Code]],Locaties[#All],6,FALSE)</f>
        <v>Enschede</v>
      </c>
      <c r="F150" s="257"/>
      <c r="G150" s="257" t="s">
        <v>857</v>
      </c>
      <c r="H150" s="171"/>
      <c r="I150" s="257">
        <v>213</v>
      </c>
      <c r="J150" s="259" t="s">
        <v>576</v>
      </c>
      <c r="K150" s="171">
        <v>16</v>
      </c>
      <c r="L150" s="260" t="str">
        <f>VLOOKUP(Ruimtestaat[[#This Row],[Ruimte code]],Ruimtegroepen[#All],2,FALSE)</f>
        <v>Leslokalen</v>
      </c>
      <c r="M150" s="258" t="s">
        <v>598</v>
      </c>
      <c r="N150" s="257" t="s">
        <v>900</v>
      </c>
      <c r="O150" s="261">
        <v>60</v>
      </c>
      <c r="P150" s="183"/>
      <c r="Q150" s="212" t="str">
        <f>VLOOKUP(Ruimtestaat[[#This Row],[Ruimte code]],Ruimtegroepen[#All],4,FALSE)</f>
        <v>L  (Lesruimte)</v>
      </c>
      <c r="R150" s="184"/>
      <c r="S150" s="185">
        <v>40</v>
      </c>
      <c r="T150" s="185" t="s">
        <v>2</v>
      </c>
      <c r="U150" s="185">
        <f>IF(S150&gt;0,IF(RIGHT(Ruimtestaat[[#This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0" s="185">
        <f>IF(U150&gt;0,VLOOKUP($K150,Ruimtegroepen[],3,FALSE)*VLOOKUP($M150,Vloersoorten[],3,FALSE)*VLOOKUP($T150,Frequenties[],3,FALSE)*VLOOKUP($A150,Locaties[],3,FALSE),0)</f>
        <v>0</v>
      </c>
      <c r="W150" s="185">
        <f>Ruimtestaat[[#This Row],[Uitvoeringen werkdagen]]*Ruimtestaat[[#This Row],[Oppervlak (netto)]]</f>
        <v>12000</v>
      </c>
      <c r="X150" s="220">
        <f>IF(V150&gt;0,Ruimtestaat[[#This Row],[Prest. (m2 /jaar) werkdagen]]/Ruimtestaat[[#This Row],[Norm (m2/uur) werkdagen]],0)</f>
        <v>0</v>
      </c>
      <c r="Y150" s="221">
        <f>Ruimtestaat[[#This Row],[uren / jaar werkdagen]]*Tariefsopbouw!$D$38</f>
        <v>0</v>
      </c>
      <c r="Z150" s="33"/>
      <c r="AA150" s="33">
        <f>IF(Ruimtestaat[[#This Row],[Frequentie weekend]]&gt;0,VALUE(LEFT(Z150,1))*S150,0)</f>
        <v>0</v>
      </c>
      <c r="AB150" s="33">
        <f>IF($AA150&gt;0,VLOOKUP($K150,Ruimtegroepen[],3,FALSE)*VLOOKUP($M150,Vloersoorten[],3,FALSE)*VLOOKUP($Z150,Frequenties[],3,FALSE)*VLOOKUP(#REF!,Locaties[],3,FALSE),0)</f>
        <v>0</v>
      </c>
      <c r="AC150" s="33"/>
      <c r="AD150" s="33"/>
      <c r="AE150" s="33">
        <f>Ruimtestaat[[#This Row],[uren / jaar weekend]]*Tariefsopbouw!$D$40</f>
        <v>0</v>
      </c>
      <c r="AF150" s="79">
        <f>Ruimtestaat[[#This Row],[Prest. (m2 /jaar) weekend]]+Ruimtestaat[[#This Row],[Prest. (m2 /jaar) werkdagen]]</f>
        <v>12000</v>
      </c>
      <c r="AG150" s="79">
        <f>Ruimtestaat[[#This Row],[uren / jaar weekend]]+Ruimtestaat[[#This Row],[uren / jaar werkdagen]]</f>
        <v>0</v>
      </c>
      <c r="AH150" s="80">
        <f>Ruimtestaat[[#This Row],[kosten / jaar weekend]]+Ruimtestaat[[#This Row],[kosten / jaar werkdagen]]</f>
        <v>0</v>
      </c>
    </row>
    <row r="151" spans="1:34" ht="15" customHeight="1">
      <c r="A151" s="256">
        <v>2</v>
      </c>
      <c r="B151" s="171" t="str">
        <f>VLOOKUP(Ruimtestaat[[#This Row],[Code]],Locaties[#All],2,FALSE)</f>
        <v>Neon College – Enschede</v>
      </c>
      <c r="C151" s="258" t="str">
        <f>VLOOKUP(Ruimtestaat[[#This Row],[Code]],Locaties[#All],4,FALSE)</f>
        <v>Mr. P.J. Troelstrastraat 9</v>
      </c>
      <c r="D151" s="258" t="str">
        <f>VLOOKUP(Ruimtestaat[[#This Row],[Code]],Locaties[#All],5,FALSE)</f>
        <v xml:space="preserve">7522 BD </v>
      </c>
      <c r="E151" s="258" t="str">
        <f>VLOOKUP(Ruimtestaat[[#This Row],[Code]],Locaties[#All],6,FALSE)</f>
        <v>Enschede</v>
      </c>
      <c r="F151" s="257"/>
      <c r="G151" s="257" t="s">
        <v>857</v>
      </c>
      <c r="H151" s="171"/>
      <c r="I151" s="257" t="s">
        <v>895</v>
      </c>
      <c r="J151" s="259" t="s">
        <v>567</v>
      </c>
      <c r="K151" s="258">
        <v>9</v>
      </c>
      <c r="L151" s="260" t="str">
        <f>VLOOKUP(Ruimtestaat[[#This Row],[Ruimte code]],Ruimtegroepen[#All],2,FALSE)</f>
        <v>Time-out ruimte</v>
      </c>
      <c r="M151" s="258" t="s">
        <v>598</v>
      </c>
      <c r="N151" s="257" t="s">
        <v>900</v>
      </c>
      <c r="O151" s="261">
        <v>17</v>
      </c>
      <c r="P151" s="183"/>
      <c r="Q151" s="212" t="str">
        <f>VLOOKUP(Ruimtestaat[[#This Row],[Ruimte code]],Ruimtegroepen[#All],4,FALSE)</f>
        <v>V  (Verkeersruimte)</v>
      </c>
      <c r="R151" s="184"/>
      <c r="S151" s="185">
        <v>40</v>
      </c>
      <c r="T151" s="185" t="s">
        <v>2</v>
      </c>
      <c r="U151" s="185">
        <f>IF(S151&gt;0,IF(RIGHT(Ruimtestaat[[#This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1" s="185">
        <f>IF(U151&gt;0,VLOOKUP($K151,Ruimtegroepen[],3,FALSE)*VLOOKUP($M151,Vloersoorten[],3,FALSE)*VLOOKUP($T151,Frequenties[],3,FALSE)*VLOOKUP($A151,Locaties[],3,FALSE),0)</f>
        <v>0</v>
      </c>
      <c r="W151" s="185">
        <f>Ruimtestaat[[#This Row],[Uitvoeringen werkdagen]]*Ruimtestaat[[#This Row],[Oppervlak (netto)]]</f>
        <v>3400</v>
      </c>
      <c r="X151" s="220">
        <f>IF(V151&gt;0,Ruimtestaat[[#This Row],[Prest. (m2 /jaar) werkdagen]]/Ruimtestaat[[#This Row],[Norm (m2/uur) werkdagen]],0)</f>
        <v>0</v>
      </c>
      <c r="Y151" s="221">
        <f>Ruimtestaat[[#This Row],[uren / jaar werkdagen]]*Tariefsopbouw!$D$38</f>
        <v>0</v>
      </c>
      <c r="Z151" s="33"/>
      <c r="AA151" s="33">
        <f>IF(Ruimtestaat[[#This Row],[Frequentie weekend]]&gt;0,VALUE(LEFT(Z151,1))*S151,0)</f>
        <v>0</v>
      </c>
      <c r="AB151" s="33">
        <f>IF($AA151&gt;0,VLOOKUP($K151,Ruimtegroepen[],3,FALSE)*VLOOKUP($M151,Vloersoorten[],3,FALSE)*VLOOKUP($Z151,Frequenties[],3,FALSE)*VLOOKUP(#REF!,Locaties[],3,FALSE),0)</f>
        <v>0</v>
      </c>
      <c r="AC151" s="33"/>
      <c r="AD151" s="33"/>
      <c r="AE151" s="33">
        <f>Ruimtestaat[[#This Row],[uren / jaar weekend]]*Tariefsopbouw!$D$40</f>
        <v>0</v>
      </c>
      <c r="AF151" s="79">
        <f>Ruimtestaat[[#This Row],[Prest. (m2 /jaar) weekend]]+Ruimtestaat[[#This Row],[Prest. (m2 /jaar) werkdagen]]</f>
        <v>3400</v>
      </c>
      <c r="AG151" s="79">
        <f>Ruimtestaat[[#This Row],[uren / jaar weekend]]+Ruimtestaat[[#This Row],[uren / jaar werkdagen]]</f>
        <v>0</v>
      </c>
      <c r="AH151" s="80">
        <f>Ruimtestaat[[#This Row],[kosten / jaar weekend]]+Ruimtestaat[[#This Row],[kosten / jaar werkdagen]]</f>
        <v>0</v>
      </c>
    </row>
    <row r="152" spans="1:34" ht="15" customHeight="1">
      <c r="A152" s="256">
        <v>2</v>
      </c>
      <c r="B152" s="171" t="str">
        <f>VLOOKUP(Ruimtestaat[[#This Row],[Code]],Locaties[#All],2,FALSE)</f>
        <v>Neon College – Enschede</v>
      </c>
      <c r="C152" s="258" t="str">
        <f>VLOOKUP(Ruimtestaat[[#This Row],[Code]],Locaties[#All],4,FALSE)</f>
        <v>Mr. P.J. Troelstrastraat 9</v>
      </c>
      <c r="D152" s="258" t="str">
        <f>VLOOKUP(Ruimtestaat[[#This Row],[Code]],Locaties[#All],5,FALSE)</f>
        <v xml:space="preserve">7522 BD </v>
      </c>
      <c r="E152" s="258" t="str">
        <f>VLOOKUP(Ruimtestaat[[#This Row],[Code]],Locaties[#All],6,FALSE)</f>
        <v>Enschede</v>
      </c>
      <c r="F152" s="257"/>
      <c r="G152" s="257" t="s">
        <v>857</v>
      </c>
      <c r="H152" s="171"/>
      <c r="I152" s="257" t="s">
        <v>896</v>
      </c>
      <c r="J152" s="259" t="s">
        <v>576</v>
      </c>
      <c r="K152" s="258">
        <v>16</v>
      </c>
      <c r="L152" s="260" t="str">
        <f>VLOOKUP(Ruimtestaat[[#This Row],[Ruimte code]],Ruimtegroepen[#All],2,FALSE)</f>
        <v>Leslokalen</v>
      </c>
      <c r="M152" s="258" t="s">
        <v>598</v>
      </c>
      <c r="N152" s="257" t="s">
        <v>900</v>
      </c>
      <c r="O152" s="261">
        <v>56</v>
      </c>
      <c r="P152" s="183"/>
      <c r="Q152" s="212" t="str">
        <f>VLOOKUP(Ruimtestaat[[#This Row],[Ruimte code]],Ruimtegroepen[#All],4,FALSE)</f>
        <v>L  (Lesruimte)</v>
      </c>
      <c r="R152" s="184"/>
      <c r="S152" s="185">
        <v>40</v>
      </c>
      <c r="T152" s="185" t="s">
        <v>2</v>
      </c>
      <c r="U152" s="185">
        <f>IF(S152&gt;0,IF(RIGHT(Ruimtestaat[[#This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2" s="185">
        <f>IF(U152&gt;0,VLOOKUP($K152,Ruimtegroepen[],3,FALSE)*VLOOKUP($M152,Vloersoorten[],3,FALSE)*VLOOKUP($T152,Frequenties[],3,FALSE)*VLOOKUP($A152,Locaties[],3,FALSE),0)</f>
        <v>0</v>
      </c>
      <c r="W152" s="185">
        <f>Ruimtestaat[[#This Row],[Uitvoeringen werkdagen]]*Ruimtestaat[[#This Row],[Oppervlak (netto)]]</f>
        <v>11200</v>
      </c>
      <c r="X152" s="220">
        <f>IF(V152&gt;0,Ruimtestaat[[#This Row],[Prest. (m2 /jaar) werkdagen]]/Ruimtestaat[[#This Row],[Norm (m2/uur) werkdagen]],0)</f>
        <v>0</v>
      </c>
      <c r="Y152" s="221">
        <f>Ruimtestaat[[#This Row],[uren / jaar werkdagen]]*Tariefsopbouw!$D$38</f>
        <v>0</v>
      </c>
      <c r="Z152" s="33"/>
      <c r="AA152" s="33">
        <f>IF(Ruimtestaat[[#This Row],[Frequentie weekend]]&gt;0,VALUE(LEFT(Z152,1))*S152,0)</f>
        <v>0</v>
      </c>
      <c r="AB152" s="33">
        <f>IF($AA152&gt;0,VLOOKUP($K152,Ruimtegroepen[],3,FALSE)*VLOOKUP($M152,Vloersoorten[],3,FALSE)*VLOOKUP($Z152,Frequenties[],3,FALSE)*VLOOKUP(#REF!,Locaties[],3,FALSE),0)</f>
        <v>0</v>
      </c>
      <c r="AC152" s="33"/>
      <c r="AD152" s="33"/>
      <c r="AE152" s="33">
        <f>Ruimtestaat[[#This Row],[uren / jaar weekend]]*Tariefsopbouw!$D$40</f>
        <v>0</v>
      </c>
      <c r="AF152" s="79">
        <f>Ruimtestaat[[#This Row],[Prest. (m2 /jaar) weekend]]+Ruimtestaat[[#This Row],[Prest. (m2 /jaar) werkdagen]]</f>
        <v>11200</v>
      </c>
      <c r="AG152" s="79">
        <f>Ruimtestaat[[#This Row],[uren / jaar weekend]]+Ruimtestaat[[#This Row],[uren / jaar werkdagen]]</f>
        <v>0</v>
      </c>
      <c r="AH152" s="80">
        <f>Ruimtestaat[[#This Row],[kosten / jaar weekend]]+Ruimtestaat[[#This Row],[kosten / jaar werkdagen]]</f>
        <v>0</v>
      </c>
    </row>
    <row r="153" spans="1:34" ht="15" customHeight="1">
      <c r="A153" s="256">
        <v>2</v>
      </c>
      <c r="B153" s="171" t="str">
        <f>VLOOKUP(Ruimtestaat[[#This Row],[Code]],Locaties[#All],2,FALSE)</f>
        <v>Neon College – Enschede</v>
      </c>
      <c r="C153" s="258" t="str">
        <f>VLOOKUP(Ruimtestaat[[#This Row],[Code]],Locaties[#All],4,FALSE)</f>
        <v>Mr. P.J. Troelstrastraat 9</v>
      </c>
      <c r="D153" s="258" t="str">
        <f>VLOOKUP(Ruimtestaat[[#This Row],[Code]],Locaties[#All],5,FALSE)</f>
        <v xml:space="preserve">7522 BD </v>
      </c>
      <c r="E153" s="258" t="str">
        <f>VLOOKUP(Ruimtestaat[[#This Row],[Code]],Locaties[#All],6,FALSE)</f>
        <v>Enschede</v>
      </c>
      <c r="F153" s="257"/>
      <c r="G153" s="257" t="s">
        <v>857</v>
      </c>
      <c r="H153" s="171"/>
      <c r="I153" s="257" t="s">
        <v>897</v>
      </c>
      <c r="J153" s="259" t="s">
        <v>568</v>
      </c>
      <c r="K153" s="258">
        <v>6</v>
      </c>
      <c r="L153" s="260" t="str">
        <f>VLOOKUP(Ruimtestaat[[#This Row],[Ruimte code]],Ruimtegroepen[#All],2,FALSE)</f>
        <v>Gangen/hallen</v>
      </c>
      <c r="M153" s="212" t="s">
        <v>111</v>
      </c>
      <c r="N153" s="257" t="s">
        <v>606</v>
      </c>
      <c r="O153" s="261">
        <v>6</v>
      </c>
      <c r="P153" s="183"/>
      <c r="Q153" s="212" t="str">
        <f>VLOOKUP(Ruimtestaat[[#This Row],[Ruimte code]],Ruimtegroepen[#All],4,FALSE)</f>
        <v>V  (Verkeersruimte)</v>
      </c>
      <c r="R153" s="184"/>
      <c r="S153" s="185">
        <v>40</v>
      </c>
      <c r="T153" s="185" t="s">
        <v>2</v>
      </c>
      <c r="U153" s="185">
        <f>IF(S153&gt;0,IF(RIGHT(Ruimtestaat[[#This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3" s="185">
        <f>IF(U153&gt;0,VLOOKUP($K153,Ruimtegroepen[],3,FALSE)*VLOOKUP($M153,Vloersoorten[],3,FALSE)*VLOOKUP($T153,Frequenties[],3,FALSE)*VLOOKUP($A153,Locaties[],3,FALSE),0)</f>
        <v>0</v>
      </c>
      <c r="W153" s="185">
        <f>Ruimtestaat[[#This Row],[Uitvoeringen werkdagen]]*Ruimtestaat[[#This Row],[Oppervlak (netto)]]</f>
        <v>1200</v>
      </c>
      <c r="X153" s="220">
        <f>IF(V153&gt;0,Ruimtestaat[[#This Row],[Prest. (m2 /jaar) werkdagen]]/Ruimtestaat[[#This Row],[Norm (m2/uur) werkdagen]],0)</f>
        <v>0</v>
      </c>
      <c r="Y153" s="221">
        <f>Ruimtestaat[[#This Row],[uren / jaar werkdagen]]*Tariefsopbouw!$D$38</f>
        <v>0</v>
      </c>
      <c r="Z153" s="33"/>
      <c r="AA153" s="33">
        <f>IF(Ruimtestaat[[#This Row],[Frequentie weekend]]&gt;0,VALUE(LEFT(Z153,1))*S153,0)</f>
        <v>0</v>
      </c>
      <c r="AB153" s="33">
        <f>IF($AA153&gt;0,VLOOKUP($K153,Ruimtegroepen[],3,FALSE)*VLOOKUP($M153,Vloersoorten[],3,FALSE)*VLOOKUP($Z153,Frequenties[],3,FALSE)*VLOOKUP(#REF!,Locaties[],3,FALSE),0)</f>
        <v>0</v>
      </c>
      <c r="AC153" s="33"/>
      <c r="AD153" s="33"/>
      <c r="AE153" s="33">
        <f>Ruimtestaat[[#This Row],[uren / jaar weekend]]*Tariefsopbouw!$D$40</f>
        <v>0</v>
      </c>
      <c r="AF153" s="79">
        <f>Ruimtestaat[[#This Row],[Prest. (m2 /jaar) weekend]]+Ruimtestaat[[#This Row],[Prest. (m2 /jaar) werkdagen]]</f>
        <v>1200</v>
      </c>
      <c r="AG153" s="79">
        <f>Ruimtestaat[[#This Row],[uren / jaar weekend]]+Ruimtestaat[[#This Row],[uren / jaar werkdagen]]</f>
        <v>0</v>
      </c>
      <c r="AH153" s="80">
        <f>Ruimtestaat[[#This Row],[kosten / jaar weekend]]+Ruimtestaat[[#This Row],[kosten / jaar werkdagen]]</f>
        <v>0</v>
      </c>
    </row>
    <row r="154" spans="1:34" ht="15" customHeight="1">
      <c r="A154" s="256">
        <v>2</v>
      </c>
      <c r="B154" s="171" t="str">
        <f>VLOOKUP(Ruimtestaat[[#This Row],[Code]],Locaties[#All],2,FALSE)</f>
        <v>Neon College – Enschede</v>
      </c>
      <c r="C154" s="258" t="str">
        <f>VLOOKUP(Ruimtestaat[[#This Row],[Code]],Locaties[#All],4,FALSE)</f>
        <v>Mr. P.J. Troelstrastraat 9</v>
      </c>
      <c r="D154" s="258" t="str">
        <f>VLOOKUP(Ruimtestaat[[#This Row],[Code]],Locaties[#All],5,FALSE)</f>
        <v xml:space="preserve">7522 BD </v>
      </c>
      <c r="E154" s="258" t="str">
        <f>VLOOKUP(Ruimtestaat[[#This Row],[Code]],Locaties[#All],6,FALSE)</f>
        <v>Enschede</v>
      </c>
      <c r="F154" s="257"/>
      <c r="G154" s="257" t="s">
        <v>857</v>
      </c>
      <c r="H154" s="171"/>
      <c r="I154" s="257" t="s">
        <v>898</v>
      </c>
      <c r="J154" s="259" t="s">
        <v>722</v>
      </c>
      <c r="K154" s="258">
        <v>5</v>
      </c>
      <c r="L154" s="260" t="str">
        <f>VLOOKUP(Ruimtestaat[[#This Row],[Ruimte code]],Ruimtegroepen[#All],2,FALSE)</f>
        <v>Sanitair</v>
      </c>
      <c r="M154" s="212" t="s">
        <v>111</v>
      </c>
      <c r="N154" s="257" t="s">
        <v>606</v>
      </c>
      <c r="O154" s="261">
        <v>9</v>
      </c>
      <c r="P154" s="183"/>
      <c r="Q154" s="212" t="str">
        <f>VLOOKUP(Ruimtestaat[[#This Row],[Ruimte code]],Ruimtegroepen[#All],4,FALSE)</f>
        <v>S  (Sanitair)</v>
      </c>
      <c r="R154" s="184"/>
      <c r="S154" s="185">
        <v>40</v>
      </c>
      <c r="T154" s="185" t="s">
        <v>2</v>
      </c>
      <c r="U154" s="185">
        <f>IF(S154&gt;0,IF(RIGHT(Ruimtestaat[[#This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4" s="185">
        <f>IF(U154&gt;0,VLOOKUP($K154,Ruimtegroepen[],3,FALSE)*VLOOKUP($M154,Vloersoorten[],3,FALSE)*VLOOKUP($T154,Frequenties[],3,FALSE)*VLOOKUP($A154,Locaties[],3,FALSE),0)</f>
        <v>0</v>
      </c>
      <c r="W154" s="185">
        <f>Ruimtestaat[[#This Row],[Uitvoeringen werkdagen]]*Ruimtestaat[[#This Row],[Oppervlak (netto)]]</f>
        <v>1800</v>
      </c>
      <c r="X154" s="220">
        <f>IF(V154&gt;0,Ruimtestaat[[#This Row],[Prest. (m2 /jaar) werkdagen]]/Ruimtestaat[[#This Row],[Norm (m2/uur) werkdagen]],0)</f>
        <v>0</v>
      </c>
      <c r="Y154" s="221">
        <f>Ruimtestaat[[#This Row],[uren / jaar werkdagen]]*Tariefsopbouw!$D$38</f>
        <v>0</v>
      </c>
      <c r="Z154" s="33"/>
      <c r="AA154" s="33">
        <f>IF(Ruimtestaat[[#This Row],[Frequentie weekend]]&gt;0,VALUE(LEFT(Z154,1))*S154,0)</f>
        <v>0</v>
      </c>
      <c r="AB154" s="33">
        <f>IF($AA154&gt;0,VLOOKUP($K154,Ruimtegroepen[],3,FALSE)*VLOOKUP($M154,Vloersoorten[],3,FALSE)*VLOOKUP($Z154,Frequenties[],3,FALSE)*VLOOKUP(#REF!,Locaties[],3,FALSE),0)</f>
        <v>0</v>
      </c>
      <c r="AC154" s="33"/>
      <c r="AD154" s="33"/>
      <c r="AE154" s="33">
        <f>Ruimtestaat[[#This Row],[uren / jaar weekend]]*Tariefsopbouw!$D$40</f>
        <v>0</v>
      </c>
      <c r="AF154" s="79">
        <f>Ruimtestaat[[#This Row],[Prest. (m2 /jaar) weekend]]+Ruimtestaat[[#This Row],[Prest. (m2 /jaar) werkdagen]]</f>
        <v>1800</v>
      </c>
      <c r="AG154" s="79">
        <f>Ruimtestaat[[#This Row],[uren / jaar weekend]]+Ruimtestaat[[#This Row],[uren / jaar werkdagen]]</f>
        <v>0</v>
      </c>
      <c r="AH154" s="80">
        <f>Ruimtestaat[[#This Row],[kosten / jaar weekend]]+Ruimtestaat[[#This Row],[kosten / jaar werkdagen]]</f>
        <v>0</v>
      </c>
    </row>
    <row r="155" spans="1:34" ht="15" customHeight="1">
      <c r="A155" s="256">
        <v>2</v>
      </c>
      <c r="B155" s="171" t="str">
        <f>VLOOKUP(Ruimtestaat[[#This Row],[Code]],Locaties[#All],2,FALSE)</f>
        <v>Neon College – Enschede</v>
      </c>
      <c r="C155" s="258" t="str">
        <f>VLOOKUP(Ruimtestaat[[#This Row],[Code]],Locaties[#All],4,FALSE)</f>
        <v>Mr. P.J. Troelstrastraat 9</v>
      </c>
      <c r="D155" s="258" t="str">
        <f>VLOOKUP(Ruimtestaat[[#This Row],[Code]],Locaties[#All],5,FALSE)</f>
        <v xml:space="preserve">7522 BD </v>
      </c>
      <c r="E155" s="258" t="str">
        <f>VLOOKUP(Ruimtestaat[[#This Row],[Code]],Locaties[#All],6,FALSE)</f>
        <v>Enschede</v>
      </c>
      <c r="F155" s="257"/>
      <c r="G155" s="257" t="s">
        <v>857</v>
      </c>
      <c r="H155" s="171"/>
      <c r="I155" s="257" t="s">
        <v>899</v>
      </c>
      <c r="J155" s="259" t="s">
        <v>723</v>
      </c>
      <c r="K155" s="185">
        <v>5</v>
      </c>
      <c r="L155" s="260" t="str">
        <f>VLOOKUP(Ruimtestaat[[#This Row],[Ruimte code]],Ruimtegroepen[#All],2,FALSE)</f>
        <v>Sanitair</v>
      </c>
      <c r="M155" s="212" t="s">
        <v>111</v>
      </c>
      <c r="N155" s="257" t="s">
        <v>606</v>
      </c>
      <c r="O155" s="261">
        <v>10</v>
      </c>
      <c r="P155" s="183"/>
      <c r="Q155" s="212" t="str">
        <f>VLOOKUP(Ruimtestaat[[#This Row],[Ruimte code]],Ruimtegroepen[#All],4,FALSE)</f>
        <v>S  (Sanitair)</v>
      </c>
      <c r="R155" s="184"/>
      <c r="S155" s="185">
        <v>40</v>
      </c>
      <c r="T155" s="185" t="s">
        <v>2</v>
      </c>
      <c r="U155" s="185">
        <f>IF(S155&gt;0,IF(RIGHT(Ruimtestaat[[#This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5" s="185">
        <f>IF(U155&gt;0,VLOOKUP($K155,Ruimtegroepen[],3,FALSE)*VLOOKUP($M155,Vloersoorten[],3,FALSE)*VLOOKUP($T155,Frequenties[],3,FALSE)*VLOOKUP($A155,Locaties[],3,FALSE),0)</f>
        <v>0</v>
      </c>
      <c r="W155" s="185">
        <f>Ruimtestaat[[#This Row],[Uitvoeringen werkdagen]]*Ruimtestaat[[#This Row],[Oppervlak (netto)]]</f>
        <v>2000</v>
      </c>
      <c r="X155" s="220">
        <f>IF(V155&gt;0,Ruimtestaat[[#This Row],[Prest. (m2 /jaar) werkdagen]]/Ruimtestaat[[#This Row],[Norm (m2/uur) werkdagen]],0)</f>
        <v>0</v>
      </c>
      <c r="Y155" s="221">
        <f>Ruimtestaat[[#This Row],[uren / jaar werkdagen]]*Tariefsopbouw!$D$38</f>
        <v>0</v>
      </c>
      <c r="Z155" s="33"/>
      <c r="AA155" s="33">
        <f>IF(Ruimtestaat[[#This Row],[Frequentie weekend]]&gt;0,VALUE(LEFT(Z155,1))*S155,0)</f>
        <v>0</v>
      </c>
      <c r="AB155" s="33">
        <f>IF($AA155&gt;0,VLOOKUP($K155,Ruimtegroepen[],3,FALSE)*VLOOKUP($M155,Vloersoorten[],3,FALSE)*VLOOKUP($Z155,Frequenties[],3,FALSE)*VLOOKUP(#REF!,Locaties[],3,FALSE),0)</f>
        <v>0</v>
      </c>
      <c r="AC155" s="33"/>
      <c r="AD155" s="33"/>
      <c r="AE155" s="33">
        <f>Ruimtestaat[[#This Row],[uren / jaar weekend]]*Tariefsopbouw!$D$40</f>
        <v>0</v>
      </c>
      <c r="AF155" s="79">
        <f>Ruimtestaat[[#This Row],[Prest. (m2 /jaar) weekend]]+Ruimtestaat[[#This Row],[Prest. (m2 /jaar) werkdagen]]</f>
        <v>2000</v>
      </c>
      <c r="AG155" s="79">
        <f>Ruimtestaat[[#This Row],[uren / jaar weekend]]+Ruimtestaat[[#This Row],[uren / jaar werkdagen]]</f>
        <v>0</v>
      </c>
      <c r="AH155" s="80">
        <f>Ruimtestaat[[#This Row],[kosten / jaar weekend]]+Ruimtestaat[[#This Row],[kosten / jaar werkdagen]]</f>
        <v>0</v>
      </c>
    </row>
    <row r="156" spans="1:34" ht="15" customHeight="1">
      <c r="A156" s="256">
        <v>3</v>
      </c>
      <c r="B156" s="171" t="str">
        <f>VLOOKUP(Ruimtestaat[[#This Row],[Code]],Locaties[#All],2,FALSE)</f>
        <v xml:space="preserve">Panta Rhei College </v>
      </c>
      <c r="C156" s="258" t="str">
        <f>VLOOKUP(Ruimtestaat[[#This Row],[Code]],Locaties[#All],4,FALSE)</f>
        <v>Min. De Savornin Lohmanlaan 58</v>
      </c>
      <c r="D156" s="258" t="str">
        <f>VLOOKUP(Ruimtestaat[[#This Row],[Code]],Locaties[#All],5,FALSE)</f>
        <v>7512DL</v>
      </c>
      <c r="E156" s="258" t="str">
        <f>VLOOKUP(Ruimtestaat[[#This Row],[Code]],Locaties[#All],6,FALSE)</f>
        <v>Enschede</v>
      </c>
      <c r="F156" s="257"/>
      <c r="G156" s="257" t="s">
        <v>563</v>
      </c>
      <c r="H156" s="171"/>
      <c r="I156" s="257">
        <v>1</v>
      </c>
      <c r="J156" s="259" t="s">
        <v>40</v>
      </c>
      <c r="K156" s="258">
        <v>7</v>
      </c>
      <c r="L156" s="260" t="str">
        <f>VLOOKUP(Ruimtestaat[[#This Row],[Ruimte code]],Ruimtegroepen[#All],2,FALSE)</f>
        <v>Entree</v>
      </c>
      <c r="M156" s="258" t="s">
        <v>597</v>
      </c>
      <c r="N156" s="257" t="s">
        <v>38</v>
      </c>
      <c r="O156" s="261">
        <v>5</v>
      </c>
      <c r="P156" s="183"/>
      <c r="Q156" s="212" t="str">
        <f>VLOOKUP(Ruimtestaat[[#This Row],[Ruimte code]],Ruimtegroepen[#All],4,FALSE)</f>
        <v>V  (Verkeersruimte)</v>
      </c>
      <c r="R156" s="184"/>
      <c r="S156" s="185">
        <v>40</v>
      </c>
      <c r="T156" s="185" t="s">
        <v>2</v>
      </c>
      <c r="U156" s="185">
        <f>IF(S156&gt;0,IF(RIGHT(Ruimtestaat[[#This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6" s="185">
        <f>IF(U156&gt;0,VLOOKUP($K156,Ruimtegroepen[],3,FALSE)*VLOOKUP($M156,Vloersoorten[],3,FALSE)*VLOOKUP($T156,Frequenties[],3,FALSE)*VLOOKUP($A156,Locaties[],3,FALSE),0)</f>
        <v>0</v>
      </c>
      <c r="W156" s="185">
        <f>Ruimtestaat[[#This Row],[Uitvoeringen werkdagen]]*Ruimtestaat[[#This Row],[Oppervlak (netto)]]</f>
        <v>1000</v>
      </c>
      <c r="X156" s="220">
        <f>IF(V156&gt;0,Ruimtestaat[[#This Row],[Prest. (m2 /jaar) werkdagen]]/Ruimtestaat[[#This Row],[Norm (m2/uur) werkdagen]],0)</f>
        <v>0</v>
      </c>
      <c r="Y156" s="221">
        <f>Ruimtestaat[[#This Row],[uren / jaar werkdagen]]*Tariefsopbouw!$D$38</f>
        <v>0</v>
      </c>
      <c r="Z156" s="33"/>
      <c r="AA156" s="33">
        <f>IF(Ruimtestaat[[#This Row],[Frequentie weekend]]&gt;0,VALUE(LEFT(Z156,1))*S156,0)</f>
        <v>0</v>
      </c>
      <c r="AB156" s="33">
        <f>IF($AA156&gt;0,VLOOKUP($K156,Ruimtegroepen[],3,FALSE)*VLOOKUP($M156,Vloersoorten[],3,FALSE)*VLOOKUP($Z156,Frequenties[],3,FALSE)*VLOOKUP(#REF!,Locaties[],3,FALSE),0)</f>
        <v>0</v>
      </c>
      <c r="AC156" s="33"/>
      <c r="AD156" s="33"/>
      <c r="AE156" s="33">
        <f>Ruimtestaat[[#This Row],[uren / jaar weekend]]*Tariefsopbouw!$D$40</f>
        <v>0</v>
      </c>
      <c r="AF156" s="79">
        <f>Ruimtestaat[[#This Row],[Prest. (m2 /jaar) weekend]]+Ruimtestaat[[#This Row],[Prest. (m2 /jaar) werkdagen]]</f>
        <v>1000</v>
      </c>
      <c r="AG156" s="79">
        <f>Ruimtestaat[[#This Row],[uren / jaar weekend]]+Ruimtestaat[[#This Row],[uren / jaar werkdagen]]</f>
        <v>0</v>
      </c>
      <c r="AH156" s="80">
        <f>Ruimtestaat[[#This Row],[kosten / jaar weekend]]+Ruimtestaat[[#This Row],[kosten / jaar werkdagen]]</f>
        <v>0</v>
      </c>
    </row>
    <row r="157" spans="1:34" ht="15" customHeight="1">
      <c r="A157" s="256">
        <v>3</v>
      </c>
      <c r="B157" s="171" t="str">
        <f>VLOOKUP(Ruimtestaat[[#This Row],[Code]],Locaties[#All],2,FALSE)</f>
        <v xml:space="preserve">Panta Rhei College </v>
      </c>
      <c r="C157" s="258" t="str">
        <f>VLOOKUP(Ruimtestaat[[#This Row],[Code]],Locaties[#All],4,FALSE)</f>
        <v>Min. De Savornin Lohmanlaan 58</v>
      </c>
      <c r="D157" s="258" t="str">
        <f>VLOOKUP(Ruimtestaat[[#This Row],[Code]],Locaties[#All],5,FALSE)</f>
        <v>7512DL</v>
      </c>
      <c r="E157" s="258" t="str">
        <f>VLOOKUP(Ruimtestaat[[#This Row],[Code]],Locaties[#All],6,FALSE)</f>
        <v>Enschede</v>
      </c>
      <c r="F157" s="257"/>
      <c r="G157" s="257" t="s">
        <v>563</v>
      </c>
      <c r="H157" s="171"/>
      <c r="I157" s="257">
        <v>2</v>
      </c>
      <c r="J157" s="259" t="s">
        <v>587</v>
      </c>
      <c r="K157" s="258">
        <v>6</v>
      </c>
      <c r="L157" s="260" t="str">
        <f>VLOOKUP(Ruimtestaat[[#This Row],[Ruimte code]],Ruimtegroepen[#All],2,FALSE)</f>
        <v>Gangen/hallen</v>
      </c>
      <c r="M157" s="185" t="s">
        <v>598</v>
      </c>
      <c r="N157" s="257" t="s">
        <v>132</v>
      </c>
      <c r="O157" s="261">
        <v>46</v>
      </c>
      <c r="P157" s="183"/>
      <c r="Q157" s="212" t="str">
        <f>VLOOKUP(Ruimtestaat[[#This Row],[Ruimte code]],Ruimtegroepen[#All],4,FALSE)</f>
        <v>V  (Verkeersruimte)</v>
      </c>
      <c r="R157" s="184"/>
      <c r="S157" s="185">
        <v>40</v>
      </c>
      <c r="T157" s="185" t="s">
        <v>2</v>
      </c>
      <c r="U157" s="185">
        <f>IF(S157&gt;0,IF(RIGHT(Ruimtestaat[[#This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7" s="185">
        <f>IF(U157&gt;0,VLOOKUP($K157,Ruimtegroepen[],3,FALSE)*VLOOKUP($M157,Vloersoorten[],3,FALSE)*VLOOKUP($T157,Frequenties[],3,FALSE)*VLOOKUP($A157,Locaties[],3,FALSE),0)</f>
        <v>0</v>
      </c>
      <c r="W157" s="185">
        <f>Ruimtestaat[[#This Row],[Uitvoeringen werkdagen]]*Ruimtestaat[[#This Row],[Oppervlak (netto)]]</f>
        <v>9200</v>
      </c>
      <c r="X157" s="220">
        <f>IF(V157&gt;0,Ruimtestaat[[#This Row],[Prest. (m2 /jaar) werkdagen]]/Ruimtestaat[[#This Row],[Norm (m2/uur) werkdagen]],0)</f>
        <v>0</v>
      </c>
      <c r="Y157" s="221">
        <f>Ruimtestaat[[#This Row],[uren / jaar werkdagen]]*Tariefsopbouw!$D$38</f>
        <v>0</v>
      </c>
      <c r="Z157" s="33"/>
      <c r="AA157" s="33">
        <f>IF(Ruimtestaat[[#This Row],[Frequentie weekend]]&gt;0,VALUE(LEFT(Z157,1))*S157,0)</f>
        <v>0</v>
      </c>
      <c r="AB157" s="33">
        <f>IF($AA157&gt;0,VLOOKUP($K157,Ruimtegroepen[],3,FALSE)*VLOOKUP($M157,Vloersoorten[],3,FALSE)*VLOOKUP($Z157,Frequenties[],3,FALSE)*VLOOKUP(#REF!,Locaties[],3,FALSE),0)</f>
        <v>0</v>
      </c>
      <c r="AC157" s="33"/>
      <c r="AD157" s="33"/>
      <c r="AE157" s="33">
        <f>Ruimtestaat[[#This Row],[uren / jaar weekend]]*Tariefsopbouw!$D$40</f>
        <v>0</v>
      </c>
      <c r="AF157" s="79">
        <f>Ruimtestaat[[#This Row],[Prest. (m2 /jaar) weekend]]+Ruimtestaat[[#This Row],[Prest. (m2 /jaar) werkdagen]]</f>
        <v>9200</v>
      </c>
      <c r="AG157" s="79">
        <f>Ruimtestaat[[#This Row],[uren / jaar weekend]]+Ruimtestaat[[#This Row],[uren / jaar werkdagen]]</f>
        <v>0</v>
      </c>
      <c r="AH157" s="80">
        <f>Ruimtestaat[[#This Row],[kosten / jaar weekend]]+Ruimtestaat[[#This Row],[kosten / jaar werkdagen]]</f>
        <v>0</v>
      </c>
    </row>
    <row r="158" spans="1:34" ht="15" customHeight="1">
      <c r="A158" s="256">
        <v>3</v>
      </c>
      <c r="B158" s="171" t="str">
        <f>VLOOKUP(Ruimtestaat[[#This Row],[Code]],Locaties[#All],2,FALSE)</f>
        <v xml:space="preserve">Panta Rhei College </v>
      </c>
      <c r="C158" s="258" t="str">
        <f>VLOOKUP(Ruimtestaat[[#This Row],[Code]],Locaties[#All],4,FALSE)</f>
        <v>Min. De Savornin Lohmanlaan 58</v>
      </c>
      <c r="D158" s="258" t="str">
        <f>VLOOKUP(Ruimtestaat[[#This Row],[Code]],Locaties[#All],5,FALSE)</f>
        <v>7512DL</v>
      </c>
      <c r="E158" s="258" t="str">
        <f>VLOOKUP(Ruimtestaat[[#This Row],[Code]],Locaties[#All],6,FALSE)</f>
        <v>Enschede</v>
      </c>
      <c r="F158" s="257"/>
      <c r="G158" s="257" t="s">
        <v>563</v>
      </c>
      <c r="H158" s="171"/>
      <c r="I158" s="257">
        <v>3</v>
      </c>
      <c r="J158" s="259" t="s">
        <v>571</v>
      </c>
      <c r="K158" s="171">
        <v>2</v>
      </c>
      <c r="L158" s="260" t="str">
        <f>VLOOKUP(Ruimtestaat[[#This Row],[Ruimte code]],Ruimtegroepen[#All],2,FALSE)</f>
        <v>Kantoren</v>
      </c>
      <c r="M158" s="212" t="s">
        <v>109</v>
      </c>
      <c r="N158" s="257" t="s">
        <v>808</v>
      </c>
      <c r="O158" s="261">
        <v>22</v>
      </c>
      <c r="P158" s="183"/>
      <c r="Q158" s="212" t="str">
        <f>VLOOKUP(Ruimtestaat[[#This Row],[Ruimte code]],Ruimtegroepen[#All],4,FALSE)</f>
        <v>B  (Bureauruimte)</v>
      </c>
      <c r="R158" s="184"/>
      <c r="S158" s="185">
        <v>40</v>
      </c>
      <c r="T158" s="185" t="s">
        <v>17</v>
      </c>
      <c r="U158" s="185">
        <f>IF(S158&gt;0,IF(RIGHT(Ruimtestaat[[#This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58" s="185">
        <f>IF(U158&gt;0,VLOOKUP($K158,Ruimtegroepen[],3,FALSE)*VLOOKUP($M158,Vloersoorten[],3,FALSE)*VLOOKUP($T158,Frequenties[],3,FALSE)*VLOOKUP($A158,Locaties[],3,FALSE),0)</f>
        <v>0</v>
      </c>
      <c r="W158" s="185">
        <f>Ruimtestaat[[#This Row],[Uitvoeringen werkdagen]]*Ruimtestaat[[#This Row],[Oppervlak (netto)]]</f>
        <v>1760</v>
      </c>
      <c r="X158" s="220">
        <f>IF(V158&gt;0,Ruimtestaat[[#This Row],[Prest. (m2 /jaar) werkdagen]]/Ruimtestaat[[#This Row],[Norm (m2/uur) werkdagen]],0)</f>
        <v>0</v>
      </c>
      <c r="Y158" s="221">
        <f>Ruimtestaat[[#This Row],[uren / jaar werkdagen]]*Tariefsopbouw!$D$38</f>
        <v>0</v>
      </c>
      <c r="Z158" s="33"/>
      <c r="AA158" s="33">
        <f>IF(Ruimtestaat[[#This Row],[Frequentie weekend]]&gt;0,VALUE(LEFT(Z158,1))*S158,0)</f>
        <v>0</v>
      </c>
      <c r="AB158" s="33">
        <f>IF($AA158&gt;0,VLOOKUP($K158,Ruimtegroepen[],3,FALSE)*VLOOKUP($M158,Vloersoorten[],3,FALSE)*VLOOKUP($Z158,Frequenties[],3,FALSE)*VLOOKUP(#REF!,Locaties[],3,FALSE),0)</f>
        <v>0</v>
      </c>
      <c r="AC158" s="33"/>
      <c r="AD158" s="33"/>
      <c r="AE158" s="33">
        <f>Ruimtestaat[[#This Row],[uren / jaar weekend]]*Tariefsopbouw!$D$40</f>
        <v>0</v>
      </c>
      <c r="AF158" s="79">
        <f>Ruimtestaat[[#This Row],[Prest. (m2 /jaar) weekend]]+Ruimtestaat[[#This Row],[Prest. (m2 /jaar) werkdagen]]</f>
        <v>1760</v>
      </c>
      <c r="AG158" s="79">
        <f>Ruimtestaat[[#This Row],[uren / jaar weekend]]+Ruimtestaat[[#This Row],[uren / jaar werkdagen]]</f>
        <v>0</v>
      </c>
      <c r="AH158" s="80">
        <f>Ruimtestaat[[#This Row],[kosten / jaar weekend]]+Ruimtestaat[[#This Row],[kosten / jaar werkdagen]]</f>
        <v>0</v>
      </c>
    </row>
    <row r="159" spans="1:34" ht="15" customHeight="1">
      <c r="A159" s="256">
        <v>3</v>
      </c>
      <c r="B159" s="171" t="str">
        <f>VLOOKUP(Ruimtestaat[[#This Row],[Code]],Locaties[#All],2,FALSE)</f>
        <v xml:space="preserve">Panta Rhei College </v>
      </c>
      <c r="C159" s="258" t="str">
        <f>VLOOKUP(Ruimtestaat[[#This Row],[Code]],Locaties[#All],4,FALSE)</f>
        <v>Min. De Savornin Lohmanlaan 58</v>
      </c>
      <c r="D159" s="258" t="str">
        <f>VLOOKUP(Ruimtestaat[[#This Row],[Code]],Locaties[#All],5,FALSE)</f>
        <v>7512DL</v>
      </c>
      <c r="E159" s="258" t="str">
        <f>VLOOKUP(Ruimtestaat[[#This Row],[Code]],Locaties[#All],6,FALSE)</f>
        <v>Enschede</v>
      </c>
      <c r="F159" s="257"/>
      <c r="G159" s="257" t="s">
        <v>563</v>
      </c>
      <c r="H159" s="171"/>
      <c r="I159" s="257">
        <v>4</v>
      </c>
      <c r="J159" s="259" t="s">
        <v>569</v>
      </c>
      <c r="K159" s="258">
        <v>5</v>
      </c>
      <c r="L159" s="260" t="str">
        <f>VLOOKUP(Ruimtestaat[[#This Row],[Ruimte code]],Ruimtegroepen[#All],2,FALSE)</f>
        <v>Sanitair</v>
      </c>
      <c r="M159" s="212" t="s">
        <v>111</v>
      </c>
      <c r="N159" s="257" t="s">
        <v>605</v>
      </c>
      <c r="O159" s="261">
        <v>5</v>
      </c>
      <c r="P159" s="183"/>
      <c r="Q159" s="212" t="str">
        <f>VLOOKUP(Ruimtestaat[[#This Row],[Ruimte code]],Ruimtegroepen[#All],4,FALSE)</f>
        <v>S  (Sanitair)</v>
      </c>
      <c r="R159" s="184"/>
      <c r="S159" s="185">
        <v>40</v>
      </c>
      <c r="T159" s="185" t="s">
        <v>2</v>
      </c>
      <c r="U159" s="185">
        <f>IF(S159&gt;0,IF(RIGHT(Ruimtestaat[[#This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9" s="185">
        <f>IF(U159&gt;0,VLOOKUP($K159,Ruimtegroepen[],3,FALSE)*VLOOKUP($M159,Vloersoorten[],3,FALSE)*VLOOKUP($T159,Frequenties[],3,FALSE)*VLOOKUP($A159,Locaties[],3,FALSE),0)</f>
        <v>0</v>
      </c>
      <c r="W159" s="185">
        <f>Ruimtestaat[[#This Row],[Uitvoeringen werkdagen]]*Ruimtestaat[[#This Row],[Oppervlak (netto)]]</f>
        <v>1000</v>
      </c>
      <c r="X159" s="220">
        <f>IF(V159&gt;0,Ruimtestaat[[#This Row],[Prest. (m2 /jaar) werkdagen]]/Ruimtestaat[[#This Row],[Norm (m2/uur) werkdagen]],0)</f>
        <v>0</v>
      </c>
      <c r="Y159" s="221">
        <f>Ruimtestaat[[#This Row],[uren / jaar werkdagen]]*Tariefsopbouw!$D$38</f>
        <v>0</v>
      </c>
      <c r="Z159" s="33"/>
      <c r="AA159" s="33">
        <f>IF(Ruimtestaat[[#This Row],[Frequentie weekend]]&gt;0,VALUE(LEFT(Z159,1))*S159,0)</f>
        <v>0</v>
      </c>
      <c r="AB159" s="33">
        <f>IF($AA159&gt;0,VLOOKUP($K159,Ruimtegroepen[],3,FALSE)*VLOOKUP($M159,Vloersoorten[],3,FALSE)*VLOOKUP($Z159,Frequenties[],3,FALSE)*VLOOKUP(#REF!,Locaties[],3,FALSE),0)</f>
        <v>0</v>
      </c>
      <c r="AC159" s="33"/>
      <c r="AD159" s="33"/>
      <c r="AE159" s="33">
        <f>Ruimtestaat[[#This Row],[uren / jaar weekend]]*Tariefsopbouw!$D$40</f>
        <v>0</v>
      </c>
      <c r="AF159" s="79">
        <f>Ruimtestaat[[#This Row],[Prest. (m2 /jaar) weekend]]+Ruimtestaat[[#This Row],[Prest. (m2 /jaar) werkdagen]]</f>
        <v>1000</v>
      </c>
      <c r="AG159" s="79">
        <f>Ruimtestaat[[#This Row],[uren / jaar weekend]]+Ruimtestaat[[#This Row],[uren / jaar werkdagen]]</f>
        <v>0</v>
      </c>
      <c r="AH159" s="80">
        <f>Ruimtestaat[[#This Row],[kosten / jaar weekend]]+Ruimtestaat[[#This Row],[kosten / jaar werkdagen]]</f>
        <v>0</v>
      </c>
    </row>
    <row r="160" spans="1:34" ht="15" customHeight="1">
      <c r="A160" s="256">
        <v>3</v>
      </c>
      <c r="B160" s="171" t="str">
        <f>VLOOKUP(Ruimtestaat[[#This Row],[Code]],Locaties[#All],2,FALSE)</f>
        <v xml:space="preserve">Panta Rhei College </v>
      </c>
      <c r="C160" s="258" t="str">
        <f>VLOOKUP(Ruimtestaat[[#This Row],[Code]],Locaties[#All],4,FALSE)</f>
        <v>Min. De Savornin Lohmanlaan 58</v>
      </c>
      <c r="D160" s="258" t="str">
        <f>VLOOKUP(Ruimtestaat[[#This Row],[Code]],Locaties[#All],5,FALSE)</f>
        <v>7512DL</v>
      </c>
      <c r="E160" s="258" t="str">
        <f>VLOOKUP(Ruimtestaat[[#This Row],[Code]],Locaties[#All],6,FALSE)</f>
        <v>Enschede</v>
      </c>
      <c r="F160" s="257"/>
      <c r="G160" s="257" t="s">
        <v>563</v>
      </c>
      <c r="H160" s="171"/>
      <c r="I160" s="257" t="s">
        <v>788</v>
      </c>
      <c r="J160" s="259" t="s">
        <v>571</v>
      </c>
      <c r="K160" s="258">
        <v>2</v>
      </c>
      <c r="L160" s="260" t="str">
        <f>VLOOKUP(Ruimtestaat[[#This Row],[Ruimte code]],Ruimtegroepen[#All],2,FALSE)</f>
        <v>Kantoren</v>
      </c>
      <c r="M160" s="212" t="s">
        <v>109</v>
      </c>
      <c r="N160" s="257" t="s">
        <v>808</v>
      </c>
      <c r="O160" s="261">
        <v>7</v>
      </c>
      <c r="P160" s="183"/>
      <c r="Q160" s="212" t="str">
        <f>VLOOKUP(Ruimtestaat[[#This Row],[Ruimte code]],Ruimtegroepen[#All],4,FALSE)</f>
        <v>B  (Bureauruimte)</v>
      </c>
      <c r="R160" s="184"/>
      <c r="S160" s="185">
        <v>40</v>
      </c>
      <c r="T160" s="185" t="s">
        <v>17</v>
      </c>
      <c r="U160" s="185">
        <f>IF(S160&gt;0,IF(RIGHT(Ruimtestaat[[#This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0" s="185">
        <f>IF(U160&gt;0,VLOOKUP($K160,Ruimtegroepen[],3,FALSE)*VLOOKUP($M160,Vloersoorten[],3,FALSE)*VLOOKUP($T160,Frequenties[],3,FALSE)*VLOOKUP($A160,Locaties[],3,FALSE),0)</f>
        <v>0</v>
      </c>
      <c r="W160" s="185">
        <f>Ruimtestaat[[#This Row],[Uitvoeringen werkdagen]]*Ruimtestaat[[#This Row],[Oppervlak (netto)]]</f>
        <v>560</v>
      </c>
      <c r="X160" s="220">
        <f>IF(V160&gt;0,Ruimtestaat[[#This Row],[Prest. (m2 /jaar) werkdagen]]/Ruimtestaat[[#This Row],[Norm (m2/uur) werkdagen]],0)</f>
        <v>0</v>
      </c>
      <c r="Y160" s="221">
        <f>Ruimtestaat[[#This Row],[uren / jaar werkdagen]]*Tariefsopbouw!$D$38</f>
        <v>0</v>
      </c>
      <c r="Z160" s="33"/>
      <c r="AA160" s="33">
        <f>IF(Ruimtestaat[[#This Row],[Frequentie weekend]]&gt;0,VALUE(LEFT(Z160,1))*S160,0)</f>
        <v>0</v>
      </c>
      <c r="AB160" s="33">
        <f>IF($AA160&gt;0,VLOOKUP($K160,Ruimtegroepen[],3,FALSE)*VLOOKUP($M160,Vloersoorten[],3,FALSE)*VLOOKUP($Z160,Frequenties[],3,FALSE)*VLOOKUP(#REF!,Locaties[],3,FALSE),0)</f>
        <v>0</v>
      </c>
      <c r="AC160" s="33"/>
      <c r="AD160" s="33"/>
      <c r="AE160" s="33">
        <f>Ruimtestaat[[#This Row],[uren / jaar weekend]]*Tariefsopbouw!$D$40</f>
        <v>0</v>
      </c>
      <c r="AF160" s="79">
        <f>Ruimtestaat[[#This Row],[Prest. (m2 /jaar) weekend]]+Ruimtestaat[[#This Row],[Prest. (m2 /jaar) werkdagen]]</f>
        <v>560</v>
      </c>
      <c r="AG160" s="79">
        <f>Ruimtestaat[[#This Row],[uren / jaar weekend]]+Ruimtestaat[[#This Row],[uren / jaar werkdagen]]</f>
        <v>0</v>
      </c>
      <c r="AH160" s="80">
        <f>Ruimtestaat[[#This Row],[kosten / jaar weekend]]+Ruimtestaat[[#This Row],[kosten / jaar werkdagen]]</f>
        <v>0</v>
      </c>
    </row>
    <row r="161" spans="1:34" ht="15" customHeight="1">
      <c r="A161" s="256">
        <v>3</v>
      </c>
      <c r="B161" s="171" t="str">
        <f>VLOOKUP(Ruimtestaat[[#This Row],[Code]],Locaties[#All],2,FALSE)</f>
        <v xml:space="preserve">Panta Rhei College </v>
      </c>
      <c r="C161" s="258" t="str">
        <f>VLOOKUP(Ruimtestaat[[#This Row],[Code]],Locaties[#All],4,FALSE)</f>
        <v>Min. De Savornin Lohmanlaan 58</v>
      </c>
      <c r="D161" s="258" t="str">
        <f>VLOOKUP(Ruimtestaat[[#This Row],[Code]],Locaties[#All],5,FALSE)</f>
        <v>7512DL</v>
      </c>
      <c r="E161" s="258" t="str">
        <f>VLOOKUP(Ruimtestaat[[#This Row],[Code]],Locaties[#All],6,FALSE)</f>
        <v>Enschede</v>
      </c>
      <c r="F161" s="257"/>
      <c r="G161" s="257" t="s">
        <v>563</v>
      </c>
      <c r="H161" s="171"/>
      <c r="I161" s="257">
        <v>5</v>
      </c>
      <c r="J161" s="259" t="s">
        <v>576</v>
      </c>
      <c r="K161" s="258">
        <v>16</v>
      </c>
      <c r="L161" s="260" t="str">
        <f>VLOOKUP(Ruimtestaat[[#This Row],[Ruimte code]],Ruimtegroepen[#All],2,FALSE)</f>
        <v>Leslokalen</v>
      </c>
      <c r="M161" s="258" t="s">
        <v>598</v>
      </c>
      <c r="N161" s="257" t="s">
        <v>132</v>
      </c>
      <c r="O161" s="261">
        <v>57</v>
      </c>
      <c r="P161" s="183"/>
      <c r="Q161" s="212" t="str">
        <f>VLOOKUP(Ruimtestaat[[#This Row],[Ruimte code]],Ruimtegroepen[#All],4,FALSE)</f>
        <v>L  (Lesruimte)</v>
      </c>
      <c r="R161" s="184"/>
      <c r="S161" s="185">
        <v>40</v>
      </c>
      <c r="T161" s="185" t="s">
        <v>2</v>
      </c>
      <c r="U161" s="185">
        <f>IF(S161&gt;0,IF(RIGHT(Ruimtestaat[[#This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1" s="185">
        <f>IF(U161&gt;0,VLOOKUP($K161,Ruimtegroepen[],3,FALSE)*VLOOKUP($M161,Vloersoorten[],3,FALSE)*VLOOKUP($T161,Frequenties[],3,FALSE)*VLOOKUP($A161,Locaties[],3,FALSE),0)</f>
        <v>0</v>
      </c>
      <c r="W161" s="185">
        <f>Ruimtestaat[[#This Row],[Uitvoeringen werkdagen]]*Ruimtestaat[[#This Row],[Oppervlak (netto)]]</f>
        <v>11400</v>
      </c>
      <c r="X161" s="220">
        <f>IF(V161&gt;0,Ruimtestaat[[#This Row],[Prest. (m2 /jaar) werkdagen]]/Ruimtestaat[[#This Row],[Norm (m2/uur) werkdagen]],0)</f>
        <v>0</v>
      </c>
      <c r="Y161" s="221">
        <f>Ruimtestaat[[#This Row],[uren / jaar werkdagen]]*Tariefsopbouw!$D$38</f>
        <v>0</v>
      </c>
      <c r="Z161" s="33"/>
      <c r="AA161" s="33">
        <f>IF(Ruimtestaat[[#This Row],[Frequentie weekend]]&gt;0,VALUE(LEFT(Z161,1))*S161,0)</f>
        <v>0</v>
      </c>
      <c r="AB161" s="33">
        <f>IF($AA161&gt;0,VLOOKUP($K161,Ruimtegroepen[],3,FALSE)*VLOOKUP($M161,Vloersoorten[],3,FALSE)*VLOOKUP($Z161,Frequenties[],3,FALSE)*VLOOKUP(#REF!,Locaties[],3,FALSE),0)</f>
        <v>0</v>
      </c>
      <c r="AC161" s="33"/>
      <c r="AD161" s="33"/>
      <c r="AE161" s="33">
        <f>Ruimtestaat[[#This Row],[uren / jaar weekend]]*Tariefsopbouw!$D$40</f>
        <v>0</v>
      </c>
      <c r="AF161" s="79">
        <f>Ruimtestaat[[#This Row],[Prest. (m2 /jaar) weekend]]+Ruimtestaat[[#This Row],[Prest. (m2 /jaar) werkdagen]]</f>
        <v>11400</v>
      </c>
      <c r="AG161" s="79">
        <f>Ruimtestaat[[#This Row],[uren / jaar weekend]]+Ruimtestaat[[#This Row],[uren / jaar werkdagen]]</f>
        <v>0</v>
      </c>
      <c r="AH161" s="80">
        <f>Ruimtestaat[[#This Row],[kosten / jaar weekend]]+Ruimtestaat[[#This Row],[kosten / jaar werkdagen]]</f>
        <v>0</v>
      </c>
    </row>
    <row r="162" spans="1:34" ht="15" customHeight="1">
      <c r="A162" s="256">
        <v>3</v>
      </c>
      <c r="B162" s="171" t="str">
        <f>VLOOKUP(Ruimtestaat[[#This Row],[Code]],Locaties[#All],2,FALSE)</f>
        <v xml:space="preserve">Panta Rhei College </v>
      </c>
      <c r="C162" s="258" t="str">
        <f>VLOOKUP(Ruimtestaat[[#This Row],[Code]],Locaties[#All],4,FALSE)</f>
        <v>Min. De Savornin Lohmanlaan 58</v>
      </c>
      <c r="D162" s="258" t="str">
        <f>VLOOKUP(Ruimtestaat[[#This Row],[Code]],Locaties[#All],5,FALSE)</f>
        <v>7512DL</v>
      </c>
      <c r="E162" s="258" t="str">
        <f>VLOOKUP(Ruimtestaat[[#This Row],[Code]],Locaties[#All],6,FALSE)</f>
        <v>Enschede</v>
      </c>
      <c r="F162" s="257"/>
      <c r="G162" s="257" t="s">
        <v>563</v>
      </c>
      <c r="H162" s="171"/>
      <c r="I162" s="257">
        <v>6</v>
      </c>
      <c r="J162" s="259" t="s">
        <v>585</v>
      </c>
      <c r="K162" s="258">
        <v>20</v>
      </c>
      <c r="L162" s="260" t="str">
        <f>VLOOKUP(Ruimtestaat[[#This Row],[Ruimte code]],Ruimtegroepen[#All],2,FALSE)</f>
        <v>Niet in onderhoud</v>
      </c>
      <c r="M162" s="185" t="s">
        <v>598</v>
      </c>
      <c r="N162" s="257" t="s">
        <v>132</v>
      </c>
      <c r="O162" s="261"/>
      <c r="P162" s="183">
        <v>7</v>
      </c>
      <c r="Q162" s="212" t="str">
        <f>VLOOKUP(Ruimtestaat[[#This Row],[Ruimte code]],Ruimtegroepen[#All],4,FALSE)</f>
        <v>niet in onderhoud</v>
      </c>
      <c r="R162" s="184"/>
      <c r="S162" s="185"/>
      <c r="T162" s="185"/>
      <c r="U162" s="185">
        <f>IF(S162&gt;0,IF(RIGHT(Ruimtestaat[[#This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62" s="185">
        <f>IF(U162&gt;0,VLOOKUP($K162,Ruimtegroepen[],3,FALSE)*VLOOKUP($M162,Vloersoorten[],3,FALSE)*VLOOKUP($T162,Frequenties[],3,FALSE)*VLOOKUP($A162,Locaties[],3,FALSE),0)</f>
        <v>0</v>
      </c>
      <c r="W162" s="185">
        <f>Ruimtestaat[[#This Row],[Uitvoeringen werkdagen]]*Ruimtestaat[[#This Row],[Oppervlak (netto)]]</f>
        <v>0</v>
      </c>
      <c r="X162" s="220">
        <f>IF(V162&gt;0,Ruimtestaat[[#This Row],[Prest. (m2 /jaar) werkdagen]]/Ruimtestaat[[#This Row],[Norm (m2/uur) werkdagen]],0)</f>
        <v>0</v>
      </c>
      <c r="Y162" s="221">
        <f>Ruimtestaat[[#This Row],[uren / jaar werkdagen]]*Tariefsopbouw!$D$38</f>
        <v>0</v>
      </c>
      <c r="Z162" s="33"/>
      <c r="AA162" s="33">
        <f>IF(Ruimtestaat[[#This Row],[Frequentie weekend]]&gt;0,VALUE(LEFT(Z162,1))*S162,0)</f>
        <v>0</v>
      </c>
      <c r="AB162" s="33">
        <f>IF($AA162&gt;0,VLOOKUP($K162,Ruimtegroepen[],3,FALSE)*VLOOKUP($M162,Vloersoorten[],3,FALSE)*VLOOKUP($Z162,Frequenties[],3,FALSE)*VLOOKUP(#REF!,Locaties[],3,FALSE),0)</f>
        <v>0</v>
      </c>
      <c r="AC162" s="33"/>
      <c r="AD162" s="33"/>
      <c r="AE162" s="33">
        <f>Ruimtestaat[[#This Row],[uren / jaar weekend]]*Tariefsopbouw!$D$40</f>
        <v>0</v>
      </c>
      <c r="AF162" s="79">
        <f>Ruimtestaat[[#This Row],[Prest. (m2 /jaar) weekend]]+Ruimtestaat[[#This Row],[Prest. (m2 /jaar) werkdagen]]</f>
        <v>0</v>
      </c>
      <c r="AG162" s="79">
        <f>Ruimtestaat[[#This Row],[uren / jaar weekend]]+Ruimtestaat[[#This Row],[uren / jaar werkdagen]]</f>
        <v>0</v>
      </c>
      <c r="AH162" s="80">
        <f>Ruimtestaat[[#This Row],[kosten / jaar weekend]]+Ruimtestaat[[#This Row],[kosten / jaar werkdagen]]</f>
        <v>0</v>
      </c>
    </row>
    <row r="163" spans="1:34" ht="15" customHeight="1">
      <c r="A163" s="256">
        <v>3</v>
      </c>
      <c r="B163" s="171" t="str">
        <f>VLOOKUP(Ruimtestaat[[#This Row],[Code]],Locaties[#All],2,FALSE)</f>
        <v xml:space="preserve">Panta Rhei College </v>
      </c>
      <c r="C163" s="258" t="str">
        <f>VLOOKUP(Ruimtestaat[[#This Row],[Code]],Locaties[#All],4,FALSE)</f>
        <v>Min. De Savornin Lohmanlaan 58</v>
      </c>
      <c r="D163" s="258" t="str">
        <f>VLOOKUP(Ruimtestaat[[#This Row],[Code]],Locaties[#All],5,FALSE)</f>
        <v>7512DL</v>
      </c>
      <c r="E163" s="258" t="str">
        <f>VLOOKUP(Ruimtestaat[[#This Row],[Code]],Locaties[#All],6,FALSE)</f>
        <v>Enschede</v>
      </c>
      <c r="F163" s="257"/>
      <c r="G163" s="257" t="s">
        <v>563</v>
      </c>
      <c r="H163" s="171"/>
      <c r="I163" s="257">
        <v>7</v>
      </c>
      <c r="J163" s="259" t="s">
        <v>573</v>
      </c>
      <c r="K163" s="258">
        <v>20</v>
      </c>
      <c r="L163" s="260" t="str">
        <f>VLOOKUP(Ruimtestaat[[#This Row],[Ruimte code]],Ruimtegroepen[#All],2,FALSE)</f>
        <v>Niet in onderhoud</v>
      </c>
      <c r="M163" s="212" t="s">
        <v>111</v>
      </c>
      <c r="N163" s="257" t="s">
        <v>128</v>
      </c>
      <c r="O163" s="261"/>
      <c r="P163" s="183">
        <v>7</v>
      </c>
      <c r="Q163" s="212" t="str">
        <f>VLOOKUP(Ruimtestaat[[#This Row],[Ruimte code]],Ruimtegroepen[#All],4,FALSE)</f>
        <v>niet in onderhoud</v>
      </c>
      <c r="R163" s="184"/>
      <c r="S163" s="185"/>
      <c r="T163" s="185"/>
      <c r="U163" s="185">
        <f>IF(S163&gt;0,IF(RIGHT(Ruimtestaat[[#This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63" s="185">
        <f>IF(U163&gt;0,VLOOKUP($K163,Ruimtegroepen[],3,FALSE)*VLOOKUP($M163,Vloersoorten[],3,FALSE)*VLOOKUP($T163,Frequenties[],3,FALSE)*VLOOKUP($A163,Locaties[],3,FALSE),0)</f>
        <v>0</v>
      </c>
      <c r="W163" s="185">
        <f>Ruimtestaat[[#This Row],[Uitvoeringen werkdagen]]*Ruimtestaat[[#This Row],[Oppervlak (netto)]]</f>
        <v>0</v>
      </c>
      <c r="X163" s="220">
        <f>IF(V163&gt;0,Ruimtestaat[[#This Row],[Prest. (m2 /jaar) werkdagen]]/Ruimtestaat[[#This Row],[Norm (m2/uur) werkdagen]],0)</f>
        <v>0</v>
      </c>
      <c r="Y163" s="221">
        <f>Ruimtestaat[[#This Row],[uren / jaar werkdagen]]*Tariefsopbouw!$D$38</f>
        <v>0</v>
      </c>
      <c r="Z163" s="33"/>
      <c r="AA163" s="33">
        <f>IF(Ruimtestaat[[#This Row],[Frequentie weekend]]&gt;0,VALUE(LEFT(Z163,1))*S163,0)</f>
        <v>0</v>
      </c>
      <c r="AB163" s="33">
        <f>IF($AA163&gt;0,VLOOKUP($K163,Ruimtegroepen[],3,FALSE)*VLOOKUP($M163,Vloersoorten[],3,FALSE)*VLOOKUP($Z163,Frequenties[],3,FALSE)*VLOOKUP(#REF!,Locaties[],3,FALSE),0)</f>
        <v>0</v>
      </c>
      <c r="AC163" s="33"/>
      <c r="AD163" s="33"/>
      <c r="AE163" s="33">
        <f>Ruimtestaat[[#This Row],[uren / jaar weekend]]*Tariefsopbouw!$D$40</f>
        <v>0</v>
      </c>
      <c r="AF163" s="79">
        <f>Ruimtestaat[[#This Row],[Prest. (m2 /jaar) weekend]]+Ruimtestaat[[#This Row],[Prest. (m2 /jaar) werkdagen]]</f>
        <v>0</v>
      </c>
      <c r="AG163" s="79">
        <f>Ruimtestaat[[#This Row],[uren / jaar weekend]]+Ruimtestaat[[#This Row],[uren / jaar werkdagen]]</f>
        <v>0</v>
      </c>
      <c r="AH163" s="80">
        <f>Ruimtestaat[[#This Row],[kosten / jaar weekend]]+Ruimtestaat[[#This Row],[kosten / jaar werkdagen]]</f>
        <v>0</v>
      </c>
    </row>
    <row r="164" spans="1:34" ht="15" customHeight="1">
      <c r="A164" s="256">
        <v>3</v>
      </c>
      <c r="B164" s="171" t="str">
        <f>VLOOKUP(Ruimtestaat[[#This Row],[Code]],Locaties[#All],2,FALSE)</f>
        <v xml:space="preserve">Panta Rhei College </v>
      </c>
      <c r="C164" s="258" t="str">
        <f>VLOOKUP(Ruimtestaat[[#This Row],[Code]],Locaties[#All],4,FALSE)</f>
        <v>Min. De Savornin Lohmanlaan 58</v>
      </c>
      <c r="D164" s="258" t="str">
        <f>VLOOKUP(Ruimtestaat[[#This Row],[Code]],Locaties[#All],5,FALSE)</f>
        <v>7512DL</v>
      </c>
      <c r="E164" s="258" t="str">
        <f>VLOOKUP(Ruimtestaat[[#This Row],[Code]],Locaties[#All],6,FALSE)</f>
        <v>Enschede</v>
      </c>
      <c r="F164" s="257"/>
      <c r="G164" s="257" t="s">
        <v>563</v>
      </c>
      <c r="H164" s="171"/>
      <c r="I164" s="257">
        <v>8</v>
      </c>
      <c r="J164" s="259" t="s">
        <v>574</v>
      </c>
      <c r="K164" s="258">
        <v>6</v>
      </c>
      <c r="L164" s="260" t="str">
        <f>VLOOKUP(Ruimtestaat[[#This Row],[Ruimte code]],Ruimtegroepen[#All],2,FALSE)</f>
        <v>Gangen/hallen</v>
      </c>
      <c r="M164" s="258" t="s">
        <v>598</v>
      </c>
      <c r="N164" s="257" t="s">
        <v>132</v>
      </c>
      <c r="O164" s="261">
        <v>19</v>
      </c>
      <c r="P164" s="183"/>
      <c r="Q164" s="212" t="str">
        <f>VLOOKUP(Ruimtestaat[[#This Row],[Ruimte code]],Ruimtegroepen[#All],4,FALSE)</f>
        <v>V  (Verkeersruimte)</v>
      </c>
      <c r="R164" s="184"/>
      <c r="S164" s="185">
        <v>40</v>
      </c>
      <c r="T164" s="185" t="s">
        <v>2</v>
      </c>
      <c r="U164" s="185">
        <f>IF(S164&gt;0,IF(RIGHT(Ruimtestaat[[#This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4" s="185">
        <f>IF(U164&gt;0,VLOOKUP($K164,Ruimtegroepen[],3,FALSE)*VLOOKUP($M164,Vloersoorten[],3,FALSE)*VLOOKUP($T164,Frequenties[],3,FALSE)*VLOOKUP($A164,Locaties[],3,FALSE),0)</f>
        <v>0</v>
      </c>
      <c r="W164" s="185">
        <f>Ruimtestaat[[#This Row],[Uitvoeringen werkdagen]]*Ruimtestaat[[#This Row],[Oppervlak (netto)]]</f>
        <v>3800</v>
      </c>
      <c r="X164" s="220">
        <f>IF(V164&gt;0,Ruimtestaat[[#This Row],[Prest. (m2 /jaar) werkdagen]]/Ruimtestaat[[#This Row],[Norm (m2/uur) werkdagen]],0)</f>
        <v>0</v>
      </c>
      <c r="Y164" s="221">
        <f>Ruimtestaat[[#This Row],[uren / jaar werkdagen]]*Tariefsopbouw!$D$38</f>
        <v>0</v>
      </c>
      <c r="Z164" s="33"/>
      <c r="AA164" s="33">
        <f>IF(Ruimtestaat[[#This Row],[Frequentie weekend]]&gt;0,VALUE(LEFT(Z164,1))*S164,0)</f>
        <v>0</v>
      </c>
      <c r="AB164" s="33">
        <f>IF($AA164&gt;0,VLOOKUP($K164,Ruimtegroepen[],3,FALSE)*VLOOKUP($M164,Vloersoorten[],3,FALSE)*VLOOKUP($Z164,Frequenties[],3,FALSE)*VLOOKUP(#REF!,Locaties[],3,FALSE),0)</f>
        <v>0</v>
      </c>
      <c r="AC164" s="33"/>
      <c r="AD164" s="33"/>
      <c r="AE164" s="33">
        <f>Ruimtestaat[[#This Row],[uren / jaar weekend]]*Tariefsopbouw!$D$40</f>
        <v>0</v>
      </c>
      <c r="AF164" s="79">
        <f>Ruimtestaat[[#This Row],[Prest. (m2 /jaar) weekend]]+Ruimtestaat[[#This Row],[Prest. (m2 /jaar) werkdagen]]</f>
        <v>3800</v>
      </c>
      <c r="AG164" s="79">
        <f>Ruimtestaat[[#This Row],[uren / jaar weekend]]+Ruimtestaat[[#This Row],[uren / jaar werkdagen]]</f>
        <v>0</v>
      </c>
      <c r="AH164" s="80">
        <f>Ruimtestaat[[#This Row],[kosten / jaar weekend]]+Ruimtestaat[[#This Row],[kosten / jaar werkdagen]]</f>
        <v>0</v>
      </c>
    </row>
    <row r="165" spans="1:34" ht="15" customHeight="1">
      <c r="A165" s="256">
        <v>3</v>
      </c>
      <c r="B165" s="171" t="str">
        <f>VLOOKUP(Ruimtestaat[[#This Row],[Code]],Locaties[#All],2,FALSE)</f>
        <v xml:space="preserve">Panta Rhei College </v>
      </c>
      <c r="C165" s="258" t="str">
        <f>VLOOKUP(Ruimtestaat[[#This Row],[Code]],Locaties[#All],4,FALSE)</f>
        <v>Min. De Savornin Lohmanlaan 58</v>
      </c>
      <c r="D165" s="258" t="str">
        <f>VLOOKUP(Ruimtestaat[[#This Row],[Code]],Locaties[#All],5,FALSE)</f>
        <v>7512DL</v>
      </c>
      <c r="E165" s="258" t="str">
        <f>VLOOKUP(Ruimtestaat[[#This Row],[Code]],Locaties[#All],6,FALSE)</f>
        <v>Enschede</v>
      </c>
      <c r="F165" s="257"/>
      <c r="G165" s="257" t="s">
        <v>563</v>
      </c>
      <c r="H165" s="171"/>
      <c r="I165" s="257">
        <v>9</v>
      </c>
      <c r="J165" s="259" t="s">
        <v>571</v>
      </c>
      <c r="K165" s="258">
        <v>2</v>
      </c>
      <c r="L165" s="260" t="str">
        <f>VLOOKUP(Ruimtestaat[[#This Row],[Ruimte code]],Ruimtegroepen[#All],2,FALSE)</f>
        <v>Kantoren</v>
      </c>
      <c r="M165" s="212" t="s">
        <v>109</v>
      </c>
      <c r="N165" s="257" t="s">
        <v>808</v>
      </c>
      <c r="O165" s="261">
        <v>18</v>
      </c>
      <c r="P165" s="183"/>
      <c r="Q165" s="212" t="str">
        <f>VLOOKUP(Ruimtestaat[[#This Row],[Ruimte code]],Ruimtegroepen[#All],4,FALSE)</f>
        <v>B  (Bureauruimte)</v>
      </c>
      <c r="R165" s="184"/>
      <c r="S165" s="185">
        <v>40</v>
      </c>
      <c r="T165" s="185" t="s">
        <v>17</v>
      </c>
      <c r="U165" s="185">
        <f>IF(S165&gt;0,IF(RIGHT(Ruimtestaat[[#This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5" s="185">
        <f>IF(U165&gt;0,VLOOKUP($K165,Ruimtegroepen[],3,FALSE)*VLOOKUP($M165,Vloersoorten[],3,FALSE)*VLOOKUP($T165,Frequenties[],3,FALSE)*VLOOKUP($A165,Locaties[],3,FALSE),0)</f>
        <v>0</v>
      </c>
      <c r="W165" s="185">
        <f>Ruimtestaat[[#This Row],[Uitvoeringen werkdagen]]*Ruimtestaat[[#This Row],[Oppervlak (netto)]]</f>
        <v>1440</v>
      </c>
      <c r="X165" s="220">
        <f>IF(V165&gt;0,Ruimtestaat[[#This Row],[Prest. (m2 /jaar) werkdagen]]/Ruimtestaat[[#This Row],[Norm (m2/uur) werkdagen]],0)</f>
        <v>0</v>
      </c>
      <c r="Y165" s="221">
        <f>Ruimtestaat[[#This Row],[uren / jaar werkdagen]]*Tariefsopbouw!$D$38</f>
        <v>0</v>
      </c>
      <c r="Z165" s="33"/>
      <c r="AA165" s="33">
        <f>IF(Ruimtestaat[[#This Row],[Frequentie weekend]]&gt;0,VALUE(LEFT(Z165,1))*S165,0)</f>
        <v>0</v>
      </c>
      <c r="AB165" s="33">
        <f>IF($AA165&gt;0,VLOOKUP($K165,Ruimtegroepen[],3,FALSE)*VLOOKUP($M165,Vloersoorten[],3,FALSE)*VLOOKUP($Z165,Frequenties[],3,FALSE)*VLOOKUP(#REF!,Locaties[],3,FALSE),0)</f>
        <v>0</v>
      </c>
      <c r="AC165" s="33"/>
      <c r="AD165" s="33"/>
      <c r="AE165" s="33">
        <f>Ruimtestaat[[#This Row],[uren / jaar weekend]]*Tariefsopbouw!$D$40</f>
        <v>0</v>
      </c>
      <c r="AF165" s="79">
        <f>Ruimtestaat[[#This Row],[Prest. (m2 /jaar) weekend]]+Ruimtestaat[[#This Row],[Prest. (m2 /jaar) werkdagen]]</f>
        <v>1440</v>
      </c>
      <c r="AG165" s="79">
        <f>Ruimtestaat[[#This Row],[uren / jaar weekend]]+Ruimtestaat[[#This Row],[uren / jaar werkdagen]]</f>
        <v>0</v>
      </c>
      <c r="AH165" s="80">
        <f>Ruimtestaat[[#This Row],[kosten / jaar weekend]]+Ruimtestaat[[#This Row],[kosten / jaar werkdagen]]</f>
        <v>0</v>
      </c>
    </row>
    <row r="166" spans="1:34" ht="15" customHeight="1">
      <c r="A166" s="256">
        <v>3</v>
      </c>
      <c r="B166" s="171" t="str">
        <f>VLOOKUP(Ruimtestaat[[#This Row],[Code]],Locaties[#All],2,FALSE)</f>
        <v xml:space="preserve">Panta Rhei College </v>
      </c>
      <c r="C166" s="258" t="str">
        <f>VLOOKUP(Ruimtestaat[[#This Row],[Code]],Locaties[#All],4,FALSE)</f>
        <v>Min. De Savornin Lohmanlaan 58</v>
      </c>
      <c r="D166" s="258" t="str">
        <f>VLOOKUP(Ruimtestaat[[#This Row],[Code]],Locaties[#All],5,FALSE)</f>
        <v>7512DL</v>
      </c>
      <c r="E166" s="258" t="str">
        <f>VLOOKUP(Ruimtestaat[[#This Row],[Code]],Locaties[#All],6,FALSE)</f>
        <v>Enschede</v>
      </c>
      <c r="F166" s="257"/>
      <c r="G166" s="257" t="s">
        <v>563</v>
      </c>
      <c r="H166" s="171"/>
      <c r="I166" s="257">
        <v>10</v>
      </c>
      <c r="J166" s="259" t="s">
        <v>574</v>
      </c>
      <c r="K166" s="258">
        <v>6</v>
      </c>
      <c r="L166" s="260" t="str">
        <f>VLOOKUP(Ruimtestaat[[#This Row],[Ruimte code]],Ruimtegroepen[#All],2,FALSE)</f>
        <v>Gangen/hallen</v>
      </c>
      <c r="M166" s="258" t="s">
        <v>598</v>
      </c>
      <c r="N166" s="257" t="s">
        <v>132</v>
      </c>
      <c r="O166" s="261">
        <v>75</v>
      </c>
      <c r="P166" s="183"/>
      <c r="Q166" s="212" t="str">
        <f>VLOOKUP(Ruimtestaat[[#This Row],[Ruimte code]],Ruimtegroepen[#All],4,FALSE)</f>
        <v>V  (Verkeersruimte)</v>
      </c>
      <c r="R166" s="184"/>
      <c r="S166" s="185">
        <v>40</v>
      </c>
      <c r="T166" s="185" t="s">
        <v>2</v>
      </c>
      <c r="U166" s="185">
        <f>IF(S166&gt;0,IF(RIGHT(Ruimtestaat[[#This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6" s="185">
        <f>IF(U166&gt;0,VLOOKUP($K166,Ruimtegroepen[],3,FALSE)*VLOOKUP($M166,Vloersoorten[],3,FALSE)*VLOOKUP($T166,Frequenties[],3,FALSE)*VLOOKUP($A166,Locaties[],3,FALSE),0)</f>
        <v>0</v>
      </c>
      <c r="W166" s="185">
        <f>Ruimtestaat[[#This Row],[Uitvoeringen werkdagen]]*Ruimtestaat[[#This Row],[Oppervlak (netto)]]</f>
        <v>15000</v>
      </c>
      <c r="X166" s="220">
        <f>IF(V166&gt;0,Ruimtestaat[[#This Row],[Prest. (m2 /jaar) werkdagen]]/Ruimtestaat[[#This Row],[Norm (m2/uur) werkdagen]],0)</f>
        <v>0</v>
      </c>
      <c r="Y166" s="221">
        <f>Ruimtestaat[[#This Row],[uren / jaar werkdagen]]*Tariefsopbouw!$D$38</f>
        <v>0</v>
      </c>
      <c r="Z166" s="33"/>
      <c r="AA166" s="33">
        <f>IF(Ruimtestaat[[#This Row],[Frequentie weekend]]&gt;0,VALUE(LEFT(Z166,1))*S166,0)</f>
        <v>0</v>
      </c>
      <c r="AB166" s="33">
        <f>IF($AA166&gt;0,VLOOKUP($K166,Ruimtegroepen[],3,FALSE)*VLOOKUP($M166,Vloersoorten[],3,FALSE)*VLOOKUP($Z166,Frequenties[],3,FALSE)*VLOOKUP(#REF!,Locaties[],3,FALSE),0)</f>
        <v>0</v>
      </c>
      <c r="AC166" s="33"/>
      <c r="AD166" s="33"/>
      <c r="AE166" s="33">
        <f>Ruimtestaat[[#This Row],[uren / jaar weekend]]*Tariefsopbouw!$D$40</f>
        <v>0</v>
      </c>
      <c r="AF166" s="79">
        <f>Ruimtestaat[[#This Row],[Prest. (m2 /jaar) weekend]]+Ruimtestaat[[#This Row],[Prest. (m2 /jaar) werkdagen]]</f>
        <v>15000</v>
      </c>
      <c r="AG166" s="79">
        <f>Ruimtestaat[[#This Row],[uren / jaar weekend]]+Ruimtestaat[[#This Row],[uren / jaar werkdagen]]</f>
        <v>0</v>
      </c>
      <c r="AH166" s="80">
        <f>Ruimtestaat[[#This Row],[kosten / jaar weekend]]+Ruimtestaat[[#This Row],[kosten / jaar werkdagen]]</f>
        <v>0</v>
      </c>
    </row>
    <row r="167" spans="1:34" ht="15" customHeight="1">
      <c r="A167" s="256">
        <v>3</v>
      </c>
      <c r="B167" s="171" t="str">
        <f>VLOOKUP(Ruimtestaat[[#This Row],[Code]],Locaties[#All],2,FALSE)</f>
        <v xml:space="preserve">Panta Rhei College </v>
      </c>
      <c r="C167" s="258" t="str">
        <f>VLOOKUP(Ruimtestaat[[#This Row],[Code]],Locaties[#All],4,FALSE)</f>
        <v>Min. De Savornin Lohmanlaan 58</v>
      </c>
      <c r="D167" s="258" t="str">
        <f>VLOOKUP(Ruimtestaat[[#This Row],[Code]],Locaties[#All],5,FALSE)</f>
        <v>7512DL</v>
      </c>
      <c r="E167" s="258" t="str">
        <f>VLOOKUP(Ruimtestaat[[#This Row],[Code]],Locaties[#All],6,FALSE)</f>
        <v>Enschede</v>
      </c>
      <c r="F167" s="257"/>
      <c r="G167" s="257" t="s">
        <v>563</v>
      </c>
      <c r="H167" s="171"/>
      <c r="I167" s="257">
        <v>11</v>
      </c>
      <c r="J167" s="259" t="s">
        <v>571</v>
      </c>
      <c r="K167" s="258">
        <v>2</v>
      </c>
      <c r="L167" s="260" t="str">
        <f>VLOOKUP(Ruimtestaat[[#This Row],[Ruimte code]],Ruimtegroepen[#All],2,FALSE)</f>
        <v>Kantoren</v>
      </c>
      <c r="M167" s="185" t="s">
        <v>598</v>
      </c>
      <c r="N167" s="257" t="s">
        <v>132</v>
      </c>
      <c r="O167" s="261">
        <v>9</v>
      </c>
      <c r="P167" s="183"/>
      <c r="Q167" s="212" t="str">
        <f>VLOOKUP(Ruimtestaat[[#This Row],[Ruimte code]],Ruimtegroepen[#All],4,FALSE)</f>
        <v>B  (Bureauruimte)</v>
      </c>
      <c r="R167" s="184"/>
      <c r="S167" s="185">
        <v>40</v>
      </c>
      <c r="T167" s="185" t="s">
        <v>17</v>
      </c>
      <c r="U167" s="185">
        <f>IF(S167&gt;0,IF(RIGHT(Ruimtestaat[[#This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7" s="185">
        <f>IF(U167&gt;0,VLOOKUP($K167,Ruimtegroepen[],3,FALSE)*VLOOKUP($M167,Vloersoorten[],3,FALSE)*VLOOKUP($T167,Frequenties[],3,FALSE)*VLOOKUP($A167,Locaties[],3,FALSE),0)</f>
        <v>0</v>
      </c>
      <c r="W167" s="185">
        <f>Ruimtestaat[[#This Row],[Uitvoeringen werkdagen]]*Ruimtestaat[[#This Row],[Oppervlak (netto)]]</f>
        <v>720</v>
      </c>
      <c r="X167" s="220">
        <f>IF(V167&gt;0,Ruimtestaat[[#This Row],[Prest. (m2 /jaar) werkdagen]]/Ruimtestaat[[#This Row],[Norm (m2/uur) werkdagen]],0)</f>
        <v>0</v>
      </c>
      <c r="Y167" s="221">
        <f>Ruimtestaat[[#This Row],[uren / jaar werkdagen]]*Tariefsopbouw!$D$38</f>
        <v>0</v>
      </c>
      <c r="Z167" s="33"/>
      <c r="AA167" s="33">
        <f>IF(Ruimtestaat[[#This Row],[Frequentie weekend]]&gt;0,VALUE(LEFT(Z167,1))*S167,0)</f>
        <v>0</v>
      </c>
      <c r="AB167" s="33">
        <f>IF($AA167&gt;0,VLOOKUP($K167,Ruimtegroepen[],3,FALSE)*VLOOKUP($M167,Vloersoorten[],3,FALSE)*VLOOKUP($Z167,Frequenties[],3,FALSE)*VLOOKUP(#REF!,Locaties[],3,FALSE),0)</f>
        <v>0</v>
      </c>
      <c r="AC167" s="33"/>
      <c r="AD167" s="33"/>
      <c r="AE167" s="33">
        <f>Ruimtestaat[[#This Row],[uren / jaar weekend]]*Tariefsopbouw!$D$40</f>
        <v>0</v>
      </c>
      <c r="AF167" s="79">
        <f>Ruimtestaat[[#This Row],[Prest. (m2 /jaar) weekend]]+Ruimtestaat[[#This Row],[Prest. (m2 /jaar) werkdagen]]</f>
        <v>720</v>
      </c>
      <c r="AG167" s="79">
        <f>Ruimtestaat[[#This Row],[uren / jaar weekend]]+Ruimtestaat[[#This Row],[uren / jaar werkdagen]]</f>
        <v>0</v>
      </c>
      <c r="AH167" s="80">
        <f>Ruimtestaat[[#This Row],[kosten / jaar weekend]]+Ruimtestaat[[#This Row],[kosten / jaar werkdagen]]</f>
        <v>0</v>
      </c>
    </row>
    <row r="168" spans="1:34" ht="15" customHeight="1">
      <c r="A168" s="256">
        <v>3</v>
      </c>
      <c r="B168" s="171" t="str">
        <f>VLOOKUP(Ruimtestaat[[#This Row],[Code]],Locaties[#All],2,FALSE)</f>
        <v xml:space="preserve">Panta Rhei College </v>
      </c>
      <c r="C168" s="258" t="str">
        <f>VLOOKUP(Ruimtestaat[[#This Row],[Code]],Locaties[#All],4,FALSE)</f>
        <v>Min. De Savornin Lohmanlaan 58</v>
      </c>
      <c r="D168" s="258" t="str">
        <f>VLOOKUP(Ruimtestaat[[#This Row],[Code]],Locaties[#All],5,FALSE)</f>
        <v>7512DL</v>
      </c>
      <c r="E168" s="258" t="str">
        <f>VLOOKUP(Ruimtestaat[[#This Row],[Code]],Locaties[#All],6,FALSE)</f>
        <v>Enschede</v>
      </c>
      <c r="F168" s="257"/>
      <c r="G168" s="257" t="s">
        <v>563</v>
      </c>
      <c r="H168" s="171"/>
      <c r="I168" s="257" t="s">
        <v>789</v>
      </c>
      <c r="J168" s="259" t="s">
        <v>571</v>
      </c>
      <c r="K168" s="258">
        <v>2</v>
      </c>
      <c r="L168" s="260" t="str">
        <f>VLOOKUP(Ruimtestaat[[#This Row],[Ruimte code]],Ruimtegroepen[#All],2,FALSE)</f>
        <v>Kantoren</v>
      </c>
      <c r="M168" s="258" t="s">
        <v>598</v>
      </c>
      <c r="N168" s="257" t="s">
        <v>132</v>
      </c>
      <c r="O168" s="261">
        <v>9</v>
      </c>
      <c r="P168" s="183"/>
      <c r="Q168" s="212" t="str">
        <f>VLOOKUP(Ruimtestaat[[#This Row],[Ruimte code]],Ruimtegroepen[#All],4,FALSE)</f>
        <v>B  (Bureauruimte)</v>
      </c>
      <c r="R168" s="184"/>
      <c r="S168" s="185">
        <v>40</v>
      </c>
      <c r="T168" s="185" t="s">
        <v>17</v>
      </c>
      <c r="U168" s="185">
        <f>IF(S168&gt;0,IF(RIGHT(Ruimtestaat[[#This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8" s="185">
        <f>IF(U168&gt;0,VLOOKUP($K168,Ruimtegroepen[],3,FALSE)*VLOOKUP($M168,Vloersoorten[],3,FALSE)*VLOOKUP($T168,Frequenties[],3,FALSE)*VLOOKUP($A168,Locaties[],3,FALSE),0)</f>
        <v>0</v>
      </c>
      <c r="W168" s="185">
        <f>Ruimtestaat[[#This Row],[Uitvoeringen werkdagen]]*Ruimtestaat[[#This Row],[Oppervlak (netto)]]</f>
        <v>720</v>
      </c>
      <c r="X168" s="220">
        <f>IF(V168&gt;0,Ruimtestaat[[#This Row],[Prest. (m2 /jaar) werkdagen]]/Ruimtestaat[[#This Row],[Norm (m2/uur) werkdagen]],0)</f>
        <v>0</v>
      </c>
      <c r="Y168" s="221">
        <f>Ruimtestaat[[#This Row],[uren / jaar werkdagen]]*Tariefsopbouw!$D$38</f>
        <v>0</v>
      </c>
      <c r="Z168" s="33"/>
      <c r="AA168" s="33">
        <f>IF(Ruimtestaat[[#This Row],[Frequentie weekend]]&gt;0,VALUE(LEFT(Z168,1))*S168,0)</f>
        <v>0</v>
      </c>
      <c r="AB168" s="33">
        <f>IF($AA168&gt;0,VLOOKUP($K168,Ruimtegroepen[],3,FALSE)*VLOOKUP($M168,Vloersoorten[],3,FALSE)*VLOOKUP($Z168,Frequenties[],3,FALSE)*VLOOKUP(#REF!,Locaties[],3,FALSE),0)</f>
        <v>0</v>
      </c>
      <c r="AC168" s="33"/>
      <c r="AD168" s="33"/>
      <c r="AE168" s="33">
        <f>Ruimtestaat[[#This Row],[uren / jaar weekend]]*Tariefsopbouw!$D$40</f>
        <v>0</v>
      </c>
      <c r="AF168" s="79">
        <f>Ruimtestaat[[#This Row],[Prest. (m2 /jaar) weekend]]+Ruimtestaat[[#This Row],[Prest. (m2 /jaar) werkdagen]]</f>
        <v>720</v>
      </c>
      <c r="AG168" s="79">
        <f>Ruimtestaat[[#This Row],[uren / jaar weekend]]+Ruimtestaat[[#This Row],[uren / jaar werkdagen]]</f>
        <v>0</v>
      </c>
      <c r="AH168" s="80">
        <f>Ruimtestaat[[#This Row],[kosten / jaar weekend]]+Ruimtestaat[[#This Row],[kosten / jaar werkdagen]]</f>
        <v>0</v>
      </c>
    </row>
    <row r="169" spans="1:34" ht="15" customHeight="1">
      <c r="A169" s="256">
        <v>3</v>
      </c>
      <c r="B169" s="171" t="str">
        <f>VLOOKUP(Ruimtestaat[[#This Row],[Code]],Locaties[#All],2,FALSE)</f>
        <v xml:space="preserve">Panta Rhei College </v>
      </c>
      <c r="C169" s="258" t="str">
        <f>VLOOKUP(Ruimtestaat[[#This Row],[Code]],Locaties[#All],4,FALSE)</f>
        <v>Min. De Savornin Lohmanlaan 58</v>
      </c>
      <c r="D169" s="258" t="str">
        <f>VLOOKUP(Ruimtestaat[[#This Row],[Code]],Locaties[#All],5,FALSE)</f>
        <v>7512DL</v>
      </c>
      <c r="E169" s="258" t="str">
        <f>VLOOKUP(Ruimtestaat[[#This Row],[Code]],Locaties[#All],6,FALSE)</f>
        <v>Enschede</v>
      </c>
      <c r="F169" s="257"/>
      <c r="G169" s="257" t="s">
        <v>563</v>
      </c>
      <c r="H169" s="171"/>
      <c r="I169" s="257">
        <v>12</v>
      </c>
      <c r="J169" s="259" t="s">
        <v>61</v>
      </c>
      <c r="K169" s="258">
        <v>3</v>
      </c>
      <c r="L169" s="260" t="str">
        <f>VLOOKUP(Ruimtestaat[[#This Row],[Ruimte code]],Ruimtegroepen[#All],2,FALSE)</f>
        <v>Reproruimte</v>
      </c>
      <c r="M169" s="185" t="s">
        <v>598</v>
      </c>
      <c r="N169" s="257" t="s">
        <v>132</v>
      </c>
      <c r="O169" s="261">
        <v>9</v>
      </c>
      <c r="P169" s="183"/>
      <c r="Q169" s="212" t="str">
        <f>VLOOKUP(Ruimtestaat[[#This Row],[Ruimte code]],Ruimtegroepen[#All],4,FALSE)</f>
        <v>V  (Verkeersruimte)</v>
      </c>
      <c r="R169" s="184"/>
      <c r="S169" s="185">
        <v>40</v>
      </c>
      <c r="T169" s="185" t="s">
        <v>2</v>
      </c>
      <c r="U169" s="185">
        <f>IF(S169&gt;0,IF(RIGHT(Ruimtestaat[[#This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9" s="185">
        <f>IF(U169&gt;0,VLOOKUP($K169,Ruimtegroepen[],3,FALSE)*VLOOKUP($M169,Vloersoorten[],3,FALSE)*VLOOKUP($T169,Frequenties[],3,FALSE)*VLOOKUP($A169,Locaties[],3,FALSE),0)</f>
        <v>0</v>
      </c>
      <c r="W169" s="185">
        <f>Ruimtestaat[[#This Row],[Uitvoeringen werkdagen]]*Ruimtestaat[[#This Row],[Oppervlak (netto)]]</f>
        <v>1800</v>
      </c>
      <c r="X169" s="220">
        <f>IF(V169&gt;0,Ruimtestaat[[#This Row],[Prest. (m2 /jaar) werkdagen]]/Ruimtestaat[[#This Row],[Norm (m2/uur) werkdagen]],0)</f>
        <v>0</v>
      </c>
      <c r="Y169" s="221">
        <f>Ruimtestaat[[#This Row],[uren / jaar werkdagen]]*Tariefsopbouw!$D$38</f>
        <v>0</v>
      </c>
      <c r="Z169" s="33"/>
      <c r="AA169" s="33">
        <f>IF(Ruimtestaat[[#This Row],[Frequentie weekend]]&gt;0,VALUE(LEFT(Z169,1))*S169,0)</f>
        <v>0</v>
      </c>
      <c r="AB169" s="33">
        <f>IF($AA169&gt;0,VLOOKUP($K169,Ruimtegroepen[],3,FALSE)*VLOOKUP($M169,Vloersoorten[],3,FALSE)*VLOOKUP($Z169,Frequenties[],3,FALSE)*VLOOKUP(#REF!,Locaties[],3,FALSE),0)</f>
        <v>0</v>
      </c>
      <c r="AC169" s="33"/>
      <c r="AD169" s="33"/>
      <c r="AE169" s="33">
        <f>Ruimtestaat[[#This Row],[uren / jaar weekend]]*Tariefsopbouw!$D$40</f>
        <v>0</v>
      </c>
      <c r="AF169" s="79">
        <f>Ruimtestaat[[#This Row],[Prest. (m2 /jaar) weekend]]+Ruimtestaat[[#This Row],[Prest. (m2 /jaar) werkdagen]]</f>
        <v>1800</v>
      </c>
      <c r="AG169" s="79">
        <f>Ruimtestaat[[#This Row],[uren / jaar weekend]]+Ruimtestaat[[#This Row],[uren / jaar werkdagen]]</f>
        <v>0</v>
      </c>
      <c r="AH169" s="80">
        <f>Ruimtestaat[[#This Row],[kosten / jaar weekend]]+Ruimtestaat[[#This Row],[kosten / jaar werkdagen]]</f>
        <v>0</v>
      </c>
    </row>
    <row r="170" spans="1:34" ht="15" customHeight="1">
      <c r="A170" s="256">
        <v>3</v>
      </c>
      <c r="B170" s="171" t="str">
        <f>VLOOKUP(Ruimtestaat[[#This Row],[Code]],Locaties[#All],2,FALSE)</f>
        <v xml:space="preserve">Panta Rhei College </v>
      </c>
      <c r="C170" s="258" t="str">
        <f>VLOOKUP(Ruimtestaat[[#This Row],[Code]],Locaties[#All],4,FALSE)</f>
        <v>Min. De Savornin Lohmanlaan 58</v>
      </c>
      <c r="D170" s="258" t="str">
        <f>VLOOKUP(Ruimtestaat[[#This Row],[Code]],Locaties[#All],5,FALSE)</f>
        <v>7512DL</v>
      </c>
      <c r="E170" s="258" t="str">
        <f>VLOOKUP(Ruimtestaat[[#This Row],[Code]],Locaties[#All],6,FALSE)</f>
        <v>Enschede</v>
      </c>
      <c r="F170" s="257"/>
      <c r="G170" s="257" t="s">
        <v>563</v>
      </c>
      <c r="H170" s="171"/>
      <c r="I170" s="257">
        <v>13</v>
      </c>
      <c r="J170" s="259" t="s">
        <v>683</v>
      </c>
      <c r="K170" s="258">
        <v>5</v>
      </c>
      <c r="L170" s="260" t="str">
        <f>VLOOKUP(Ruimtestaat[[#This Row],[Ruimte code]],Ruimtegroepen[#All],2,FALSE)</f>
        <v>Sanitair</v>
      </c>
      <c r="M170" s="212" t="s">
        <v>111</v>
      </c>
      <c r="N170" s="257" t="s">
        <v>605</v>
      </c>
      <c r="O170" s="261">
        <v>20</v>
      </c>
      <c r="P170" s="183"/>
      <c r="Q170" s="212" t="str">
        <f>VLOOKUP(Ruimtestaat[[#This Row],[Ruimte code]],Ruimtegroepen[#All],4,FALSE)</f>
        <v>S  (Sanitair)</v>
      </c>
      <c r="R170" s="184"/>
      <c r="S170" s="185">
        <v>40</v>
      </c>
      <c r="T170" s="185" t="s">
        <v>2</v>
      </c>
      <c r="U170" s="185">
        <f>IF(S170&gt;0,IF(RIGHT(Ruimtestaat[[#This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0" s="185">
        <f>IF(U170&gt;0,VLOOKUP($K170,Ruimtegroepen[],3,FALSE)*VLOOKUP($M170,Vloersoorten[],3,FALSE)*VLOOKUP($T170,Frequenties[],3,FALSE)*VLOOKUP($A170,Locaties[],3,FALSE),0)</f>
        <v>0</v>
      </c>
      <c r="W170" s="185">
        <f>Ruimtestaat[[#This Row],[Uitvoeringen werkdagen]]*Ruimtestaat[[#This Row],[Oppervlak (netto)]]</f>
        <v>4000</v>
      </c>
      <c r="X170" s="220">
        <f>IF(V170&gt;0,Ruimtestaat[[#This Row],[Prest. (m2 /jaar) werkdagen]]/Ruimtestaat[[#This Row],[Norm (m2/uur) werkdagen]],0)</f>
        <v>0</v>
      </c>
      <c r="Y170" s="221">
        <f>Ruimtestaat[[#This Row],[uren / jaar werkdagen]]*Tariefsopbouw!$D$38</f>
        <v>0</v>
      </c>
      <c r="Z170" s="33"/>
      <c r="AA170" s="33">
        <f>IF(Ruimtestaat[[#This Row],[Frequentie weekend]]&gt;0,VALUE(LEFT(Z170,1))*S170,0)</f>
        <v>0</v>
      </c>
      <c r="AB170" s="33">
        <f>IF($AA170&gt;0,VLOOKUP($K170,Ruimtegroepen[],3,FALSE)*VLOOKUP($M170,Vloersoorten[],3,FALSE)*VLOOKUP($Z170,Frequenties[],3,FALSE)*VLOOKUP(#REF!,Locaties[],3,FALSE),0)</f>
        <v>0</v>
      </c>
      <c r="AC170" s="33"/>
      <c r="AD170" s="33"/>
      <c r="AE170" s="33">
        <f>Ruimtestaat[[#This Row],[uren / jaar weekend]]*Tariefsopbouw!$D$40</f>
        <v>0</v>
      </c>
      <c r="AF170" s="79">
        <f>Ruimtestaat[[#This Row],[Prest. (m2 /jaar) weekend]]+Ruimtestaat[[#This Row],[Prest. (m2 /jaar) werkdagen]]</f>
        <v>4000</v>
      </c>
      <c r="AG170" s="79">
        <f>Ruimtestaat[[#This Row],[uren / jaar weekend]]+Ruimtestaat[[#This Row],[uren / jaar werkdagen]]</f>
        <v>0</v>
      </c>
      <c r="AH170" s="80">
        <f>Ruimtestaat[[#This Row],[kosten / jaar weekend]]+Ruimtestaat[[#This Row],[kosten / jaar werkdagen]]</f>
        <v>0</v>
      </c>
    </row>
    <row r="171" spans="1:34" ht="15" customHeight="1">
      <c r="A171" s="256">
        <v>3</v>
      </c>
      <c r="B171" s="171" t="str">
        <f>VLOOKUP(Ruimtestaat[[#This Row],[Code]],Locaties[#All],2,FALSE)</f>
        <v xml:space="preserve">Panta Rhei College </v>
      </c>
      <c r="C171" s="258" t="str">
        <f>VLOOKUP(Ruimtestaat[[#This Row],[Code]],Locaties[#All],4,FALSE)</f>
        <v>Min. De Savornin Lohmanlaan 58</v>
      </c>
      <c r="D171" s="258" t="str">
        <f>VLOOKUP(Ruimtestaat[[#This Row],[Code]],Locaties[#All],5,FALSE)</f>
        <v>7512DL</v>
      </c>
      <c r="E171" s="258" t="str">
        <f>VLOOKUP(Ruimtestaat[[#This Row],[Code]],Locaties[#All],6,FALSE)</f>
        <v>Enschede</v>
      </c>
      <c r="F171" s="257"/>
      <c r="G171" s="257" t="s">
        <v>563</v>
      </c>
      <c r="H171" s="171"/>
      <c r="I171" s="257">
        <v>14</v>
      </c>
      <c r="J171" s="259" t="s">
        <v>587</v>
      </c>
      <c r="K171" s="185">
        <v>6</v>
      </c>
      <c r="L171" s="260" t="str">
        <f>VLOOKUP(Ruimtestaat[[#This Row],[Ruimte code]],Ruimtegroepen[#All],2,FALSE)</f>
        <v>Gangen/hallen</v>
      </c>
      <c r="M171" s="258" t="s">
        <v>598</v>
      </c>
      <c r="N171" s="257" t="s">
        <v>132</v>
      </c>
      <c r="O171" s="261">
        <v>78</v>
      </c>
      <c r="P171" s="183"/>
      <c r="Q171" s="212" t="str">
        <f>VLOOKUP(Ruimtestaat[[#This Row],[Ruimte code]],Ruimtegroepen[#All],4,FALSE)</f>
        <v>V  (Verkeersruimte)</v>
      </c>
      <c r="R171" s="184"/>
      <c r="S171" s="185">
        <v>40</v>
      </c>
      <c r="T171" s="185" t="s">
        <v>2</v>
      </c>
      <c r="U171" s="185">
        <f>IF(S171&gt;0,IF(RIGHT(Ruimtestaat[[#This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1" s="185">
        <f>IF(U171&gt;0,VLOOKUP($K171,Ruimtegroepen[],3,FALSE)*VLOOKUP($M171,Vloersoorten[],3,FALSE)*VLOOKUP($T171,Frequenties[],3,FALSE)*VLOOKUP($A171,Locaties[],3,FALSE),0)</f>
        <v>0</v>
      </c>
      <c r="W171" s="185">
        <f>Ruimtestaat[[#This Row],[Uitvoeringen werkdagen]]*Ruimtestaat[[#This Row],[Oppervlak (netto)]]</f>
        <v>15600</v>
      </c>
      <c r="X171" s="220">
        <f>IF(V171&gt;0,Ruimtestaat[[#This Row],[Prest. (m2 /jaar) werkdagen]]/Ruimtestaat[[#This Row],[Norm (m2/uur) werkdagen]],0)</f>
        <v>0</v>
      </c>
      <c r="Y171" s="221">
        <f>Ruimtestaat[[#This Row],[uren / jaar werkdagen]]*Tariefsopbouw!$D$38</f>
        <v>0</v>
      </c>
      <c r="Z171" s="33"/>
      <c r="AA171" s="33">
        <f>IF(Ruimtestaat[[#This Row],[Frequentie weekend]]&gt;0,VALUE(LEFT(Z171,1))*S171,0)</f>
        <v>0</v>
      </c>
      <c r="AB171" s="33">
        <f>IF($AA171&gt;0,VLOOKUP($K171,Ruimtegroepen[],3,FALSE)*VLOOKUP($M171,Vloersoorten[],3,FALSE)*VLOOKUP($Z171,Frequenties[],3,FALSE)*VLOOKUP(#REF!,Locaties[],3,FALSE),0)</f>
        <v>0</v>
      </c>
      <c r="AC171" s="33"/>
      <c r="AD171" s="33"/>
      <c r="AE171" s="33">
        <f>Ruimtestaat[[#This Row],[uren / jaar weekend]]*Tariefsopbouw!$D$40</f>
        <v>0</v>
      </c>
      <c r="AF171" s="79">
        <f>Ruimtestaat[[#This Row],[Prest. (m2 /jaar) weekend]]+Ruimtestaat[[#This Row],[Prest. (m2 /jaar) werkdagen]]</f>
        <v>15600</v>
      </c>
      <c r="AG171" s="79">
        <f>Ruimtestaat[[#This Row],[uren / jaar weekend]]+Ruimtestaat[[#This Row],[uren / jaar werkdagen]]</f>
        <v>0</v>
      </c>
      <c r="AH171" s="80">
        <f>Ruimtestaat[[#This Row],[kosten / jaar weekend]]+Ruimtestaat[[#This Row],[kosten / jaar werkdagen]]</f>
        <v>0</v>
      </c>
    </row>
    <row r="172" spans="1:34" ht="15" customHeight="1">
      <c r="A172" s="256">
        <v>3</v>
      </c>
      <c r="B172" s="171" t="str">
        <f>VLOOKUP(Ruimtestaat[[#This Row],[Code]],Locaties[#All],2,FALSE)</f>
        <v xml:space="preserve">Panta Rhei College </v>
      </c>
      <c r="C172" s="258" t="str">
        <f>VLOOKUP(Ruimtestaat[[#This Row],[Code]],Locaties[#All],4,FALSE)</f>
        <v>Min. De Savornin Lohmanlaan 58</v>
      </c>
      <c r="D172" s="258" t="str">
        <f>VLOOKUP(Ruimtestaat[[#This Row],[Code]],Locaties[#All],5,FALSE)</f>
        <v>7512DL</v>
      </c>
      <c r="E172" s="258" t="str">
        <f>VLOOKUP(Ruimtestaat[[#This Row],[Code]],Locaties[#All],6,FALSE)</f>
        <v>Enschede</v>
      </c>
      <c r="F172" s="257"/>
      <c r="G172" s="257" t="s">
        <v>563</v>
      </c>
      <c r="H172" s="171"/>
      <c r="I172" s="257" t="s">
        <v>790</v>
      </c>
      <c r="J172" s="259" t="s">
        <v>130</v>
      </c>
      <c r="K172" s="185">
        <v>15</v>
      </c>
      <c r="L172" s="260" t="str">
        <f>VLOOKUP(Ruimtestaat[[#This Row],[Ruimte code]],Ruimtegroepen[#All],2,FALSE)</f>
        <v>Keuken/pantry</v>
      </c>
      <c r="M172" s="258" t="s">
        <v>598</v>
      </c>
      <c r="N172" s="257" t="s">
        <v>132</v>
      </c>
      <c r="O172" s="261">
        <v>7</v>
      </c>
      <c r="P172" s="183"/>
      <c r="Q172" s="212" t="str">
        <f>VLOOKUP(Ruimtestaat[[#This Row],[Ruimte code]],Ruimtegroepen[#All],4,FALSE)</f>
        <v>V  (Verkeersruimte)</v>
      </c>
      <c r="R172" s="184"/>
      <c r="S172" s="185">
        <v>40</v>
      </c>
      <c r="T172" s="185" t="s">
        <v>2</v>
      </c>
      <c r="U172" s="185">
        <f>IF(S172&gt;0,IF(RIGHT(Ruimtestaat[[#This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2" s="185">
        <f>IF(U172&gt;0,VLOOKUP($K172,Ruimtegroepen[],3,FALSE)*VLOOKUP($M172,Vloersoorten[],3,FALSE)*VLOOKUP($T172,Frequenties[],3,FALSE)*VLOOKUP($A172,Locaties[],3,FALSE),0)</f>
        <v>0</v>
      </c>
      <c r="W172" s="185">
        <f>Ruimtestaat[[#This Row],[Uitvoeringen werkdagen]]*Ruimtestaat[[#This Row],[Oppervlak (netto)]]</f>
        <v>1400</v>
      </c>
      <c r="X172" s="220">
        <f>IF(V172&gt;0,Ruimtestaat[[#This Row],[Prest. (m2 /jaar) werkdagen]]/Ruimtestaat[[#This Row],[Norm (m2/uur) werkdagen]],0)</f>
        <v>0</v>
      </c>
      <c r="Y172" s="221">
        <f>Ruimtestaat[[#This Row],[uren / jaar werkdagen]]*Tariefsopbouw!$D$38</f>
        <v>0</v>
      </c>
      <c r="Z172" s="33"/>
      <c r="AA172" s="33">
        <f>IF(Ruimtestaat[[#This Row],[Frequentie weekend]]&gt;0,VALUE(LEFT(Z172,1))*S172,0)</f>
        <v>0</v>
      </c>
      <c r="AB172" s="33">
        <f>IF($AA172&gt;0,VLOOKUP($K172,Ruimtegroepen[],3,FALSE)*VLOOKUP($M172,Vloersoorten[],3,FALSE)*VLOOKUP($Z172,Frequenties[],3,FALSE)*VLOOKUP(#REF!,Locaties[],3,FALSE),0)</f>
        <v>0</v>
      </c>
      <c r="AC172" s="33"/>
      <c r="AD172" s="33"/>
      <c r="AE172" s="33">
        <f>Ruimtestaat[[#This Row],[uren / jaar weekend]]*Tariefsopbouw!$D$40</f>
        <v>0</v>
      </c>
      <c r="AF172" s="79">
        <f>Ruimtestaat[[#This Row],[Prest. (m2 /jaar) weekend]]+Ruimtestaat[[#This Row],[Prest. (m2 /jaar) werkdagen]]</f>
        <v>1400</v>
      </c>
      <c r="AG172" s="79">
        <f>Ruimtestaat[[#This Row],[uren / jaar weekend]]+Ruimtestaat[[#This Row],[uren / jaar werkdagen]]</f>
        <v>0</v>
      </c>
      <c r="AH172" s="80">
        <f>Ruimtestaat[[#This Row],[kosten / jaar weekend]]+Ruimtestaat[[#This Row],[kosten / jaar werkdagen]]</f>
        <v>0</v>
      </c>
    </row>
    <row r="173" spans="1:34" ht="15" customHeight="1">
      <c r="A173" s="256">
        <v>3</v>
      </c>
      <c r="B173" s="171" t="str">
        <f>VLOOKUP(Ruimtestaat[[#This Row],[Code]],Locaties[#All],2,FALSE)</f>
        <v xml:space="preserve">Panta Rhei College </v>
      </c>
      <c r="C173" s="258" t="str">
        <f>VLOOKUP(Ruimtestaat[[#This Row],[Code]],Locaties[#All],4,FALSE)</f>
        <v>Min. De Savornin Lohmanlaan 58</v>
      </c>
      <c r="D173" s="258" t="str">
        <f>VLOOKUP(Ruimtestaat[[#This Row],[Code]],Locaties[#All],5,FALSE)</f>
        <v>7512DL</v>
      </c>
      <c r="E173" s="258" t="str">
        <f>VLOOKUP(Ruimtestaat[[#This Row],[Code]],Locaties[#All],6,FALSE)</f>
        <v>Enschede</v>
      </c>
      <c r="F173" s="257"/>
      <c r="G173" s="257" t="s">
        <v>563</v>
      </c>
      <c r="H173" s="171"/>
      <c r="I173" s="257" t="s">
        <v>791</v>
      </c>
      <c r="J173" s="259" t="s">
        <v>593</v>
      </c>
      <c r="K173" s="171">
        <v>14</v>
      </c>
      <c r="L173" s="260" t="str">
        <f>VLOOKUP(Ruimtestaat[[#This Row],[Ruimte code]],Ruimtegroepen[#All],2,FALSE)</f>
        <v>Praktijklokalen</v>
      </c>
      <c r="M173" s="212" t="s">
        <v>111</v>
      </c>
      <c r="N173" s="257" t="s">
        <v>605</v>
      </c>
      <c r="O173" s="261">
        <v>46</v>
      </c>
      <c r="P173" s="183"/>
      <c r="Q173" s="212" t="str">
        <f>VLOOKUP(Ruimtestaat[[#This Row],[Ruimte code]],Ruimtegroepen[#All],4,FALSE)</f>
        <v>L  (Lesruimte)</v>
      </c>
      <c r="R173" s="184"/>
      <c r="S173" s="185">
        <v>40</v>
      </c>
      <c r="T173" s="185" t="s">
        <v>2</v>
      </c>
      <c r="U173" s="185">
        <f>IF(S173&gt;0,IF(RIGHT(Ruimtestaat[[#This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3" s="185">
        <f>IF(U173&gt;0,VLOOKUP($K173,Ruimtegroepen[],3,FALSE)*VLOOKUP($M173,Vloersoorten[],3,FALSE)*VLOOKUP($T173,Frequenties[],3,FALSE)*VLOOKUP($A173,Locaties[],3,FALSE),0)</f>
        <v>0</v>
      </c>
      <c r="W173" s="185">
        <f>Ruimtestaat[[#This Row],[Uitvoeringen werkdagen]]*Ruimtestaat[[#This Row],[Oppervlak (netto)]]</f>
        <v>9200</v>
      </c>
      <c r="X173" s="220">
        <f>IF(V173&gt;0,Ruimtestaat[[#This Row],[Prest. (m2 /jaar) werkdagen]]/Ruimtestaat[[#This Row],[Norm (m2/uur) werkdagen]],0)</f>
        <v>0</v>
      </c>
      <c r="Y173" s="221">
        <f>Ruimtestaat[[#This Row],[uren / jaar werkdagen]]*Tariefsopbouw!$D$38</f>
        <v>0</v>
      </c>
      <c r="Z173" s="33"/>
      <c r="AA173" s="33">
        <f>IF(Ruimtestaat[[#This Row],[Frequentie weekend]]&gt;0,VALUE(LEFT(Z173,1))*S173,0)</f>
        <v>0</v>
      </c>
      <c r="AB173" s="33">
        <f>IF($AA173&gt;0,VLOOKUP($K173,Ruimtegroepen[],3,FALSE)*VLOOKUP($M173,Vloersoorten[],3,FALSE)*VLOOKUP($Z173,Frequenties[],3,FALSE)*VLOOKUP(#REF!,Locaties[],3,FALSE),0)</f>
        <v>0</v>
      </c>
      <c r="AC173" s="33"/>
      <c r="AD173" s="33"/>
      <c r="AE173" s="33">
        <f>Ruimtestaat[[#This Row],[uren / jaar weekend]]*Tariefsopbouw!$D$40</f>
        <v>0</v>
      </c>
      <c r="AF173" s="79">
        <f>Ruimtestaat[[#This Row],[Prest. (m2 /jaar) weekend]]+Ruimtestaat[[#This Row],[Prest. (m2 /jaar) werkdagen]]</f>
        <v>9200</v>
      </c>
      <c r="AG173" s="79">
        <f>Ruimtestaat[[#This Row],[uren / jaar weekend]]+Ruimtestaat[[#This Row],[uren / jaar werkdagen]]</f>
        <v>0</v>
      </c>
      <c r="AH173" s="80">
        <f>Ruimtestaat[[#This Row],[kosten / jaar weekend]]+Ruimtestaat[[#This Row],[kosten / jaar werkdagen]]</f>
        <v>0</v>
      </c>
    </row>
    <row r="174" spans="1:34" ht="15" customHeight="1">
      <c r="A174" s="256">
        <v>3</v>
      </c>
      <c r="B174" s="171" t="str">
        <f>VLOOKUP(Ruimtestaat[[#This Row],[Code]],Locaties[#All],2,FALSE)</f>
        <v xml:space="preserve">Panta Rhei College </v>
      </c>
      <c r="C174" s="258" t="str">
        <f>VLOOKUP(Ruimtestaat[[#This Row],[Code]],Locaties[#All],4,FALSE)</f>
        <v>Min. De Savornin Lohmanlaan 58</v>
      </c>
      <c r="D174" s="258" t="str">
        <f>VLOOKUP(Ruimtestaat[[#This Row],[Code]],Locaties[#All],5,FALSE)</f>
        <v>7512DL</v>
      </c>
      <c r="E174" s="258" t="str">
        <f>VLOOKUP(Ruimtestaat[[#This Row],[Code]],Locaties[#All],6,FALSE)</f>
        <v>Enschede</v>
      </c>
      <c r="F174" s="257"/>
      <c r="G174" s="257" t="s">
        <v>563</v>
      </c>
      <c r="H174" s="171"/>
      <c r="I174" s="257" t="s">
        <v>792</v>
      </c>
      <c r="J174" s="259" t="s">
        <v>793</v>
      </c>
      <c r="K174" s="258">
        <v>6</v>
      </c>
      <c r="L174" s="260" t="str">
        <f>VLOOKUP(Ruimtestaat[[#This Row],[Ruimte code]],Ruimtegroepen[#All],2,FALSE)</f>
        <v>Gangen/hallen</v>
      </c>
      <c r="M174" s="258" t="s">
        <v>598</v>
      </c>
      <c r="N174" s="257" t="s">
        <v>132</v>
      </c>
      <c r="O174" s="261">
        <v>11</v>
      </c>
      <c r="P174" s="183"/>
      <c r="Q174" s="212" t="str">
        <f>VLOOKUP(Ruimtestaat[[#This Row],[Ruimte code]],Ruimtegroepen[#All],4,FALSE)</f>
        <v>V  (Verkeersruimte)</v>
      </c>
      <c r="R174" s="184"/>
      <c r="S174" s="185">
        <v>40</v>
      </c>
      <c r="T174" s="185" t="s">
        <v>2</v>
      </c>
      <c r="U174" s="185">
        <f>IF(S174&gt;0,IF(RIGHT(Ruimtestaat[[#This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4" s="185">
        <f>IF(U174&gt;0,VLOOKUP($K174,Ruimtegroepen[],3,FALSE)*VLOOKUP($M174,Vloersoorten[],3,FALSE)*VLOOKUP($T174,Frequenties[],3,FALSE)*VLOOKUP($A174,Locaties[],3,FALSE),0)</f>
        <v>0</v>
      </c>
      <c r="W174" s="185">
        <f>Ruimtestaat[[#This Row],[Uitvoeringen werkdagen]]*Ruimtestaat[[#This Row],[Oppervlak (netto)]]</f>
        <v>2200</v>
      </c>
      <c r="X174" s="220">
        <f>IF(V174&gt;0,Ruimtestaat[[#This Row],[Prest. (m2 /jaar) werkdagen]]/Ruimtestaat[[#This Row],[Norm (m2/uur) werkdagen]],0)</f>
        <v>0</v>
      </c>
      <c r="Y174" s="221">
        <f>Ruimtestaat[[#This Row],[uren / jaar werkdagen]]*Tariefsopbouw!$D$38</f>
        <v>0</v>
      </c>
      <c r="Z174" s="33"/>
      <c r="AA174" s="33">
        <f>IF(Ruimtestaat[[#This Row],[Frequentie weekend]]&gt;0,VALUE(LEFT(Z174,1))*S174,0)</f>
        <v>0</v>
      </c>
      <c r="AB174" s="33">
        <f>IF($AA174&gt;0,VLOOKUP($K174,Ruimtegroepen[],3,FALSE)*VLOOKUP($M174,Vloersoorten[],3,FALSE)*VLOOKUP($Z174,Frequenties[],3,FALSE)*VLOOKUP(#REF!,Locaties[],3,FALSE),0)</f>
        <v>0</v>
      </c>
      <c r="AC174" s="33"/>
      <c r="AD174" s="33"/>
      <c r="AE174" s="33">
        <f>Ruimtestaat[[#This Row],[uren / jaar weekend]]*Tariefsopbouw!$D$40</f>
        <v>0</v>
      </c>
      <c r="AF174" s="79">
        <f>Ruimtestaat[[#This Row],[Prest. (m2 /jaar) weekend]]+Ruimtestaat[[#This Row],[Prest. (m2 /jaar) werkdagen]]</f>
        <v>2200</v>
      </c>
      <c r="AG174" s="79">
        <f>Ruimtestaat[[#This Row],[uren / jaar weekend]]+Ruimtestaat[[#This Row],[uren / jaar werkdagen]]</f>
        <v>0</v>
      </c>
      <c r="AH174" s="80">
        <f>Ruimtestaat[[#This Row],[kosten / jaar weekend]]+Ruimtestaat[[#This Row],[kosten / jaar werkdagen]]</f>
        <v>0</v>
      </c>
    </row>
    <row r="175" spans="1:34" ht="15" customHeight="1">
      <c r="A175" s="256">
        <v>3</v>
      </c>
      <c r="B175" s="171" t="str">
        <f>VLOOKUP(Ruimtestaat[[#This Row],[Code]],Locaties[#All],2,FALSE)</f>
        <v xml:space="preserve">Panta Rhei College </v>
      </c>
      <c r="C175" s="258" t="str">
        <f>VLOOKUP(Ruimtestaat[[#This Row],[Code]],Locaties[#All],4,FALSE)</f>
        <v>Min. De Savornin Lohmanlaan 58</v>
      </c>
      <c r="D175" s="258" t="str">
        <f>VLOOKUP(Ruimtestaat[[#This Row],[Code]],Locaties[#All],5,FALSE)</f>
        <v>7512DL</v>
      </c>
      <c r="E175" s="258" t="str">
        <f>VLOOKUP(Ruimtestaat[[#This Row],[Code]],Locaties[#All],6,FALSE)</f>
        <v>Enschede</v>
      </c>
      <c r="F175" s="257"/>
      <c r="G175" s="257" t="s">
        <v>563</v>
      </c>
      <c r="H175" s="171"/>
      <c r="I175" s="257">
        <v>15</v>
      </c>
      <c r="J175" s="259" t="s">
        <v>683</v>
      </c>
      <c r="K175" s="258">
        <v>5</v>
      </c>
      <c r="L175" s="260" t="str">
        <f>VLOOKUP(Ruimtestaat[[#This Row],[Ruimte code]],Ruimtegroepen[#All],2,FALSE)</f>
        <v>Sanitair</v>
      </c>
      <c r="M175" s="212" t="s">
        <v>111</v>
      </c>
      <c r="N175" s="257" t="s">
        <v>605</v>
      </c>
      <c r="O175" s="261">
        <v>20</v>
      </c>
      <c r="P175" s="183"/>
      <c r="Q175" s="212" t="str">
        <f>VLOOKUP(Ruimtestaat[[#This Row],[Ruimte code]],Ruimtegroepen[#All],4,FALSE)</f>
        <v>S  (Sanitair)</v>
      </c>
      <c r="R175" s="184"/>
      <c r="S175" s="185">
        <v>40</v>
      </c>
      <c r="T175" s="185" t="s">
        <v>2</v>
      </c>
      <c r="U175" s="185">
        <f>IF(S175&gt;0,IF(RIGHT(Ruimtestaat[[#This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5" s="185">
        <f>IF(U175&gt;0,VLOOKUP($K175,Ruimtegroepen[],3,FALSE)*VLOOKUP($M175,Vloersoorten[],3,FALSE)*VLOOKUP($T175,Frequenties[],3,FALSE)*VLOOKUP($A175,Locaties[],3,FALSE),0)</f>
        <v>0</v>
      </c>
      <c r="W175" s="185">
        <f>Ruimtestaat[[#This Row],[Uitvoeringen werkdagen]]*Ruimtestaat[[#This Row],[Oppervlak (netto)]]</f>
        <v>4000</v>
      </c>
      <c r="X175" s="220">
        <f>IF(V175&gt;0,Ruimtestaat[[#This Row],[Prest. (m2 /jaar) werkdagen]]/Ruimtestaat[[#This Row],[Norm (m2/uur) werkdagen]],0)</f>
        <v>0</v>
      </c>
      <c r="Y175" s="221">
        <f>Ruimtestaat[[#This Row],[uren / jaar werkdagen]]*Tariefsopbouw!$D$38</f>
        <v>0</v>
      </c>
      <c r="Z175" s="33"/>
      <c r="AA175" s="33">
        <f>IF(Ruimtestaat[[#This Row],[Frequentie weekend]]&gt;0,VALUE(LEFT(Z175,1))*S175,0)</f>
        <v>0</v>
      </c>
      <c r="AB175" s="33">
        <f>IF($AA175&gt;0,VLOOKUP($K175,Ruimtegroepen[],3,FALSE)*VLOOKUP($M175,Vloersoorten[],3,FALSE)*VLOOKUP($Z175,Frequenties[],3,FALSE)*VLOOKUP(#REF!,Locaties[],3,FALSE),0)</f>
        <v>0</v>
      </c>
      <c r="AC175" s="33"/>
      <c r="AD175" s="33"/>
      <c r="AE175" s="33">
        <f>Ruimtestaat[[#This Row],[uren / jaar weekend]]*Tariefsopbouw!$D$40</f>
        <v>0</v>
      </c>
      <c r="AF175" s="79">
        <f>Ruimtestaat[[#This Row],[Prest. (m2 /jaar) weekend]]+Ruimtestaat[[#This Row],[Prest. (m2 /jaar) werkdagen]]</f>
        <v>4000</v>
      </c>
      <c r="AG175" s="79">
        <f>Ruimtestaat[[#This Row],[uren / jaar weekend]]+Ruimtestaat[[#This Row],[uren / jaar werkdagen]]</f>
        <v>0</v>
      </c>
      <c r="AH175" s="80">
        <f>Ruimtestaat[[#This Row],[kosten / jaar weekend]]+Ruimtestaat[[#This Row],[kosten / jaar werkdagen]]</f>
        <v>0</v>
      </c>
    </row>
    <row r="176" spans="1:34" ht="15" customHeight="1">
      <c r="A176" s="256">
        <v>3</v>
      </c>
      <c r="B176" s="171" t="str">
        <f>VLOOKUP(Ruimtestaat[[#This Row],[Code]],Locaties[#All],2,FALSE)</f>
        <v xml:space="preserve">Panta Rhei College </v>
      </c>
      <c r="C176" s="258" t="str">
        <f>VLOOKUP(Ruimtestaat[[#This Row],[Code]],Locaties[#All],4,FALSE)</f>
        <v>Min. De Savornin Lohmanlaan 58</v>
      </c>
      <c r="D176" s="258" t="str">
        <f>VLOOKUP(Ruimtestaat[[#This Row],[Code]],Locaties[#All],5,FALSE)</f>
        <v>7512DL</v>
      </c>
      <c r="E176" s="258" t="str">
        <f>VLOOKUP(Ruimtestaat[[#This Row],[Code]],Locaties[#All],6,FALSE)</f>
        <v>Enschede</v>
      </c>
      <c r="F176" s="257"/>
      <c r="G176" s="257" t="s">
        <v>563</v>
      </c>
      <c r="H176" s="171"/>
      <c r="I176" s="257" t="s">
        <v>794</v>
      </c>
      <c r="J176" s="259" t="s">
        <v>250</v>
      </c>
      <c r="K176" s="171">
        <v>11</v>
      </c>
      <c r="L176" s="260" t="str">
        <f>VLOOKUP(Ruimtestaat[[#This Row],[Ruimte code]],Ruimtegroepen[#All],2,FALSE)</f>
        <v>Garderobes</v>
      </c>
      <c r="M176" s="258" t="s">
        <v>598</v>
      </c>
      <c r="N176" s="257" t="s">
        <v>132</v>
      </c>
      <c r="O176" s="261">
        <v>19</v>
      </c>
      <c r="P176" s="183"/>
      <c r="Q176" s="212" t="str">
        <f>VLOOKUP(Ruimtestaat[[#This Row],[Ruimte code]],Ruimtegroepen[#All],4,FALSE)</f>
        <v>V  (Verkeersruimte)</v>
      </c>
      <c r="R176" s="184"/>
      <c r="S176" s="185">
        <v>40</v>
      </c>
      <c r="T176" s="185" t="s">
        <v>2</v>
      </c>
      <c r="U176" s="185">
        <f>IF(S176&gt;0,IF(RIGHT(Ruimtestaat[[#This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6" s="185">
        <f>IF(U176&gt;0,VLOOKUP($K176,Ruimtegroepen[],3,FALSE)*VLOOKUP($M176,Vloersoorten[],3,FALSE)*VLOOKUP($T176,Frequenties[],3,FALSE)*VLOOKUP($A176,Locaties[],3,FALSE),0)</f>
        <v>0</v>
      </c>
      <c r="W176" s="185">
        <f>Ruimtestaat[[#This Row],[Uitvoeringen werkdagen]]*Ruimtestaat[[#This Row],[Oppervlak (netto)]]</f>
        <v>3800</v>
      </c>
      <c r="X176" s="220">
        <f>IF(V176&gt;0,Ruimtestaat[[#This Row],[Prest. (m2 /jaar) werkdagen]]/Ruimtestaat[[#This Row],[Norm (m2/uur) werkdagen]],0)</f>
        <v>0</v>
      </c>
      <c r="Y176" s="221">
        <f>Ruimtestaat[[#This Row],[uren / jaar werkdagen]]*Tariefsopbouw!$D$38</f>
        <v>0</v>
      </c>
      <c r="Z176" s="33"/>
      <c r="AA176" s="33">
        <f>IF(Ruimtestaat[[#This Row],[Frequentie weekend]]&gt;0,VALUE(LEFT(Z176,1))*S176,0)</f>
        <v>0</v>
      </c>
      <c r="AB176" s="33">
        <f>IF($AA176&gt;0,VLOOKUP($K176,Ruimtegroepen[],3,FALSE)*VLOOKUP($M176,Vloersoorten[],3,FALSE)*VLOOKUP($Z176,Frequenties[],3,FALSE)*VLOOKUP(#REF!,Locaties[],3,FALSE),0)</f>
        <v>0</v>
      </c>
      <c r="AC176" s="33"/>
      <c r="AD176" s="33"/>
      <c r="AE176" s="33">
        <f>Ruimtestaat[[#This Row],[uren / jaar weekend]]*Tariefsopbouw!$D$40</f>
        <v>0</v>
      </c>
      <c r="AF176" s="79">
        <f>Ruimtestaat[[#This Row],[Prest. (m2 /jaar) weekend]]+Ruimtestaat[[#This Row],[Prest. (m2 /jaar) werkdagen]]</f>
        <v>3800</v>
      </c>
      <c r="AG176" s="79">
        <f>Ruimtestaat[[#This Row],[uren / jaar weekend]]+Ruimtestaat[[#This Row],[uren / jaar werkdagen]]</f>
        <v>0</v>
      </c>
      <c r="AH176" s="80">
        <f>Ruimtestaat[[#This Row],[kosten / jaar weekend]]+Ruimtestaat[[#This Row],[kosten / jaar werkdagen]]</f>
        <v>0</v>
      </c>
    </row>
    <row r="177" spans="1:34" ht="15" customHeight="1">
      <c r="A177" s="256">
        <v>3</v>
      </c>
      <c r="B177" s="171" t="str">
        <f>VLOOKUP(Ruimtestaat[[#This Row],[Code]],Locaties[#All],2,FALSE)</f>
        <v xml:space="preserve">Panta Rhei College </v>
      </c>
      <c r="C177" s="258" t="str">
        <f>VLOOKUP(Ruimtestaat[[#This Row],[Code]],Locaties[#All],4,FALSE)</f>
        <v>Min. De Savornin Lohmanlaan 58</v>
      </c>
      <c r="D177" s="258" t="str">
        <f>VLOOKUP(Ruimtestaat[[#This Row],[Code]],Locaties[#All],5,FALSE)</f>
        <v>7512DL</v>
      </c>
      <c r="E177" s="258" t="str">
        <f>VLOOKUP(Ruimtestaat[[#This Row],[Code]],Locaties[#All],6,FALSE)</f>
        <v>Enschede</v>
      </c>
      <c r="F177" s="257"/>
      <c r="G177" s="257" t="s">
        <v>563</v>
      </c>
      <c r="H177" s="171"/>
      <c r="I177" s="257">
        <v>17</v>
      </c>
      <c r="J177" s="259" t="s">
        <v>40</v>
      </c>
      <c r="K177" s="258">
        <v>7</v>
      </c>
      <c r="L177" s="260" t="str">
        <f>VLOOKUP(Ruimtestaat[[#This Row],[Ruimte code]],Ruimtegroepen[#All],2,FALSE)</f>
        <v>Entree</v>
      </c>
      <c r="M177" s="258" t="s">
        <v>597</v>
      </c>
      <c r="N177" s="257" t="s">
        <v>38</v>
      </c>
      <c r="O177" s="261">
        <v>10</v>
      </c>
      <c r="P177" s="183"/>
      <c r="Q177" s="212" t="str">
        <f>VLOOKUP(Ruimtestaat[[#This Row],[Ruimte code]],Ruimtegroepen[#All],4,FALSE)</f>
        <v>V  (Verkeersruimte)</v>
      </c>
      <c r="R177" s="184"/>
      <c r="S177" s="185">
        <v>40</v>
      </c>
      <c r="T177" s="185" t="s">
        <v>2</v>
      </c>
      <c r="U177" s="185">
        <f>IF(S177&gt;0,IF(RIGHT(Ruimtestaat[[#This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7" s="185">
        <f>IF(U177&gt;0,VLOOKUP($K177,Ruimtegroepen[],3,FALSE)*VLOOKUP($M177,Vloersoorten[],3,FALSE)*VLOOKUP($T177,Frequenties[],3,FALSE)*VLOOKUP($A177,Locaties[],3,FALSE),0)</f>
        <v>0</v>
      </c>
      <c r="W177" s="185">
        <f>Ruimtestaat[[#This Row],[Uitvoeringen werkdagen]]*Ruimtestaat[[#This Row],[Oppervlak (netto)]]</f>
        <v>2000</v>
      </c>
      <c r="X177" s="220">
        <f>IF(V177&gt;0,Ruimtestaat[[#This Row],[Prest. (m2 /jaar) werkdagen]]/Ruimtestaat[[#This Row],[Norm (m2/uur) werkdagen]],0)</f>
        <v>0</v>
      </c>
      <c r="Y177" s="221">
        <f>Ruimtestaat[[#This Row],[uren / jaar werkdagen]]*Tariefsopbouw!$D$38</f>
        <v>0</v>
      </c>
      <c r="Z177" s="33"/>
      <c r="AA177" s="33">
        <f>IF(Ruimtestaat[[#This Row],[Frequentie weekend]]&gt;0,VALUE(LEFT(Z177,1))*S177,0)</f>
        <v>0</v>
      </c>
      <c r="AB177" s="33">
        <f>IF($AA177&gt;0,VLOOKUP($K177,Ruimtegroepen[],3,FALSE)*VLOOKUP($M177,Vloersoorten[],3,FALSE)*VLOOKUP($Z177,Frequenties[],3,FALSE)*VLOOKUP(#REF!,Locaties[],3,FALSE),0)</f>
        <v>0</v>
      </c>
      <c r="AC177" s="33"/>
      <c r="AD177" s="33"/>
      <c r="AE177" s="33">
        <f>Ruimtestaat[[#This Row],[uren / jaar weekend]]*Tariefsopbouw!$D$40</f>
        <v>0</v>
      </c>
      <c r="AF177" s="79">
        <f>Ruimtestaat[[#This Row],[Prest. (m2 /jaar) weekend]]+Ruimtestaat[[#This Row],[Prest. (m2 /jaar) werkdagen]]</f>
        <v>2000</v>
      </c>
      <c r="AG177" s="79">
        <f>Ruimtestaat[[#This Row],[uren / jaar weekend]]+Ruimtestaat[[#This Row],[uren / jaar werkdagen]]</f>
        <v>0</v>
      </c>
      <c r="AH177" s="80">
        <f>Ruimtestaat[[#This Row],[kosten / jaar weekend]]+Ruimtestaat[[#This Row],[kosten / jaar werkdagen]]</f>
        <v>0</v>
      </c>
    </row>
    <row r="178" spans="1:34" ht="15" customHeight="1">
      <c r="A178" s="256">
        <v>3</v>
      </c>
      <c r="B178" s="171" t="str">
        <f>VLOOKUP(Ruimtestaat[[#This Row],[Code]],Locaties[#All],2,FALSE)</f>
        <v xml:space="preserve">Panta Rhei College </v>
      </c>
      <c r="C178" s="258" t="str">
        <f>VLOOKUP(Ruimtestaat[[#This Row],[Code]],Locaties[#All],4,FALSE)</f>
        <v>Min. De Savornin Lohmanlaan 58</v>
      </c>
      <c r="D178" s="258" t="str">
        <f>VLOOKUP(Ruimtestaat[[#This Row],[Code]],Locaties[#All],5,FALSE)</f>
        <v>7512DL</v>
      </c>
      <c r="E178" s="258" t="str">
        <f>VLOOKUP(Ruimtestaat[[#This Row],[Code]],Locaties[#All],6,FALSE)</f>
        <v>Enschede</v>
      </c>
      <c r="F178" s="257"/>
      <c r="G178" s="257" t="s">
        <v>563</v>
      </c>
      <c r="H178" s="171"/>
      <c r="I178" s="257">
        <v>18</v>
      </c>
      <c r="J178" s="259" t="s">
        <v>704</v>
      </c>
      <c r="K178" s="258">
        <v>1</v>
      </c>
      <c r="L178" s="260" t="str">
        <f>VLOOKUP(Ruimtestaat[[#This Row],[Ruimte code]],Ruimtegroepen[#All],2,FALSE)</f>
        <v>Magazijnen/bergingen</v>
      </c>
      <c r="M178" s="212" t="s">
        <v>111</v>
      </c>
      <c r="N178" s="257" t="s">
        <v>605</v>
      </c>
      <c r="O178" s="261">
        <v>4</v>
      </c>
      <c r="P178" s="183"/>
      <c r="Q178" s="212" t="str">
        <f>VLOOKUP(Ruimtestaat[[#This Row],[Ruimte code]],Ruimtegroepen[#All],4,FALSE)</f>
        <v>V  (Verkeersruimte)</v>
      </c>
      <c r="R178" s="184"/>
      <c r="S178" s="185">
        <v>40</v>
      </c>
      <c r="T178" s="185" t="s">
        <v>2</v>
      </c>
      <c r="U178" s="185">
        <f>IF(S178&gt;0,IF(RIGHT(Ruimtestaat[[#This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8" s="185">
        <f>IF(U178&gt;0,VLOOKUP($K178,Ruimtegroepen[],3,FALSE)*VLOOKUP($M178,Vloersoorten[],3,FALSE)*VLOOKUP($T178,Frequenties[],3,FALSE)*VLOOKUP($A178,Locaties[],3,FALSE),0)</f>
        <v>0</v>
      </c>
      <c r="W178" s="185">
        <f>Ruimtestaat[[#This Row],[Uitvoeringen werkdagen]]*Ruimtestaat[[#This Row],[Oppervlak (netto)]]</f>
        <v>800</v>
      </c>
      <c r="X178" s="220">
        <f>IF(V178&gt;0,Ruimtestaat[[#This Row],[Prest. (m2 /jaar) werkdagen]]/Ruimtestaat[[#This Row],[Norm (m2/uur) werkdagen]],0)</f>
        <v>0</v>
      </c>
      <c r="Y178" s="221">
        <f>Ruimtestaat[[#This Row],[uren / jaar werkdagen]]*Tariefsopbouw!$D$38</f>
        <v>0</v>
      </c>
      <c r="Z178" s="33"/>
      <c r="AA178" s="33">
        <f>IF(Ruimtestaat[[#This Row],[Frequentie weekend]]&gt;0,VALUE(LEFT(Z178,1))*S178,0)</f>
        <v>0</v>
      </c>
      <c r="AB178" s="33">
        <f>IF($AA178&gt;0,VLOOKUP($K178,Ruimtegroepen[],3,FALSE)*VLOOKUP($M178,Vloersoorten[],3,FALSE)*VLOOKUP($Z178,Frequenties[],3,FALSE)*VLOOKUP(#REF!,Locaties[],3,FALSE),0)</f>
        <v>0</v>
      </c>
      <c r="AC178" s="33"/>
      <c r="AD178" s="33"/>
      <c r="AE178" s="33">
        <f>Ruimtestaat[[#This Row],[uren / jaar weekend]]*Tariefsopbouw!$D$40</f>
        <v>0</v>
      </c>
      <c r="AF178" s="79">
        <f>Ruimtestaat[[#This Row],[Prest. (m2 /jaar) weekend]]+Ruimtestaat[[#This Row],[Prest. (m2 /jaar) werkdagen]]</f>
        <v>800</v>
      </c>
      <c r="AG178" s="79">
        <f>Ruimtestaat[[#This Row],[uren / jaar weekend]]+Ruimtestaat[[#This Row],[uren / jaar werkdagen]]</f>
        <v>0</v>
      </c>
      <c r="AH178" s="80">
        <f>Ruimtestaat[[#This Row],[kosten / jaar weekend]]+Ruimtestaat[[#This Row],[kosten / jaar werkdagen]]</f>
        <v>0</v>
      </c>
    </row>
    <row r="179" spans="1:34" ht="15" customHeight="1">
      <c r="A179" s="256">
        <v>3</v>
      </c>
      <c r="B179" s="171" t="str">
        <f>VLOOKUP(Ruimtestaat[[#This Row],[Code]],Locaties[#All],2,FALSE)</f>
        <v xml:space="preserve">Panta Rhei College </v>
      </c>
      <c r="C179" s="258" t="str">
        <f>VLOOKUP(Ruimtestaat[[#This Row],[Code]],Locaties[#All],4,FALSE)</f>
        <v>Min. De Savornin Lohmanlaan 58</v>
      </c>
      <c r="D179" s="258" t="str">
        <f>VLOOKUP(Ruimtestaat[[#This Row],[Code]],Locaties[#All],5,FALSE)</f>
        <v>7512DL</v>
      </c>
      <c r="E179" s="258" t="str">
        <f>VLOOKUP(Ruimtestaat[[#This Row],[Code]],Locaties[#All],6,FALSE)</f>
        <v>Enschede</v>
      </c>
      <c r="F179" s="257"/>
      <c r="G179" s="257" t="s">
        <v>563</v>
      </c>
      <c r="H179" s="171"/>
      <c r="I179" s="257" t="s">
        <v>795</v>
      </c>
      <c r="J179" s="259" t="s">
        <v>796</v>
      </c>
      <c r="K179" s="258">
        <v>20</v>
      </c>
      <c r="L179" s="260" t="str">
        <f>VLOOKUP(Ruimtestaat[[#This Row],[Ruimte code]],Ruimtegroepen[#All],2,FALSE)</f>
        <v>Niet in onderhoud</v>
      </c>
      <c r="M179" s="258" t="s">
        <v>598</v>
      </c>
      <c r="N179" s="257" t="s">
        <v>132</v>
      </c>
      <c r="O179" s="261"/>
      <c r="P179" s="183">
        <v>3</v>
      </c>
      <c r="Q179" s="212" t="str">
        <f>VLOOKUP(Ruimtestaat[[#This Row],[Ruimte code]],Ruimtegroepen[#All],4,FALSE)</f>
        <v>niet in onderhoud</v>
      </c>
      <c r="R179" s="184"/>
      <c r="S179" s="185"/>
      <c r="T179" s="185"/>
      <c r="U179" s="185">
        <f>IF(S179&gt;0,IF(RIGHT(Ruimtestaat[[#This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79" s="185">
        <f>IF(U179&gt;0,VLOOKUP($K179,Ruimtegroepen[],3,FALSE)*VLOOKUP($M179,Vloersoorten[],3,FALSE)*VLOOKUP($T179,Frequenties[],3,FALSE)*VLOOKUP($A179,Locaties[],3,FALSE),0)</f>
        <v>0</v>
      </c>
      <c r="W179" s="185">
        <f>Ruimtestaat[[#This Row],[Uitvoeringen werkdagen]]*Ruimtestaat[[#This Row],[Oppervlak (netto)]]</f>
        <v>0</v>
      </c>
      <c r="X179" s="220">
        <f>IF(V179&gt;0,Ruimtestaat[[#This Row],[Prest. (m2 /jaar) werkdagen]]/Ruimtestaat[[#This Row],[Norm (m2/uur) werkdagen]],0)</f>
        <v>0</v>
      </c>
      <c r="Y179" s="221">
        <f>Ruimtestaat[[#This Row],[uren / jaar werkdagen]]*Tariefsopbouw!$D$38</f>
        <v>0</v>
      </c>
      <c r="Z179" s="33"/>
      <c r="AA179" s="33">
        <f>IF(Ruimtestaat[[#This Row],[Frequentie weekend]]&gt;0,VALUE(LEFT(Z179,1))*S179,0)</f>
        <v>0</v>
      </c>
      <c r="AB179" s="33">
        <f>IF($AA179&gt;0,VLOOKUP($K179,Ruimtegroepen[],3,FALSE)*VLOOKUP($M179,Vloersoorten[],3,FALSE)*VLOOKUP($Z179,Frequenties[],3,FALSE)*VLOOKUP(#REF!,Locaties[],3,FALSE),0)</f>
        <v>0</v>
      </c>
      <c r="AC179" s="33"/>
      <c r="AD179" s="33"/>
      <c r="AE179" s="33">
        <f>Ruimtestaat[[#This Row],[uren / jaar weekend]]*Tariefsopbouw!$D$40</f>
        <v>0</v>
      </c>
      <c r="AF179" s="79">
        <f>Ruimtestaat[[#This Row],[Prest. (m2 /jaar) weekend]]+Ruimtestaat[[#This Row],[Prest. (m2 /jaar) werkdagen]]</f>
        <v>0</v>
      </c>
      <c r="AG179" s="79">
        <f>Ruimtestaat[[#This Row],[uren / jaar weekend]]+Ruimtestaat[[#This Row],[uren / jaar werkdagen]]</f>
        <v>0</v>
      </c>
      <c r="AH179" s="80">
        <f>Ruimtestaat[[#This Row],[kosten / jaar weekend]]+Ruimtestaat[[#This Row],[kosten / jaar werkdagen]]</f>
        <v>0</v>
      </c>
    </row>
    <row r="180" spans="1:34" ht="15" customHeight="1">
      <c r="A180" s="256">
        <v>3</v>
      </c>
      <c r="B180" s="171" t="str">
        <f>VLOOKUP(Ruimtestaat[[#This Row],[Code]],Locaties[#All],2,FALSE)</f>
        <v xml:space="preserve">Panta Rhei College </v>
      </c>
      <c r="C180" s="258" t="str">
        <f>VLOOKUP(Ruimtestaat[[#This Row],[Code]],Locaties[#All],4,FALSE)</f>
        <v>Min. De Savornin Lohmanlaan 58</v>
      </c>
      <c r="D180" s="258" t="str">
        <f>VLOOKUP(Ruimtestaat[[#This Row],[Code]],Locaties[#All],5,FALSE)</f>
        <v>7512DL</v>
      </c>
      <c r="E180" s="258" t="str">
        <f>VLOOKUP(Ruimtestaat[[#This Row],[Code]],Locaties[#All],6,FALSE)</f>
        <v>Enschede</v>
      </c>
      <c r="F180" s="257"/>
      <c r="G180" s="257" t="s">
        <v>563</v>
      </c>
      <c r="H180" s="171"/>
      <c r="I180" s="257" t="s">
        <v>797</v>
      </c>
      <c r="J180" s="259" t="s">
        <v>798</v>
      </c>
      <c r="K180" s="258">
        <v>20</v>
      </c>
      <c r="L180" s="260" t="str">
        <f>VLOOKUP(Ruimtestaat[[#This Row],[Ruimte code]],Ruimtegroepen[#All],2,FALSE)</f>
        <v>Niet in onderhoud</v>
      </c>
      <c r="M180" s="258" t="s">
        <v>598</v>
      </c>
      <c r="N180" s="257" t="s">
        <v>132</v>
      </c>
      <c r="O180" s="261"/>
      <c r="P180" s="183">
        <v>1.5</v>
      </c>
      <c r="Q180" s="212" t="str">
        <f>VLOOKUP(Ruimtestaat[[#This Row],[Ruimte code]],Ruimtegroepen[#All],4,FALSE)</f>
        <v>niet in onderhoud</v>
      </c>
      <c r="R180" s="184"/>
      <c r="S180" s="185"/>
      <c r="T180" s="185"/>
      <c r="U180" s="185">
        <f>IF(S180&gt;0,IF(RIGHT(Ruimtestaat[[#This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80" s="185">
        <f>IF(U180&gt;0,VLOOKUP($K180,Ruimtegroepen[],3,FALSE)*VLOOKUP($M180,Vloersoorten[],3,FALSE)*VLOOKUP($T180,Frequenties[],3,FALSE)*VLOOKUP($A180,Locaties[],3,FALSE),0)</f>
        <v>0</v>
      </c>
      <c r="W180" s="185">
        <f>Ruimtestaat[[#This Row],[Uitvoeringen werkdagen]]*Ruimtestaat[[#This Row],[Oppervlak (netto)]]</f>
        <v>0</v>
      </c>
      <c r="X180" s="220">
        <f>IF(V180&gt;0,Ruimtestaat[[#This Row],[Prest. (m2 /jaar) werkdagen]]/Ruimtestaat[[#This Row],[Norm (m2/uur) werkdagen]],0)</f>
        <v>0</v>
      </c>
      <c r="Y180" s="221">
        <f>Ruimtestaat[[#This Row],[uren / jaar werkdagen]]*Tariefsopbouw!$D$38</f>
        <v>0</v>
      </c>
      <c r="Z180" s="33"/>
      <c r="AA180" s="33">
        <f>IF(Ruimtestaat[[#This Row],[Frequentie weekend]]&gt;0,VALUE(LEFT(Z180,1))*S180,0)</f>
        <v>0</v>
      </c>
      <c r="AB180" s="33">
        <f>IF($AA180&gt;0,VLOOKUP($K180,Ruimtegroepen[],3,FALSE)*VLOOKUP($M180,Vloersoorten[],3,FALSE)*VLOOKUP($Z180,Frequenties[],3,FALSE)*VLOOKUP(#REF!,Locaties[],3,FALSE),0)</f>
        <v>0</v>
      </c>
      <c r="AC180" s="33"/>
      <c r="AD180" s="33"/>
      <c r="AE180" s="33">
        <f>Ruimtestaat[[#This Row],[uren / jaar weekend]]*Tariefsopbouw!$D$40</f>
        <v>0</v>
      </c>
      <c r="AF180" s="79">
        <f>Ruimtestaat[[#This Row],[Prest. (m2 /jaar) weekend]]+Ruimtestaat[[#This Row],[Prest. (m2 /jaar) werkdagen]]</f>
        <v>0</v>
      </c>
      <c r="AG180" s="79">
        <f>Ruimtestaat[[#This Row],[uren / jaar weekend]]+Ruimtestaat[[#This Row],[uren / jaar werkdagen]]</f>
        <v>0</v>
      </c>
      <c r="AH180" s="80">
        <f>Ruimtestaat[[#This Row],[kosten / jaar weekend]]+Ruimtestaat[[#This Row],[kosten / jaar werkdagen]]</f>
        <v>0</v>
      </c>
    </row>
    <row r="181" spans="1:34" ht="15" customHeight="1">
      <c r="A181" s="256">
        <v>3</v>
      </c>
      <c r="B181" s="171" t="str">
        <f>VLOOKUP(Ruimtestaat[[#This Row],[Code]],Locaties[#All],2,FALSE)</f>
        <v xml:space="preserve">Panta Rhei College </v>
      </c>
      <c r="C181" s="258" t="str">
        <f>VLOOKUP(Ruimtestaat[[#This Row],[Code]],Locaties[#All],4,FALSE)</f>
        <v>Min. De Savornin Lohmanlaan 58</v>
      </c>
      <c r="D181" s="258" t="str">
        <f>VLOOKUP(Ruimtestaat[[#This Row],[Code]],Locaties[#All],5,FALSE)</f>
        <v>7512DL</v>
      </c>
      <c r="E181" s="258" t="str">
        <f>VLOOKUP(Ruimtestaat[[#This Row],[Code]],Locaties[#All],6,FALSE)</f>
        <v>Enschede</v>
      </c>
      <c r="F181" s="257"/>
      <c r="G181" s="257" t="s">
        <v>563</v>
      </c>
      <c r="H181" s="171"/>
      <c r="I181" s="257">
        <v>19</v>
      </c>
      <c r="J181" s="259" t="s">
        <v>799</v>
      </c>
      <c r="K181" s="258">
        <v>15</v>
      </c>
      <c r="L181" s="260" t="str">
        <f>VLOOKUP(Ruimtestaat[[#This Row],[Ruimte code]],Ruimtegroepen[#All],2,FALSE)</f>
        <v>Keuken/pantry</v>
      </c>
      <c r="M181" s="258" t="s">
        <v>598</v>
      </c>
      <c r="N181" s="257" t="s">
        <v>132</v>
      </c>
      <c r="O181" s="261">
        <v>22</v>
      </c>
      <c r="P181" s="183"/>
      <c r="Q181" s="212" t="str">
        <f>VLOOKUP(Ruimtestaat[[#This Row],[Ruimte code]],Ruimtegroepen[#All],4,FALSE)</f>
        <v>V  (Verkeersruimte)</v>
      </c>
      <c r="R181" s="184"/>
      <c r="S181" s="185">
        <v>40</v>
      </c>
      <c r="T181" s="185" t="s">
        <v>2</v>
      </c>
      <c r="U181" s="185">
        <f>IF(S181&gt;0,IF(RIGHT(Ruimtestaat[[#This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1" s="185">
        <f>IF(U181&gt;0,VLOOKUP($K181,Ruimtegroepen[],3,FALSE)*VLOOKUP($M181,Vloersoorten[],3,FALSE)*VLOOKUP($T181,Frequenties[],3,FALSE)*VLOOKUP($A181,Locaties[],3,FALSE),0)</f>
        <v>0</v>
      </c>
      <c r="W181" s="185">
        <f>Ruimtestaat[[#This Row],[Uitvoeringen werkdagen]]*Ruimtestaat[[#This Row],[Oppervlak (netto)]]</f>
        <v>4400</v>
      </c>
      <c r="X181" s="220">
        <f>IF(V181&gt;0,Ruimtestaat[[#This Row],[Prest. (m2 /jaar) werkdagen]]/Ruimtestaat[[#This Row],[Norm (m2/uur) werkdagen]],0)</f>
        <v>0</v>
      </c>
      <c r="Y181" s="221">
        <f>Ruimtestaat[[#This Row],[uren / jaar werkdagen]]*Tariefsopbouw!$D$38</f>
        <v>0</v>
      </c>
      <c r="Z181" s="33"/>
      <c r="AA181" s="33">
        <f>IF(Ruimtestaat[[#This Row],[Frequentie weekend]]&gt;0,VALUE(LEFT(Z181,1))*S181,0)</f>
        <v>0</v>
      </c>
      <c r="AB181" s="33">
        <f>IF($AA181&gt;0,VLOOKUP($K181,Ruimtegroepen[],3,FALSE)*VLOOKUP($M181,Vloersoorten[],3,FALSE)*VLOOKUP($Z181,Frequenties[],3,FALSE)*VLOOKUP(#REF!,Locaties[],3,FALSE),0)</f>
        <v>0</v>
      </c>
      <c r="AC181" s="33"/>
      <c r="AD181" s="33"/>
      <c r="AE181" s="33">
        <f>Ruimtestaat[[#This Row],[uren / jaar weekend]]*Tariefsopbouw!$D$40</f>
        <v>0</v>
      </c>
      <c r="AF181" s="79">
        <f>Ruimtestaat[[#This Row],[Prest. (m2 /jaar) weekend]]+Ruimtestaat[[#This Row],[Prest. (m2 /jaar) werkdagen]]</f>
        <v>4400</v>
      </c>
      <c r="AG181" s="79">
        <f>Ruimtestaat[[#This Row],[uren / jaar weekend]]+Ruimtestaat[[#This Row],[uren / jaar werkdagen]]</f>
        <v>0</v>
      </c>
      <c r="AH181" s="80">
        <f>Ruimtestaat[[#This Row],[kosten / jaar weekend]]+Ruimtestaat[[#This Row],[kosten / jaar werkdagen]]</f>
        <v>0</v>
      </c>
    </row>
    <row r="182" spans="1:34" ht="15" customHeight="1">
      <c r="A182" s="256">
        <v>3</v>
      </c>
      <c r="B182" s="171" t="str">
        <f>VLOOKUP(Ruimtestaat[[#This Row],[Code]],Locaties[#All],2,FALSE)</f>
        <v xml:space="preserve">Panta Rhei College </v>
      </c>
      <c r="C182" s="258" t="str">
        <f>VLOOKUP(Ruimtestaat[[#This Row],[Code]],Locaties[#All],4,FALSE)</f>
        <v>Min. De Savornin Lohmanlaan 58</v>
      </c>
      <c r="D182" s="258" t="str">
        <f>VLOOKUP(Ruimtestaat[[#This Row],[Code]],Locaties[#All],5,FALSE)</f>
        <v>7512DL</v>
      </c>
      <c r="E182" s="258" t="str">
        <f>VLOOKUP(Ruimtestaat[[#This Row],[Code]],Locaties[#All],6,FALSE)</f>
        <v>Enschede</v>
      </c>
      <c r="F182" s="257"/>
      <c r="G182" s="257" t="s">
        <v>563</v>
      </c>
      <c r="H182" s="171"/>
      <c r="I182" s="257">
        <v>20</v>
      </c>
      <c r="J182" s="259" t="s">
        <v>800</v>
      </c>
      <c r="K182" s="258">
        <v>1</v>
      </c>
      <c r="L182" s="260" t="str">
        <f>VLOOKUP(Ruimtestaat[[#This Row],[Ruimte code]],Ruimtegroepen[#All],2,FALSE)</f>
        <v>Magazijnen/bergingen</v>
      </c>
      <c r="M182" s="258" t="s">
        <v>598</v>
      </c>
      <c r="N182" s="257" t="s">
        <v>132</v>
      </c>
      <c r="O182" s="261">
        <v>7</v>
      </c>
      <c r="P182" s="183"/>
      <c r="Q182" s="212" t="str">
        <f>VLOOKUP(Ruimtestaat[[#This Row],[Ruimte code]],Ruimtegroepen[#All],4,FALSE)</f>
        <v>V  (Verkeersruimte)</v>
      </c>
      <c r="R182" s="184"/>
      <c r="S182" s="185">
        <v>40</v>
      </c>
      <c r="T182" s="185" t="s">
        <v>15</v>
      </c>
      <c r="U182" s="185">
        <f>IF(S182&gt;0,IF(RIGHT(Ruimtestaat[[#This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82" s="185">
        <f>IF(U182&gt;0,VLOOKUP($K182,Ruimtegroepen[],3,FALSE)*VLOOKUP($M182,Vloersoorten[],3,FALSE)*VLOOKUP($T182,Frequenties[],3,FALSE)*VLOOKUP($A182,Locaties[],3,FALSE),0)</f>
        <v>0</v>
      </c>
      <c r="W182" s="185">
        <f>Ruimtestaat[[#This Row],[Uitvoeringen werkdagen]]*Ruimtestaat[[#This Row],[Oppervlak (netto)]]</f>
        <v>280</v>
      </c>
      <c r="X182" s="220">
        <f>IF(V182&gt;0,Ruimtestaat[[#This Row],[Prest. (m2 /jaar) werkdagen]]/Ruimtestaat[[#This Row],[Norm (m2/uur) werkdagen]],0)</f>
        <v>0</v>
      </c>
      <c r="Y182" s="221">
        <f>Ruimtestaat[[#This Row],[uren / jaar werkdagen]]*Tariefsopbouw!$D$38</f>
        <v>0</v>
      </c>
      <c r="Z182" s="33"/>
      <c r="AA182" s="33">
        <f>IF(Ruimtestaat[[#This Row],[Frequentie weekend]]&gt;0,VALUE(LEFT(Z182,1))*S182,0)</f>
        <v>0</v>
      </c>
      <c r="AB182" s="33">
        <f>IF($AA182&gt;0,VLOOKUP($K182,Ruimtegroepen[],3,FALSE)*VLOOKUP($M182,Vloersoorten[],3,FALSE)*VLOOKUP($Z182,Frequenties[],3,FALSE)*VLOOKUP(#REF!,Locaties[],3,FALSE),0)</f>
        <v>0</v>
      </c>
      <c r="AC182" s="33"/>
      <c r="AD182" s="33"/>
      <c r="AE182" s="33">
        <f>Ruimtestaat[[#This Row],[uren / jaar weekend]]*Tariefsopbouw!$D$40</f>
        <v>0</v>
      </c>
      <c r="AF182" s="79">
        <f>Ruimtestaat[[#This Row],[Prest. (m2 /jaar) weekend]]+Ruimtestaat[[#This Row],[Prest. (m2 /jaar) werkdagen]]</f>
        <v>280</v>
      </c>
      <c r="AG182" s="79">
        <f>Ruimtestaat[[#This Row],[uren / jaar weekend]]+Ruimtestaat[[#This Row],[uren / jaar werkdagen]]</f>
        <v>0</v>
      </c>
      <c r="AH182" s="80">
        <f>Ruimtestaat[[#This Row],[kosten / jaar weekend]]+Ruimtestaat[[#This Row],[kosten / jaar werkdagen]]</f>
        <v>0</v>
      </c>
    </row>
    <row r="183" spans="1:34" ht="15" customHeight="1">
      <c r="A183" s="256">
        <v>3</v>
      </c>
      <c r="B183" s="171" t="str">
        <f>VLOOKUP(Ruimtestaat[[#This Row],[Code]],Locaties[#All],2,FALSE)</f>
        <v xml:space="preserve">Panta Rhei College </v>
      </c>
      <c r="C183" s="258" t="str">
        <f>VLOOKUP(Ruimtestaat[[#This Row],[Code]],Locaties[#All],4,FALSE)</f>
        <v>Min. De Savornin Lohmanlaan 58</v>
      </c>
      <c r="D183" s="258" t="str">
        <f>VLOOKUP(Ruimtestaat[[#This Row],[Code]],Locaties[#All],5,FALSE)</f>
        <v>7512DL</v>
      </c>
      <c r="E183" s="258" t="str">
        <f>VLOOKUP(Ruimtestaat[[#This Row],[Code]],Locaties[#All],6,FALSE)</f>
        <v>Enschede</v>
      </c>
      <c r="F183" s="257"/>
      <c r="G183" s="257" t="s">
        <v>563</v>
      </c>
      <c r="H183" s="171"/>
      <c r="I183" s="257" t="s">
        <v>801</v>
      </c>
      <c r="J183" s="259" t="s">
        <v>623</v>
      </c>
      <c r="K183" s="171">
        <v>20</v>
      </c>
      <c r="L183" s="260" t="str">
        <f>VLOOKUP(Ruimtestaat[[#This Row],[Ruimte code]],Ruimtegroepen[#All],2,FALSE)</f>
        <v>Niet in onderhoud</v>
      </c>
      <c r="M183" s="185" t="s">
        <v>598</v>
      </c>
      <c r="N183" s="257" t="s">
        <v>132</v>
      </c>
      <c r="O183" s="261"/>
      <c r="P183" s="183">
        <v>5</v>
      </c>
      <c r="Q183" s="212" t="str">
        <f>VLOOKUP(Ruimtestaat[[#This Row],[Ruimte code]],Ruimtegroepen[#All],4,FALSE)</f>
        <v>niet in onderhoud</v>
      </c>
      <c r="R183" s="184"/>
      <c r="S183" s="185"/>
      <c r="T183" s="185"/>
      <c r="U183" s="185">
        <f>IF(S183&gt;0,IF(RIGHT(Ruimtestaat[[#This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83" s="185">
        <f>IF(U183&gt;0,VLOOKUP($K183,Ruimtegroepen[],3,FALSE)*VLOOKUP($M183,Vloersoorten[],3,FALSE)*VLOOKUP($T183,Frequenties[],3,FALSE)*VLOOKUP($A183,Locaties[],3,FALSE),0)</f>
        <v>0</v>
      </c>
      <c r="W183" s="185">
        <f>Ruimtestaat[[#This Row],[Uitvoeringen werkdagen]]*Ruimtestaat[[#This Row],[Oppervlak (netto)]]</f>
        <v>0</v>
      </c>
      <c r="X183" s="220">
        <f>IF(V183&gt;0,Ruimtestaat[[#This Row],[Prest. (m2 /jaar) werkdagen]]/Ruimtestaat[[#This Row],[Norm (m2/uur) werkdagen]],0)</f>
        <v>0</v>
      </c>
      <c r="Y183" s="221">
        <f>Ruimtestaat[[#This Row],[uren / jaar werkdagen]]*Tariefsopbouw!$D$38</f>
        <v>0</v>
      </c>
      <c r="Z183" s="33"/>
      <c r="AA183" s="33">
        <f>IF(Ruimtestaat[[#This Row],[Frequentie weekend]]&gt;0,VALUE(LEFT(Z183,1))*S183,0)</f>
        <v>0</v>
      </c>
      <c r="AB183" s="33">
        <f>IF($AA183&gt;0,VLOOKUP($K183,Ruimtegroepen[],3,FALSE)*VLOOKUP($M183,Vloersoorten[],3,FALSE)*VLOOKUP($Z183,Frequenties[],3,FALSE)*VLOOKUP(#REF!,Locaties[],3,FALSE),0)</f>
        <v>0</v>
      </c>
      <c r="AC183" s="33"/>
      <c r="AD183" s="33"/>
      <c r="AE183" s="33">
        <f>Ruimtestaat[[#This Row],[uren / jaar weekend]]*Tariefsopbouw!$D$40</f>
        <v>0</v>
      </c>
      <c r="AF183" s="79">
        <f>Ruimtestaat[[#This Row],[Prest. (m2 /jaar) weekend]]+Ruimtestaat[[#This Row],[Prest. (m2 /jaar) werkdagen]]</f>
        <v>0</v>
      </c>
      <c r="AG183" s="79">
        <f>Ruimtestaat[[#This Row],[uren / jaar weekend]]+Ruimtestaat[[#This Row],[uren / jaar werkdagen]]</f>
        <v>0</v>
      </c>
      <c r="AH183" s="80">
        <f>Ruimtestaat[[#This Row],[kosten / jaar weekend]]+Ruimtestaat[[#This Row],[kosten / jaar werkdagen]]</f>
        <v>0</v>
      </c>
    </row>
    <row r="184" spans="1:34" ht="15" customHeight="1">
      <c r="A184" s="256">
        <v>3</v>
      </c>
      <c r="B184" s="171" t="str">
        <f>VLOOKUP(Ruimtestaat[[#This Row],[Code]],Locaties[#All],2,FALSE)</f>
        <v xml:space="preserve">Panta Rhei College </v>
      </c>
      <c r="C184" s="258" t="str">
        <f>VLOOKUP(Ruimtestaat[[#This Row],[Code]],Locaties[#All],4,FALSE)</f>
        <v>Min. De Savornin Lohmanlaan 58</v>
      </c>
      <c r="D184" s="258" t="str">
        <f>VLOOKUP(Ruimtestaat[[#This Row],[Code]],Locaties[#All],5,FALSE)</f>
        <v>7512DL</v>
      </c>
      <c r="E184" s="258" t="str">
        <f>VLOOKUP(Ruimtestaat[[#This Row],[Code]],Locaties[#All],6,FALSE)</f>
        <v>Enschede</v>
      </c>
      <c r="F184" s="257"/>
      <c r="G184" s="257" t="s">
        <v>563</v>
      </c>
      <c r="H184" s="171"/>
      <c r="I184" s="257">
        <v>22</v>
      </c>
      <c r="J184" s="259" t="s">
        <v>571</v>
      </c>
      <c r="K184" s="185">
        <v>2</v>
      </c>
      <c r="L184" s="260" t="str">
        <f>VLOOKUP(Ruimtestaat[[#This Row],[Ruimte code]],Ruimtegroepen[#All],2,FALSE)</f>
        <v>Kantoren</v>
      </c>
      <c r="M184" s="212" t="s">
        <v>109</v>
      </c>
      <c r="N184" s="257" t="s">
        <v>808</v>
      </c>
      <c r="O184" s="261">
        <v>19</v>
      </c>
      <c r="P184" s="183"/>
      <c r="Q184" s="212" t="str">
        <f>VLOOKUP(Ruimtestaat[[#This Row],[Ruimte code]],Ruimtegroepen[#All],4,FALSE)</f>
        <v>B  (Bureauruimte)</v>
      </c>
      <c r="R184" s="184"/>
      <c r="S184" s="185">
        <v>40</v>
      </c>
      <c r="T184" s="185" t="s">
        <v>17</v>
      </c>
      <c r="U184" s="185">
        <f>IF(S184&gt;0,IF(RIGHT(Ruimtestaat[[#This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84" s="185">
        <f>IF(U184&gt;0,VLOOKUP($K184,Ruimtegroepen[],3,FALSE)*VLOOKUP($M184,Vloersoorten[],3,FALSE)*VLOOKUP($T184,Frequenties[],3,FALSE)*VLOOKUP($A184,Locaties[],3,FALSE),0)</f>
        <v>0</v>
      </c>
      <c r="W184" s="185">
        <f>Ruimtestaat[[#This Row],[Uitvoeringen werkdagen]]*Ruimtestaat[[#This Row],[Oppervlak (netto)]]</f>
        <v>1520</v>
      </c>
      <c r="X184" s="220">
        <f>IF(V184&gt;0,Ruimtestaat[[#This Row],[Prest. (m2 /jaar) werkdagen]]/Ruimtestaat[[#This Row],[Norm (m2/uur) werkdagen]],0)</f>
        <v>0</v>
      </c>
      <c r="Y184" s="221">
        <f>Ruimtestaat[[#This Row],[uren / jaar werkdagen]]*Tariefsopbouw!$D$38</f>
        <v>0</v>
      </c>
      <c r="Z184" s="33"/>
      <c r="AA184" s="33">
        <f>IF(Ruimtestaat[[#This Row],[Frequentie weekend]]&gt;0,VALUE(LEFT(Z184,1))*S184,0)</f>
        <v>0</v>
      </c>
      <c r="AB184" s="33">
        <f>IF($AA184&gt;0,VLOOKUP($K184,Ruimtegroepen[],3,FALSE)*VLOOKUP($M184,Vloersoorten[],3,FALSE)*VLOOKUP($Z184,Frequenties[],3,FALSE)*VLOOKUP(#REF!,Locaties[],3,FALSE),0)</f>
        <v>0</v>
      </c>
      <c r="AC184" s="33"/>
      <c r="AD184" s="33"/>
      <c r="AE184" s="33">
        <f>Ruimtestaat[[#This Row],[uren / jaar weekend]]*Tariefsopbouw!$D$40</f>
        <v>0</v>
      </c>
      <c r="AF184" s="79">
        <f>Ruimtestaat[[#This Row],[Prest. (m2 /jaar) weekend]]+Ruimtestaat[[#This Row],[Prest. (m2 /jaar) werkdagen]]</f>
        <v>1520</v>
      </c>
      <c r="AG184" s="79">
        <f>Ruimtestaat[[#This Row],[uren / jaar weekend]]+Ruimtestaat[[#This Row],[uren / jaar werkdagen]]</f>
        <v>0</v>
      </c>
      <c r="AH184" s="80">
        <f>Ruimtestaat[[#This Row],[kosten / jaar weekend]]+Ruimtestaat[[#This Row],[kosten / jaar werkdagen]]</f>
        <v>0</v>
      </c>
    </row>
    <row r="185" spans="1:34" ht="15" customHeight="1">
      <c r="A185" s="256">
        <v>3</v>
      </c>
      <c r="B185" s="171" t="str">
        <f>VLOOKUP(Ruimtestaat[[#This Row],[Code]],Locaties[#All],2,FALSE)</f>
        <v xml:space="preserve">Panta Rhei College </v>
      </c>
      <c r="C185" s="258" t="str">
        <f>VLOOKUP(Ruimtestaat[[#This Row],[Code]],Locaties[#All],4,FALSE)</f>
        <v>Min. De Savornin Lohmanlaan 58</v>
      </c>
      <c r="D185" s="258" t="str">
        <f>VLOOKUP(Ruimtestaat[[#This Row],[Code]],Locaties[#All],5,FALSE)</f>
        <v>7512DL</v>
      </c>
      <c r="E185" s="258" t="str">
        <f>VLOOKUP(Ruimtestaat[[#This Row],[Code]],Locaties[#All],6,FALSE)</f>
        <v>Enschede</v>
      </c>
      <c r="F185" s="257"/>
      <c r="G185" s="257" t="s">
        <v>563</v>
      </c>
      <c r="H185" s="171"/>
      <c r="I185" s="257" t="s">
        <v>802</v>
      </c>
      <c r="J185" s="259" t="s">
        <v>576</v>
      </c>
      <c r="K185" s="258">
        <v>16</v>
      </c>
      <c r="L185" s="260" t="str">
        <f>VLOOKUP(Ruimtestaat[[#This Row],[Ruimte code]],Ruimtegroepen[#All],2,FALSE)</f>
        <v>Leslokalen</v>
      </c>
      <c r="M185" s="185" t="s">
        <v>598</v>
      </c>
      <c r="N185" s="257" t="s">
        <v>132</v>
      </c>
      <c r="O185" s="261">
        <v>38</v>
      </c>
      <c r="P185" s="183"/>
      <c r="Q185" s="212" t="str">
        <f>VLOOKUP(Ruimtestaat[[#This Row],[Ruimte code]],Ruimtegroepen[#All],4,FALSE)</f>
        <v>L  (Lesruimte)</v>
      </c>
      <c r="R185" s="184"/>
      <c r="S185" s="185">
        <v>40</v>
      </c>
      <c r="T185" s="185" t="s">
        <v>2</v>
      </c>
      <c r="U185" s="185">
        <f>IF(S185&gt;0,IF(RIGHT(Ruimtestaat[[#This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5" s="185">
        <f>IF(U185&gt;0,VLOOKUP($K185,Ruimtegroepen[],3,FALSE)*VLOOKUP($M185,Vloersoorten[],3,FALSE)*VLOOKUP($T185,Frequenties[],3,FALSE)*VLOOKUP($A185,Locaties[],3,FALSE),0)</f>
        <v>0</v>
      </c>
      <c r="W185" s="185">
        <f>Ruimtestaat[[#This Row],[Uitvoeringen werkdagen]]*Ruimtestaat[[#This Row],[Oppervlak (netto)]]</f>
        <v>7600</v>
      </c>
      <c r="X185" s="220">
        <f>IF(V185&gt;0,Ruimtestaat[[#This Row],[Prest. (m2 /jaar) werkdagen]]/Ruimtestaat[[#This Row],[Norm (m2/uur) werkdagen]],0)</f>
        <v>0</v>
      </c>
      <c r="Y185" s="221">
        <f>Ruimtestaat[[#This Row],[uren / jaar werkdagen]]*Tariefsopbouw!$D$38</f>
        <v>0</v>
      </c>
      <c r="Z185" s="33"/>
      <c r="AA185" s="33">
        <f>IF(Ruimtestaat[[#This Row],[Frequentie weekend]]&gt;0,VALUE(LEFT(Z185,1))*S185,0)</f>
        <v>0</v>
      </c>
      <c r="AB185" s="33">
        <f>IF($AA185&gt;0,VLOOKUP($K185,Ruimtegroepen[],3,FALSE)*VLOOKUP($M185,Vloersoorten[],3,FALSE)*VLOOKUP($Z185,Frequenties[],3,FALSE)*VLOOKUP(#REF!,Locaties[],3,FALSE),0)</f>
        <v>0</v>
      </c>
      <c r="AC185" s="33"/>
      <c r="AD185" s="33"/>
      <c r="AE185" s="33">
        <f>Ruimtestaat[[#This Row],[uren / jaar weekend]]*Tariefsopbouw!$D$40</f>
        <v>0</v>
      </c>
      <c r="AF185" s="79">
        <f>Ruimtestaat[[#This Row],[Prest. (m2 /jaar) weekend]]+Ruimtestaat[[#This Row],[Prest. (m2 /jaar) werkdagen]]</f>
        <v>7600</v>
      </c>
      <c r="AG185" s="79">
        <f>Ruimtestaat[[#This Row],[uren / jaar weekend]]+Ruimtestaat[[#This Row],[uren / jaar werkdagen]]</f>
        <v>0</v>
      </c>
      <c r="AH185" s="80">
        <f>Ruimtestaat[[#This Row],[kosten / jaar weekend]]+Ruimtestaat[[#This Row],[kosten / jaar werkdagen]]</f>
        <v>0</v>
      </c>
    </row>
    <row r="186" spans="1:34" ht="15" customHeight="1">
      <c r="A186" s="256">
        <v>3</v>
      </c>
      <c r="B186" s="171" t="str">
        <f>VLOOKUP(Ruimtestaat[[#This Row],[Code]],Locaties[#All],2,FALSE)</f>
        <v xml:space="preserve">Panta Rhei College </v>
      </c>
      <c r="C186" s="258" t="str">
        <f>VLOOKUP(Ruimtestaat[[#This Row],[Code]],Locaties[#All],4,FALSE)</f>
        <v>Min. De Savornin Lohmanlaan 58</v>
      </c>
      <c r="D186" s="258" t="str">
        <f>VLOOKUP(Ruimtestaat[[#This Row],[Code]],Locaties[#All],5,FALSE)</f>
        <v>7512DL</v>
      </c>
      <c r="E186" s="258" t="str">
        <f>VLOOKUP(Ruimtestaat[[#This Row],[Code]],Locaties[#All],6,FALSE)</f>
        <v>Enschede</v>
      </c>
      <c r="F186" s="257"/>
      <c r="G186" s="257" t="s">
        <v>563</v>
      </c>
      <c r="H186" s="171"/>
      <c r="I186" s="257">
        <v>23</v>
      </c>
      <c r="J186" s="259" t="s">
        <v>574</v>
      </c>
      <c r="K186" s="171">
        <v>6</v>
      </c>
      <c r="L186" s="260" t="str">
        <f>VLOOKUP(Ruimtestaat[[#This Row],[Ruimte code]],Ruimtegroepen[#All],2,FALSE)</f>
        <v>Gangen/hallen</v>
      </c>
      <c r="M186" s="258" t="s">
        <v>598</v>
      </c>
      <c r="N186" s="257" t="s">
        <v>132</v>
      </c>
      <c r="O186" s="261">
        <v>76</v>
      </c>
      <c r="P186" s="183"/>
      <c r="Q186" s="212" t="str">
        <f>VLOOKUP(Ruimtestaat[[#This Row],[Ruimte code]],Ruimtegroepen[#All],4,FALSE)</f>
        <v>V  (Verkeersruimte)</v>
      </c>
      <c r="R186" s="184"/>
      <c r="S186" s="185">
        <v>40</v>
      </c>
      <c r="T186" s="185" t="s">
        <v>2</v>
      </c>
      <c r="U186" s="185">
        <f>IF(S186&gt;0,IF(RIGHT(Ruimtestaat[[#This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6" s="185">
        <f>IF(U186&gt;0,VLOOKUP($K186,Ruimtegroepen[],3,FALSE)*VLOOKUP($M186,Vloersoorten[],3,FALSE)*VLOOKUP($T186,Frequenties[],3,FALSE)*VLOOKUP($A186,Locaties[],3,FALSE),0)</f>
        <v>0</v>
      </c>
      <c r="W186" s="185">
        <f>Ruimtestaat[[#This Row],[Uitvoeringen werkdagen]]*Ruimtestaat[[#This Row],[Oppervlak (netto)]]</f>
        <v>15200</v>
      </c>
      <c r="X186" s="220">
        <f>IF(V186&gt;0,Ruimtestaat[[#This Row],[Prest. (m2 /jaar) werkdagen]]/Ruimtestaat[[#This Row],[Norm (m2/uur) werkdagen]],0)</f>
        <v>0</v>
      </c>
      <c r="Y186" s="221">
        <f>Ruimtestaat[[#This Row],[uren / jaar werkdagen]]*Tariefsopbouw!$D$38</f>
        <v>0</v>
      </c>
      <c r="Z186" s="33"/>
      <c r="AA186" s="33">
        <f>IF(Ruimtestaat[[#This Row],[Frequentie weekend]]&gt;0,VALUE(LEFT(Z186,1))*S186,0)</f>
        <v>0</v>
      </c>
      <c r="AB186" s="33">
        <f>IF($AA186&gt;0,VLOOKUP($K186,Ruimtegroepen[],3,FALSE)*VLOOKUP($M186,Vloersoorten[],3,FALSE)*VLOOKUP($Z186,Frequenties[],3,FALSE)*VLOOKUP(#REF!,Locaties[],3,FALSE),0)</f>
        <v>0</v>
      </c>
      <c r="AC186" s="33"/>
      <c r="AD186" s="33"/>
      <c r="AE186" s="33">
        <f>Ruimtestaat[[#This Row],[uren / jaar weekend]]*Tariefsopbouw!$D$40</f>
        <v>0</v>
      </c>
      <c r="AF186" s="79">
        <f>Ruimtestaat[[#This Row],[Prest. (m2 /jaar) weekend]]+Ruimtestaat[[#This Row],[Prest. (m2 /jaar) werkdagen]]</f>
        <v>15200</v>
      </c>
      <c r="AG186" s="79">
        <f>Ruimtestaat[[#This Row],[uren / jaar weekend]]+Ruimtestaat[[#This Row],[uren / jaar werkdagen]]</f>
        <v>0</v>
      </c>
      <c r="AH186" s="80">
        <f>Ruimtestaat[[#This Row],[kosten / jaar weekend]]+Ruimtestaat[[#This Row],[kosten / jaar werkdagen]]</f>
        <v>0</v>
      </c>
    </row>
    <row r="187" spans="1:34" ht="15" customHeight="1">
      <c r="A187" s="256">
        <v>3</v>
      </c>
      <c r="B187" s="171" t="str">
        <f>VLOOKUP(Ruimtestaat[[#This Row],[Code]],Locaties[#All],2,FALSE)</f>
        <v xml:space="preserve">Panta Rhei College </v>
      </c>
      <c r="C187" s="258" t="str">
        <f>VLOOKUP(Ruimtestaat[[#This Row],[Code]],Locaties[#All],4,FALSE)</f>
        <v>Min. De Savornin Lohmanlaan 58</v>
      </c>
      <c r="D187" s="258" t="str">
        <f>VLOOKUP(Ruimtestaat[[#This Row],[Code]],Locaties[#All],5,FALSE)</f>
        <v>7512DL</v>
      </c>
      <c r="E187" s="258" t="str">
        <f>VLOOKUP(Ruimtestaat[[#This Row],[Code]],Locaties[#All],6,FALSE)</f>
        <v>Enschede</v>
      </c>
      <c r="F187" s="257"/>
      <c r="G187" s="257" t="s">
        <v>563</v>
      </c>
      <c r="H187" s="171"/>
      <c r="I187" s="257">
        <v>24</v>
      </c>
      <c r="J187" s="259" t="s">
        <v>803</v>
      </c>
      <c r="K187" s="224">
        <v>16</v>
      </c>
      <c r="L187" s="260" t="str">
        <f>VLOOKUP(Ruimtestaat[[#This Row],[Ruimte code]],Ruimtegroepen[#All],2,FALSE)</f>
        <v>Leslokalen</v>
      </c>
      <c r="M187" s="258" t="s">
        <v>598</v>
      </c>
      <c r="N187" s="257" t="s">
        <v>132</v>
      </c>
      <c r="O187" s="261">
        <v>66</v>
      </c>
      <c r="P187" s="183"/>
      <c r="Q187" s="212" t="str">
        <f>VLOOKUP(Ruimtestaat[[#This Row],[Ruimte code]],Ruimtegroepen[#All],4,FALSE)</f>
        <v>L  (Lesruimte)</v>
      </c>
      <c r="R187" s="184"/>
      <c r="S187" s="185">
        <v>40</v>
      </c>
      <c r="T187" s="185" t="s">
        <v>2</v>
      </c>
      <c r="U187" s="185">
        <f>IF(S187&gt;0,IF(RIGHT(Ruimtestaat[[#This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7" s="185">
        <f>IF(U187&gt;0,VLOOKUP($K187,Ruimtegroepen[],3,FALSE)*VLOOKUP($M187,Vloersoorten[],3,FALSE)*VLOOKUP($T187,Frequenties[],3,FALSE)*VLOOKUP($A187,Locaties[],3,FALSE),0)</f>
        <v>0</v>
      </c>
      <c r="W187" s="185">
        <f>Ruimtestaat[[#This Row],[Uitvoeringen werkdagen]]*Ruimtestaat[[#This Row],[Oppervlak (netto)]]</f>
        <v>13200</v>
      </c>
      <c r="X187" s="220">
        <f>IF(V187&gt;0,Ruimtestaat[[#This Row],[Prest. (m2 /jaar) werkdagen]]/Ruimtestaat[[#This Row],[Norm (m2/uur) werkdagen]],0)</f>
        <v>0</v>
      </c>
      <c r="Y187" s="221">
        <f>Ruimtestaat[[#This Row],[uren / jaar werkdagen]]*Tariefsopbouw!$D$38</f>
        <v>0</v>
      </c>
      <c r="Z187" s="33"/>
      <c r="AA187" s="33">
        <f>IF(Ruimtestaat[[#This Row],[Frequentie weekend]]&gt;0,VALUE(LEFT(Z187,1))*S187,0)</f>
        <v>0</v>
      </c>
      <c r="AB187" s="33">
        <f>IF($AA187&gt;0,VLOOKUP($K187,Ruimtegroepen[],3,FALSE)*VLOOKUP($M187,Vloersoorten[],3,FALSE)*VLOOKUP($Z187,Frequenties[],3,FALSE)*VLOOKUP(#REF!,Locaties[],3,FALSE),0)</f>
        <v>0</v>
      </c>
      <c r="AC187" s="33"/>
      <c r="AD187" s="33"/>
      <c r="AE187" s="33">
        <f>Ruimtestaat[[#This Row],[uren / jaar weekend]]*Tariefsopbouw!$D$40</f>
        <v>0</v>
      </c>
      <c r="AF187" s="79">
        <f>Ruimtestaat[[#This Row],[Prest. (m2 /jaar) weekend]]+Ruimtestaat[[#This Row],[Prest. (m2 /jaar) werkdagen]]</f>
        <v>13200</v>
      </c>
      <c r="AG187" s="79">
        <f>Ruimtestaat[[#This Row],[uren / jaar weekend]]+Ruimtestaat[[#This Row],[uren / jaar werkdagen]]</f>
        <v>0</v>
      </c>
      <c r="AH187" s="80">
        <f>Ruimtestaat[[#This Row],[kosten / jaar weekend]]+Ruimtestaat[[#This Row],[kosten / jaar werkdagen]]</f>
        <v>0</v>
      </c>
    </row>
    <row r="188" spans="1:34" ht="15" customHeight="1">
      <c r="A188" s="256">
        <v>3</v>
      </c>
      <c r="B188" s="171" t="str">
        <f>VLOOKUP(Ruimtestaat[[#This Row],[Code]],Locaties[#All],2,FALSE)</f>
        <v xml:space="preserve">Panta Rhei College </v>
      </c>
      <c r="C188" s="258" t="str">
        <f>VLOOKUP(Ruimtestaat[[#This Row],[Code]],Locaties[#All],4,FALSE)</f>
        <v>Min. De Savornin Lohmanlaan 58</v>
      </c>
      <c r="D188" s="258" t="str">
        <f>VLOOKUP(Ruimtestaat[[#This Row],[Code]],Locaties[#All],5,FALSE)</f>
        <v>7512DL</v>
      </c>
      <c r="E188" s="258" t="str">
        <f>VLOOKUP(Ruimtestaat[[#This Row],[Code]],Locaties[#All],6,FALSE)</f>
        <v>Enschede</v>
      </c>
      <c r="F188" s="257"/>
      <c r="G188" s="257" t="s">
        <v>563</v>
      </c>
      <c r="H188" s="171"/>
      <c r="I188" s="257">
        <v>25</v>
      </c>
      <c r="J188" s="259" t="s">
        <v>576</v>
      </c>
      <c r="K188" s="185">
        <v>16</v>
      </c>
      <c r="L188" s="260" t="str">
        <f>VLOOKUP(Ruimtestaat[[#This Row],[Ruimte code]],Ruimtegroepen[#All],2,FALSE)</f>
        <v>Leslokalen</v>
      </c>
      <c r="M188" s="258" t="s">
        <v>598</v>
      </c>
      <c r="N188" s="257" t="s">
        <v>132</v>
      </c>
      <c r="O188" s="261">
        <v>37</v>
      </c>
      <c r="P188" s="183"/>
      <c r="Q188" s="212" t="str">
        <f>VLOOKUP(Ruimtestaat[[#This Row],[Ruimte code]],Ruimtegroepen[#All],4,FALSE)</f>
        <v>L  (Lesruimte)</v>
      </c>
      <c r="R188" s="184"/>
      <c r="S188" s="185">
        <v>40</v>
      </c>
      <c r="T188" s="185" t="s">
        <v>2</v>
      </c>
      <c r="U188" s="185">
        <f>IF(S188&gt;0,IF(RIGHT(Ruimtestaat[[#This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8" s="185">
        <f>IF(U188&gt;0,VLOOKUP($K188,Ruimtegroepen[],3,FALSE)*VLOOKUP($M188,Vloersoorten[],3,FALSE)*VLOOKUP($T188,Frequenties[],3,FALSE)*VLOOKUP($A188,Locaties[],3,FALSE),0)</f>
        <v>0</v>
      </c>
      <c r="W188" s="185">
        <f>Ruimtestaat[[#This Row],[Uitvoeringen werkdagen]]*Ruimtestaat[[#This Row],[Oppervlak (netto)]]</f>
        <v>7400</v>
      </c>
      <c r="X188" s="220">
        <f>IF(V188&gt;0,Ruimtestaat[[#This Row],[Prest. (m2 /jaar) werkdagen]]/Ruimtestaat[[#This Row],[Norm (m2/uur) werkdagen]],0)</f>
        <v>0</v>
      </c>
      <c r="Y188" s="221">
        <f>Ruimtestaat[[#This Row],[uren / jaar werkdagen]]*Tariefsopbouw!$D$38</f>
        <v>0</v>
      </c>
      <c r="Z188" s="33"/>
      <c r="AA188" s="33">
        <f>IF(Ruimtestaat[[#This Row],[Frequentie weekend]]&gt;0,VALUE(LEFT(Z188,1))*S188,0)</f>
        <v>0</v>
      </c>
      <c r="AB188" s="33">
        <f>IF($AA188&gt;0,VLOOKUP($K188,Ruimtegroepen[],3,FALSE)*VLOOKUP($M188,Vloersoorten[],3,FALSE)*VLOOKUP($Z188,Frequenties[],3,FALSE)*VLOOKUP(#REF!,Locaties[],3,FALSE),0)</f>
        <v>0</v>
      </c>
      <c r="AC188" s="33"/>
      <c r="AD188" s="33"/>
      <c r="AE188" s="33">
        <f>Ruimtestaat[[#This Row],[uren / jaar weekend]]*Tariefsopbouw!$D$40</f>
        <v>0</v>
      </c>
      <c r="AF188" s="79">
        <f>Ruimtestaat[[#This Row],[Prest. (m2 /jaar) weekend]]+Ruimtestaat[[#This Row],[Prest. (m2 /jaar) werkdagen]]</f>
        <v>7400</v>
      </c>
      <c r="AG188" s="79">
        <f>Ruimtestaat[[#This Row],[uren / jaar weekend]]+Ruimtestaat[[#This Row],[uren / jaar werkdagen]]</f>
        <v>0</v>
      </c>
      <c r="AH188" s="80">
        <f>Ruimtestaat[[#This Row],[kosten / jaar weekend]]+Ruimtestaat[[#This Row],[kosten / jaar werkdagen]]</f>
        <v>0</v>
      </c>
    </row>
    <row r="189" spans="1:34" ht="15" customHeight="1">
      <c r="A189" s="256">
        <v>3</v>
      </c>
      <c r="B189" s="171" t="str">
        <f>VLOOKUP(Ruimtestaat[[#This Row],[Code]],Locaties[#All],2,FALSE)</f>
        <v xml:space="preserve">Panta Rhei College </v>
      </c>
      <c r="C189" s="258" t="str">
        <f>VLOOKUP(Ruimtestaat[[#This Row],[Code]],Locaties[#All],4,FALSE)</f>
        <v>Min. De Savornin Lohmanlaan 58</v>
      </c>
      <c r="D189" s="258" t="str">
        <f>VLOOKUP(Ruimtestaat[[#This Row],[Code]],Locaties[#All],5,FALSE)</f>
        <v>7512DL</v>
      </c>
      <c r="E189" s="258" t="str">
        <f>VLOOKUP(Ruimtestaat[[#This Row],[Code]],Locaties[#All],6,FALSE)</f>
        <v>Enschede</v>
      </c>
      <c r="F189" s="257"/>
      <c r="G189" s="257" t="s">
        <v>563</v>
      </c>
      <c r="H189" s="171"/>
      <c r="I189" s="257">
        <v>28</v>
      </c>
      <c r="J189" s="259" t="s">
        <v>576</v>
      </c>
      <c r="K189" s="185">
        <v>16</v>
      </c>
      <c r="L189" s="260" t="str">
        <f>VLOOKUP(Ruimtestaat[[#This Row],[Ruimte code]],Ruimtegroepen[#All],2,FALSE)</f>
        <v>Leslokalen</v>
      </c>
      <c r="M189" s="258" t="s">
        <v>598</v>
      </c>
      <c r="N189" s="257" t="s">
        <v>132</v>
      </c>
      <c r="O189" s="261">
        <v>37</v>
      </c>
      <c r="P189" s="183"/>
      <c r="Q189" s="212" t="str">
        <f>VLOOKUP(Ruimtestaat[[#This Row],[Ruimte code]],Ruimtegroepen[#All],4,FALSE)</f>
        <v>L  (Lesruimte)</v>
      </c>
      <c r="R189" s="184"/>
      <c r="S189" s="185">
        <v>40</v>
      </c>
      <c r="T189" s="185" t="s">
        <v>2</v>
      </c>
      <c r="U189" s="185">
        <f>IF(S189&gt;0,IF(RIGHT(Ruimtestaat[[#This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9" s="185">
        <f>IF(U189&gt;0,VLOOKUP($K189,Ruimtegroepen[],3,FALSE)*VLOOKUP($M189,Vloersoorten[],3,FALSE)*VLOOKUP($T189,Frequenties[],3,FALSE)*VLOOKUP($A189,Locaties[],3,FALSE),0)</f>
        <v>0</v>
      </c>
      <c r="W189" s="185">
        <f>Ruimtestaat[[#This Row],[Uitvoeringen werkdagen]]*Ruimtestaat[[#This Row],[Oppervlak (netto)]]</f>
        <v>7400</v>
      </c>
      <c r="X189" s="220">
        <f>IF(V189&gt;0,Ruimtestaat[[#This Row],[Prest. (m2 /jaar) werkdagen]]/Ruimtestaat[[#This Row],[Norm (m2/uur) werkdagen]],0)</f>
        <v>0</v>
      </c>
      <c r="Y189" s="221">
        <f>Ruimtestaat[[#This Row],[uren / jaar werkdagen]]*Tariefsopbouw!$D$38</f>
        <v>0</v>
      </c>
      <c r="Z189" s="33"/>
      <c r="AA189" s="33">
        <f>IF(Ruimtestaat[[#This Row],[Frequentie weekend]]&gt;0,VALUE(LEFT(Z189,1))*S189,0)</f>
        <v>0</v>
      </c>
      <c r="AB189" s="33">
        <f>IF($AA189&gt;0,VLOOKUP($K189,Ruimtegroepen[],3,FALSE)*VLOOKUP($M189,Vloersoorten[],3,FALSE)*VLOOKUP($Z189,Frequenties[],3,FALSE)*VLOOKUP(#REF!,Locaties[],3,FALSE),0)</f>
        <v>0</v>
      </c>
      <c r="AC189" s="33"/>
      <c r="AD189" s="33"/>
      <c r="AE189" s="33">
        <f>Ruimtestaat[[#This Row],[uren / jaar weekend]]*Tariefsopbouw!$D$40</f>
        <v>0</v>
      </c>
      <c r="AF189" s="79">
        <f>Ruimtestaat[[#This Row],[Prest. (m2 /jaar) weekend]]+Ruimtestaat[[#This Row],[Prest. (m2 /jaar) werkdagen]]</f>
        <v>7400</v>
      </c>
      <c r="AG189" s="79">
        <f>Ruimtestaat[[#This Row],[uren / jaar weekend]]+Ruimtestaat[[#This Row],[uren / jaar werkdagen]]</f>
        <v>0</v>
      </c>
      <c r="AH189" s="80">
        <f>Ruimtestaat[[#This Row],[kosten / jaar weekend]]+Ruimtestaat[[#This Row],[kosten / jaar werkdagen]]</f>
        <v>0</v>
      </c>
    </row>
    <row r="190" spans="1:34" ht="15" customHeight="1">
      <c r="A190" s="256">
        <v>3</v>
      </c>
      <c r="B190" s="171" t="str">
        <f>VLOOKUP(Ruimtestaat[[#This Row],[Code]],Locaties[#All],2,FALSE)</f>
        <v xml:space="preserve">Panta Rhei College </v>
      </c>
      <c r="C190" s="258" t="str">
        <f>VLOOKUP(Ruimtestaat[[#This Row],[Code]],Locaties[#All],4,FALSE)</f>
        <v>Min. De Savornin Lohmanlaan 58</v>
      </c>
      <c r="D190" s="258" t="str">
        <f>VLOOKUP(Ruimtestaat[[#This Row],[Code]],Locaties[#All],5,FALSE)</f>
        <v>7512DL</v>
      </c>
      <c r="E190" s="258" t="str">
        <f>VLOOKUP(Ruimtestaat[[#This Row],[Code]],Locaties[#All],6,FALSE)</f>
        <v>Enschede</v>
      </c>
      <c r="F190" s="257"/>
      <c r="G190" s="257" t="s">
        <v>563</v>
      </c>
      <c r="H190" s="171"/>
      <c r="I190" s="257" t="s">
        <v>804</v>
      </c>
      <c r="J190" s="259" t="s">
        <v>576</v>
      </c>
      <c r="K190" s="185">
        <v>16</v>
      </c>
      <c r="L190" s="260" t="str">
        <f>VLOOKUP(Ruimtestaat[[#This Row],[Ruimte code]],Ruimtegroepen[#All],2,FALSE)</f>
        <v>Leslokalen</v>
      </c>
      <c r="M190" s="258" t="s">
        <v>598</v>
      </c>
      <c r="N190" s="257" t="s">
        <v>132</v>
      </c>
      <c r="O190" s="261">
        <v>37</v>
      </c>
      <c r="P190" s="183"/>
      <c r="Q190" s="212" t="str">
        <f>VLOOKUP(Ruimtestaat[[#This Row],[Ruimte code]],Ruimtegroepen[#All],4,FALSE)</f>
        <v>L  (Lesruimte)</v>
      </c>
      <c r="R190" s="184"/>
      <c r="S190" s="185">
        <v>40</v>
      </c>
      <c r="T190" s="185" t="s">
        <v>2</v>
      </c>
      <c r="U190" s="185">
        <f>IF(S190&gt;0,IF(RIGHT(Ruimtestaat[[#This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0" s="185">
        <f>IF(U190&gt;0,VLOOKUP($K190,Ruimtegroepen[],3,FALSE)*VLOOKUP($M190,Vloersoorten[],3,FALSE)*VLOOKUP($T190,Frequenties[],3,FALSE)*VLOOKUP($A190,Locaties[],3,FALSE),0)</f>
        <v>0</v>
      </c>
      <c r="W190" s="185">
        <f>Ruimtestaat[[#This Row],[Uitvoeringen werkdagen]]*Ruimtestaat[[#This Row],[Oppervlak (netto)]]</f>
        <v>7400</v>
      </c>
      <c r="X190" s="220">
        <f>IF(V190&gt;0,Ruimtestaat[[#This Row],[Prest. (m2 /jaar) werkdagen]]/Ruimtestaat[[#This Row],[Norm (m2/uur) werkdagen]],0)</f>
        <v>0</v>
      </c>
      <c r="Y190" s="221">
        <f>Ruimtestaat[[#This Row],[uren / jaar werkdagen]]*Tariefsopbouw!$D$38</f>
        <v>0</v>
      </c>
      <c r="Z190" s="33"/>
      <c r="AA190" s="33">
        <f>IF(Ruimtestaat[[#This Row],[Frequentie weekend]]&gt;0,VALUE(LEFT(Z190,1))*S190,0)</f>
        <v>0</v>
      </c>
      <c r="AB190" s="33">
        <f>IF($AA190&gt;0,VLOOKUP($K190,Ruimtegroepen[],3,FALSE)*VLOOKUP($M190,Vloersoorten[],3,FALSE)*VLOOKUP($Z190,Frequenties[],3,FALSE)*VLOOKUP(#REF!,Locaties[],3,FALSE),0)</f>
        <v>0</v>
      </c>
      <c r="AC190" s="33"/>
      <c r="AD190" s="33"/>
      <c r="AE190" s="33">
        <f>Ruimtestaat[[#This Row],[uren / jaar weekend]]*Tariefsopbouw!$D$40</f>
        <v>0</v>
      </c>
      <c r="AF190" s="79">
        <f>Ruimtestaat[[#This Row],[Prest. (m2 /jaar) weekend]]+Ruimtestaat[[#This Row],[Prest. (m2 /jaar) werkdagen]]</f>
        <v>7400</v>
      </c>
      <c r="AG190" s="79">
        <f>Ruimtestaat[[#This Row],[uren / jaar weekend]]+Ruimtestaat[[#This Row],[uren / jaar werkdagen]]</f>
        <v>0</v>
      </c>
      <c r="AH190" s="80">
        <f>Ruimtestaat[[#This Row],[kosten / jaar weekend]]+Ruimtestaat[[#This Row],[kosten / jaar werkdagen]]</f>
        <v>0</v>
      </c>
    </row>
    <row r="191" spans="1:34" ht="15" customHeight="1">
      <c r="A191" s="256">
        <v>3</v>
      </c>
      <c r="B191" s="171" t="str">
        <f>VLOOKUP(Ruimtestaat[[#This Row],[Code]],Locaties[#All],2,FALSE)</f>
        <v xml:space="preserve">Panta Rhei College </v>
      </c>
      <c r="C191" s="258" t="str">
        <f>VLOOKUP(Ruimtestaat[[#This Row],[Code]],Locaties[#All],4,FALSE)</f>
        <v>Min. De Savornin Lohmanlaan 58</v>
      </c>
      <c r="D191" s="258" t="str">
        <f>VLOOKUP(Ruimtestaat[[#This Row],[Code]],Locaties[#All],5,FALSE)</f>
        <v>7512DL</v>
      </c>
      <c r="E191" s="258" t="str">
        <f>VLOOKUP(Ruimtestaat[[#This Row],[Code]],Locaties[#All],6,FALSE)</f>
        <v>Enschede</v>
      </c>
      <c r="F191" s="257"/>
      <c r="G191" s="257" t="s">
        <v>563</v>
      </c>
      <c r="H191" s="171"/>
      <c r="I191" s="257">
        <v>32</v>
      </c>
      <c r="J191" s="259" t="s">
        <v>805</v>
      </c>
      <c r="K191" s="185">
        <v>14</v>
      </c>
      <c r="L191" s="260" t="str">
        <f>VLOOKUP(Ruimtestaat[[#This Row],[Ruimte code]],Ruimtegroepen[#All],2,FALSE)</f>
        <v>Praktijklokalen</v>
      </c>
      <c r="M191" s="212" t="s">
        <v>112</v>
      </c>
      <c r="N191" s="257" t="s">
        <v>809</v>
      </c>
      <c r="O191" s="261">
        <v>56</v>
      </c>
      <c r="P191" s="183"/>
      <c r="Q191" s="212" t="str">
        <f>VLOOKUP(Ruimtestaat[[#This Row],[Ruimte code]],Ruimtegroepen[#All],4,FALSE)</f>
        <v>L  (Lesruimte)</v>
      </c>
      <c r="R191" s="184"/>
      <c r="S191" s="185">
        <v>40</v>
      </c>
      <c r="T191" s="185" t="s">
        <v>2</v>
      </c>
      <c r="U191" s="185">
        <f>IF(S191&gt;0,IF(RIGHT(Ruimtestaat[[#This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1" s="185">
        <f>IF(U191&gt;0,VLOOKUP($K191,Ruimtegroepen[],3,FALSE)*VLOOKUP($M191,Vloersoorten[],3,FALSE)*VLOOKUP($T191,Frequenties[],3,FALSE)*VLOOKUP($A191,Locaties[],3,FALSE),0)</f>
        <v>0</v>
      </c>
      <c r="W191" s="185">
        <f>Ruimtestaat[[#This Row],[Uitvoeringen werkdagen]]*Ruimtestaat[[#This Row],[Oppervlak (netto)]]</f>
        <v>11200</v>
      </c>
      <c r="X191" s="220">
        <f>IF(V191&gt;0,Ruimtestaat[[#This Row],[Prest. (m2 /jaar) werkdagen]]/Ruimtestaat[[#This Row],[Norm (m2/uur) werkdagen]],0)</f>
        <v>0</v>
      </c>
      <c r="Y191" s="221">
        <f>Ruimtestaat[[#This Row],[uren / jaar werkdagen]]*Tariefsopbouw!$D$38</f>
        <v>0</v>
      </c>
      <c r="Z191" s="33"/>
      <c r="AA191" s="33">
        <f>IF(Ruimtestaat[[#This Row],[Frequentie weekend]]&gt;0,VALUE(LEFT(Z191,1))*S191,0)</f>
        <v>0</v>
      </c>
      <c r="AB191" s="33">
        <f>IF($AA191&gt;0,VLOOKUP($K191,Ruimtegroepen[],3,FALSE)*VLOOKUP($M191,Vloersoorten[],3,FALSE)*VLOOKUP($Z191,Frequenties[],3,FALSE)*VLOOKUP(#REF!,Locaties[],3,FALSE),0)</f>
        <v>0</v>
      </c>
      <c r="AC191" s="33"/>
      <c r="AD191" s="33"/>
      <c r="AE191" s="33">
        <f>Ruimtestaat[[#This Row],[uren / jaar weekend]]*Tariefsopbouw!$D$40</f>
        <v>0</v>
      </c>
      <c r="AF191" s="79">
        <f>Ruimtestaat[[#This Row],[Prest. (m2 /jaar) weekend]]+Ruimtestaat[[#This Row],[Prest. (m2 /jaar) werkdagen]]</f>
        <v>11200</v>
      </c>
      <c r="AG191" s="79">
        <f>Ruimtestaat[[#This Row],[uren / jaar weekend]]+Ruimtestaat[[#This Row],[uren / jaar werkdagen]]</f>
        <v>0</v>
      </c>
      <c r="AH191" s="80">
        <f>Ruimtestaat[[#This Row],[kosten / jaar weekend]]+Ruimtestaat[[#This Row],[kosten / jaar werkdagen]]</f>
        <v>0</v>
      </c>
    </row>
    <row r="192" spans="1:34" ht="15" customHeight="1">
      <c r="A192" s="256">
        <v>3</v>
      </c>
      <c r="B192" s="171" t="str">
        <f>VLOOKUP(Ruimtestaat[[#This Row],[Code]],Locaties[#All],2,FALSE)</f>
        <v xml:space="preserve">Panta Rhei College </v>
      </c>
      <c r="C192" s="258" t="str">
        <f>VLOOKUP(Ruimtestaat[[#This Row],[Code]],Locaties[#All],4,FALSE)</f>
        <v>Min. De Savornin Lohmanlaan 58</v>
      </c>
      <c r="D192" s="258" t="str">
        <f>VLOOKUP(Ruimtestaat[[#This Row],[Code]],Locaties[#All],5,FALSE)</f>
        <v>7512DL</v>
      </c>
      <c r="E192" s="258" t="str">
        <f>VLOOKUP(Ruimtestaat[[#This Row],[Code]],Locaties[#All],6,FALSE)</f>
        <v>Enschede</v>
      </c>
      <c r="F192" s="257"/>
      <c r="G192" s="257" t="s">
        <v>563</v>
      </c>
      <c r="H192" s="171"/>
      <c r="I192" s="257" t="s">
        <v>806</v>
      </c>
      <c r="J192" s="259" t="s">
        <v>805</v>
      </c>
      <c r="K192" s="171">
        <v>14</v>
      </c>
      <c r="L192" s="260" t="str">
        <f>VLOOKUP(Ruimtestaat[[#This Row],[Ruimte code]],Ruimtegroepen[#All],2,FALSE)</f>
        <v>Praktijklokalen</v>
      </c>
      <c r="M192" s="212" t="s">
        <v>111</v>
      </c>
      <c r="N192" s="257" t="s">
        <v>605</v>
      </c>
      <c r="O192" s="261">
        <v>6</v>
      </c>
      <c r="P192" s="183"/>
      <c r="Q192" s="212" t="str">
        <f>VLOOKUP(Ruimtestaat[[#This Row],[Ruimte code]],Ruimtegroepen[#All],4,FALSE)</f>
        <v>L  (Lesruimte)</v>
      </c>
      <c r="R192" s="184"/>
      <c r="S192" s="185">
        <v>40</v>
      </c>
      <c r="T192" s="185" t="s">
        <v>2</v>
      </c>
      <c r="U192" s="185">
        <f>IF(S192&gt;0,IF(RIGHT(Ruimtestaat[[#This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2" s="185">
        <f>IF(U192&gt;0,VLOOKUP($K192,Ruimtegroepen[],3,FALSE)*VLOOKUP($M192,Vloersoorten[],3,FALSE)*VLOOKUP($T192,Frequenties[],3,FALSE)*VLOOKUP($A192,Locaties[],3,FALSE),0)</f>
        <v>0</v>
      </c>
      <c r="W192" s="185">
        <f>Ruimtestaat[[#This Row],[Uitvoeringen werkdagen]]*Ruimtestaat[[#This Row],[Oppervlak (netto)]]</f>
        <v>1200</v>
      </c>
      <c r="X192" s="220">
        <f>IF(V192&gt;0,Ruimtestaat[[#This Row],[Prest. (m2 /jaar) werkdagen]]/Ruimtestaat[[#This Row],[Norm (m2/uur) werkdagen]],0)</f>
        <v>0</v>
      </c>
      <c r="Y192" s="221">
        <f>Ruimtestaat[[#This Row],[uren / jaar werkdagen]]*Tariefsopbouw!$D$38</f>
        <v>0</v>
      </c>
      <c r="Z192" s="33"/>
      <c r="AA192" s="33">
        <f>IF(Ruimtestaat[[#This Row],[Frequentie weekend]]&gt;0,VALUE(LEFT(Z192,1))*S192,0)</f>
        <v>0</v>
      </c>
      <c r="AB192" s="33">
        <f>IF($AA192&gt;0,VLOOKUP($K192,Ruimtegroepen[],3,FALSE)*VLOOKUP($M192,Vloersoorten[],3,FALSE)*VLOOKUP($Z192,Frequenties[],3,FALSE)*VLOOKUP(#REF!,Locaties[],3,FALSE),0)</f>
        <v>0</v>
      </c>
      <c r="AC192" s="33"/>
      <c r="AD192" s="33"/>
      <c r="AE192" s="33">
        <f>Ruimtestaat[[#This Row],[uren / jaar weekend]]*Tariefsopbouw!$D$40</f>
        <v>0</v>
      </c>
      <c r="AF192" s="79">
        <f>Ruimtestaat[[#This Row],[Prest. (m2 /jaar) weekend]]+Ruimtestaat[[#This Row],[Prest. (m2 /jaar) werkdagen]]</f>
        <v>1200</v>
      </c>
      <c r="AG192" s="79">
        <f>Ruimtestaat[[#This Row],[uren / jaar weekend]]+Ruimtestaat[[#This Row],[uren / jaar werkdagen]]</f>
        <v>0</v>
      </c>
      <c r="AH192" s="80">
        <f>Ruimtestaat[[#This Row],[kosten / jaar weekend]]+Ruimtestaat[[#This Row],[kosten / jaar werkdagen]]</f>
        <v>0</v>
      </c>
    </row>
    <row r="193" spans="1:34" ht="15" customHeight="1">
      <c r="A193" s="256">
        <v>3</v>
      </c>
      <c r="B193" s="171" t="str">
        <f>VLOOKUP(Ruimtestaat[[#This Row],[Code]],Locaties[#All],2,FALSE)</f>
        <v xml:space="preserve">Panta Rhei College </v>
      </c>
      <c r="C193" s="258" t="str">
        <f>VLOOKUP(Ruimtestaat[[#This Row],[Code]],Locaties[#All],4,FALSE)</f>
        <v>Min. De Savornin Lohmanlaan 58</v>
      </c>
      <c r="D193" s="258" t="str">
        <f>VLOOKUP(Ruimtestaat[[#This Row],[Code]],Locaties[#All],5,FALSE)</f>
        <v>7512DL</v>
      </c>
      <c r="E193" s="258" t="str">
        <f>VLOOKUP(Ruimtestaat[[#This Row],[Code]],Locaties[#All],6,FALSE)</f>
        <v>Enschede</v>
      </c>
      <c r="F193" s="257"/>
      <c r="G193" s="257" t="s">
        <v>563</v>
      </c>
      <c r="H193" s="171"/>
      <c r="I193" s="257" t="s">
        <v>807</v>
      </c>
      <c r="J193" s="259" t="s">
        <v>585</v>
      </c>
      <c r="K193" s="171">
        <v>1</v>
      </c>
      <c r="L193" s="260" t="str">
        <f>VLOOKUP(Ruimtestaat[[#This Row],[Ruimte code]],Ruimtegroepen[#All],2,FALSE)</f>
        <v>Magazijnen/bergingen</v>
      </c>
      <c r="M193" s="185" t="s">
        <v>112</v>
      </c>
      <c r="N193" s="257" t="s">
        <v>809</v>
      </c>
      <c r="O193" s="261">
        <v>14</v>
      </c>
      <c r="P193" s="183"/>
      <c r="Q193" s="212" t="str">
        <f>VLOOKUP(Ruimtestaat[[#This Row],[Ruimte code]],Ruimtegroepen[#All],4,FALSE)</f>
        <v>V  (Verkeersruimte)</v>
      </c>
      <c r="R193" s="184"/>
      <c r="S193" s="185">
        <v>40</v>
      </c>
      <c r="T193" s="185" t="s">
        <v>16</v>
      </c>
      <c r="U193" s="185">
        <f>IF(S193&gt;0,IF(RIGHT(Ruimtestaat[[#This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93" s="185">
        <f>IF(U193&gt;0,VLOOKUP($K193,Ruimtegroepen[],3,FALSE)*VLOOKUP($M193,Vloersoorten[],3,FALSE)*VLOOKUP($T193,Frequenties[],3,FALSE)*VLOOKUP($A193,Locaties[],3,FALSE),0)</f>
        <v>0</v>
      </c>
      <c r="W193" s="185">
        <f>Ruimtestaat[[#This Row],[Uitvoeringen werkdagen]]*Ruimtestaat[[#This Row],[Oppervlak (netto)]]</f>
        <v>168</v>
      </c>
      <c r="X193" s="220">
        <f>IF(V193&gt;0,Ruimtestaat[[#This Row],[Prest. (m2 /jaar) werkdagen]]/Ruimtestaat[[#This Row],[Norm (m2/uur) werkdagen]],0)</f>
        <v>0</v>
      </c>
      <c r="Y193" s="221">
        <f>Ruimtestaat[[#This Row],[uren / jaar werkdagen]]*Tariefsopbouw!$D$38</f>
        <v>0</v>
      </c>
      <c r="Z193" s="33"/>
      <c r="AA193" s="33">
        <f>IF(Ruimtestaat[[#This Row],[Frequentie weekend]]&gt;0,VALUE(LEFT(Z193,1))*S193,0)</f>
        <v>0</v>
      </c>
      <c r="AB193" s="33">
        <f>IF($AA193&gt;0,VLOOKUP($K193,Ruimtegroepen[],3,FALSE)*VLOOKUP($M193,Vloersoorten[],3,FALSE)*VLOOKUP($Z193,Frequenties[],3,FALSE)*VLOOKUP(#REF!,Locaties[],3,FALSE),0)</f>
        <v>0</v>
      </c>
      <c r="AC193" s="33"/>
      <c r="AD193" s="33"/>
      <c r="AE193" s="33">
        <f>Ruimtestaat[[#This Row],[uren / jaar weekend]]*Tariefsopbouw!$D$40</f>
        <v>0</v>
      </c>
      <c r="AF193" s="79">
        <f>Ruimtestaat[[#This Row],[Prest. (m2 /jaar) weekend]]+Ruimtestaat[[#This Row],[Prest. (m2 /jaar) werkdagen]]</f>
        <v>168</v>
      </c>
      <c r="AG193" s="79">
        <f>Ruimtestaat[[#This Row],[uren / jaar weekend]]+Ruimtestaat[[#This Row],[uren / jaar werkdagen]]</f>
        <v>0</v>
      </c>
      <c r="AH193" s="80">
        <f>Ruimtestaat[[#This Row],[kosten / jaar weekend]]+Ruimtestaat[[#This Row],[kosten / jaar werkdagen]]</f>
        <v>0</v>
      </c>
    </row>
    <row r="194" spans="1:34" ht="15" customHeight="1">
      <c r="A194" s="256">
        <v>3</v>
      </c>
      <c r="B194" s="171" t="str">
        <f>VLOOKUP(Ruimtestaat[[#This Row],[Code]],Locaties[#All],2,FALSE)</f>
        <v xml:space="preserve">Panta Rhei College </v>
      </c>
      <c r="C194" s="258" t="str">
        <f>VLOOKUP(Ruimtestaat[[#This Row],[Code]],Locaties[#All],4,FALSE)</f>
        <v>Min. De Savornin Lohmanlaan 58</v>
      </c>
      <c r="D194" s="258" t="str">
        <f>VLOOKUP(Ruimtestaat[[#This Row],[Code]],Locaties[#All],5,FALSE)</f>
        <v>7512DL</v>
      </c>
      <c r="E194" s="258" t="str">
        <f>VLOOKUP(Ruimtestaat[[#This Row],[Code]],Locaties[#All],6,FALSE)</f>
        <v>Enschede</v>
      </c>
      <c r="F194" s="257"/>
      <c r="G194" s="257" t="s">
        <v>563</v>
      </c>
      <c r="H194" s="171"/>
      <c r="I194" s="257">
        <v>33</v>
      </c>
      <c r="J194" s="259" t="s">
        <v>784</v>
      </c>
      <c r="K194" s="185">
        <v>14</v>
      </c>
      <c r="L194" s="260" t="str">
        <f>VLOOKUP(Ruimtestaat[[#This Row],[Ruimte code]],Ruimtegroepen[#All],2,FALSE)</f>
        <v>Praktijklokalen</v>
      </c>
      <c r="M194" s="212" t="s">
        <v>112</v>
      </c>
      <c r="N194" s="257" t="s">
        <v>809</v>
      </c>
      <c r="O194" s="261">
        <v>48</v>
      </c>
      <c r="P194" s="183"/>
      <c r="Q194" s="212" t="str">
        <f>VLOOKUP(Ruimtestaat[[#This Row],[Ruimte code]],Ruimtegroepen[#All],4,FALSE)</f>
        <v>L  (Lesruimte)</v>
      </c>
      <c r="R194" s="184"/>
      <c r="S194" s="185">
        <v>40</v>
      </c>
      <c r="T194" s="185" t="s">
        <v>2</v>
      </c>
      <c r="U194" s="185">
        <f>IF(S194&gt;0,IF(RIGHT(Ruimtestaat[[#This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4" s="185">
        <f>IF(U194&gt;0,VLOOKUP($K194,Ruimtegroepen[],3,FALSE)*VLOOKUP($M194,Vloersoorten[],3,FALSE)*VLOOKUP($T194,Frequenties[],3,FALSE)*VLOOKUP($A194,Locaties[],3,FALSE),0)</f>
        <v>0</v>
      </c>
      <c r="W194" s="185">
        <f>Ruimtestaat[[#This Row],[Uitvoeringen werkdagen]]*Ruimtestaat[[#This Row],[Oppervlak (netto)]]</f>
        <v>9600</v>
      </c>
      <c r="X194" s="220">
        <f>IF(V194&gt;0,Ruimtestaat[[#This Row],[Prest. (m2 /jaar) werkdagen]]/Ruimtestaat[[#This Row],[Norm (m2/uur) werkdagen]],0)</f>
        <v>0</v>
      </c>
      <c r="Y194" s="221">
        <f>Ruimtestaat[[#This Row],[uren / jaar werkdagen]]*Tariefsopbouw!$D$38</f>
        <v>0</v>
      </c>
      <c r="Z194" s="33"/>
      <c r="AA194" s="33">
        <f>IF(Ruimtestaat[[#This Row],[Frequentie weekend]]&gt;0,VALUE(LEFT(Z194,1))*S194,0)</f>
        <v>0</v>
      </c>
      <c r="AB194" s="33">
        <f>IF($AA194&gt;0,VLOOKUP($K194,Ruimtegroepen[],3,FALSE)*VLOOKUP($M194,Vloersoorten[],3,FALSE)*VLOOKUP($Z194,Frequenties[],3,FALSE)*VLOOKUP(#REF!,Locaties[],3,FALSE),0)</f>
        <v>0</v>
      </c>
      <c r="AC194" s="33"/>
      <c r="AD194" s="33"/>
      <c r="AE194" s="33">
        <f>Ruimtestaat[[#This Row],[uren / jaar weekend]]*Tariefsopbouw!$D$40</f>
        <v>0</v>
      </c>
      <c r="AF194" s="79">
        <f>Ruimtestaat[[#This Row],[Prest. (m2 /jaar) weekend]]+Ruimtestaat[[#This Row],[Prest. (m2 /jaar) werkdagen]]</f>
        <v>9600</v>
      </c>
      <c r="AG194" s="79">
        <f>Ruimtestaat[[#This Row],[uren / jaar weekend]]+Ruimtestaat[[#This Row],[uren / jaar werkdagen]]</f>
        <v>0</v>
      </c>
      <c r="AH194" s="80">
        <f>Ruimtestaat[[#This Row],[kosten / jaar weekend]]+Ruimtestaat[[#This Row],[kosten / jaar werkdagen]]</f>
        <v>0</v>
      </c>
    </row>
    <row r="195" spans="1:34" ht="15" customHeight="1">
      <c r="A195" s="256">
        <v>3</v>
      </c>
      <c r="B195" s="171" t="str">
        <f>VLOOKUP(Ruimtestaat[[#This Row],[Code]],Locaties[#All],2,FALSE)</f>
        <v xml:space="preserve">Panta Rhei College </v>
      </c>
      <c r="C195" s="258" t="str">
        <f>VLOOKUP(Ruimtestaat[[#This Row],[Code]],Locaties[#All],4,FALSE)</f>
        <v>Min. De Savornin Lohmanlaan 58</v>
      </c>
      <c r="D195" s="258" t="str">
        <f>VLOOKUP(Ruimtestaat[[#This Row],[Code]],Locaties[#All],5,FALSE)</f>
        <v>7512DL</v>
      </c>
      <c r="E195" s="258" t="str">
        <f>VLOOKUP(Ruimtestaat[[#This Row],[Code]],Locaties[#All],6,FALSE)</f>
        <v>Enschede</v>
      </c>
      <c r="F195" s="257"/>
      <c r="G195" s="257" t="s">
        <v>563</v>
      </c>
      <c r="H195" s="171"/>
      <c r="I195" s="257">
        <v>34</v>
      </c>
      <c r="J195" s="259" t="s">
        <v>384</v>
      </c>
      <c r="K195" s="258">
        <v>12</v>
      </c>
      <c r="L195" s="260" t="str">
        <f>VLOOKUP(Ruimtestaat[[#This Row],[Ruimte code]],Ruimtegroepen[#All],2,FALSE)</f>
        <v>Kantine</v>
      </c>
      <c r="M195" s="212" t="s">
        <v>109</v>
      </c>
      <c r="N195" s="257" t="s">
        <v>808</v>
      </c>
      <c r="O195" s="261">
        <v>37</v>
      </c>
      <c r="P195" s="183"/>
      <c r="Q195" s="212" t="str">
        <f>VLOOKUP(Ruimtestaat[[#This Row],[Ruimte code]],Ruimtegroepen[#All],4,FALSE)</f>
        <v>V  (Verkeersruimte)</v>
      </c>
      <c r="R195" s="184"/>
      <c r="S195" s="185">
        <v>40</v>
      </c>
      <c r="T195" s="185" t="s">
        <v>2</v>
      </c>
      <c r="U195" s="185">
        <f>IF(S195&gt;0,IF(RIGHT(Ruimtestaat[[#This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5" s="185">
        <f>IF(U195&gt;0,VLOOKUP($K195,Ruimtegroepen[],3,FALSE)*VLOOKUP($M195,Vloersoorten[],3,FALSE)*VLOOKUP($T195,Frequenties[],3,FALSE)*VLOOKUP($A195,Locaties[],3,FALSE),0)</f>
        <v>0</v>
      </c>
      <c r="W195" s="185">
        <f>Ruimtestaat[[#This Row],[Uitvoeringen werkdagen]]*Ruimtestaat[[#This Row],[Oppervlak (netto)]]</f>
        <v>7400</v>
      </c>
      <c r="X195" s="220">
        <f>IF(V195&gt;0,Ruimtestaat[[#This Row],[Prest. (m2 /jaar) werkdagen]]/Ruimtestaat[[#This Row],[Norm (m2/uur) werkdagen]],0)</f>
        <v>0</v>
      </c>
      <c r="Y195" s="221">
        <f>Ruimtestaat[[#This Row],[uren / jaar werkdagen]]*Tariefsopbouw!$D$38</f>
        <v>0</v>
      </c>
      <c r="Z195" s="33"/>
      <c r="AA195" s="33">
        <f>IF(Ruimtestaat[[#This Row],[Frequentie weekend]]&gt;0,VALUE(LEFT(Z195,1))*S195,0)</f>
        <v>0</v>
      </c>
      <c r="AB195" s="33">
        <f>IF($AA195&gt;0,VLOOKUP($K195,Ruimtegroepen[],3,FALSE)*VLOOKUP($M195,Vloersoorten[],3,FALSE)*VLOOKUP($Z195,Frequenties[],3,FALSE)*VLOOKUP(#REF!,Locaties[],3,FALSE),0)</f>
        <v>0</v>
      </c>
      <c r="AC195" s="33"/>
      <c r="AD195" s="33"/>
      <c r="AE195" s="33">
        <f>Ruimtestaat[[#This Row],[uren / jaar weekend]]*Tariefsopbouw!$D$40</f>
        <v>0</v>
      </c>
      <c r="AF195" s="79">
        <f>Ruimtestaat[[#This Row],[Prest. (m2 /jaar) weekend]]+Ruimtestaat[[#This Row],[Prest. (m2 /jaar) werkdagen]]</f>
        <v>7400</v>
      </c>
      <c r="AG195" s="79">
        <f>Ruimtestaat[[#This Row],[uren / jaar weekend]]+Ruimtestaat[[#This Row],[uren / jaar werkdagen]]</f>
        <v>0</v>
      </c>
      <c r="AH195" s="80">
        <f>Ruimtestaat[[#This Row],[kosten / jaar weekend]]+Ruimtestaat[[#This Row],[kosten / jaar werkdagen]]</f>
        <v>0</v>
      </c>
    </row>
    <row r="196" spans="1:34" ht="15" customHeight="1">
      <c r="A196" s="256">
        <v>3</v>
      </c>
      <c r="B196" s="171" t="str">
        <f>VLOOKUP(Ruimtestaat[[#This Row],[Code]],Locaties[#All],2,FALSE)</f>
        <v xml:space="preserve">Panta Rhei College </v>
      </c>
      <c r="C196" s="258" t="str">
        <f>VLOOKUP(Ruimtestaat[[#This Row],[Code]],Locaties[#All],4,FALSE)</f>
        <v>Min. De Savornin Lohmanlaan 58</v>
      </c>
      <c r="D196" s="258" t="str">
        <f>VLOOKUP(Ruimtestaat[[#This Row],[Code]],Locaties[#All],5,FALSE)</f>
        <v>7512DL</v>
      </c>
      <c r="E196" s="258" t="str">
        <f>VLOOKUP(Ruimtestaat[[#This Row],[Code]],Locaties[#All],6,FALSE)</f>
        <v>Enschede</v>
      </c>
      <c r="F196" s="257"/>
      <c r="G196" s="257" t="s">
        <v>563</v>
      </c>
      <c r="H196" s="171"/>
      <c r="I196" s="257">
        <v>35</v>
      </c>
      <c r="J196" s="259" t="s">
        <v>574</v>
      </c>
      <c r="K196" s="258">
        <v>6</v>
      </c>
      <c r="L196" s="260" t="str">
        <f>VLOOKUP(Ruimtestaat[[#This Row],[Ruimte code]],Ruimtegroepen[#All],2,FALSE)</f>
        <v>Gangen/hallen</v>
      </c>
      <c r="M196" s="185" t="s">
        <v>598</v>
      </c>
      <c r="N196" s="257" t="s">
        <v>132</v>
      </c>
      <c r="O196" s="261">
        <v>42</v>
      </c>
      <c r="P196" s="183"/>
      <c r="Q196" s="212" t="str">
        <f>VLOOKUP(Ruimtestaat[[#This Row],[Ruimte code]],Ruimtegroepen[#All],4,FALSE)</f>
        <v>V  (Verkeersruimte)</v>
      </c>
      <c r="R196" s="184"/>
      <c r="S196" s="185">
        <v>40</v>
      </c>
      <c r="T196" s="185" t="s">
        <v>2</v>
      </c>
      <c r="U196" s="185">
        <f>IF(S196&gt;0,IF(RIGHT(Ruimtestaat[[#This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6" s="185">
        <f>IF(U196&gt;0,VLOOKUP($K196,Ruimtegroepen[],3,FALSE)*VLOOKUP($M196,Vloersoorten[],3,FALSE)*VLOOKUP($T196,Frequenties[],3,FALSE)*VLOOKUP($A196,Locaties[],3,FALSE),0)</f>
        <v>0</v>
      </c>
      <c r="W196" s="185">
        <f>Ruimtestaat[[#This Row],[Uitvoeringen werkdagen]]*Ruimtestaat[[#This Row],[Oppervlak (netto)]]</f>
        <v>8400</v>
      </c>
      <c r="X196" s="220">
        <f>IF(V196&gt;0,Ruimtestaat[[#This Row],[Prest. (m2 /jaar) werkdagen]]/Ruimtestaat[[#This Row],[Norm (m2/uur) werkdagen]],0)</f>
        <v>0</v>
      </c>
      <c r="Y196" s="221">
        <f>Ruimtestaat[[#This Row],[uren / jaar werkdagen]]*Tariefsopbouw!$D$38</f>
        <v>0</v>
      </c>
      <c r="Z196" s="33"/>
      <c r="AA196" s="33">
        <f>IF(Ruimtestaat[[#This Row],[Frequentie weekend]]&gt;0,VALUE(LEFT(Z196,1))*S196,0)</f>
        <v>0</v>
      </c>
      <c r="AB196" s="33">
        <f>IF($AA196&gt;0,VLOOKUP($K196,Ruimtegroepen[],3,FALSE)*VLOOKUP($M196,Vloersoorten[],3,FALSE)*VLOOKUP($Z196,Frequenties[],3,FALSE)*VLOOKUP(#REF!,Locaties[],3,FALSE),0)</f>
        <v>0</v>
      </c>
      <c r="AC196" s="33"/>
      <c r="AD196" s="33"/>
      <c r="AE196" s="33">
        <f>Ruimtestaat[[#This Row],[uren / jaar weekend]]*Tariefsopbouw!$D$40</f>
        <v>0</v>
      </c>
      <c r="AF196" s="79">
        <f>Ruimtestaat[[#This Row],[Prest. (m2 /jaar) weekend]]+Ruimtestaat[[#This Row],[Prest. (m2 /jaar) werkdagen]]</f>
        <v>8400</v>
      </c>
      <c r="AG196" s="79">
        <f>Ruimtestaat[[#This Row],[uren / jaar weekend]]+Ruimtestaat[[#This Row],[uren / jaar werkdagen]]</f>
        <v>0</v>
      </c>
      <c r="AH196" s="80">
        <f>Ruimtestaat[[#This Row],[kosten / jaar weekend]]+Ruimtestaat[[#This Row],[kosten / jaar werkdagen]]</f>
        <v>0</v>
      </c>
    </row>
    <row r="197" spans="1:34" ht="15" customHeight="1">
      <c r="A197" s="256">
        <v>3</v>
      </c>
      <c r="B197" s="171" t="str">
        <f>VLOOKUP(Ruimtestaat[[#This Row],[Code]],Locaties[#All],2,FALSE)</f>
        <v xml:space="preserve">Panta Rhei College </v>
      </c>
      <c r="C197" s="258" t="str">
        <f>VLOOKUP(Ruimtestaat[[#This Row],[Code]],Locaties[#All],4,FALSE)</f>
        <v>Min. De Savornin Lohmanlaan 58</v>
      </c>
      <c r="D197" s="258" t="str">
        <f>VLOOKUP(Ruimtestaat[[#This Row],[Code]],Locaties[#All],5,FALSE)</f>
        <v>7512DL</v>
      </c>
      <c r="E197" s="258" t="str">
        <f>VLOOKUP(Ruimtestaat[[#This Row],[Code]],Locaties[#All],6,FALSE)</f>
        <v>Enschede</v>
      </c>
      <c r="F197" s="257"/>
      <c r="G197" s="257" t="s">
        <v>563</v>
      </c>
      <c r="H197" s="171"/>
      <c r="I197" s="257">
        <v>37</v>
      </c>
      <c r="J197" s="259" t="s">
        <v>683</v>
      </c>
      <c r="K197" s="258">
        <v>5</v>
      </c>
      <c r="L197" s="260" t="str">
        <f>VLOOKUP(Ruimtestaat[[#This Row],[Ruimte code]],Ruimtegroepen[#All],2,FALSE)</f>
        <v>Sanitair</v>
      </c>
      <c r="M197" s="212" t="s">
        <v>111</v>
      </c>
      <c r="N197" s="257" t="s">
        <v>605</v>
      </c>
      <c r="O197" s="261">
        <v>9</v>
      </c>
      <c r="P197" s="183"/>
      <c r="Q197" s="212" t="str">
        <f>VLOOKUP(Ruimtestaat[[#This Row],[Ruimte code]],Ruimtegroepen[#All],4,FALSE)</f>
        <v>S  (Sanitair)</v>
      </c>
      <c r="R197" s="184"/>
      <c r="S197" s="185">
        <v>40</v>
      </c>
      <c r="T197" s="185" t="s">
        <v>2</v>
      </c>
      <c r="U197" s="185">
        <f>IF(S197&gt;0,IF(RIGHT(Ruimtestaat[[#This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7" s="185">
        <f>IF(U197&gt;0,VLOOKUP($K197,Ruimtegroepen[],3,FALSE)*VLOOKUP($M197,Vloersoorten[],3,FALSE)*VLOOKUP($T197,Frequenties[],3,FALSE)*VLOOKUP($A197,Locaties[],3,FALSE),0)</f>
        <v>0</v>
      </c>
      <c r="W197" s="185">
        <f>Ruimtestaat[[#This Row],[Uitvoeringen werkdagen]]*Ruimtestaat[[#This Row],[Oppervlak (netto)]]</f>
        <v>1800</v>
      </c>
      <c r="X197" s="220">
        <f>IF(V197&gt;0,Ruimtestaat[[#This Row],[Prest. (m2 /jaar) werkdagen]]/Ruimtestaat[[#This Row],[Norm (m2/uur) werkdagen]],0)</f>
        <v>0</v>
      </c>
      <c r="Y197" s="221">
        <f>Ruimtestaat[[#This Row],[uren / jaar werkdagen]]*Tariefsopbouw!$D$38</f>
        <v>0</v>
      </c>
      <c r="Z197" s="33"/>
      <c r="AA197" s="33">
        <f>IF(Ruimtestaat[[#This Row],[Frequentie weekend]]&gt;0,VALUE(LEFT(Z197,1))*S197,0)</f>
        <v>0</v>
      </c>
      <c r="AB197" s="33">
        <f>IF($AA197&gt;0,VLOOKUP($K197,Ruimtegroepen[],3,FALSE)*VLOOKUP($M197,Vloersoorten[],3,FALSE)*VLOOKUP($Z197,Frequenties[],3,FALSE)*VLOOKUP(#REF!,Locaties[],3,FALSE),0)</f>
        <v>0</v>
      </c>
      <c r="AC197" s="33"/>
      <c r="AD197" s="33"/>
      <c r="AE197" s="33">
        <f>Ruimtestaat[[#This Row],[uren / jaar weekend]]*Tariefsopbouw!$D$40</f>
        <v>0</v>
      </c>
      <c r="AF197" s="79">
        <f>Ruimtestaat[[#This Row],[Prest. (m2 /jaar) weekend]]+Ruimtestaat[[#This Row],[Prest. (m2 /jaar) werkdagen]]</f>
        <v>1800</v>
      </c>
      <c r="AG197" s="79">
        <f>Ruimtestaat[[#This Row],[uren / jaar weekend]]+Ruimtestaat[[#This Row],[uren / jaar werkdagen]]</f>
        <v>0</v>
      </c>
      <c r="AH197" s="80">
        <f>Ruimtestaat[[#This Row],[kosten / jaar weekend]]+Ruimtestaat[[#This Row],[kosten / jaar werkdagen]]</f>
        <v>0</v>
      </c>
    </row>
    <row r="198" spans="1:34" ht="15" customHeight="1">
      <c r="A198" s="256">
        <v>3</v>
      </c>
      <c r="B198" s="171" t="str">
        <f>VLOOKUP(Ruimtestaat[[#This Row],[Code]],Locaties[#All],2,FALSE)</f>
        <v xml:space="preserve">Panta Rhei College </v>
      </c>
      <c r="C198" s="258" t="str">
        <f>VLOOKUP(Ruimtestaat[[#This Row],[Code]],Locaties[#All],4,FALSE)</f>
        <v>Min. De Savornin Lohmanlaan 58</v>
      </c>
      <c r="D198" s="258" t="str">
        <f>VLOOKUP(Ruimtestaat[[#This Row],[Code]],Locaties[#All],5,FALSE)</f>
        <v>7512DL</v>
      </c>
      <c r="E198" s="258" t="str">
        <f>VLOOKUP(Ruimtestaat[[#This Row],[Code]],Locaties[#All],6,FALSE)</f>
        <v>Enschede</v>
      </c>
      <c r="F198" s="257"/>
      <c r="G198" s="257" t="s">
        <v>563</v>
      </c>
      <c r="H198" s="171"/>
      <c r="I198" s="257">
        <v>38</v>
      </c>
      <c r="J198" s="259" t="s">
        <v>571</v>
      </c>
      <c r="K198" s="171">
        <v>2</v>
      </c>
      <c r="L198" s="260" t="str">
        <f>VLOOKUP(Ruimtestaat[[#This Row],[Ruimte code]],Ruimtegroepen[#All],2,FALSE)</f>
        <v>Kantoren</v>
      </c>
      <c r="M198" s="212" t="s">
        <v>109</v>
      </c>
      <c r="N198" s="257" t="s">
        <v>808</v>
      </c>
      <c r="O198" s="261">
        <v>22</v>
      </c>
      <c r="P198" s="183"/>
      <c r="Q198" s="212" t="str">
        <f>VLOOKUP(Ruimtestaat[[#This Row],[Ruimte code]],Ruimtegroepen[#All],4,FALSE)</f>
        <v>B  (Bureauruimte)</v>
      </c>
      <c r="R198" s="184"/>
      <c r="S198" s="185">
        <v>40</v>
      </c>
      <c r="T198" s="185" t="s">
        <v>17</v>
      </c>
      <c r="U198" s="185">
        <f>IF(S198&gt;0,IF(RIGHT(Ruimtestaat[[#This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98" s="185">
        <f>IF(U198&gt;0,VLOOKUP($K198,Ruimtegroepen[],3,FALSE)*VLOOKUP($M198,Vloersoorten[],3,FALSE)*VLOOKUP($T198,Frequenties[],3,FALSE)*VLOOKUP($A198,Locaties[],3,FALSE),0)</f>
        <v>0</v>
      </c>
      <c r="W198" s="185">
        <f>Ruimtestaat[[#This Row],[Uitvoeringen werkdagen]]*Ruimtestaat[[#This Row],[Oppervlak (netto)]]</f>
        <v>1760</v>
      </c>
      <c r="X198" s="220">
        <f>IF(V198&gt;0,Ruimtestaat[[#This Row],[Prest. (m2 /jaar) werkdagen]]/Ruimtestaat[[#This Row],[Norm (m2/uur) werkdagen]],0)</f>
        <v>0</v>
      </c>
      <c r="Y198" s="221">
        <f>Ruimtestaat[[#This Row],[uren / jaar werkdagen]]*Tariefsopbouw!$D$38</f>
        <v>0</v>
      </c>
      <c r="Z198" s="33"/>
      <c r="AA198" s="33">
        <f>IF(Ruimtestaat[[#This Row],[Frequentie weekend]]&gt;0,VALUE(LEFT(Z198,1))*S198,0)</f>
        <v>0</v>
      </c>
      <c r="AB198" s="33">
        <f>IF($AA198&gt;0,VLOOKUP($K198,Ruimtegroepen[],3,FALSE)*VLOOKUP($M198,Vloersoorten[],3,FALSE)*VLOOKUP($Z198,Frequenties[],3,FALSE)*VLOOKUP(#REF!,Locaties[],3,FALSE),0)</f>
        <v>0</v>
      </c>
      <c r="AC198" s="33"/>
      <c r="AD198" s="33"/>
      <c r="AE198" s="33">
        <f>Ruimtestaat[[#This Row],[uren / jaar weekend]]*Tariefsopbouw!$D$40</f>
        <v>0</v>
      </c>
      <c r="AF198" s="79">
        <f>Ruimtestaat[[#This Row],[Prest. (m2 /jaar) weekend]]+Ruimtestaat[[#This Row],[Prest. (m2 /jaar) werkdagen]]</f>
        <v>1760</v>
      </c>
      <c r="AG198" s="79">
        <f>Ruimtestaat[[#This Row],[uren / jaar weekend]]+Ruimtestaat[[#This Row],[uren / jaar werkdagen]]</f>
        <v>0</v>
      </c>
      <c r="AH198" s="80">
        <f>Ruimtestaat[[#This Row],[kosten / jaar weekend]]+Ruimtestaat[[#This Row],[kosten / jaar werkdagen]]</f>
        <v>0</v>
      </c>
    </row>
    <row r="199" spans="1:34" ht="15" customHeight="1">
      <c r="A199" s="256">
        <v>3</v>
      </c>
      <c r="B199" s="171" t="str">
        <f>VLOOKUP(Ruimtestaat[[#This Row],[Code]],Locaties[#All],2,FALSE)</f>
        <v xml:space="preserve">Panta Rhei College </v>
      </c>
      <c r="C199" s="258" t="str">
        <f>VLOOKUP(Ruimtestaat[[#This Row],[Code]],Locaties[#All],4,FALSE)</f>
        <v>Min. De Savornin Lohmanlaan 58</v>
      </c>
      <c r="D199" s="258" t="str">
        <f>VLOOKUP(Ruimtestaat[[#This Row],[Code]],Locaties[#All],5,FALSE)</f>
        <v>7512DL</v>
      </c>
      <c r="E199" s="258" t="str">
        <f>VLOOKUP(Ruimtestaat[[#This Row],[Code]],Locaties[#All],6,FALSE)</f>
        <v>Enschede</v>
      </c>
      <c r="F199" s="257"/>
      <c r="G199" s="257" t="s">
        <v>563</v>
      </c>
      <c r="H199" s="171"/>
      <c r="I199" s="257">
        <v>39</v>
      </c>
      <c r="J199" s="259" t="s">
        <v>576</v>
      </c>
      <c r="K199" s="258">
        <v>16</v>
      </c>
      <c r="L199" s="260" t="str">
        <f>VLOOKUP(Ruimtestaat[[#This Row],[Ruimte code]],Ruimtegroepen[#All],2,FALSE)</f>
        <v>Leslokalen</v>
      </c>
      <c r="M199" s="185" t="s">
        <v>598</v>
      </c>
      <c r="N199" s="257" t="s">
        <v>132</v>
      </c>
      <c r="O199" s="261">
        <v>37</v>
      </c>
      <c r="P199" s="183"/>
      <c r="Q199" s="212" t="str">
        <f>VLOOKUP(Ruimtestaat[[#This Row],[Ruimte code]],Ruimtegroepen[#All],4,FALSE)</f>
        <v>L  (Lesruimte)</v>
      </c>
      <c r="R199" s="184"/>
      <c r="S199" s="185">
        <v>40</v>
      </c>
      <c r="T199" s="185" t="s">
        <v>2</v>
      </c>
      <c r="U199" s="185">
        <f>IF(S199&gt;0,IF(RIGHT(Ruimtestaat[[#This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9" s="185">
        <f>IF(U199&gt;0,VLOOKUP($K199,Ruimtegroepen[],3,FALSE)*VLOOKUP($M199,Vloersoorten[],3,FALSE)*VLOOKUP($T199,Frequenties[],3,FALSE)*VLOOKUP($A199,Locaties[],3,FALSE),0)</f>
        <v>0</v>
      </c>
      <c r="W199" s="185">
        <f>Ruimtestaat[[#This Row],[Uitvoeringen werkdagen]]*Ruimtestaat[[#This Row],[Oppervlak (netto)]]</f>
        <v>7400</v>
      </c>
      <c r="X199" s="220">
        <f>IF(V199&gt;0,Ruimtestaat[[#This Row],[Prest. (m2 /jaar) werkdagen]]/Ruimtestaat[[#This Row],[Norm (m2/uur) werkdagen]],0)</f>
        <v>0</v>
      </c>
      <c r="Y199" s="221">
        <f>Ruimtestaat[[#This Row],[uren / jaar werkdagen]]*Tariefsopbouw!$D$38</f>
        <v>0</v>
      </c>
      <c r="Z199" s="33"/>
      <c r="AA199" s="33">
        <f>IF(Ruimtestaat[[#This Row],[Frequentie weekend]]&gt;0,VALUE(LEFT(Z199,1))*S199,0)</f>
        <v>0</v>
      </c>
      <c r="AB199" s="33">
        <f>IF($AA199&gt;0,VLOOKUP($K199,Ruimtegroepen[],3,FALSE)*VLOOKUP($M199,Vloersoorten[],3,FALSE)*VLOOKUP($Z199,Frequenties[],3,FALSE)*VLOOKUP(#REF!,Locaties[],3,FALSE),0)</f>
        <v>0</v>
      </c>
      <c r="AC199" s="33"/>
      <c r="AD199" s="33"/>
      <c r="AE199" s="33">
        <f>Ruimtestaat[[#This Row],[uren / jaar weekend]]*Tariefsopbouw!$D$40</f>
        <v>0</v>
      </c>
      <c r="AF199" s="79">
        <f>Ruimtestaat[[#This Row],[Prest. (m2 /jaar) weekend]]+Ruimtestaat[[#This Row],[Prest. (m2 /jaar) werkdagen]]</f>
        <v>7400</v>
      </c>
      <c r="AG199" s="79">
        <f>Ruimtestaat[[#This Row],[uren / jaar weekend]]+Ruimtestaat[[#This Row],[uren / jaar werkdagen]]</f>
        <v>0</v>
      </c>
      <c r="AH199" s="80">
        <f>Ruimtestaat[[#This Row],[kosten / jaar weekend]]+Ruimtestaat[[#This Row],[kosten / jaar werkdagen]]</f>
        <v>0</v>
      </c>
    </row>
    <row r="200" spans="1:34" ht="15" customHeight="1">
      <c r="A200" s="256">
        <v>3</v>
      </c>
      <c r="B200" s="171" t="str">
        <f>VLOOKUP(Ruimtestaat[[#This Row],[Code]],Locaties[#All],2,FALSE)</f>
        <v xml:space="preserve">Panta Rhei College </v>
      </c>
      <c r="C200" s="258" t="str">
        <f>VLOOKUP(Ruimtestaat[[#This Row],[Code]],Locaties[#All],4,FALSE)</f>
        <v>Min. De Savornin Lohmanlaan 58</v>
      </c>
      <c r="D200" s="258" t="str">
        <f>VLOOKUP(Ruimtestaat[[#This Row],[Code]],Locaties[#All],5,FALSE)</f>
        <v>7512DL</v>
      </c>
      <c r="E200" s="258" t="str">
        <f>VLOOKUP(Ruimtestaat[[#This Row],[Code]],Locaties[#All],6,FALSE)</f>
        <v>Enschede</v>
      </c>
      <c r="F200" s="257"/>
      <c r="G200" s="257" t="s">
        <v>563</v>
      </c>
      <c r="H200" s="171"/>
      <c r="I200" s="257">
        <v>40</v>
      </c>
      <c r="J200" s="259" t="s">
        <v>576</v>
      </c>
      <c r="K200" s="171">
        <v>16</v>
      </c>
      <c r="L200" s="260" t="str">
        <f>VLOOKUP(Ruimtestaat[[#This Row],[Ruimte code]],Ruimtegroepen[#All],2,FALSE)</f>
        <v>Leslokalen</v>
      </c>
      <c r="M200" s="185" t="s">
        <v>598</v>
      </c>
      <c r="N200" s="257" t="s">
        <v>132</v>
      </c>
      <c r="O200" s="261">
        <v>37</v>
      </c>
      <c r="P200" s="183"/>
      <c r="Q200" s="212" t="str">
        <f>VLOOKUP(Ruimtestaat[[#This Row],[Ruimte code]],Ruimtegroepen[#All],4,FALSE)</f>
        <v>L  (Lesruimte)</v>
      </c>
      <c r="R200" s="184"/>
      <c r="S200" s="185">
        <v>40</v>
      </c>
      <c r="T200" s="185" t="s">
        <v>2</v>
      </c>
      <c r="U200" s="185">
        <f>IF(S200&gt;0,IF(RIGHT(Ruimtestaat[[#This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0" s="185">
        <f>IF(U200&gt;0,VLOOKUP($K200,Ruimtegroepen[],3,FALSE)*VLOOKUP($M200,Vloersoorten[],3,FALSE)*VLOOKUP($T200,Frequenties[],3,FALSE)*VLOOKUP($A200,Locaties[],3,FALSE),0)</f>
        <v>0</v>
      </c>
      <c r="W200" s="185">
        <f>Ruimtestaat[[#This Row],[Uitvoeringen werkdagen]]*Ruimtestaat[[#This Row],[Oppervlak (netto)]]</f>
        <v>7400</v>
      </c>
      <c r="X200" s="220">
        <f>IF(V200&gt;0,Ruimtestaat[[#This Row],[Prest. (m2 /jaar) werkdagen]]/Ruimtestaat[[#This Row],[Norm (m2/uur) werkdagen]],0)</f>
        <v>0</v>
      </c>
      <c r="Y200" s="221">
        <f>Ruimtestaat[[#This Row],[uren / jaar werkdagen]]*Tariefsopbouw!$D$38</f>
        <v>0</v>
      </c>
      <c r="Z200" s="33"/>
      <c r="AA200" s="33">
        <f>IF(Ruimtestaat[[#This Row],[Frequentie weekend]]&gt;0,VALUE(LEFT(Z200,1))*S200,0)</f>
        <v>0</v>
      </c>
      <c r="AB200" s="33">
        <f>IF($AA200&gt;0,VLOOKUP($K200,Ruimtegroepen[],3,FALSE)*VLOOKUP($M200,Vloersoorten[],3,FALSE)*VLOOKUP($Z200,Frequenties[],3,FALSE)*VLOOKUP(#REF!,Locaties[],3,FALSE),0)</f>
        <v>0</v>
      </c>
      <c r="AC200" s="33"/>
      <c r="AD200" s="33"/>
      <c r="AE200" s="33">
        <f>Ruimtestaat[[#This Row],[uren / jaar weekend]]*Tariefsopbouw!$D$40</f>
        <v>0</v>
      </c>
      <c r="AF200" s="79">
        <f>Ruimtestaat[[#This Row],[Prest. (m2 /jaar) weekend]]+Ruimtestaat[[#This Row],[Prest. (m2 /jaar) werkdagen]]</f>
        <v>7400</v>
      </c>
      <c r="AG200" s="79">
        <f>Ruimtestaat[[#This Row],[uren / jaar weekend]]+Ruimtestaat[[#This Row],[uren / jaar werkdagen]]</f>
        <v>0</v>
      </c>
      <c r="AH200" s="80">
        <f>Ruimtestaat[[#This Row],[kosten / jaar weekend]]+Ruimtestaat[[#This Row],[kosten / jaar werkdagen]]</f>
        <v>0</v>
      </c>
    </row>
    <row r="201" spans="1:34" ht="15" customHeight="1">
      <c r="A201" s="256">
        <v>3</v>
      </c>
      <c r="B201" s="171" t="str">
        <f>VLOOKUP(Ruimtestaat[[#This Row],[Code]],Locaties[#All],2,FALSE)</f>
        <v xml:space="preserve">Panta Rhei College </v>
      </c>
      <c r="C201" s="258" t="str">
        <f>VLOOKUP(Ruimtestaat[[#This Row],[Code]],Locaties[#All],4,FALSE)</f>
        <v>Min. De Savornin Lohmanlaan 58</v>
      </c>
      <c r="D201" s="258" t="str">
        <f>VLOOKUP(Ruimtestaat[[#This Row],[Code]],Locaties[#All],5,FALSE)</f>
        <v>7512DL</v>
      </c>
      <c r="E201" s="258" t="str">
        <f>VLOOKUP(Ruimtestaat[[#This Row],[Code]],Locaties[#All],6,FALSE)</f>
        <v>Enschede</v>
      </c>
      <c r="F201" s="257"/>
      <c r="G201" s="257" t="s">
        <v>563</v>
      </c>
      <c r="H201" s="171"/>
      <c r="I201" s="257">
        <v>41</v>
      </c>
      <c r="J201" s="259" t="s">
        <v>576</v>
      </c>
      <c r="K201" s="258">
        <v>16</v>
      </c>
      <c r="L201" s="260" t="str">
        <f>VLOOKUP(Ruimtestaat[[#This Row],[Ruimte code]],Ruimtegroepen[#All],2,FALSE)</f>
        <v>Leslokalen</v>
      </c>
      <c r="M201" s="185" t="s">
        <v>598</v>
      </c>
      <c r="N201" s="257" t="s">
        <v>132</v>
      </c>
      <c r="O201" s="261">
        <v>37</v>
      </c>
      <c r="P201" s="183"/>
      <c r="Q201" s="212" t="str">
        <f>VLOOKUP(Ruimtestaat[[#This Row],[Ruimte code]],Ruimtegroepen[#All],4,FALSE)</f>
        <v>L  (Lesruimte)</v>
      </c>
      <c r="R201" s="184"/>
      <c r="S201" s="185">
        <v>40</v>
      </c>
      <c r="T201" s="185" t="s">
        <v>2</v>
      </c>
      <c r="U201" s="185">
        <f>IF(S201&gt;0,IF(RIGHT(Ruimtestaat[[#This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1" s="185">
        <f>IF(U201&gt;0,VLOOKUP($K201,Ruimtegroepen[],3,FALSE)*VLOOKUP($M201,Vloersoorten[],3,FALSE)*VLOOKUP($T201,Frequenties[],3,FALSE)*VLOOKUP($A201,Locaties[],3,FALSE),0)</f>
        <v>0</v>
      </c>
      <c r="W201" s="185">
        <f>Ruimtestaat[[#This Row],[Uitvoeringen werkdagen]]*Ruimtestaat[[#This Row],[Oppervlak (netto)]]</f>
        <v>7400</v>
      </c>
      <c r="X201" s="220">
        <f>IF(V201&gt;0,Ruimtestaat[[#This Row],[Prest. (m2 /jaar) werkdagen]]/Ruimtestaat[[#This Row],[Norm (m2/uur) werkdagen]],0)</f>
        <v>0</v>
      </c>
      <c r="Y201" s="221">
        <f>Ruimtestaat[[#This Row],[uren / jaar werkdagen]]*Tariefsopbouw!$D$38</f>
        <v>0</v>
      </c>
      <c r="Z201" s="33"/>
      <c r="AA201" s="33">
        <f>IF(Ruimtestaat[[#This Row],[Frequentie weekend]]&gt;0,VALUE(LEFT(Z201,1))*S201,0)</f>
        <v>0</v>
      </c>
      <c r="AB201" s="33">
        <f>IF($AA201&gt;0,VLOOKUP($K201,Ruimtegroepen[],3,FALSE)*VLOOKUP($M201,Vloersoorten[],3,FALSE)*VLOOKUP($Z201,Frequenties[],3,FALSE)*VLOOKUP(#REF!,Locaties[],3,FALSE),0)</f>
        <v>0</v>
      </c>
      <c r="AC201" s="33"/>
      <c r="AD201" s="33"/>
      <c r="AE201" s="33">
        <f>Ruimtestaat[[#This Row],[uren / jaar weekend]]*Tariefsopbouw!$D$40</f>
        <v>0</v>
      </c>
      <c r="AF201" s="79">
        <f>Ruimtestaat[[#This Row],[Prest. (m2 /jaar) weekend]]+Ruimtestaat[[#This Row],[Prest. (m2 /jaar) werkdagen]]</f>
        <v>7400</v>
      </c>
      <c r="AG201" s="79">
        <f>Ruimtestaat[[#This Row],[uren / jaar weekend]]+Ruimtestaat[[#This Row],[uren / jaar werkdagen]]</f>
        <v>0</v>
      </c>
      <c r="AH201" s="80">
        <f>Ruimtestaat[[#This Row],[kosten / jaar weekend]]+Ruimtestaat[[#This Row],[kosten / jaar werkdagen]]</f>
        <v>0</v>
      </c>
    </row>
    <row r="202" spans="1:34" ht="15" customHeight="1">
      <c r="A202" s="256">
        <v>3</v>
      </c>
      <c r="B202" s="171" t="str">
        <f>VLOOKUP(Ruimtestaat[[#This Row],[Code]],Locaties[#All],2,FALSE)</f>
        <v xml:space="preserve">Panta Rhei College </v>
      </c>
      <c r="C202" s="258" t="str">
        <f>VLOOKUP(Ruimtestaat[[#This Row],[Code]],Locaties[#All],4,FALSE)</f>
        <v>Min. De Savornin Lohmanlaan 58</v>
      </c>
      <c r="D202" s="258" t="str">
        <f>VLOOKUP(Ruimtestaat[[#This Row],[Code]],Locaties[#All],5,FALSE)</f>
        <v>7512DL</v>
      </c>
      <c r="E202" s="258" t="str">
        <f>VLOOKUP(Ruimtestaat[[#This Row],[Code]],Locaties[#All],6,FALSE)</f>
        <v>Enschede</v>
      </c>
      <c r="F202" s="257"/>
      <c r="G202" s="257" t="s">
        <v>563</v>
      </c>
      <c r="H202" s="171"/>
      <c r="I202" s="257">
        <v>42</v>
      </c>
      <c r="J202" s="259" t="s">
        <v>576</v>
      </c>
      <c r="K202" s="258">
        <v>16</v>
      </c>
      <c r="L202" s="260" t="str">
        <f>VLOOKUP(Ruimtestaat[[#This Row],[Ruimte code]],Ruimtegroepen[#All],2,FALSE)</f>
        <v>Leslokalen</v>
      </c>
      <c r="M202" s="185" t="s">
        <v>598</v>
      </c>
      <c r="N202" s="257" t="s">
        <v>132</v>
      </c>
      <c r="O202" s="261">
        <v>37</v>
      </c>
      <c r="P202" s="183"/>
      <c r="Q202" s="212" t="str">
        <f>VLOOKUP(Ruimtestaat[[#This Row],[Ruimte code]],Ruimtegroepen[#All],4,FALSE)</f>
        <v>L  (Lesruimte)</v>
      </c>
      <c r="R202" s="184"/>
      <c r="S202" s="185">
        <v>40</v>
      </c>
      <c r="T202" s="185" t="s">
        <v>2</v>
      </c>
      <c r="U202" s="185">
        <f>IF(S202&gt;0,IF(RIGHT(Ruimtestaat[[#This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2" s="185">
        <f>IF(U202&gt;0,VLOOKUP($K202,Ruimtegroepen[],3,FALSE)*VLOOKUP($M202,Vloersoorten[],3,FALSE)*VLOOKUP($T202,Frequenties[],3,FALSE)*VLOOKUP($A202,Locaties[],3,FALSE),0)</f>
        <v>0</v>
      </c>
      <c r="W202" s="185">
        <f>Ruimtestaat[[#This Row],[Uitvoeringen werkdagen]]*Ruimtestaat[[#This Row],[Oppervlak (netto)]]</f>
        <v>7400</v>
      </c>
      <c r="X202" s="220">
        <f>IF(V202&gt;0,Ruimtestaat[[#This Row],[Prest. (m2 /jaar) werkdagen]]/Ruimtestaat[[#This Row],[Norm (m2/uur) werkdagen]],0)</f>
        <v>0</v>
      </c>
      <c r="Y202" s="221">
        <f>Ruimtestaat[[#This Row],[uren / jaar werkdagen]]*Tariefsopbouw!$D$38</f>
        <v>0</v>
      </c>
      <c r="Z202" s="33"/>
      <c r="AA202" s="33">
        <f>IF(Ruimtestaat[[#This Row],[Frequentie weekend]]&gt;0,VALUE(LEFT(Z202,1))*S202,0)</f>
        <v>0</v>
      </c>
      <c r="AB202" s="33">
        <f>IF($AA202&gt;0,VLOOKUP($K202,Ruimtegroepen[],3,FALSE)*VLOOKUP($M202,Vloersoorten[],3,FALSE)*VLOOKUP($Z202,Frequenties[],3,FALSE)*VLOOKUP(#REF!,Locaties[],3,FALSE),0)</f>
        <v>0</v>
      </c>
      <c r="AC202" s="33"/>
      <c r="AD202" s="33"/>
      <c r="AE202" s="33">
        <f>Ruimtestaat[[#This Row],[uren / jaar weekend]]*Tariefsopbouw!$D$40</f>
        <v>0</v>
      </c>
      <c r="AF202" s="79">
        <f>Ruimtestaat[[#This Row],[Prest. (m2 /jaar) weekend]]+Ruimtestaat[[#This Row],[Prest. (m2 /jaar) werkdagen]]</f>
        <v>7400</v>
      </c>
      <c r="AG202" s="79">
        <f>Ruimtestaat[[#This Row],[uren / jaar weekend]]+Ruimtestaat[[#This Row],[uren / jaar werkdagen]]</f>
        <v>0</v>
      </c>
      <c r="AH202" s="80">
        <f>Ruimtestaat[[#This Row],[kosten / jaar weekend]]+Ruimtestaat[[#This Row],[kosten / jaar werkdagen]]</f>
        <v>0</v>
      </c>
    </row>
    <row r="203" spans="1:34" ht="15" customHeight="1">
      <c r="A203" s="256">
        <v>4</v>
      </c>
      <c r="B203" s="171" t="str">
        <f>VLOOKUP(Ruimtestaat[[#This Row],[Code]],Locaties[#All],2,FALSE)</f>
        <v>Stafbureau Attendiz</v>
      </c>
      <c r="C203" s="258" t="str">
        <f>VLOOKUP(Ruimtestaat[[#This Row],[Code]],Locaties[#All],4,FALSE)</f>
        <v>Welbergweg 20</v>
      </c>
      <c r="D203" s="258" t="str">
        <f>VLOOKUP(Ruimtestaat[[#This Row],[Code]],Locaties[#All],5,FALSE)</f>
        <v>7556 PE</v>
      </c>
      <c r="E203" s="258" t="str">
        <f>VLOOKUP(Ruimtestaat[[#This Row],[Code]],Locaties[#All],6,FALSE)</f>
        <v>Hengelo</v>
      </c>
      <c r="F203" s="257"/>
      <c r="G203" s="257" t="s">
        <v>563</v>
      </c>
      <c r="H203" s="171"/>
      <c r="I203" s="257" t="s">
        <v>1066</v>
      </c>
      <c r="J203" s="259" t="s">
        <v>568</v>
      </c>
      <c r="K203" s="258">
        <v>6</v>
      </c>
      <c r="L203" s="260" t="str">
        <f>VLOOKUP(Ruimtestaat[[#This Row],[Ruimte code]],Ruimtegroepen[#All],2,FALSE)</f>
        <v>Gangen/hallen</v>
      </c>
      <c r="M203" s="212" t="s">
        <v>111</v>
      </c>
      <c r="N203" s="257" t="s">
        <v>1105</v>
      </c>
      <c r="O203" s="261">
        <v>6</v>
      </c>
      <c r="P203" s="183"/>
      <c r="Q203" s="212" t="str">
        <f>VLOOKUP(Ruimtestaat[[#This Row],[Ruimte code]],Ruimtegroepen[#All],4,FALSE)</f>
        <v>V  (Verkeersruimte)</v>
      </c>
      <c r="R203" s="184"/>
      <c r="S203" s="185">
        <v>40</v>
      </c>
      <c r="T203" s="185" t="s">
        <v>2</v>
      </c>
      <c r="U203" s="185">
        <f>IF(S203&gt;0,IF(RIGHT(Ruimtestaat[[#This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3" s="185">
        <f>IF(U203&gt;0,VLOOKUP($K203,Ruimtegroepen[],3,FALSE)*VLOOKUP($M203,Vloersoorten[],3,FALSE)*VLOOKUP($T203,Frequenties[],3,FALSE)*VLOOKUP($A203,Locaties[],3,FALSE),0)</f>
        <v>0</v>
      </c>
      <c r="W203" s="185">
        <f>Ruimtestaat[[#This Row],[Uitvoeringen werkdagen]]*Ruimtestaat[[#This Row],[Oppervlak (netto)]]</f>
        <v>1200</v>
      </c>
      <c r="X203" s="220">
        <f>IF(V203&gt;0,Ruimtestaat[[#This Row],[Prest. (m2 /jaar) werkdagen]]/Ruimtestaat[[#This Row],[Norm (m2/uur) werkdagen]],0)</f>
        <v>0</v>
      </c>
      <c r="Y203" s="221">
        <f>Ruimtestaat[[#This Row],[uren / jaar werkdagen]]*Tariefsopbouw!$D$38</f>
        <v>0</v>
      </c>
      <c r="Z203" s="33"/>
      <c r="AA203" s="33">
        <f>IF(Ruimtestaat[[#This Row],[Frequentie weekend]]&gt;0,VALUE(LEFT(Z203,1))*S203,0)</f>
        <v>0</v>
      </c>
      <c r="AB203" s="33">
        <f>IF($AA203&gt;0,VLOOKUP($K203,Ruimtegroepen[],3,FALSE)*VLOOKUP($M203,Vloersoorten[],3,FALSE)*VLOOKUP($Z203,Frequenties[],3,FALSE)*VLOOKUP(#REF!,Locaties[],3,FALSE),0)</f>
        <v>0</v>
      </c>
      <c r="AC203" s="33"/>
      <c r="AD203" s="33"/>
      <c r="AE203" s="33">
        <f>Ruimtestaat[[#This Row],[uren / jaar weekend]]*Tariefsopbouw!$D$40</f>
        <v>0</v>
      </c>
      <c r="AF203" s="79">
        <f>Ruimtestaat[[#This Row],[Prest. (m2 /jaar) weekend]]+Ruimtestaat[[#This Row],[Prest. (m2 /jaar) werkdagen]]</f>
        <v>1200</v>
      </c>
      <c r="AG203" s="79">
        <f>Ruimtestaat[[#This Row],[uren / jaar weekend]]+Ruimtestaat[[#This Row],[uren / jaar werkdagen]]</f>
        <v>0</v>
      </c>
      <c r="AH203" s="80">
        <f>Ruimtestaat[[#This Row],[kosten / jaar weekend]]+Ruimtestaat[[#This Row],[kosten / jaar werkdagen]]</f>
        <v>0</v>
      </c>
    </row>
    <row r="204" spans="1:34" ht="15" customHeight="1">
      <c r="A204" s="256">
        <v>4</v>
      </c>
      <c r="B204" s="171" t="str">
        <f>VLOOKUP(Ruimtestaat[[#This Row],[Code]],Locaties[#All],2,FALSE)</f>
        <v>Stafbureau Attendiz</v>
      </c>
      <c r="C204" s="258" t="str">
        <f>VLOOKUP(Ruimtestaat[[#This Row],[Code]],Locaties[#All],4,FALSE)</f>
        <v>Welbergweg 20</v>
      </c>
      <c r="D204" s="258" t="str">
        <f>VLOOKUP(Ruimtestaat[[#This Row],[Code]],Locaties[#All],5,FALSE)</f>
        <v>7556 PE</v>
      </c>
      <c r="E204" s="258" t="str">
        <f>VLOOKUP(Ruimtestaat[[#This Row],[Code]],Locaties[#All],6,FALSE)</f>
        <v>Hengelo</v>
      </c>
      <c r="F204" s="257"/>
      <c r="G204" s="257" t="s">
        <v>563</v>
      </c>
      <c r="H204" s="171"/>
      <c r="I204" s="257" t="s">
        <v>512</v>
      </c>
      <c r="J204" s="259" t="s">
        <v>587</v>
      </c>
      <c r="K204" s="171">
        <v>6</v>
      </c>
      <c r="L204" s="260" t="str">
        <f>VLOOKUP(Ruimtestaat[[#This Row],[Ruimte code]],Ruimtegroepen[#All],2,FALSE)</f>
        <v>Gangen/hallen</v>
      </c>
      <c r="M204" s="212" t="s">
        <v>111</v>
      </c>
      <c r="N204" s="257" t="s">
        <v>1105</v>
      </c>
      <c r="O204" s="261">
        <v>17</v>
      </c>
      <c r="P204" s="183"/>
      <c r="Q204" s="212" t="str">
        <f>VLOOKUP(Ruimtestaat[[#This Row],[Ruimte code]],Ruimtegroepen[#All],4,FALSE)</f>
        <v>V  (Verkeersruimte)</v>
      </c>
      <c r="R204" s="184"/>
      <c r="S204" s="185">
        <v>40</v>
      </c>
      <c r="T204" s="185" t="s">
        <v>15</v>
      </c>
      <c r="U204" s="185">
        <f>IF(S204&gt;0,IF(RIGHT(Ruimtestaat[[#This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04" s="185">
        <f>IF(U204&gt;0,VLOOKUP($K204,Ruimtegroepen[],3,FALSE)*VLOOKUP($M204,Vloersoorten[],3,FALSE)*VLOOKUP($T204,Frequenties[],3,FALSE)*VLOOKUP($A204,Locaties[],3,FALSE),0)</f>
        <v>0</v>
      </c>
      <c r="W204" s="185">
        <f>Ruimtestaat[[#This Row],[Uitvoeringen werkdagen]]*Ruimtestaat[[#This Row],[Oppervlak (netto)]]</f>
        <v>680</v>
      </c>
      <c r="X204" s="220">
        <f>IF(V204&gt;0,Ruimtestaat[[#This Row],[Prest. (m2 /jaar) werkdagen]]/Ruimtestaat[[#This Row],[Norm (m2/uur) werkdagen]],0)</f>
        <v>0</v>
      </c>
      <c r="Y204" s="221">
        <f>Ruimtestaat[[#This Row],[uren / jaar werkdagen]]*Tariefsopbouw!$D$38</f>
        <v>0</v>
      </c>
      <c r="Z204" s="33"/>
      <c r="AA204" s="33">
        <f>IF(Ruimtestaat[[#This Row],[Frequentie weekend]]&gt;0,VALUE(LEFT(Z204,1))*S204,0)</f>
        <v>0</v>
      </c>
      <c r="AB204" s="33">
        <f>IF($AA204&gt;0,VLOOKUP($K204,Ruimtegroepen[],3,FALSE)*VLOOKUP($M204,Vloersoorten[],3,FALSE)*VLOOKUP($Z204,Frequenties[],3,FALSE)*VLOOKUP(#REF!,Locaties[],3,FALSE),0)</f>
        <v>0</v>
      </c>
      <c r="AC204" s="33"/>
      <c r="AD204" s="33"/>
      <c r="AE204" s="33">
        <f>Ruimtestaat[[#This Row],[uren / jaar weekend]]*Tariefsopbouw!$D$40</f>
        <v>0</v>
      </c>
      <c r="AF204" s="79">
        <f>Ruimtestaat[[#This Row],[Prest. (m2 /jaar) weekend]]+Ruimtestaat[[#This Row],[Prest. (m2 /jaar) werkdagen]]</f>
        <v>680</v>
      </c>
      <c r="AG204" s="79">
        <f>Ruimtestaat[[#This Row],[uren / jaar weekend]]+Ruimtestaat[[#This Row],[uren / jaar werkdagen]]</f>
        <v>0</v>
      </c>
      <c r="AH204" s="80">
        <f>Ruimtestaat[[#This Row],[kosten / jaar weekend]]+Ruimtestaat[[#This Row],[kosten / jaar werkdagen]]</f>
        <v>0</v>
      </c>
    </row>
    <row r="205" spans="1:34" ht="15" customHeight="1">
      <c r="A205" s="256">
        <v>4</v>
      </c>
      <c r="B205" s="171" t="str">
        <f>VLOOKUP(Ruimtestaat[[#This Row],[Code]],Locaties[#All],2,FALSE)</f>
        <v>Stafbureau Attendiz</v>
      </c>
      <c r="C205" s="258" t="str">
        <f>VLOOKUP(Ruimtestaat[[#This Row],[Code]],Locaties[#All],4,FALSE)</f>
        <v>Welbergweg 20</v>
      </c>
      <c r="D205" s="258" t="str">
        <f>VLOOKUP(Ruimtestaat[[#This Row],[Code]],Locaties[#All],5,FALSE)</f>
        <v>7556 PE</v>
      </c>
      <c r="E205" s="258" t="str">
        <f>VLOOKUP(Ruimtestaat[[#This Row],[Code]],Locaties[#All],6,FALSE)</f>
        <v>Hengelo</v>
      </c>
      <c r="F205" s="257"/>
      <c r="G205" s="257" t="s">
        <v>563</v>
      </c>
      <c r="H205" s="171"/>
      <c r="I205" s="257"/>
      <c r="J205" s="259" t="s">
        <v>695</v>
      </c>
      <c r="K205" s="258">
        <v>10</v>
      </c>
      <c r="L205" s="260" t="str">
        <f>VLOOKUP(Ruimtestaat[[#This Row],[Ruimte code]],Ruimtegroepen[#All],2,FALSE)</f>
        <v>Trappenhuizen/lift</v>
      </c>
      <c r="M205" s="212" t="s">
        <v>111</v>
      </c>
      <c r="N205" s="257" t="s">
        <v>1105</v>
      </c>
      <c r="O205" s="261">
        <v>15</v>
      </c>
      <c r="P205" s="183"/>
      <c r="Q205" s="212" t="str">
        <f>VLOOKUP(Ruimtestaat[[#This Row],[Ruimte code]],Ruimtegroepen[#All],4,FALSE)</f>
        <v>V  (Verkeersruimte)</v>
      </c>
      <c r="R205" s="184"/>
      <c r="S205" s="185">
        <v>40</v>
      </c>
      <c r="T205" s="185" t="s">
        <v>15</v>
      </c>
      <c r="U205" s="185">
        <f>IF(S205&gt;0,IF(RIGHT(Ruimtestaat[[#This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05" s="185">
        <f>IF(U205&gt;0,VLOOKUP($K205,Ruimtegroepen[],3,FALSE)*VLOOKUP($M205,Vloersoorten[],3,FALSE)*VLOOKUP($T205,Frequenties[],3,FALSE)*VLOOKUP($A205,Locaties[],3,FALSE),0)</f>
        <v>0</v>
      </c>
      <c r="W205" s="185">
        <f>Ruimtestaat[[#This Row],[Uitvoeringen werkdagen]]*Ruimtestaat[[#This Row],[Oppervlak (netto)]]</f>
        <v>600</v>
      </c>
      <c r="X205" s="220">
        <f>IF(V205&gt;0,Ruimtestaat[[#This Row],[Prest. (m2 /jaar) werkdagen]]/Ruimtestaat[[#This Row],[Norm (m2/uur) werkdagen]],0)</f>
        <v>0</v>
      </c>
      <c r="Y205" s="221">
        <f>Ruimtestaat[[#This Row],[uren / jaar werkdagen]]*Tariefsopbouw!$D$38</f>
        <v>0</v>
      </c>
      <c r="Z205" s="33"/>
      <c r="AA205" s="33">
        <f>IF(Ruimtestaat[[#This Row],[Frequentie weekend]]&gt;0,VALUE(LEFT(Z205,1))*S205,0)</f>
        <v>0</v>
      </c>
      <c r="AB205" s="33">
        <f>IF($AA205&gt;0,VLOOKUP($K205,Ruimtegroepen[],3,FALSE)*VLOOKUP($M205,Vloersoorten[],3,FALSE)*VLOOKUP($Z205,Frequenties[],3,FALSE)*VLOOKUP(#REF!,Locaties[],3,FALSE),0)</f>
        <v>0</v>
      </c>
      <c r="AC205" s="33"/>
      <c r="AD205" s="33"/>
      <c r="AE205" s="33">
        <f>Ruimtestaat[[#This Row],[uren / jaar weekend]]*Tariefsopbouw!$D$40</f>
        <v>0</v>
      </c>
      <c r="AF205" s="79">
        <f>Ruimtestaat[[#This Row],[Prest. (m2 /jaar) weekend]]+Ruimtestaat[[#This Row],[Prest. (m2 /jaar) werkdagen]]</f>
        <v>600</v>
      </c>
      <c r="AG205" s="79">
        <f>Ruimtestaat[[#This Row],[uren / jaar weekend]]+Ruimtestaat[[#This Row],[uren / jaar werkdagen]]</f>
        <v>0</v>
      </c>
      <c r="AH205" s="80">
        <f>Ruimtestaat[[#This Row],[kosten / jaar weekend]]+Ruimtestaat[[#This Row],[kosten / jaar werkdagen]]</f>
        <v>0</v>
      </c>
    </row>
    <row r="206" spans="1:34" ht="15" customHeight="1">
      <c r="A206" s="256">
        <v>4</v>
      </c>
      <c r="B206" s="171" t="str">
        <f>VLOOKUP(Ruimtestaat[[#This Row],[Code]],Locaties[#All],2,FALSE)</f>
        <v>Stafbureau Attendiz</v>
      </c>
      <c r="C206" s="258" t="str">
        <f>VLOOKUP(Ruimtestaat[[#This Row],[Code]],Locaties[#All],4,FALSE)</f>
        <v>Welbergweg 20</v>
      </c>
      <c r="D206" s="258" t="str">
        <f>VLOOKUP(Ruimtestaat[[#This Row],[Code]],Locaties[#All],5,FALSE)</f>
        <v>7556 PE</v>
      </c>
      <c r="E206" s="258" t="str">
        <f>VLOOKUP(Ruimtestaat[[#This Row],[Code]],Locaties[#All],6,FALSE)</f>
        <v>Hengelo</v>
      </c>
      <c r="F206" s="257"/>
      <c r="G206" s="257" t="s">
        <v>563</v>
      </c>
      <c r="H206" s="171"/>
      <c r="I206" s="257" t="s">
        <v>513</v>
      </c>
      <c r="J206" s="259" t="s">
        <v>719</v>
      </c>
      <c r="K206" s="258">
        <v>8</v>
      </c>
      <c r="L206" s="260" t="str">
        <f>VLOOKUP(Ruimtestaat[[#This Row],[Ruimte code]],Ruimtegroepen[#All],2,FALSE)</f>
        <v>Receptie</v>
      </c>
      <c r="M206" s="212" t="s">
        <v>597</v>
      </c>
      <c r="N206" s="257" t="s">
        <v>38</v>
      </c>
      <c r="O206" s="261">
        <v>15</v>
      </c>
      <c r="P206" s="183"/>
      <c r="Q206" s="212" t="str">
        <f>VLOOKUP(Ruimtestaat[[#This Row],[Ruimte code]],Ruimtegroepen[#All],4,FALSE)</f>
        <v>B  (Bureauruimte)</v>
      </c>
      <c r="R206" s="184"/>
      <c r="S206" s="185">
        <v>40</v>
      </c>
      <c r="T206" s="185" t="s">
        <v>17</v>
      </c>
      <c r="U206" s="185">
        <f>IF(S206&gt;0,IF(RIGHT(Ruimtestaat[[#This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6" s="185">
        <f>IF(U206&gt;0,VLOOKUP($K206,Ruimtegroepen[],3,FALSE)*VLOOKUP($M206,Vloersoorten[],3,FALSE)*VLOOKUP($T206,Frequenties[],3,FALSE)*VLOOKUP($A206,Locaties[],3,FALSE),0)</f>
        <v>0</v>
      </c>
      <c r="W206" s="185">
        <f>Ruimtestaat[[#This Row],[Uitvoeringen werkdagen]]*Ruimtestaat[[#This Row],[Oppervlak (netto)]]</f>
        <v>1200</v>
      </c>
      <c r="X206" s="220">
        <f>IF(V206&gt;0,Ruimtestaat[[#This Row],[Prest. (m2 /jaar) werkdagen]]/Ruimtestaat[[#This Row],[Norm (m2/uur) werkdagen]],0)</f>
        <v>0</v>
      </c>
      <c r="Y206" s="221">
        <f>Ruimtestaat[[#This Row],[uren / jaar werkdagen]]*Tariefsopbouw!$D$38</f>
        <v>0</v>
      </c>
      <c r="Z206" s="33"/>
      <c r="AA206" s="33">
        <f>IF(Ruimtestaat[[#This Row],[Frequentie weekend]]&gt;0,VALUE(LEFT(Z206,1))*S206,0)</f>
        <v>0</v>
      </c>
      <c r="AB206" s="33">
        <f>IF($AA206&gt;0,VLOOKUP($K206,Ruimtegroepen[],3,FALSE)*VLOOKUP($M206,Vloersoorten[],3,FALSE)*VLOOKUP($Z206,Frequenties[],3,FALSE)*VLOOKUP(#REF!,Locaties[],3,FALSE),0)</f>
        <v>0</v>
      </c>
      <c r="AC206" s="33"/>
      <c r="AD206" s="33"/>
      <c r="AE206" s="33">
        <f>Ruimtestaat[[#This Row],[uren / jaar weekend]]*Tariefsopbouw!$D$40</f>
        <v>0</v>
      </c>
      <c r="AF206" s="79">
        <f>Ruimtestaat[[#This Row],[Prest. (m2 /jaar) weekend]]+Ruimtestaat[[#This Row],[Prest. (m2 /jaar) werkdagen]]</f>
        <v>1200</v>
      </c>
      <c r="AG206" s="79">
        <f>Ruimtestaat[[#This Row],[uren / jaar weekend]]+Ruimtestaat[[#This Row],[uren / jaar werkdagen]]</f>
        <v>0</v>
      </c>
      <c r="AH206" s="80">
        <f>Ruimtestaat[[#This Row],[kosten / jaar weekend]]+Ruimtestaat[[#This Row],[kosten / jaar werkdagen]]</f>
        <v>0</v>
      </c>
    </row>
    <row r="207" spans="1:34" ht="15" customHeight="1">
      <c r="A207" s="256">
        <v>4</v>
      </c>
      <c r="B207" s="171" t="str">
        <f>VLOOKUP(Ruimtestaat[[#This Row],[Code]],Locaties[#All],2,FALSE)</f>
        <v>Stafbureau Attendiz</v>
      </c>
      <c r="C207" s="258" t="str">
        <f>VLOOKUP(Ruimtestaat[[#This Row],[Code]],Locaties[#All],4,FALSE)</f>
        <v>Welbergweg 20</v>
      </c>
      <c r="D207" s="258" t="str">
        <f>VLOOKUP(Ruimtestaat[[#This Row],[Code]],Locaties[#All],5,FALSE)</f>
        <v>7556 PE</v>
      </c>
      <c r="E207" s="258" t="str">
        <f>VLOOKUP(Ruimtestaat[[#This Row],[Code]],Locaties[#All],6,FALSE)</f>
        <v>Hengelo</v>
      </c>
      <c r="F207" s="257"/>
      <c r="G207" s="257" t="s">
        <v>563</v>
      </c>
      <c r="H207" s="171"/>
      <c r="I207" s="257" t="s">
        <v>514</v>
      </c>
      <c r="J207" s="259" t="s">
        <v>571</v>
      </c>
      <c r="K207" s="171">
        <v>2</v>
      </c>
      <c r="L207" s="260" t="str">
        <f>VLOOKUP(Ruimtestaat[[#This Row],[Ruimte code]],Ruimtegroepen[#All],2,FALSE)</f>
        <v>Kantoren</v>
      </c>
      <c r="M207" s="212" t="s">
        <v>597</v>
      </c>
      <c r="N207" s="257" t="s">
        <v>38</v>
      </c>
      <c r="O207" s="261">
        <v>24</v>
      </c>
      <c r="P207" s="183"/>
      <c r="Q207" s="212" t="str">
        <f>VLOOKUP(Ruimtestaat[[#This Row],[Ruimte code]],Ruimtegroepen[#All],4,FALSE)</f>
        <v>B  (Bureauruimte)</v>
      </c>
      <c r="R207" s="184"/>
      <c r="S207" s="185">
        <v>40</v>
      </c>
      <c r="T207" s="185" t="s">
        <v>17</v>
      </c>
      <c r="U207" s="185">
        <f>IF(S207&gt;0,IF(RIGHT(Ruimtestaat[[#This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7" s="185">
        <f>IF(U207&gt;0,VLOOKUP($K207,Ruimtegroepen[],3,FALSE)*VLOOKUP($M207,Vloersoorten[],3,FALSE)*VLOOKUP($T207,Frequenties[],3,FALSE)*VLOOKUP($A207,Locaties[],3,FALSE),0)</f>
        <v>0</v>
      </c>
      <c r="W207" s="185">
        <f>Ruimtestaat[[#This Row],[Uitvoeringen werkdagen]]*Ruimtestaat[[#This Row],[Oppervlak (netto)]]</f>
        <v>1920</v>
      </c>
      <c r="X207" s="220">
        <f>IF(V207&gt;0,Ruimtestaat[[#This Row],[Prest. (m2 /jaar) werkdagen]]/Ruimtestaat[[#This Row],[Norm (m2/uur) werkdagen]],0)</f>
        <v>0</v>
      </c>
      <c r="Y207" s="221">
        <f>Ruimtestaat[[#This Row],[uren / jaar werkdagen]]*Tariefsopbouw!$D$38</f>
        <v>0</v>
      </c>
      <c r="Z207" s="33"/>
      <c r="AA207" s="33">
        <f>IF(Ruimtestaat[[#This Row],[Frequentie weekend]]&gt;0,VALUE(LEFT(Z207,1))*S207,0)</f>
        <v>0</v>
      </c>
      <c r="AB207" s="33">
        <f>IF($AA207&gt;0,VLOOKUP($K207,Ruimtegroepen[],3,FALSE)*VLOOKUP($M207,Vloersoorten[],3,FALSE)*VLOOKUP($Z207,Frequenties[],3,FALSE)*VLOOKUP(#REF!,Locaties[],3,FALSE),0)</f>
        <v>0</v>
      </c>
      <c r="AC207" s="33"/>
      <c r="AD207" s="33"/>
      <c r="AE207" s="33">
        <f>Ruimtestaat[[#This Row],[uren / jaar weekend]]*Tariefsopbouw!$D$40</f>
        <v>0</v>
      </c>
      <c r="AF207" s="79">
        <f>Ruimtestaat[[#This Row],[Prest. (m2 /jaar) weekend]]+Ruimtestaat[[#This Row],[Prest. (m2 /jaar) werkdagen]]</f>
        <v>1920</v>
      </c>
      <c r="AG207" s="79">
        <f>Ruimtestaat[[#This Row],[uren / jaar weekend]]+Ruimtestaat[[#This Row],[uren / jaar werkdagen]]</f>
        <v>0</v>
      </c>
      <c r="AH207" s="80">
        <f>Ruimtestaat[[#This Row],[kosten / jaar weekend]]+Ruimtestaat[[#This Row],[kosten / jaar werkdagen]]</f>
        <v>0</v>
      </c>
    </row>
    <row r="208" spans="1:34" ht="15" customHeight="1">
      <c r="A208" s="256">
        <v>4</v>
      </c>
      <c r="B208" s="171" t="str">
        <f>VLOOKUP(Ruimtestaat[[#This Row],[Code]],Locaties[#All],2,FALSE)</f>
        <v>Stafbureau Attendiz</v>
      </c>
      <c r="C208" s="258" t="str">
        <f>VLOOKUP(Ruimtestaat[[#This Row],[Code]],Locaties[#All],4,FALSE)</f>
        <v>Welbergweg 20</v>
      </c>
      <c r="D208" s="258" t="str">
        <f>VLOOKUP(Ruimtestaat[[#This Row],[Code]],Locaties[#All],5,FALSE)</f>
        <v>7556 PE</v>
      </c>
      <c r="E208" s="258" t="str">
        <f>VLOOKUP(Ruimtestaat[[#This Row],[Code]],Locaties[#All],6,FALSE)</f>
        <v>Hengelo</v>
      </c>
      <c r="F208" s="257"/>
      <c r="G208" s="257" t="s">
        <v>563</v>
      </c>
      <c r="H208" s="171"/>
      <c r="I208" s="257" t="s">
        <v>515</v>
      </c>
      <c r="J208" s="259" t="s">
        <v>571</v>
      </c>
      <c r="K208" s="258">
        <v>2</v>
      </c>
      <c r="L208" s="260" t="str">
        <f>VLOOKUP(Ruimtestaat[[#This Row],[Ruimte code]],Ruimtegroepen[#All],2,FALSE)</f>
        <v>Kantoren</v>
      </c>
      <c r="M208" s="258" t="s">
        <v>597</v>
      </c>
      <c r="N208" s="257" t="s">
        <v>38</v>
      </c>
      <c r="O208" s="261">
        <v>26</v>
      </c>
      <c r="P208" s="183"/>
      <c r="Q208" s="212" t="str">
        <f>VLOOKUP(Ruimtestaat[[#This Row],[Ruimte code]],Ruimtegroepen[#All],4,FALSE)</f>
        <v>B  (Bureauruimte)</v>
      </c>
      <c r="R208" s="184"/>
      <c r="S208" s="185">
        <v>40</v>
      </c>
      <c r="T208" s="185" t="s">
        <v>17</v>
      </c>
      <c r="U208" s="185">
        <f>IF(S208&gt;0,IF(RIGHT(Ruimtestaat[[#This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8" s="185">
        <f>IF(U208&gt;0,VLOOKUP($K208,Ruimtegroepen[],3,FALSE)*VLOOKUP($M208,Vloersoorten[],3,FALSE)*VLOOKUP($T208,Frequenties[],3,FALSE)*VLOOKUP($A208,Locaties[],3,FALSE),0)</f>
        <v>0</v>
      </c>
      <c r="W208" s="185">
        <f>Ruimtestaat[[#This Row],[Uitvoeringen werkdagen]]*Ruimtestaat[[#This Row],[Oppervlak (netto)]]</f>
        <v>2080</v>
      </c>
      <c r="X208" s="220">
        <f>IF(V208&gt;0,Ruimtestaat[[#This Row],[Prest. (m2 /jaar) werkdagen]]/Ruimtestaat[[#This Row],[Norm (m2/uur) werkdagen]],0)</f>
        <v>0</v>
      </c>
      <c r="Y208" s="221">
        <f>Ruimtestaat[[#This Row],[uren / jaar werkdagen]]*Tariefsopbouw!$D$38</f>
        <v>0</v>
      </c>
      <c r="Z208" s="33"/>
      <c r="AA208" s="33">
        <f>IF(Ruimtestaat[[#This Row],[Frequentie weekend]]&gt;0,VALUE(LEFT(Z208,1))*S208,0)</f>
        <v>0</v>
      </c>
      <c r="AB208" s="33">
        <f>IF($AA208&gt;0,VLOOKUP($K208,Ruimtegroepen[],3,FALSE)*VLOOKUP($M208,Vloersoorten[],3,FALSE)*VLOOKUP($Z208,Frequenties[],3,FALSE)*VLOOKUP(#REF!,Locaties[],3,FALSE),0)</f>
        <v>0</v>
      </c>
      <c r="AC208" s="33"/>
      <c r="AD208" s="33"/>
      <c r="AE208" s="33">
        <f>Ruimtestaat[[#This Row],[uren / jaar weekend]]*Tariefsopbouw!$D$40</f>
        <v>0</v>
      </c>
      <c r="AF208" s="79">
        <f>Ruimtestaat[[#This Row],[Prest. (m2 /jaar) weekend]]+Ruimtestaat[[#This Row],[Prest. (m2 /jaar) werkdagen]]</f>
        <v>2080</v>
      </c>
      <c r="AG208" s="79">
        <f>Ruimtestaat[[#This Row],[uren / jaar weekend]]+Ruimtestaat[[#This Row],[uren / jaar werkdagen]]</f>
        <v>0</v>
      </c>
      <c r="AH208" s="80">
        <f>Ruimtestaat[[#This Row],[kosten / jaar weekend]]+Ruimtestaat[[#This Row],[kosten / jaar werkdagen]]</f>
        <v>0</v>
      </c>
    </row>
    <row r="209" spans="1:34" ht="15" customHeight="1">
      <c r="A209" s="256">
        <v>4</v>
      </c>
      <c r="B209" s="171" t="str">
        <f>VLOOKUP(Ruimtestaat[[#This Row],[Code]],Locaties[#All],2,FALSE)</f>
        <v>Stafbureau Attendiz</v>
      </c>
      <c r="C209" s="258" t="str">
        <f>VLOOKUP(Ruimtestaat[[#This Row],[Code]],Locaties[#All],4,FALSE)</f>
        <v>Welbergweg 20</v>
      </c>
      <c r="D209" s="258" t="str">
        <f>VLOOKUP(Ruimtestaat[[#This Row],[Code]],Locaties[#All],5,FALSE)</f>
        <v>7556 PE</v>
      </c>
      <c r="E209" s="258" t="str">
        <f>VLOOKUP(Ruimtestaat[[#This Row],[Code]],Locaties[#All],6,FALSE)</f>
        <v>Hengelo</v>
      </c>
      <c r="F209" s="257"/>
      <c r="G209" s="257" t="s">
        <v>563</v>
      </c>
      <c r="H209" s="171"/>
      <c r="I209" s="257" t="s">
        <v>516</v>
      </c>
      <c r="J209" s="259" t="s">
        <v>571</v>
      </c>
      <c r="K209" s="171">
        <v>2</v>
      </c>
      <c r="L209" s="260" t="str">
        <f>VLOOKUP(Ruimtestaat[[#This Row],[Ruimte code]],Ruimtegroepen[#All],2,FALSE)</f>
        <v>Kantoren</v>
      </c>
      <c r="M209" s="258" t="s">
        <v>597</v>
      </c>
      <c r="N209" s="257" t="s">
        <v>38</v>
      </c>
      <c r="O209" s="261">
        <v>19</v>
      </c>
      <c r="P209" s="183"/>
      <c r="Q209" s="212" t="str">
        <f>VLOOKUP(Ruimtestaat[[#This Row],[Ruimte code]],Ruimtegroepen[#All],4,FALSE)</f>
        <v>B  (Bureauruimte)</v>
      </c>
      <c r="R209" s="184"/>
      <c r="S209" s="185">
        <v>40</v>
      </c>
      <c r="T209" s="185" t="s">
        <v>17</v>
      </c>
      <c r="U209" s="185">
        <f>IF(S209&gt;0,IF(RIGHT(Ruimtestaat[[#This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9" s="185">
        <f>IF(U209&gt;0,VLOOKUP($K209,Ruimtegroepen[],3,FALSE)*VLOOKUP($M209,Vloersoorten[],3,FALSE)*VLOOKUP($T209,Frequenties[],3,FALSE)*VLOOKUP($A209,Locaties[],3,FALSE),0)</f>
        <v>0</v>
      </c>
      <c r="W209" s="185">
        <f>Ruimtestaat[[#This Row],[Uitvoeringen werkdagen]]*Ruimtestaat[[#This Row],[Oppervlak (netto)]]</f>
        <v>1520</v>
      </c>
      <c r="X209" s="220">
        <f>IF(V209&gt;0,Ruimtestaat[[#This Row],[Prest. (m2 /jaar) werkdagen]]/Ruimtestaat[[#This Row],[Norm (m2/uur) werkdagen]],0)</f>
        <v>0</v>
      </c>
      <c r="Y209" s="221">
        <f>Ruimtestaat[[#This Row],[uren / jaar werkdagen]]*Tariefsopbouw!$D$38</f>
        <v>0</v>
      </c>
      <c r="Z209" s="33"/>
      <c r="AA209" s="33">
        <f>IF(Ruimtestaat[[#This Row],[Frequentie weekend]]&gt;0,VALUE(LEFT(Z209,1))*S209,0)</f>
        <v>0</v>
      </c>
      <c r="AB209" s="33">
        <f>IF($AA209&gt;0,VLOOKUP($K209,Ruimtegroepen[],3,FALSE)*VLOOKUP($M209,Vloersoorten[],3,FALSE)*VLOOKUP($Z209,Frequenties[],3,FALSE)*VLOOKUP(#REF!,Locaties[],3,FALSE),0)</f>
        <v>0</v>
      </c>
      <c r="AC209" s="33"/>
      <c r="AD209" s="33"/>
      <c r="AE209" s="33">
        <f>Ruimtestaat[[#This Row],[uren / jaar weekend]]*Tariefsopbouw!$D$40</f>
        <v>0</v>
      </c>
      <c r="AF209" s="79">
        <f>Ruimtestaat[[#This Row],[Prest. (m2 /jaar) weekend]]+Ruimtestaat[[#This Row],[Prest. (m2 /jaar) werkdagen]]</f>
        <v>1520</v>
      </c>
      <c r="AG209" s="79">
        <f>Ruimtestaat[[#This Row],[uren / jaar weekend]]+Ruimtestaat[[#This Row],[uren / jaar werkdagen]]</f>
        <v>0</v>
      </c>
      <c r="AH209" s="80">
        <f>Ruimtestaat[[#This Row],[kosten / jaar weekend]]+Ruimtestaat[[#This Row],[kosten / jaar werkdagen]]</f>
        <v>0</v>
      </c>
    </row>
    <row r="210" spans="1:34" ht="15" customHeight="1">
      <c r="A210" s="256">
        <v>4</v>
      </c>
      <c r="B210" s="171" t="str">
        <f>VLOOKUP(Ruimtestaat[[#This Row],[Code]],Locaties[#All],2,FALSE)</f>
        <v>Stafbureau Attendiz</v>
      </c>
      <c r="C210" s="258" t="str">
        <f>VLOOKUP(Ruimtestaat[[#This Row],[Code]],Locaties[#All],4,FALSE)</f>
        <v>Welbergweg 20</v>
      </c>
      <c r="D210" s="258" t="str">
        <f>VLOOKUP(Ruimtestaat[[#This Row],[Code]],Locaties[#All],5,FALSE)</f>
        <v>7556 PE</v>
      </c>
      <c r="E210" s="258" t="str">
        <f>VLOOKUP(Ruimtestaat[[#This Row],[Code]],Locaties[#All],6,FALSE)</f>
        <v>Hengelo</v>
      </c>
      <c r="F210" s="257"/>
      <c r="G210" s="257" t="s">
        <v>563</v>
      </c>
      <c r="H210" s="171"/>
      <c r="I210" s="257" t="s">
        <v>517</v>
      </c>
      <c r="J210" s="259" t="s">
        <v>571</v>
      </c>
      <c r="K210" s="171">
        <v>2</v>
      </c>
      <c r="L210" s="260" t="str">
        <f>VLOOKUP(Ruimtestaat[[#This Row],[Ruimte code]],Ruimtegroepen[#All],2,FALSE)</f>
        <v>Kantoren</v>
      </c>
      <c r="M210" s="258" t="s">
        <v>597</v>
      </c>
      <c r="N210" s="257" t="s">
        <v>38</v>
      </c>
      <c r="O210" s="261">
        <v>26</v>
      </c>
      <c r="P210" s="183"/>
      <c r="Q210" s="212" t="str">
        <f>VLOOKUP(Ruimtestaat[[#This Row],[Ruimte code]],Ruimtegroepen[#All],4,FALSE)</f>
        <v>B  (Bureauruimte)</v>
      </c>
      <c r="R210" s="184"/>
      <c r="S210" s="185">
        <v>40</v>
      </c>
      <c r="T210" s="185" t="s">
        <v>17</v>
      </c>
      <c r="U210" s="185">
        <f>IF(S210&gt;0,IF(RIGHT(Ruimtestaat[[#This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10" s="185">
        <f>IF(U210&gt;0,VLOOKUP($K210,Ruimtegroepen[],3,FALSE)*VLOOKUP($M210,Vloersoorten[],3,FALSE)*VLOOKUP($T210,Frequenties[],3,FALSE)*VLOOKUP($A210,Locaties[],3,FALSE),0)</f>
        <v>0</v>
      </c>
      <c r="W210" s="185">
        <f>Ruimtestaat[[#This Row],[Uitvoeringen werkdagen]]*Ruimtestaat[[#This Row],[Oppervlak (netto)]]</f>
        <v>2080</v>
      </c>
      <c r="X210" s="220">
        <f>IF(V210&gt;0,Ruimtestaat[[#This Row],[Prest. (m2 /jaar) werkdagen]]/Ruimtestaat[[#This Row],[Norm (m2/uur) werkdagen]],0)</f>
        <v>0</v>
      </c>
      <c r="Y210" s="221">
        <f>Ruimtestaat[[#This Row],[uren / jaar werkdagen]]*Tariefsopbouw!$D$38</f>
        <v>0</v>
      </c>
      <c r="Z210" s="33"/>
      <c r="AA210" s="33">
        <f>IF(Ruimtestaat[[#This Row],[Frequentie weekend]]&gt;0,VALUE(LEFT(Z210,1))*S210,0)</f>
        <v>0</v>
      </c>
      <c r="AB210" s="33">
        <f>IF($AA210&gt;0,VLOOKUP($K210,Ruimtegroepen[],3,FALSE)*VLOOKUP($M210,Vloersoorten[],3,FALSE)*VLOOKUP($Z210,Frequenties[],3,FALSE)*VLOOKUP(#REF!,Locaties[],3,FALSE),0)</f>
        <v>0</v>
      </c>
      <c r="AC210" s="33"/>
      <c r="AD210" s="33"/>
      <c r="AE210" s="33">
        <f>Ruimtestaat[[#This Row],[uren / jaar weekend]]*Tariefsopbouw!$D$40</f>
        <v>0</v>
      </c>
      <c r="AF210" s="79">
        <f>Ruimtestaat[[#This Row],[Prest. (m2 /jaar) weekend]]+Ruimtestaat[[#This Row],[Prest. (m2 /jaar) werkdagen]]</f>
        <v>2080</v>
      </c>
      <c r="AG210" s="79">
        <f>Ruimtestaat[[#This Row],[uren / jaar weekend]]+Ruimtestaat[[#This Row],[uren / jaar werkdagen]]</f>
        <v>0</v>
      </c>
      <c r="AH210" s="80">
        <f>Ruimtestaat[[#This Row],[kosten / jaar weekend]]+Ruimtestaat[[#This Row],[kosten / jaar werkdagen]]</f>
        <v>0</v>
      </c>
    </row>
    <row r="211" spans="1:34" ht="15" customHeight="1">
      <c r="A211" s="256">
        <v>4</v>
      </c>
      <c r="B211" s="171" t="str">
        <f>VLOOKUP(Ruimtestaat[[#This Row],[Code]],Locaties[#All],2,FALSE)</f>
        <v>Stafbureau Attendiz</v>
      </c>
      <c r="C211" s="258" t="str">
        <f>VLOOKUP(Ruimtestaat[[#This Row],[Code]],Locaties[#All],4,FALSE)</f>
        <v>Welbergweg 20</v>
      </c>
      <c r="D211" s="258" t="str">
        <f>VLOOKUP(Ruimtestaat[[#This Row],[Code]],Locaties[#All],5,FALSE)</f>
        <v>7556 PE</v>
      </c>
      <c r="E211" s="258" t="str">
        <f>VLOOKUP(Ruimtestaat[[#This Row],[Code]],Locaties[#All],6,FALSE)</f>
        <v>Hengelo</v>
      </c>
      <c r="F211" s="257"/>
      <c r="G211" s="257" t="s">
        <v>563</v>
      </c>
      <c r="H211" s="171"/>
      <c r="I211" s="257" t="s">
        <v>518</v>
      </c>
      <c r="J211" s="259" t="s">
        <v>1034</v>
      </c>
      <c r="K211" s="258">
        <v>2</v>
      </c>
      <c r="L211" s="260" t="str">
        <f>VLOOKUP(Ruimtestaat[[#This Row],[Ruimte code]],Ruimtegroepen[#All],2,FALSE)</f>
        <v>Kantoren</v>
      </c>
      <c r="M211" s="258" t="s">
        <v>597</v>
      </c>
      <c r="N211" s="257" t="s">
        <v>38</v>
      </c>
      <c r="O211" s="261">
        <v>9.1</v>
      </c>
      <c r="P211" s="183"/>
      <c r="Q211" s="212" t="str">
        <f>VLOOKUP(Ruimtestaat[[#This Row],[Ruimte code]],Ruimtegroepen[#All],4,FALSE)</f>
        <v>B  (Bureauruimte)</v>
      </c>
      <c r="R211" s="184"/>
      <c r="S211" s="185">
        <v>40</v>
      </c>
      <c r="T211" s="185" t="s">
        <v>16</v>
      </c>
      <c r="U211" s="185">
        <f>IF(S211&gt;0,IF(RIGHT(Ruimtestaat[[#This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211" s="185">
        <f>IF(U211&gt;0,VLOOKUP($K211,Ruimtegroepen[],3,FALSE)*VLOOKUP($M211,Vloersoorten[],3,FALSE)*VLOOKUP($T211,Frequenties[],3,FALSE)*VLOOKUP($A211,Locaties[],3,FALSE),0)</f>
        <v>0</v>
      </c>
      <c r="W211" s="185">
        <f>Ruimtestaat[[#This Row],[Uitvoeringen werkdagen]]*Ruimtestaat[[#This Row],[Oppervlak (netto)]]</f>
        <v>109.19999999999999</v>
      </c>
      <c r="X211" s="220">
        <f>IF(V211&gt;0,Ruimtestaat[[#This Row],[Prest. (m2 /jaar) werkdagen]]/Ruimtestaat[[#This Row],[Norm (m2/uur) werkdagen]],0)</f>
        <v>0</v>
      </c>
      <c r="Y211" s="221">
        <f>Ruimtestaat[[#This Row],[uren / jaar werkdagen]]*Tariefsopbouw!$D$38</f>
        <v>0</v>
      </c>
      <c r="Z211" s="33"/>
      <c r="AA211" s="33">
        <f>IF(Ruimtestaat[[#This Row],[Frequentie weekend]]&gt;0,VALUE(LEFT(Z211,1))*S211,0)</f>
        <v>0</v>
      </c>
      <c r="AB211" s="33">
        <f>IF($AA211&gt;0,VLOOKUP($K211,Ruimtegroepen[],3,FALSE)*VLOOKUP($M211,Vloersoorten[],3,FALSE)*VLOOKUP($Z211,Frequenties[],3,FALSE)*VLOOKUP(#REF!,Locaties[],3,FALSE),0)</f>
        <v>0</v>
      </c>
      <c r="AC211" s="33"/>
      <c r="AD211" s="33"/>
      <c r="AE211" s="33">
        <f>Ruimtestaat[[#This Row],[uren / jaar weekend]]*Tariefsopbouw!$D$40</f>
        <v>0</v>
      </c>
      <c r="AF211" s="79">
        <f>Ruimtestaat[[#This Row],[Prest. (m2 /jaar) weekend]]+Ruimtestaat[[#This Row],[Prest. (m2 /jaar) werkdagen]]</f>
        <v>109.19999999999999</v>
      </c>
      <c r="AG211" s="79">
        <f>Ruimtestaat[[#This Row],[uren / jaar weekend]]+Ruimtestaat[[#This Row],[uren / jaar werkdagen]]</f>
        <v>0</v>
      </c>
      <c r="AH211" s="80">
        <f>Ruimtestaat[[#This Row],[kosten / jaar weekend]]+Ruimtestaat[[#This Row],[kosten / jaar werkdagen]]</f>
        <v>0</v>
      </c>
    </row>
    <row r="212" spans="1:34" ht="15" customHeight="1">
      <c r="A212" s="256">
        <v>4</v>
      </c>
      <c r="B212" s="171" t="str">
        <f>VLOOKUP(Ruimtestaat[[#This Row],[Code]],Locaties[#All],2,FALSE)</f>
        <v>Stafbureau Attendiz</v>
      </c>
      <c r="C212" s="258" t="str">
        <f>VLOOKUP(Ruimtestaat[[#This Row],[Code]],Locaties[#All],4,FALSE)</f>
        <v>Welbergweg 20</v>
      </c>
      <c r="D212" s="258" t="str">
        <f>VLOOKUP(Ruimtestaat[[#This Row],[Code]],Locaties[#All],5,FALSE)</f>
        <v>7556 PE</v>
      </c>
      <c r="E212" s="258" t="str">
        <f>VLOOKUP(Ruimtestaat[[#This Row],[Code]],Locaties[#All],6,FALSE)</f>
        <v>Hengelo</v>
      </c>
      <c r="F212" s="257"/>
      <c r="G212" s="257" t="s">
        <v>563</v>
      </c>
      <c r="H212" s="171"/>
      <c r="I212" s="257" t="s">
        <v>519</v>
      </c>
      <c r="J212" s="259" t="s">
        <v>571</v>
      </c>
      <c r="K212" s="258">
        <v>2</v>
      </c>
      <c r="L212" s="260" t="str">
        <f>VLOOKUP(Ruimtestaat[[#This Row],[Ruimte code]],Ruimtegroepen[#All],2,FALSE)</f>
        <v>Kantoren</v>
      </c>
      <c r="M212" s="185" t="s">
        <v>597</v>
      </c>
      <c r="N212" s="257" t="s">
        <v>38</v>
      </c>
      <c r="O212" s="261">
        <v>29</v>
      </c>
      <c r="P212" s="183"/>
      <c r="Q212" s="212" t="str">
        <f>VLOOKUP(Ruimtestaat[[#This Row],[Ruimte code]],Ruimtegroepen[#All],4,FALSE)</f>
        <v>B  (Bureauruimte)</v>
      </c>
      <c r="R212" s="184"/>
      <c r="S212" s="185">
        <v>40</v>
      </c>
      <c r="T212" s="185" t="s">
        <v>17</v>
      </c>
      <c r="U212" s="185">
        <f>IF(S212&gt;0,IF(RIGHT(Ruimtestaat[[#This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12" s="185">
        <f>IF(U212&gt;0,VLOOKUP($K212,Ruimtegroepen[],3,FALSE)*VLOOKUP($M212,Vloersoorten[],3,FALSE)*VLOOKUP($T212,Frequenties[],3,FALSE)*VLOOKUP($A212,Locaties[],3,FALSE),0)</f>
        <v>0</v>
      </c>
      <c r="W212" s="185">
        <f>Ruimtestaat[[#This Row],[Uitvoeringen werkdagen]]*Ruimtestaat[[#This Row],[Oppervlak (netto)]]</f>
        <v>2320</v>
      </c>
      <c r="X212" s="220">
        <f>IF(V212&gt;0,Ruimtestaat[[#This Row],[Prest. (m2 /jaar) werkdagen]]/Ruimtestaat[[#This Row],[Norm (m2/uur) werkdagen]],0)</f>
        <v>0</v>
      </c>
      <c r="Y212" s="221">
        <f>Ruimtestaat[[#This Row],[uren / jaar werkdagen]]*Tariefsopbouw!$D$38</f>
        <v>0</v>
      </c>
      <c r="Z212" s="33"/>
      <c r="AA212" s="33">
        <f>IF(Ruimtestaat[[#This Row],[Frequentie weekend]]&gt;0,VALUE(LEFT(Z212,1))*S212,0)</f>
        <v>0</v>
      </c>
      <c r="AB212" s="33">
        <f>IF($AA212&gt;0,VLOOKUP($K212,Ruimtegroepen[],3,FALSE)*VLOOKUP($M212,Vloersoorten[],3,FALSE)*VLOOKUP($Z212,Frequenties[],3,FALSE)*VLOOKUP(#REF!,Locaties[],3,FALSE),0)</f>
        <v>0</v>
      </c>
      <c r="AC212" s="33"/>
      <c r="AD212" s="33"/>
      <c r="AE212" s="33">
        <f>Ruimtestaat[[#This Row],[uren / jaar weekend]]*Tariefsopbouw!$D$40</f>
        <v>0</v>
      </c>
      <c r="AF212" s="79">
        <f>Ruimtestaat[[#This Row],[Prest. (m2 /jaar) weekend]]+Ruimtestaat[[#This Row],[Prest. (m2 /jaar) werkdagen]]</f>
        <v>2320</v>
      </c>
      <c r="AG212" s="79">
        <f>Ruimtestaat[[#This Row],[uren / jaar weekend]]+Ruimtestaat[[#This Row],[uren / jaar werkdagen]]</f>
        <v>0</v>
      </c>
      <c r="AH212" s="80">
        <f>Ruimtestaat[[#This Row],[kosten / jaar weekend]]+Ruimtestaat[[#This Row],[kosten / jaar werkdagen]]</f>
        <v>0</v>
      </c>
    </row>
    <row r="213" spans="1:34" ht="15" customHeight="1">
      <c r="A213" s="256">
        <v>4</v>
      </c>
      <c r="B213" s="171" t="str">
        <f>VLOOKUP(Ruimtestaat[[#This Row],[Code]],Locaties[#All],2,FALSE)</f>
        <v>Stafbureau Attendiz</v>
      </c>
      <c r="C213" s="258" t="str">
        <f>VLOOKUP(Ruimtestaat[[#This Row],[Code]],Locaties[#All],4,FALSE)</f>
        <v>Welbergweg 20</v>
      </c>
      <c r="D213" s="258" t="str">
        <f>VLOOKUP(Ruimtestaat[[#This Row],[Code]],Locaties[#All],5,FALSE)</f>
        <v>7556 PE</v>
      </c>
      <c r="E213" s="258" t="str">
        <f>VLOOKUP(Ruimtestaat[[#This Row],[Code]],Locaties[#All],6,FALSE)</f>
        <v>Hengelo</v>
      </c>
      <c r="F213" s="257"/>
      <c r="G213" s="257" t="s">
        <v>563</v>
      </c>
      <c r="H213" s="171"/>
      <c r="I213" s="257" t="s">
        <v>520</v>
      </c>
      <c r="J213" s="259" t="s">
        <v>574</v>
      </c>
      <c r="K213" s="171">
        <v>6</v>
      </c>
      <c r="L213" s="260" t="str">
        <f>VLOOKUP(Ruimtestaat[[#This Row],[Ruimte code]],Ruimtegroepen[#All],2,FALSE)</f>
        <v>Gangen/hallen</v>
      </c>
      <c r="M213" s="185" t="s">
        <v>597</v>
      </c>
      <c r="N213" s="257" t="s">
        <v>38</v>
      </c>
      <c r="O213" s="261">
        <v>6</v>
      </c>
      <c r="P213" s="183"/>
      <c r="Q213" s="212" t="str">
        <f>VLOOKUP(Ruimtestaat[[#This Row],[Ruimte code]],Ruimtegroepen[#All],4,FALSE)</f>
        <v>V  (Verkeersruimte)</v>
      </c>
      <c r="R213" s="184"/>
      <c r="S213" s="185">
        <v>40</v>
      </c>
      <c r="T213" s="185" t="s">
        <v>15</v>
      </c>
      <c r="U213" s="185">
        <f>IF(S213&gt;0,IF(RIGHT(Ruimtestaat[[#This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13" s="185">
        <f>IF(U213&gt;0,VLOOKUP($K213,Ruimtegroepen[],3,FALSE)*VLOOKUP($M213,Vloersoorten[],3,FALSE)*VLOOKUP($T213,Frequenties[],3,FALSE)*VLOOKUP($A213,Locaties[],3,FALSE),0)</f>
        <v>0</v>
      </c>
      <c r="W213" s="185">
        <f>Ruimtestaat[[#This Row],[Uitvoeringen werkdagen]]*Ruimtestaat[[#This Row],[Oppervlak (netto)]]</f>
        <v>240</v>
      </c>
      <c r="X213" s="220">
        <f>IF(V213&gt;0,Ruimtestaat[[#This Row],[Prest. (m2 /jaar) werkdagen]]/Ruimtestaat[[#This Row],[Norm (m2/uur) werkdagen]],0)</f>
        <v>0</v>
      </c>
      <c r="Y213" s="221">
        <f>Ruimtestaat[[#This Row],[uren / jaar werkdagen]]*Tariefsopbouw!$D$38</f>
        <v>0</v>
      </c>
      <c r="Z213" s="33"/>
      <c r="AA213" s="33">
        <f>IF(Ruimtestaat[[#This Row],[Frequentie weekend]]&gt;0,VALUE(LEFT(Z213,1))*S213,0)</f>
        <v>0</v>
      </c>
      <c r="AB213" s="33">
        <f>IF($AA213&gt;0,VLOOKUP($K213,Ruimtegroepen[],3,FALSE)*VLOOKUP($M213,Vloersoorten[],3,FALSE)*VLOOKUP($Z213,Frequenties[],3,FALSE)*VLOOKUP(#REF!,Locaties[],3,FALSE),0)</f>
        <v>0</v>
      </c>
      <c r="AC213" s="33"/>
      <c r="AD213" s="33"/>
      <c r="AE213" s="33">
        <f>Ruimtestaat[[#This Row],[uren / jaar weekend]]*Tariefsopbouw!$D$40</f>
        <v>0</v>
      </c>
      <c r="AF213" s="79">
        <f>Ruimtestaat[[#This Row],[Prest. (m2 /jaar) weekend]]+Ruimtestaat[[#This Row],[Prest. (m2 /jaar) werkdagen]]</f>
        <v>240</v>
      </c>
      <c r="AG213" s="79">
        <f>Ruimtestaat[[#This Row],[uren / jaar weekend]]+Ruimtestaat[[#This Row],[uren / jaar werkdagen]]</f>
        <v>0</v>
      </c>
      <c r="AH213" s="80">
        <f>Ruimtestaat[[#This Row],[kosten / jaar weekend]]+Ruimtestaat[[#This Row],[kosten / jaar werkdagen]]</f>
        <v>0</v>
      </c>
    </row>
    <row r="214" spans="1:34" ht="15" customHeight="1">
      <c r="A214" s="256">
        <v>4</v>
      </c>
      <c r="B214" s="171" t="str">
        <f>VLOOKUP(Ruimtestaat[[#This Row],[Code]],Locaties[#All],2,FALSE)</f>
        <v>Stafbureau Attendiz</v>
      </c>
      <c r="C214" s="258" t="str">
        <f>VLOOKUP(Ruimtestaat[[#This Row],[Code]],Locaties[#All],4,FALSE)</f>
        <v>Welbergweg 20</v>
      </c>
      <c r="D214" s="258" t="str">
        <f>VLOOKUP(Ruimtestaat[[#This Row],[Code]],Locaties[#All],5,FALSE)</f>
        <v>7556 PE</v>
      </c>
      <c r="E214" s="258" t="str">
        <f>VLOOKUP(Ruimtestaat[[#This Row],[Code]],Locaties[#All],6,FALSE)</f>
        <v>Hengelo</v>
      </c>
      <c r="F214" s="257"/>
      <c r="G214" s="257" t="s">
        <v>563</v>
      </c>
      <c r="H214" s="171"/>
      <c r="I214" s="257" t="s">
        <v>521</v>
      </c>
      <c r="J214" s="259" t="s">
        <v>587</v>
      </c>
      <c r="K214" s="258">
        <v>6</v>
      </c>
      <c r="L214" s="260" t="str">
        <f>VLOOKUP(Ruimtestaat[[#This Row],[Ruimte code]],Ruimtegroepen[#All],2,FALSE)</f>
        <v>Gangen/hallen</v>
      </c>
      <c r="M214" s="258" t="s">
        <v>597</v>
      </c>
      <c r="N214" s="257" t="s">
        <v>38</v>
      </c>
      <c r="O214" s="261">
        <v>30</v>
      </c>
      <c r="P214" s="183"/>
      <c r="Q214" s="212" t="str">
        <f>VLOOKUP(Ruimtestaat[[#This Row],[Ruimte code]],Ruimtegroepen[#All],4,FALSE)</f>
        <v>V  (Verkeersruimte)</v>
      </c>
      <c r="R214" s="184"/>
      <c r="S214" s="185">
        <v>40</v>
      </c>
      <c r="T214" s="185" t="s">
        <v>15</v>
      </c>
      <c r="U214" s="185">
        <f>IF(S214&gt;0,IF(RIGHT(Ruimtestaat[[#This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14" s="185">
        <f>IF(U214&gt;0,VLOOKUP($K214,Ruimtegroepen[],3,FALSE)*VLOOKUP($M214,Vloersoorten[],3,FALSE)*VLOOKUP($T214,Frequenties[],3,FALSE)*VLOOKUP($A214,Locaties[],3,FALSE),0)</f>
        <v>0</v>
      </c>
      <c r="W214" s="185">
        <f>Ruimtestaat[[#This Row],[Uitvoeringen werkdagen]]*Ruimtestaat[[#This Row],[Oppervlak (netto)]]</f>
        <v>1200</v>
      </c>
      <c r="X214" s="220">
        <f>IF(V214&gt;0,Ruimtestaat[[#This Row],[Prest. (m2 /jaar) werkdagen]]/Ruimtestaat[[#This Row],[Norm (m2/uur) werkdagen]],0)</f>
        <v>0</v>
      </c>
      <c r="Y214" s="221">
        <f>Ruimtestaat[[#This Row],[uren / jaar werkdagen]]*Tariefsopbouw!$D$38</f>
        <v>0</v>
      </c>
      <c r="Z214" s="33"/>
      <c r="AA214" s="33">
        <f>IF(Ruimtestaat[[#This Row],[Frequentie weekend]]&gt;0,VALUE(LEFT(Z214,1))*S214,0)</f>
        <v>0</v>
      </c>
      <c r="AB214" s="33">
        <f>IF($AA214&gt;0,VLOOKUP($K214,Ruimtegroepen[],3,FALSE)*VLOOKUP($M214,Vloersoorten[],3,FALSE)*VLOOKUP($Z214,Frequenties[],3,FALSE)*VLOOKUP(#REF!,Locaties[],3,FALSE),0)</f>
        <v>0</v>
      </c>
      <c r="AC214" s="33"/>
      <c r="AD214" s="33"/>
      <c r="AE214" s="33">
        <f>Ruimtestaat[[#This Row],[uren / jaar weekend]]*Tariefsopbouw!$D$40</f>
        <v>0</v>
      </c>
      <c r="AF214" s="79">
        <f>Ruimtestaat[[#This Row],[Prest. (m2 /jaar) weekend]]+Ruimtestaat[[#This Row],[Prest. (m2 /jaar) werkdagen]]</f>
        <v>1200</v>
      </c>
      <c r="AG214" s="79">
        <f>Ruimtestaat[[#This Row],[uren / jaar weekend]]+Ruimtestaat[[#This Row],[uren / jaar werkdagen]]</f>
        <v>0</v>
      </c>
      <c r="AH214" s="80">
        <f>Ruimtestaat[[#This Row],[kosten / jaar weekend]]+Ruimtestaat[[#This Row],[kosten / jaar werkdagen]]</f>
        <v>0</v>
      </c>
    </row>
    <row r="215" spans="1:34" ht="15" customHeight="1">
      <c r="A215" s="256">
        <v>4</v>
      </c>
      <c r="B215" s="171" t="str">
        <f>VLOOKUP(Ruimtestaat[[#This Row],[Code]],Locaties[#All],2,FALSE)</f>
        <v>Stafbureau Attendiz</v>
      </c>
      <c r="C215" s="258" t="str">
        <f>VLOOKUP(Ruimtestaat[[#This Row],[Code]],Locaties[#All],4,FALSE)</f>
        <v>Welbergweg 20</v>
      </c>
      <c r="D215" s="258" t="str">
        <f>VLOOKUP(Ruimtestaat[[#This Row],[Code]],Locaties[#All],5,FALSE)</f>
        <v>7556 PE</v>
      </c>
      <c r="E215" s="258" t="str">
        <f>VLOOKUP(Ruimtestaat[[#This Row],[Code]],Locaties[#All],6,FALSE)</f>
        <v>Hengelo</v>
      </c>
      <c r="F215" s="257"/>
      <c r="G215" s="257" t="s">
        <v>563</v>
      </c>
      <c r="H215" s="171"/>
      <c r="I215" s="257" t="s">
        <v>522</v>
      </c>
      <c r="J215" s="259" t="s">
        <v>130</v>
      </c>
      <c r="K215" s="171">
        <v>15</v>
      </c>
      <c r="L215" s="260" t="str">
        <f>VLOOKUP(Ruimtestaat[[#This Row],[Ruimte code]],Ruimtegroepen[#All],2,FALSE)</f>
        <v>Keuken/pantry</v>
      </c>
      <c r="M215" s="185" t="s">
        <v>598</v>
      </c>
      <c r="N215" s="257" t="s">
        <v>132</v>
      </c>
      <c r="O215" s="261">
        <v>3.1</v>
      </c>
      <c r="P215" s="183"/>
      <c r="Q215" s="212" t="str">
        <f>VLOOKUP(Ruimtestaat[[#This Row],[Ruimte code]],Ruimtegroepen[#All],4,FALSE)</f>
        <v>V  (Verkeersruimte)</v>
      </c>
      <c r="R215" s="184"/>
      <c r="S215" s="185">
        <v>40</v>
      </c>
      <c r="T215" s="185" t="s">
        <v>2</v>
      </c>
      <c r="U215" s="185">
        <f>IF(S215&gt;0,IF(RIGHT(Ruimtestaat[[#This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5" s="185">
        <f>IF(U215&gt;0,VLOOKUP($K215,Ruimtegroepen[],3,FALSE)*VLOOKUP($M215,Vloersoorten[],3,FALSE)*VLOOKUP($T215,Frequenties[],3,FALSE)*VLOOKUP($A215,Locaties[],3,FALSE),0)</f>
        <v>0</v>
      </c>
      <c r="W215" s="185">
        <f>Ruimtestaat[[#This Row],[Uitvoeringen werkdagen]]*Ruimtestaat[[#This Row],[Oppervlak (netto)]]</f>
        <v>620</v>
      </c>
      <c r="X215" s="220">
        <f>IF(V215&gt;0,Ruimtestaat[[#This Row],[Prest. (m2 /jaar) werkdagen]]/Ruimtestaat[[#This Row],[Norm (m2/uur) werkdagen]],0)</f>
        <v>0</v>
      </c>
      <c r="Y215" s="221">
        <f>Ruimtestaat[[#This Row],[uren / jaar werkdagen]]*Tariefsopbouw!$D$38</f>
        <v>0</v>
      </c>
      <c r="Z215" s="33"/>
      <c r="AA215" s="33">
        <f>IF(Ruimtestaat[[#This Row],[Frequentie weekend]]&gt;0,VALUE(LEFT(Z215,1))*S215,0)</f>
        <v>0</v>
      </c>
      <c r="AB215" s="33">
        <f>IF($AA215&gt;0,VLOOKUP($K215,Ruimtegroepen[],3,FALSE)*VLOOKUP($M215,Vloersoorten[],3,FALSE)*VLOOKUP($Z215,Frequenties[],3,FALSE)*VLOOKUP(#REF!,Locaties[],3,FALSE),0)</f>
        <v>0</v>
      </c>
      <c r="AC215" s="33"/>
      <c r="AD215" s="33"/>
      <c r="AE215" s="33">
        <f>Ruimtestaat[[#This Row],[uren / jaar weekend]]*Tariefsopbouw!$D$40</f>
        <v>0</v>
      </c>
      <c r="AF215" s="79">
        <f>Ruimtestaat[[#This Row],[Prest. (m2 /jaar) weekend]]+Ruimtestaat[[#This Row],[Prest. (m2 /jaar) werkdagen]]</f>
        <v>620</v>
      </c>
      <c r="AG215" s="79">
        <f>Ruimtestaat[[#This Row],[uren / jaar weekend]]+Ruimtestaat[[#This Row],[uren / jaar werkdagen]]</f>
        <v>0</v>
      </c>
      <c r="AH215" s="80">
        <f>Ruimtestaat[[#This Row],[kosten / jaar weekend]]+Ruimtestaat[[#This Row],[kosten / jaar werkdagen]]</f>
        <v>0</v>
      </c>
    </row>
    <row r="216" spans="1:34" ht="15" customHeight="1">
      <c r="A216" s="256">
        <v>4</v>
      </c>
      <c r="B216" s="171" t="str">
        <f>VLOOKUP(Ruimtestaat[[#This Row],[Code]],Locaties[#All],2,FALSE)</f>
        <v>Stafbureau Attendiz</v>
      </c>
      <c r="C216" s="258" t="str">
        <f>VLOOKUP(Ruimtestaat[[#This Row],[Code]],Locaties[#All],4,FALSE)</f>
        <v>Welbergweg 20</v>
      </c>
      <c r="D216" s="258" t="str">
        <f>VLOOKUP(Ruimtestaat[[#This Row],[Code]],Locaties[#All],5,FALSE)</f>
        <v>7556 PE</v>
      </c>
      <c r="E216" s="258" t="str">
        <f>VLOOKUP(Ruimtestaat[[#This Row],[Code]],Locaties[#All],6,FALSE)</f>
        <v>Hengelo</v>
      </c>
      <c r="F216" s="257"/>
      <c r="G216" s="257" t="s">
        <v>563</v>
      </c>
      <c r="H216" s="171"/>
      <c r="I216" s="257" t="s">
        <v>523</v>
      </c>
      <c r="J216" s="259" t="s">
        <v>569</v>
      </c>
      <c r="K216" s="258">
        <v>5</v>
      </c>
      <c r="L216" s="260" t="str">
        <f>VLOOKUP(Ruimtestaat[[#This Row],[Ruimte code]],Ruimtegroepen[#All],2,FALSE)</f>
        <v>Sanitair</v>
      </c>
      <c r="M216" s="212" t="s">
        <v>111</v>
      </c>
      <c r="N216" s="257" t="s">
        <v>605</v>
      </c>
      <c r="O216" s="261">
        <v>4.8</v>
      </c>
      <c r="P216" s="183"/>
      <c r="Q216" s="212" t="str">
        <f>VLOOKUP(Ruimtestaat[[#This Row],[Ruimte code]],Ruimtegroepen[#All],4,FALSE)</f>
        <v>S  (Sanitair)</v>
      </c>
      <c r="R216" s="184"/>
      <c r="S216" s="185">
        <v>40</v>
      </c>
      <c r="T216" s="185" t="s">
        <v>2</v>
      </c>
      <c r="U216" s="185">
        <f>IF(S216&gt;0,IF(RIGHT(Ruimtestaat[[#This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6" s="185">
        <f>IF(U216&gt;0,VLOOKUP($K216,Ruimtegroepen[],3,FALSE)*VLOOKUP($M216,Vloersoorten[],3,FALSE)*VLOOKUP($T216,Frequenties[],3,FALSE)*VLOOKUP($A216,Locaties[],3,FALSE),0)</f>
        <v>0</v>
      </c>
      <c r="W216" s="185">
        <f>Ruimtestaat[[#This Row],[Uitvoeringen werkdagen]]*Ruimtestaat[[#This Row],[Oppervlak (netto)]]</f>
        <v>960</v>
      </c>
      <c r="X216" s="220">
        <f>IF(V216&gt;0,Ruimtestaat[[#This Row],[Prest. (m2 /jaar) werkdagen]]/Ruimtestaat[[#This Row],[Norm (m2/uur) werkdagen]],0)</f>
        <v>0</v>
      </c>
      <c r="Y216" s="221">
        <f>Ruimtestaat[[#This Row],[uren / jaar werkdagen]]*Tariefsopbouw!$D$38</f>
        <v>0</v>
      </c>
      <c r="Z216" s="33"/>
      <c r="AA216" s="33">
        <f>IF(Ruimtestaat[[#This Row],[Frequentie weekend]]&gt;0,VALUE(LEFT(Z216,1))*S216,0)</f>
        <v>0</v>
      </c>
      <c r="AB216" s="33">
        <f>IF($AA216&gt;0,VLOOKUP($K216,Ruimtegroepen[],3,FALSE)*VLOOKUP($M216,Vloersoorten[],3,FALSE)*VLOOKUP($Z216,Frequenties[],3,FALSE)*VLOOKUP(#REF!,Locaties[],3,FALSE),0)</f>
        <v>0</v>
      </c>
      <c r="AC216" s="33"/>
      <c r="AD216" s="33"/>
      <c r="AE216" s="33">
        <f>Ruimtestaat[[#This Row],[uren / jaar weekend]]*Tariefsopbouw!$D$40</f>
        <v>0</v>
      </c>
      <c r="AF216" s="79">
        <f>Ruimtestaat[[#This Row],[Prest. (m2 /jaar) weekend]]+Ruimtestaat[[#This Row],[Prest. (m2 /jaar) werkdagen]]</f>
        <v>960</v>
      </c>
      <c r="AG216" s="79">
        <f>Ruimtestaat[[#This Row],[uren / jaar weekend]]+Ruimtestaat[[#This Row],[uren / jaar werkdagen]]</f>
        <v>0</v>
      </c>
      <c r="AH216" s="80">
        <f>Ruimtestaat[[#This Row],[kosten / jaar weekend]]+Ruimtestaat[[#This Row],[kosten / jaar werkdagen]]</f>
        <v>0</v>
      </c>
    </row>
    <row r="217" spans="1:34" ht="15" customHeight="1">
      <c r="A217" s="256">
        <v>4</v>
      </c>
      <c r="B217" s="171" t="str">
        <f>VLOOKUP(Ruimtestaat[[#This Row],[Code]],Locaties[#All],2,FALSE)</f>
        <v>Stafbureau Attendiz</v>
      </c>
      <c r="C217" s="258" t="str">
        <f>VLOOKUP(Ruimtestaat[[#This Row],[Code]],Locaties[#All],4,FALSE)</f>
        <v>Welbergweg 20</v>
      </c>
      <c r="D217" s="258" t="str">
        <f>VLOOKUP(Ruimtestaat[[#This Row],[Code]],Locaties[#All],5,FALSE)</f>
        <v>7556 PE</v>
      </c>
      <c r="E217" s="258" t="str">
        <f>VLOOKUP(Ruimtestaat[[#This Row],[Code]],Locaties[#All],6,FALSE)</f>
        <v>Hengelo</v>
      </c>
      <c r="F217" s="257"/>
      <c r="G217" s="257" t="s">
        <v>563</v>
      </c>
      <c r="H217" s="171"/>
      <c r="I217" s="257" t="s">
        <v>524</v>
      </c>
      <c r="J217" s="259" t="s">
        <v>569</v>
      </c>
      <c r="K217" s="185">
        <v>5</v>
      </c>
      <c r="L217" s="260" t="str">
        <f>VLOOKUP(Ruimtestaat[[#This Row],[Ruimte code]],Ruimtegroepen[#All],2,FALSE)</f>
        <v>Sanitair</v>
      </c>
      <c r="M217" s="212" t="s">
        <v>111</v>
      </c>
      <c r="N217" s="257" t="s">
        <v>605</v>
      </c>
      <c r="O217" s="261">
        <v>3.6</v>
      </c>
      <c r="P217" s="183"/>
      <c r="Q217" s="212" t="str">
        <f>VLOOKUP(Ruimtestaat[[#This Row],[Ruimte code]],Ruimtegroepen[#All],4,FALSE)</f>
        <v>S  (Sanitair)</v>
      </c>
      <c r="R217" s="184"/>
      <c r="S217" s="185">
        <v>40</v>
      </c>
      <c r="T217" s="185" t="s">
        <v>2</v>
      </c>
      <c r="U217" s="185">
        <f>IF(S217&gt;0,IF(RIGHT(Ruimtestaat[[#This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7" s="185">
        <f>IF(U217&gt;0,VLOOKUP($K217,Ruimtegroepen[],3,FALSE)*VLOOKUP($M217,Vloersoorten[],3,FALSE)*VLOOKUP($T217,Frequenties[],3,FALSE)*VLOOKUP($A217,Locaties[],3,FALSE),0)</f>
        <v>0</v>
      </c>
      <c r="W217" s="185">
        <f>Ruimtestaat[[#This Row],[Uitvoeringen werkdagen]]*Ruimtestaat[[#This Row],[Oppervlak (netto)]]</f>
        <v>720</v>
      </c>
      <c r="X217" s="220">
        <f>IF(V217&gt;0,Ruimtestaat[[#This Row],[Prest. (m2 /jaar) werkdagen]]/Ruimtestaat[[#This Row],[Norm (m2/uur) werkdagen]],0)</f>
        <v>0</v>
      </c>
      <c r="Y217" s="221">
        <f>Ruimtestaat[[#This Row],[uren / jaar werkdagen]]*Tariefsopbouw!$D$38</f>
        <v>0</v>
      </c>
      <c r="Z217" s="33"/>
      <c r="AA217" s="33">
        <f>IF(Ruimtestaat[[#This Row],[Frequentie weekend]]&gt;0,VALUE(LEFT(Z217,1))*S217,0)</f>
        <v>0</v>
      </c>
      <c r="AB217" s="33">
        <f>IF($AA217&gt;0,VLOOKUP($K217,Ruimtegroepen[],3,FALSE)*VLOOKUP($M217,Vloersoorten[],3,FALSE)*VLOOKUP($Z217,Frequenties[],3,FALSE)*VLOOKUP(#REF!,Locaties[],3,FALSE),0)</f>
        <v>0</v>
      </c>
      <c r="AC217" s="33"/>
      <c r="AD217" s="33"/>
      <c r="AE217" s="33">
        <f>Ruimtestaat[[#This Row],[uren / jaar weekend]]*Tariefsopbouw!$D$40</f>
        <v>0</v>
      </c>
      <c r="AF217" s="79">
        <f>Ruimtestaat[[#This Row],[Prest. (m2 /jaar) weekend]]+Ruimtestaat[[#This Row],[Prest. (m2 /jaar) werkdagen]]</f>
        <v>720</v>
      </c>
      <c r="AG217" s="79">
        <f>Ruimtestaat[[#This Row],[uren / jaar weekend]]+Ruimtestaat[[#This Row],[uren / jaar werkdagen]]</f>
        <v>0</v>
      </c>
      <c r="AH217" s="80">
        <f>Ruimtestaat[[#This Row],[kosten / jaar weekend]]+Ruimtestaat[[#This Row],[kosten / jaar werkdagen]]</f>
        <v>0</v>
      </c>
    </row>
    <row r="218" spans="1:34" ht="15" customHeight="1">
      <c r="A218" s="256">
        <v>4</v>
      </c>
      <c r="B218" s="171" t="str">
        <f>VLOOKUP(Ruimtestaat[[#This Row],[Code]],Locaties[#All],2,FALSE)</f>
        <v>Stafbureau Attendiz</v>
      </c>
      <c r="C218" s="258" t="str">
        <f>VLOOKUP(Ruimtestaat[[#This Row],[Code]],Locaties[#All],4,FALSE)</f>
        <v>Welbergweg 20</v>
      </c>
      <c r="D218" s="258" t="str">
        <f>VLOOKUP(Ruimtestaat[[#This Row],[Code]],Locaties[#All],5,FALSE)</f>
        <v>7556 PE</v>
      </c>
      <c r="E218" s="258" t="str">
        <f>VLOOKUP(Ruimtestaat[[#This Row],[Code]],Locaties[#All],6,FALSE)</f>
        <v>Hengelo</v>
      </c>
      <c r="F218" s="257"/>
      <c r="G218" s="257" t="s">
        <v>563</v>
      </c>
      <c r="H218" s="171"/>
      <c r="I218" s="257" t="s">
        <v>525</v>
      </c>
      <c r="J218" s="259" t="s">
        <v>583</v>
      </c>
      <c r="K218" s="258">
        <v>20</v>
      </c>
      <c r="L218" s="260" t="str">
        <f>VLOOKUP(Ruimtestaat[[#This Row],[Ruimte code]],Ruimtegroepen[#All],2,FALSE)</f>
        <v>Niet in onderhoud</v>
      </c>
      <c r="M218" s="212" t="s">
        <v>111</v>
      </c>
      <c r="N218" s="257" t="s">
        <v>605</v>
      </c>
      <c r="O218" s="261"/>
      <c r="P218" s="183">
        <v>3</v>
      </c>
      <c r="Q218" s="212" t="str">
        <f>VLOOKUP(Ruimtestaat[[#This Row],[Ruimte code]],Ruimtegroepen[#All],4,FALSE)</f>
        <v>niet in onderhoud</v>
      </c>
      <c r="R218" s="184"/>
      <c r="S218" s="185"/>
      <c r="T218" s="185"/>
      <c r="U218" s="185">
        <f>IF(S218&gt;0,IF(RIGHT(Ruimtestaat[[#This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8" s="185">
        <f>IF(U218&gt;0,VLOOKUP($K218,Ruimtegroepen[],3,FALSE)*VLOOKUP($M218,Vloersoorten[],3,FALSE)*VLOOKUP($T218,Frequenties[],3,FALSE)*VLOOKUP($A218,Locaties[],3,FALSE),0)</f>
        <v>0</v>
      </c>
      <c r="W218" s="185">
        <f>Ruimtestaat[[#This Row],[Uitvoeringen werkdagen]]*Ruimtestaat[[#This Row],[Oppervlak (netto)]]</f>
        <v>0</v>
      </c>
      <c r="X218" s="220">
        <f>IF(V218&gt;0,Ruimtestaat[[#This Row],[Prest. (m2 /jaar) werkdagen]]/Ruimtestaat[[#This Row],[Norm (m2/uur) werkdagen]],0)</f>
        <v>0</v>
      </c>
      <c r="Y218" s="221">
        <f>Ruimtestaat[[#This Row],[uren / jaar werkdagen]]*Tariefsopbouw!$D$38</f>
        <v>0</v>
      </c>
      <c r="Z218" s="33"/>
      <c r="AA218" s="33">
        <f>IF(Ruimtestaat[[#This Row],[Frequentie weekend]]&gt;0,VALUE(LEFT(Z218,1))*S218,0)</f>
        <v>0</v>
      </c>
      <c r="AB218" s="33">
        <f>IF($AA218&gt;0,VLOOKUP($K218,Ruimtegroepen[],3,FALSE)*VLOOKUP($M218,Vloersoorten[],3,FALSE)*VLOOKUP($Z218,Frequenties[],3,FALSE)*VLOOKUP(#REF!,Locaties[],3,FALSE),0)</f>
        <v>0</v>
      </c>
      <c r="AC218" s="33"/>
      <c r="AD218" s="33"/>
      <c r="AE218" s="33">
        <f>Ruimtestaat[[#This Row],[uren / jaar weekend]]*Tariefsopbouw!$D$40</f>
        <v>0</v>
      </c>
      <c r="AF218" s="79">
        <f>Ruimtestaat[[#This Row],[Prest. (m2 /jaar) weekend]]+Ruimtestaat[[#This Row],[Prest. (m2 /jaar) werkdagen]]</f>
        <v>0</v>
      </c>
      <c r="AG218" s="79">
        <f>Ruimtestaat[[#This Row],[uren / jaar weekend]]+Ruimtestaat[[#This Row],[uren / jaar werkdagen]]</f>
        <v>0</v>
      </c>
      <c r="AH218" s="80">
        <f>Ruimtestaat[[#This Row],[kosten / jaar weekend]]+Ruimtestaat[[#This Row],[kosten / jaar werkdagen]]</f>
        <v>0</v>
      </c>
    </row>
    <row r="219" spans="1:34" ht="15" customHeight="1">
      <c r="A219" s="256">
        <v>4</v>
      </c>
      <c r="B219" s="171" t="str">
        <f>VLOOKUP(Ruimtestaat[[#This Row],[Code]],Locaties[#All],2,FALSE)</f>
        <v>Stafbureau Attendiz</v>
      </c>
      <c r="C219" s="258" t="str">
        <f>VLOOKUP(Ruimtestaat[[#This Row],[Code]],Locaties[#All],4,FALSE)</f>
        <v>Welbergweg 20</v>
      </c>
      <c r="D219" s="258" t="str">
        <f>VLOOKUP(Ruimtestaat[[#This Row],[Code]],Locaties[#All],5,FALSE)</f>
        <v>7556 PE</v>
      </c>
      <c r="E219" s="258" t="str">
        <f>VLOOKUP(Ruimtestaat[[#This Row],[Code]],Locaties[#All],6,FALSE)</f>
        <v>Hengelo</v>
      </c>
      <c r="F219" s="257"/>
      <c r="G219" s="257" t="s">
        <v>564</v>
      </c>
      <c r="H219" s="171"/>
      <c r="I219" s="257" t="s">
        <v>1067</v>
      </c>
      <c r="J219" s="259" t="s">
        <v>587</v>
      </c>
      <c r="K219" s="258">
        <v>6</v>
      </c>
      <c r="L219" s="260" t="str">
        <f>VLOOKUP(Ruimtestaat[[#This Row],[Ruimte code]],Ruimtegroepen[#All],2,FALSE)</f>
        <v>Gangen/hallen</v>
      </c>
      <c r="M219" s="212" t="s">
        <v>111</v>
      </c>
      <c r="N219" s="257" t="s">
        <v>1105</v>
      </c>
      <c r="O219" s="261">
        <v>19</v>
      </c>
      <c r="P219" s="183"/>
      <c r="Q219" s="212" t="str">
        <f>VLOOKUP(Ruimtestaat[[#This Row],[Ruimte code]],Ruimtegroepen[#All],4,FALSE)</f>
        <v>V  (Verkeersruimte)</v>
      </c>
      <c r="R219" s="184"/>
      <c r="S219" s="185">
        <v>40</v>
      </c>
      <c r="T219" s="185" t="s">
        <v>2</v>
      </c>
      <c r="U219" s="185">
        <f>IF(S219&gt;0,IF(RIGHT(Ruimtestaat[[#This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9" s="185">
        <f>IF(U219&gt;0,VLOOKUP($K219,Ruimtegroepen[],3,FALSE)*VLOOKUP($M219,Vloersoorten[],3,FALSE)*VLOOKUP($T219,Frequenties[],3,FALSE)*VLOOKUP($A219,Locaties[],3,FALSE),0)</f>
        <v>0</v>
      </c>
      <c r="W219" s="185">
        <f>Ruimtestaat[[#This Row],[Uitvoeringen werkdagen]]*Ruimtestaat[[#This Row],[Oppervlak (netto)]]</f>
        <v>3800</v>
      </c>
      <c r="X219" s="220">
        <f>IF(V219&gt;0,Ruimtestaat[[#This Row],[Prest. (m2 /jaar) werkdagen]]/Ruimtestaat[[#This Row],[Norm (m2/uur) werkdagen]],0)</f>
        <v>0</v>
      </c>
      <c r="Y219" s="221">
        <f>Ruimtestaat[[#This Row],[uren / jaar werkdagen]]*Tariefsopbouw!$D$38</f>
        <v>0</v>
      </c>
      <c r="Z219" s="33"/>
      <c r="AA219" s="33">
        <f>IF(Ruimtestaat[[#This Row],[Frequentie weekend]]&gt;0,VALUE(LEFT(Z219,1))*S219,0)</f>
        <v>0</v>
      </c>
      <c r="AB219" s="33">
        <f>IF($AA219&gt;0,VLOOKUP($K219,Ruimtegroepen[],3,FALSE)*VLOOKUP($M219,Vloersoorten[],3,FALSE)*VLOOKUP($Z219,Frequenties[],3,FALSE)*VLOOKUP(#REF!,Locaties[],3,FALSE),0)</f>
        <v>0</v>
      </c>
      <c r="AC219" s="33"/>
      <c r="AD219" s="33"/>
      <c r="AE219" s="33">
        <f>Ruimtestaat[[#This Row],[uren / jaar weekend]]*Tariefsopbouw!$D$40</f>
        <v>0</v>
      </c>
      <c r="AF219" s="79">
        <f>Ruimtestaat[[#This Row],[Prest. (m2 /jaar) weekend]]+Ruimtestaat[[#This Row],[Prest. (m2 /jaar) werkdagen]]</f>
        <v>3800</v>
      </c>
      <c r="AG219" s="79">
        <f>Ruimtestaat[[#This Row],[uren / jaar weekend]]+Ruimtestaat[[#This Row],[uren / jaar werkdagen]]</f>
        <v>0</v>
      </c>
      <c r="AH219" s="80">
        <f>Ruimtestaat[[#This Row],[kosten / jaar weekend]]+Ruimtestaat[[#This Row],[kosten / jaar werkdagen]]</f>
        <v>0</v>
      </c>
    </row>
    <row r="220" spans="1:34" ht="15" customHeight="1">
      <c r="A220" s="256">
        <v>4</v>
      </c>
      <c r="B220" s="171" t="str">
        <f>VLOOKUP(Ruimtestaat[[#This Row],[Code]],Locaties[#All],2,FALSE)</f>
        <v>Stafbureau Attendiz</v>
      </c>
      <c r="C220" s="258" t="str">
        <f>VLOOKUP(Ruimtestaat[[#This Row],[Code]],Locaties[#All],4,FALSE)</f>
        <v>Welbergweg 20</v>
      </c>
      <c r="D220" s="258" t="str">
        <f>VLOOKUP(Ruimtestaat[[#This Row],[Code]],Locaties[#All],5,FALSE)</f>
        <v>7556 PE</v>
      </c>
      <c r="E220" s="258" t="str">
        <f>VLOOKUP(Ruimtestaat[[#This Row],[Code]],Locaties[#All],6,FALSE)</f>
        <v>Hengelo</v>
      </c>
      <c r="F220" s="257"/>
      <c r="G220" s="257" t="s">
        <v>564</v>
      </c>
      <c r="H220" s="171"/>
      <c r="I220" s="257"/>
      <c r="J220" s="259" t="s">
        <v>695</v>
      </c>
      <c r="K220" s="185">
        <v>10</v>
      </c>
      <c r="L220" s="260" t="str">
        <f>VLOOKUP(Ruimtestaat[[#This Row],[Ruimte code]],Ruimtegroepen[#All],2,FALSE)</f>
        <v>Trappenhuizen/lift</v>
      </c>
      <c r="M220" s="212" t="s">
        <v>111</v>
      </c>
      <c r="N220" s="257" t="s">
        <v>1105</v>
      </c>
      <c r="O220" s="261">
        <v>15</v>
      </c>
      <c r="P220" s="183"/>
      <c r="Q220" s="212" t="str">
        <f>VLOOKUP(Ruimtestaat[[#This Row],[Ruimte code]],Ruimtegroepen[#All],4,FALSE)</f>
        <v>V  (Verkeersruimte)</v>
      </c>
      <c r="R220" s="184"/>
      <c r="S220" s="185">
        <v>40</v>
      </c>
      <c r="T220" s="185" t="s">
        <v>2</v>
      </c>
      <c r="U220" s="185">
        <f>IF(S220&gt;0,IF(RIGHT(Ruimtestaat[[#This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0" s="185">
        <f>IF(U220&gt;0,VLOOKUP($K220,Ruimtegroepen[],3,FALSE)*VLOOKUP($M220,Vloersoorten[],3,FALSE)*VLOOKUP($T220,Frequenties[],3,FALSE)*VLOOKUP($A220,Locaties[],3,FALSE),0)</f>
        <v>0</v>
      </c>
      <c r="W220" s="185">
        <f>Ruimtestaat[[#This Row],[Uitvoeringen werkdagen]]*Ruimtestaat[[#This Row],[Oppervlak (netto)]]</f>
        <v>3000</v>
      </c>
      <c r="X220" s="220">
        <f>IF(V220&gt;0,Ruimtestaat[[#This Row],[Prest. (m2 /jaar) werkdagen]]/Ruimtestaat[[#This Row],[Norm (m2/uur) werkdagen]],0)</f>
        <v>0</v>
      </c>
      <c r="Y220" s="221">
        <f>Ruimtestaat[[#This Row],[uren / jaar werkdagen]]*Tariefsopbouw!$D$38</f>
        <v>0</v>
      </c>
      <c r="Z220" s="33"/>
      <c r="AA220" s="33">
        <f>IF(Ruimtestaat[[#This Row],[Frequentie weekend]]&gt;0,VALUE(LEFT(Z220,1))*S220,0)</f>
        <v>0</v>
      </c>
      <c r="AB220" s="33">
        <f>IF($AA220&gt;0,VLOOKUP($K220,Ruimtegroepen[],3,FALSE)*VLOOKUP($M220,Vloersoorten[],3,FALSE)*VLOOKUP($Z220,Frequenties[],3,FALSE)*VLOOKUP(#REF!,Locaties[],3,FALSE),0)</f>
        <v>0</v>
      </c>
      <c r="AC220" s="33"/>
      <c r="AD220" s="33"/>
      <c r="AE220" s="33">
        <f>Ruimtestaat[[#This Row],[uren / jaar weekend]]*Tariefsopbouw!$D$40</f>
        <v>0</v>
      </c>
      <c r="AF220" s="79">
        <f>Ruimtestaat[[#This Row],[Prest. (m2 /jaar) weekend]]+Ruimtestaat[[#This Row],[Prest. (m2 /jaar) werkdagen]]</f>
        <v>3000</v>
      </c>
      <c r="AG220" s="79">
        <f>Ruimtestaat[[#This Row],[uren / jaar weekend]]+Ruimtestaat[[#This Row],[uren / jaar werkdagen]]</f>
        <v>0</v>
      </c>
      <c r="AH220" s="80">
        <f>Ruimtestaat[[#This Row],[kosten / jaar weekend]]+Ruimtestaat[[#This Row],[kosten / jaar werkdagen]]</f>
        <v>0</v>
      </c>
    </row>
    <row r="221" spans="1:34" ht="15" customHeight="1">
      <c r="A221" s="256">
        <v>4</v>
      </c>
      <c r="B221" s="171" t="str">
        <f>VLOOKUP(Ruimtestaat[[#This Row],[Code]],Locaties[#All],2,FALSE)</f>
        <v>Stafbureau Attendiz</v>
      </c>
      <c r="C221" s="258" t="str">
        <f>VLOOKUP(Ruimtestaat[[#This Row],[Code]],Locaties[#All],4,FALSE)</f>
        <v>Welbergweg 20</v>
      </c>
      <c r="D221" s="258" t="str">
        <f>VLOOKUP(Ruimtestaat[[#This Row],[Code]],Locaties[#All],5,FALSE)</f>
        <v>7556 PE</v>
      </c>
      <c r="E221" s="258" t="str">
        <f>VLOOKUP(Ruimtestaat[[#This Row],[Code]],Locaties[#All],6,FALSE)</f>
        <v>Hengelo</v>
      </c>
      <c r="F221" s="257"/>
      <c r="G221" s="257" t="s">
        <v>564</v>
      </c>
      <c r="H221" s="171"/>
      <c r="I221" s="257" t="s">
        <v>1068</v>
      </c>
      <c r="J221" s="259" t="s">
        <v>660</v>
      </c>
      <c r="K221" s="185">
        <v>19</v>
      </c>
      <c r="L221" s="260" t="str">
        <f>VLOOKUP(Ruimtestaat[[#This Row],[Ruimte code]],Ruimtegroepen[#All],2,FALSE)</f>
        <v>Kleedruimten</v>
      </c>
      <c r="M221" s="212" t="s">
        <v>111</v>
      </c>
      <c r="N221" s="257" t="s">
        <v>605</v>
      </c>
      <c r="O221" s="261">
        <v>3.6</v>
      </c>
      <c r="P221" s="183"/>
      <c r="Q221" s="212" t="str">
        <f>VLOOKUP(Ruimtestaat[[#This Row],[Ruimte code]],Ruimtegroepen[#All],4,FALSE)</f>
        <v>V  (Verkeersruimte)</v>
      </c>
      <c r="R221" s="184"/>
      <c r="S221" s="185">
        <v>40</v>
      </c>
      <c r="T221" s="185" t="s">
        <v>2</v>
      </c>
      <c r="U221" s="185">
        <f>IF(S221&gt;0,IF(RIGHT(Ruimtestaat[[#This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1" s="185">
        <f>IF(U221&gt;0,VLOOKUP($K221,Ruimtegroepen[],3,FALSE)*VLOOKUP($M221,Vloersoorten[],3,FALSE)*VLOOKUP($T221,Frequenties[],3,FALSE)*VLOOKUP($A221,Locaties[],3,FALSE),0)</f>
        <v>0</v>
      </c>
      <c r="W221" s="185">
        <f>Ruimtestaat[[#This Row],[Uitvoeringen werkdagen]]*Ruimtestaat[[#This Row],[Oppervlak (netto)]]</f>
        <v>720</v>
      </c>
      <c r="X221" s="220">
        <f>IF(V221&gt;0,Ruimtestaat[[#This Row],[Prest. (m2 /jaar) werkdagen]]/Ruimtestaat[[#This Row],[Norm (m2/uur) werkdagen]],0)</f>
        <v>0</v>
      </c>
      <c r="Y221" s="221">
        <f>Ruimtestaat[[#This Row],[uren / jaar werkdagen]]*Tariefsopbouw!$D$38</f>
        <v>0</v>
      </c>
      <c r="Z221" s="33"/>
      <c r="AA221" s="33">
        <f>IF(Ruimtestaat[[#This Row],[Frequentie weekend]]&gt;0,VALUE(LEFT(Z221,1))*S221,0)</f>
        <v>0</v>
      </c>
      <c r="AB221" s="33">
        <f>IF($AA221&gt;0,VLOOKUP($K221,Ruimtegroepen[],3,FALSE)*VLOOKUP($M221,Vloersoorten[],3,FALSE)*VLOOKUP($Z221,Frequenties[],3,FALSE)*VLOOKUP(#REF!,Locaties[],3,FALSE),0)</f>
        <v>0</v>
      </c>
      <c r="AC221" s="33"/>
      <c r="AD221" s="33"/>
      <c r="AE221" s="33">
        <f>Ruimtestaat[[#This Row],[uren / jaar weekend]]*Tariefsopbouw!$D$40</f>
        <v>0</v>
      </c>
      <c r="AF221" s="79">
        <f>Ruimtestaat[[#This Row],[Prest. (m2 /jaar) weekend]]+Ruimtestaat[[#This Row],[Prest. (m2 /jaar) werkdagen]]</f>
        <v>720</v>
      </c>
      <c r="AG221" s="79">
        <f>Ruimtestaat[[#This Row],[uren / jaar weekend]]+Ruimtestaat[[#This Row],[uren / jaar werkdagen]]</f>
        <v>0</v>
      </c>
      <c r="AH221" s="80">
        <f>Ruimtestaat[[#This Row],[kosten / jaar weekend]]+Ruimtestaat[[#This Row],[kosten / jaar werkdagen]]</f>
        <v>0</v>
      </c>
    </row>
    <row r="222" spans="1:34" ht="15" customHeight="1">
      <c r="A222" s="256">
        <v>4</v>
      </c>
      <c r="B222" s="171" t="str">
        <f>VLOOKUP(Ruimtestaat[[#This Row],[Code]],Locaties[#All],2,FALSE)</f>
        <v>Stafbureau Attendiz</v>
      </c>
      <c r="C222" s="258" t="str">
        <f>VLOOKUP(Ruimtestaat[[#This Row],[Code]],Locaties[#All],4,FALSE)</f>
        <v>Welbergweg 20</v>
      </c>
      <c r="D222" s="258" t="str">
        <f>VLOOKUP(Ruimtestaat[[#This Row],[Code]],Locaties[#All],5,FALSE)</f>
        <v>7556 PE</v>
      </c>
      <c r="E222" s="258" t="str">
        <f>VLOOKUP(Ruimtestaat[[#This Row],[Code]],Locaties[#All],6,FALSE)</f>
        <v>Hengelo</v>
      </c>
      <c r="F222" s="257"/>
      <c r="G222" s="257" t="s">
        <v>564</v>
      </c>
      <c r="H222" s="171"/>
      <c r="I222" s="257" t="s">
        <v>1069</v>
      </c>
      <c r="J222" s="259" t="s">
        <v>689</v>
      </c>
      <c r="K222" s="258">
        <v>4</v>
      </c>
      <c r="L222" s="260" t="str">
        <f>VLOOKUP(Ruimtestaat[[#This Row],[Ruimte code]],Ruimtegroepen[#All],2,FALSE)</f>
        <v>Vergader/spreekkamers</v>
      </c>
      <c r="M222" s="212" t="s">
        <v>597</v>
      </c>
      <c r="N222" s="257" t="s">
        <v>38</v>
      </c>
      <c r="O222" s="261">
        <v>15</v>
      </c>
      <c r="P222" s="183"/>
      <c r="Q222" s="212" t="str">
        <f>VLOOKUP(Ruimtestaat[[#This Row],[Ruimte code]],Ruimtegroepen[#All],4,FALSE)</f>
        <v>B  (Bureauruimte)</v>
      </c>
      <c r="R222" s="184"/>
      <c r="S222" s="185">
        <v>40</v>
      </c>
      <c r="T222" s="185" t="s">
        <v>2</v>
      </c>
      <c r="U222" s="185">
        <f>IF(S222&gt;0,IF(RIGHT(Ruimtestaat[[#This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2" s="185">
        <f>IF(U222&gt;0,VLOOKUP($K222,Ruimtegroepen[],3,FALSE)*VLOOKUP($M222,Vloersoorten[],3,FALSE)*VLOOKUP($T222,Frequenties[],3,FALSE)*VLOOKUP($A222,Locaties[],3,FALSE),0)</f>
        <v>0</v>
      </c>
      <c r="W222" s="185">
        <f>Ruimtestaat[[#This Row],[Uitvoeringen werkdagen]]*Ruimtestaat[[#This Row],[Oppervlak (netto)]]</f>
        <v>3000</v>
      </c>
      <c r="X222" s="220">
        <f>IF(V222&gt;0,Ruimtestaat[[#This Row],[Prest. (m2 /jaar) werkdagen]]/Ruimtestaat[[#This Row],[Norm (m2/uur) werkdagen]],0)</f>
        <v>0</v>
      </c>
      <c r="Y222" s="221">
        <f>Ruimtestaat[[#This Row],[uren / jaar werkdagen]]*Tariefsopbouw!$D$38</f>
        <v>0</v>
      </c>
      <c r="Z222" s="33"/>
      <c r="AA222" s="33">
        <f>IF(Ruimtestaat[[#This Row],[Frequentie weekend]]&gt;0,VALUE(LEFT(Z222,1))*S222,0)</f>
        <v>0</v>
      </c>
      <c r="AB222" s="33">
        <f>IF($AA222&gt;0,VLOOKUP($K222,Ruimtegroepen[],3,FALSE)*VLOOKUP($M222,Vloersoorten[],3,FALSE)*VLOOKUP($Z222,Frequenties[],3,FALSE)*VLOOKUP(#REF!,Locaties[],3,FALSE),0)</f>
        <v>0</v>
      </c>
      <c r="AC222" s="33"/>
      <c r="AD222" s="33"/>
      <c r="AE222" s="33">
        <f>Ruimtestaat[[#This Row],[uren / jaar weekend]]*Tariefsopbouw!$D$40</f>
        <v>0</v>
      </c>
      <c r="AF222" s="79">
        <f>Ruimtestaat[[#This Row],[Prest. (m2 /jaar) weekend]]+Ruimtestaat[[#This Row],[Prest. (m2 /jaar) werkdagen]]</f>
        <v>3000</v>
      </c>
      <c r="AG222" s="79">
        <f>Ruimtestaat[[#This Row],[uren / jaar weekend]]+Ruimtestaat[[#This Row],[uren / jaar werkdagen]]</f>
        <v>0</v>
      </c>
      <c r="AH222" s="80">
        <f>Ruimtestaat[[#This Row],[kosten / jaar weekend]]+Ruimtestaat[[#This Row],[kosten / jaar werkdagen]]</f>
        <v>0</v>
      </c>
    </row>
    <row r="223" spans="1:34" ht="15" customHeight="1">
      <c r="A223" s="256">
        <v>4</v>
      </c>
      <c r="B223" s="171" t="str">
        <f>VLOOKUP(Ruimtestaat[[#This Row],[Code]],Locaties[#All],2,FALSE)</f>
        <v>Stafbureau Attendiz</v>
      </c>
      <c r="C223" s="258" t="str">
        <f>VLOOKUP(Ruimtestaat[[#This Row],[Code]],Locaties[#All],4,FALSE)</f>
        <v>Welbergweg 20</v>
      </c>
      <c r="D223" s="258" t="str">
        <f>VLOOKUP(Ruimtestaat[[#This Row],[Code]],Locaties[#All],5,FALSE)</f>
        <v>7556 PE</v>
      </c>
      <c r="E223" s="258" t="str">
        <f>VLOOKUP(Ruimtestaat[[#This Row],[Code]],Locaties[#All],6,FALSE)</f>
        <v>Hengelo</v>
      </c>
      <c r="F223" s="257"/>
      <c r="G223" s="257" t="s">
        <v>564</v>
      </c>
      <c r="H223" s="171"/>
      <c r="I223" s="257" t="s">
        <v>1070</v>
      </c>
      <c r="J223" s="259" t="s">
        <v>571</v>
      </c>
      <c r="K223" s="171">
        <v>2</v>
      </c>
      <c r="L223" s="260" t="str">
        <f>VLOOKUP(Ruimtestaat[[#This Row],[Ruimte code]],Ruimtegroepen[#All],2,FALSE)</f>
        <v>Kantoren</v>
      </c>
      <c r="M223" s="258" t="s">
        <v>597</v>
      </c>
      <c r="N223" s="257" t="s">
        <v>38</v>
      </c>
      <c r="O223" s="261">
        <v>14</v>
      </c>
      <c r="P223" s="183"/>
      <c r="Q223" s="212" t="str">
        <f>VLOOKUP(Ruimtestaat[[#This Row],[Ruimte code]],Ruimtegroepen[#All],4,FALSE)</f>
        <v>B  (Bureauruimte)</v>
      </c>
      <c r="R223" s="184"/>
      <c r="S223" s="185">
        <v>40</v>
      </c>
      <c r="T223" s="185" t="s">
        <v>17</v>
      </c>
      <c r="U223" s="185">
        <f>IF(S223&gt;0,IF(RIGHT(Ruimtestaat[[#This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3" s="185">
        <f>IF(U223&gt;0,VLOOKUP($K223,Ruimtegroepen[],3,FALSE)*VLOOKUP($M223,Vloersoorten[],3,FALSE)*VLOOKUP($T223,Frequenties[],3,FALSE)*VLOOKUP($A223,Locaties[],3,FALSE),0)</f>
        <v>0</v>
      </c>
      <c r="W223" s="185">
        <f>Ruimtestaat[[#This Row],[Uitvoeringen werkdagen]]*Ruimtestaat[[#This Row],[Oppervlak (netto)]]</f>
        <v>1120</v>
      </c>
      <c r="X223" s="220">
        <f>IF(V223&gt;0,Ruimtestaat[[#This Row],[Prest. (m2 /jaar) werkdagen]]/Ruimtestaat[[#This Row],[Norm (m2/uur) werkdagen]],0)</f>
        <v>0</v>
      </c>
      <c r="Y223" s="221">
        <f>Ruimtestaat[[#This Row],[uren / jaar werkdagen]]*Tariefsopbouw!$D$38</f>
        <v>0</v>
      </c>
      <c r="Z223" s="33"/>
      <c r="AA223" s="33">
        <f>IF(Ruimtestaat[[#This Row],[Frequentie weekend]]&gt;0,VALUE(LEFT(Z223,1))*S223,0)</f>
        <v>0</v>
      </c>
      <c r="AB223" s="33">
        <f>IF($AA223&gt;0,VLOOKUP($K223,Ruimtegroepen[],3,FALSE)*VLOOKUP($M223,Vloersoorten[],3,FALSE)*VLOOKUP($Z223,Frequenties[],3,FALSE)*VLOOKUP(#REF!,Locaties[],3,FALSE),0)</f>
        <v>0</v>
      </c>
      <c r="AC223" s="33"/>
      <c r="AD223" s="33"/>
      <c r="AE223" s="33">
        <f>Ruimtestaat[[#This Row],[uren / jaar weekend]]*Tariefsopbouw!$D$40</f>
        <v>0</v>
      </c>
      <c r="AF223" s="79">
        <f>Ruimtestaat[[#This Row],[Prest. (m2 /jaar) weekend]]+Ruimtestaat[[#This Row],[Prest. (m2 /jaar) werkdagen]]</f>
        <v>1120</v>
      </c>
      <c r="AG223" s="79">
        <f>Ruimtestaat[[#This Row],[uren / jaar weekend]]+Ruimtestaat[[#This Row],[uren / jaar werkdagen]]</f>
        <v>0</v>
      </c>
      <c r="AH223" s="80">
        <f>Ruimtestaat[[#This Row],[kosten / jaar weekend]]+Ruimtestaat[[#This Row],[kosten / jaar werkdagen]]</f>
        <v>0</v>
      </c>
    </row>
    <row r="224" spans="1:34" ht="15" customHeight="1">
      <c r="A224" s="256">
        <v>4</v>
      </c>
      <c r="B224" s="171" t="str">
        <f>VLOOKUP(Ruimtestaat[[#This Row],[Code]],Locaties[#All],2,FALSE)</f>
        <v>Stafbureau Attendiz</v>
      </c>
      <c r="C224" s="258" t="str">
        <f>VLOOKUP(Ruimtestaat[[#This Row],[Code]],Locaties[#All],4,FALSE)</f>
        <v>Welbergweg 20</v>
      </c>
      <c r="D224" s="258" t="str">
        <f>VLOOKUP(Ruimtestaat[[#This Row],[Code]],Locaties[#All],5,FALSE)</f>
        <v>7556 PE</v>
      </c>
      <c r="E224" s="258" t="str">
        <f>VLOOKUP(Ruimtestaat[[#This Row],[Code]],Locaties[#All],6,FALSE)</f>
        <v>Hengelo</v>
      </c>
      <c r="F224" s="257"/>
      <c r="G224" s="257" t="s">
        <v>564</v>
      </c>
      <c r="H224" s="171"/>
      <c r="I224" s="257" t="s">
        <v>1071</v>
      </c>
      <c r="J224" s="259" t="s">
        <v>599</v>
      </c>
      <c r="K224" s="258">
        <v>12</v>
      </c>
      <c r="L224" s="260" t="str">
        <f>VLOOKUP(Ruimtestaat[[#This Row],[Ruimte code]],Ruimtegroepen[#All],2,FALSE)</f>
        <v>Kantine</v>
      </c>
      <c r="M224" s="258" t="s">
        <v>597</v>
      </c>
      <c r="N224" s="257" t="s">
        <v>38</v>
      </c>
      <c r="O224" s="261">
        <v>48</v>
      </c>
      <c r="P224" s="183"/>
      <c r="Q224" s="212" t="str">
        <f>VLOOKUP(Ruimtestaat[[#This Row],[Ruimte code]],Ruimtegroepen[#All],4,FALSE)</f>
        <v>V  (Verkeersruimte)</v>
      </c>
      <c r="R224" s="184"/>
      <c r="S224" s="185">
        <v>40</v>
      </c>
      <c r="T224" s="185" t="s">
        <v>2</v>
      </c>
      <c r="U224" s="185">
        <f>IF(S224&gt;0,IF(RIGHT(Ruimtestaat[[#This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4" s="185">
        <f>IF(U224&gt;0,VLOOKUP($K224,Ruimtegroepen[],3,FALSE)*VLOOKUP($M224,Vloersoorten[],3,FALSE)*VLOOKUP($T224,Frequenties[],3,FALSE)*VLOOKUP($A224,Locaties[],3,FALSE),0)</f>
        <v>0</v>
      </c>
      <c r="W224" s="185">
        <f>Ruimtestaat[[#This Row],[Uitvoeringen werkdagen]]*Ruimtestaat[[#This Row],[Oppervlak (netto)]]</f>
        <v>9600</v>
      </c>
      <c r="X224" s="220">
        <f>IF(V224&gt;0,Ruimtestaat[[#This Row],[Prest. (m2 /jaar) werkdagen]]/Ruimtestaat[[#This Row],[Norm (m2/uur) werkdagen]],0)</f>
        <v>0</v>
      </c>
      <c r="Y224" s="221">
        <f>Ruimtestaat[[#This Row],[uren / jaar werkdagen]]*Tariefsopbouw!$D$38</f>
        <v>0</v>
      </c>
      <c r="Z224" s="33"/>
      <c r="AA224" s="33">
        <f>IF(Ruimtestaat[[#This Row],[Frequentie weekend]]&gt;0,VALUE(LEFT(Z224,1))*S224,0)</f>
        <v>0</v>
      </c>
      <c r="AB224" s="33">
        <f>IF($AA224&gt;0,VLOOKUP($K224,Ruimtegroepen[],3,FALSE)*VLOOKUP($M224,Vloersoorten[],3,FALSE)*VLOOKUP($Z224,Frequenties[],3,FALSE)*VLOOKUP(#REF!,Locaties[],3,FALSE),0)</f>
        <v>0</v>
      </c>
      <c r="AC224" s="33"/>
      <c r="AD224" s="33"/>
      <c r="AE224" s="33">
        <f>Ruimtestaat[[#This Row],[uren / jaar weekend]]*Tariefsopbouw!$D$40</f>
        <v>0</v>
      </c>
      <c r="AF224" s="79">
        <f>Ruimtestaat[[#This Row],[Prest. (m2 /jaar) weekend]]+Ruimtestaat[[#This Row],[Prest. (m2 /jaar) werkdagen]]</f>
        <v>9600</v>
      </c>
      <c r="AG224" s="79">
        <f>Ruimtestaat[[#This Row],[uren / jaar weekend]]+Ruimtestaat[[#This Row],[uren / jaar werkdagen]]</f>
        <v>0</v>
      </c>
      <c r="AH224" s="80">
        <f>Ruimtestaat[[#This Row],[kosten / jaar weekend]]+Ruimtestaat[[#This Row],[kosten / jaar werkdagen]]</f>
        <v>0</v>
      </c>
    </row>
    <row r="225" spans="1:34" ht="15" customHeight="1">
      <c r="A225" s="256">
        <v>4</v>
      </c>
      <c r="B225" s="171" t="str">
        <f>VLOOKUP(Ruimtestaat[[#This Row],[Code]],Locaties[#All],2,FALSE)</f>
        <v>Stafbureau Attendiz</v>
      </c>
      <c r="C225" s="258" t="str">
        <f>VLOOKUP(Ruimtestaat[[#This Row],[Code]],Locaties[#All],4,FALSE)</f>
        <v>Welbergweg 20</v>
      </c>
      <c r="D225" s="258" t="str">
        <f>VLOOKUP(Ruimtestaat[[#This Row],[Code]],Locaties[#All],5,FALSE)</f>
        <v>7556 PE</v>
      </c>
      <c r="E225" s="258" t="str">
        <f>VLOOKUP(Ruimtestaat[[#This Row],[Code]],Locaties[#All],6,FALSE)</f>
        <v>Hengelo</v>
      </c>
      <c r="F225" s="257"/>
      <c r="G225" s="257" t="s">
        <v>564</v>
      </c>
      <c r="H225" s="171"/>
      <c r="I225" s="257" t="s">
        <v>1072</v>
      </c>
      <c r="J225" s="259" t="s">
        <v>591</v>
      </c>
      <c r="K225" s="185">
        <v>4</v>
      </c>
      <c r="L225" s="260" t="str">
        <f>VLOOKUP(Ruimtestaat[[#This Row],[Ruimte code]],Ruimtegroepen[#All],2,FALSE)</f>
        <v>Vergader/spreekkamers</v>
      </c>
      <c r="M225" s="258" t="s">
        <v>597</v>
      </c>
      <c r="N225" s="257" t="s">
        <v>38</v>
      </c>
      <c r="O225" s="261">
        <v>50</v>
      </c>
      <c r="P225" s="183"/>
      <c r="Q225" s="212" t="str">
        <f>VLOOKUP(Ruimtestaat[[#This Row],[Ruimte code]],Ruimtegroepen[#All],4,FALSE)</f>
        <v>B  (Bureauruimte)</v>
      </c>
      <c r="R225" s="184"/>
      <c r="S225" s="185">
        <v>40</v>
      </c>
      <c r="T225" s="185" t="s">
        <v>2</v>
      </c>
      <c r="U225" s="185">
        <f>IF(S225&gt;0,IF(RIGHT(Ruimtestaat[[#This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5" s="185">
        <f>IF(U225&gt;0,VLOOKUP($K225,Ruimtegroepen[],3,FALSE)*VLOOKUP($M225,Vloersoorten[],3,FALSE)*VLOOKUP($T225,Frequenties[],3,FALSE)*VLOOKUP($A225,Locaties[],3,FALSE),0)</f>
        <v>0</v>
      </c>
      <c r="W225" s="185">
        <f>Ruimtestaat[[#This Row],[Uitvoeringen werkdagen]]*Ruimtestaat[[#This Row],[Oppervlak (netto)]]</f>
        <v>10000</v>
      </c>
      <c r="X225" s="220">
        <f>IF(V225&gt;0,Ruimtestaat[[#This Row],[Prest. (m2 /jaar) werkdagen]]/Ruimtestaat[[#This Row],[Norm (m2/uur) werkdagen]],0)</f>
        <v>0</v>
      </c>
      <c r="Y225" s="221">
        <f>Ruimtestaat[[#This Row],[uren / jaar werkdagen]]*Tariefsopbouw!$D$38</f>
        <v>0</v>
      </c>
      <c r="Z225" s="33"/>
      <c r="AA225" s="33">
        <f>IF(Ruimtestaat[[#This Row],[Frequentie weekend]]&gt;0,VALUE(LEFT(Z225,1))*S225,0)</f>
        <v>0</v>
      </c>
      <c r="AB225" s="33">
        <f>IF($AA225&gt;0,VLOOKUP($K225,Ruimtegroepen[],3,FALSE)*VLOOKUP($M225,Vloersoorten[],3,FALSE)*VLOOKUP($Z225,Frequenties[],3,FALSE)*VLOOKUP(#REF!,Locaties[],3,FALSE),0)</f>
        <v>0</v>
      </c>
      <c r="AC225" s="33"/>
      <c r="AD225" s="33"/>
      <c r="AE225" s="33">
        <f>Ruimtestaat[[#This Row],[uren / jaar weekend]]*Tariefsopbouw!$D$40</f>
        <v>0</v>
      </c>
      <c r="AF225" s="79">
        <f>Ruimtestaat[[#This Row],[Prest. (m2 /jaar) weekend]]+Ruimtestaat[[#This Row],[Prest. (m2 /jaar) werkdagen]]</f>
        <v>10000</v>
      </c>
      <c r="AG225" s="79">
        <f>Ruimtestaat[[#This Row],[uren / jaar weekend]]+Ruimtestaat[[#This Row],[uren / jaar werkdagen]]</f>
        <v>0</v>
      </c>
      <c r="AH225" s="80">
        <f>Ruimtestaat[[#This Row],[kosten / jaar weekend]]+Ruimtestaat[[#This Row],[kosten / jaar werkdagen]]</f>
        <v>0</v>
      </c>
    </row>
    <row r="226" spans="1:34" ht="15" customHeight="1">
      <c r="A226" s="256">
        <v>4</v>
      </c>
      <c r="B226" s="171" t="str">
        <f>VLOOKUP(Ruimtestaat[[#This Row],[Code]],Locaties[#All],2,FALSE)</f>
        <v>Stafbureau Attendiz</v>
      </c>
      <c r="C226" s="258" t="str">
        <f>VLOOKUP(Ruimtestaat[[#This Row],[Code]],Locaties[#All],4,FALSE)</f>
        <v>Welbergweg 20</v>
      </c>
      <c r="D226" s="258" t="str">
        <f>VLOOKUP(Ruimtestaat[[#This Row],[Code]],Locaties[#All],5,FALSE)</f>
        <v>7556 PE</v>
      </c>
      <c r="E226" s="258" t="str">
        <f>VLOOKUP(Ruimtestaat[[#This Row],[Code]],Locaties[#All],6,FALSE)</f>
        <v>Hengelo</v>
      </c>
      <c r="F226" s="257"/>
      <c r="G226" s="257" t="s">
        <v>564</v>
      </c>
      <c r="H226" s="171"/>
      <c r="I226" s="257" t="s">
        <v>1073</v>
      </c>
      <c r="J226" s="259" t="s">
        <v>571</v>
      </c>
      <c r="K226" s="185">
        <v>2</v>
      </c>
      <c r="L226" s="260" t="str">
        <f>VLOOKUP(Ruimtestaat[[#This Row],[Ruimte code]],Ruimtegroepen[#All],2,FALSE)</f>
        <v>Kantoren</v>
      </c>
      <c r="M226" s="258" t="s">
        <v>597</v>
      </c>
      <c r="N226" s="257" t="s">
        <v>38</v>
      </c>
      <c r="O226" s="261">
        <v>14</v>
      </c>
      <c r="P226" s="183"/>
      <c r="Q226" s="212" t="str">
        <f>VLOOKUP(Ruimtestaat[[#This Row],[Ruimte code]],Ruimtegroepen[#All],4,FALSE)</f>
        <v>B  (Bureauruimte)</v>
      </c>
      <c r="R226" s="184"/>
      <c r="S226" s="185">
        <v>40</v>
      </c>
      <c r="T226" s="185" t="s">
        <v>17</v>
      </c>
      <c r="U226" s="185">
        <f>IF(S226&gt;0,IF(RIGHT(Ruimtestaat[[#This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6" s="185">
        <f>IF(U226&gt;0,VLOOKUP($K226,Ruimtegroepen[],3,FALSE)*VLOOKUP($M226,Vloersoorten[],3,FALSE)*VLOOKUP($T226,Frequenties[],3,FALSE)*VLOOKUP($A226,Locaties[],3,FALSE),0)</f>
        <v>0</v>
      </c>
      <c r="W226" s="185">
        <f>Ruimtestaat[[#This Row],[Uitvoeringen werkdagen]]*Ruimtestaat[[#This Row],[Oppervlak (netto)]]</f>
        <v>1120</v>
      </c>
      <c r="X226" s="220">
        <f>IF(V226&gt;0,Ruimtestaat[[#This Row],[Prest. (m2 /jaar) werkdagen]]/Ruimtestaat[[#This Row],[Norm (m2/uur) werkdagen]],0)</f>
        <v>0</v>
      </c>
      <c r="Y226" s="221">
        <f>Ruimtestaat[[#This Row],[uren / jaar werkdagen]]*Tariefsopbouw!$D$38</f>
        <v>0</v>
      </c>
      <c r="Z226" s="33"/>
      <c r="AA226" s="33">
        <f>IF(Ruimtestaat[[#This Row],[Frequentie weekend]]&gt;0,VALUE(LEFT(Z226,1))*S226,0)</f>
        <v>0</v>
      </c>
      <c r="AB226" s="33">
        <f>IF($AA226&gt;0,VLOOKUP($K226,Ruimtegroepen[],3,FALSE)*VLOOKUP($M226,Vloersoorten[],3,FALSE)*VLOOKUP($Z226,Frequenties[],3,FALSE)*VLOOKUP(#REF!,Locaties[],3,FALSE),0)</f>
        <v>0</v>
      </c>
      <c r="AC226" s="33"/>
      <c r="AD226" s="33"/>
      <c r="AE226" s="33">
        <f>Ruimtestaat[[#This Row],[uren / jaar weekend]]*Tariefsopbouw!$D$40</f>
        <v>0</v>
      </c>
      <c r="AF226" s="79">
        <f>Ruimtestaat[[#This Row],[Prest. (m2 /jaar) weekend]]+Ruimtestaat[[#This Row],[Prest. (m2 /jaar) werkdagen]]</f>
        <v>1120</v>
      </c>
      <c r="AG226" s="79">
        <f>Ruimtestaat[[#This Row],[uren / jaar weekend]]+Ruimtestaat[[#This Row],[uren / jaar werkdagen]]</f>
        <v>0</v>
      </c>
      <c r="AH226" s="80">
        <f>Ruimtestaat[[#This Row],[kosten / jaar weekend]]+Ruimtestaat[[#This Row],[kosten / jaar werkdagen]]</f>
        <v>0</v>
      </c>
    </row>
    <row r="227" spans="1:34" ht="15" customHeight="1">
      <c r="A227" s="256">
        <v>4</v>
      </c>
      <c r="B227" s="171" t="str">
        <f>VLOOKUP(Ruimtestaat[[#This Row],[Code]],Locaties[#All],2,FALSE)</f>
        <v>Stafbureau Attendiz</v>
      </c>
      <c r="C227" s="258" t="str">
        <f>VLOOKUP(Ruimtestaat[[#This Row],[Code]],Locaties[#All],4,FALSE)</f>
        <v>Welbergweg 20</v>
      </c>
      <c r="D227" s="258" t="str">
        <f>VLOOKUP(Ruimtestaat[[#This Row],[Code]],Locaties[#All],5,FALSE)</f>
        <v>7556 PE</v>
      </c>
      <c r="E227" s="258" t="str">
        <f>VLOOKUP(Ruimtestaat[[#This Row],[Code]],Locaties[#All],6,FALSE)</f>
        <v>Hengelo</v>
      </c>
      <c r="F227" s="257"/>
      <c r="G227" s="257" t="s">
        <v>564</v>
      </c>
      <c r="H227" s="171"/>
      <c r="I227" s="257" t="s">
        <v>1074</v>
      </c>
      <c r="J227" s="259" t="s">
        <v>571</v>
      </c>
      <c r="K227" s="258">
        <v>2</v>
      </c>
      <c r="L227" s="260" t="str">
        <f>VLOOKUP(Ruimtestaat[[#This Row],[Ruimte code]],Ruimtegroepen[#All],2,FALSE)</f>
        <v>Kantoren</v>
      </c>
      <c r="M227" s="258" t="s">
        <v>597</v>
      </c>
      <c r="N227" s="257" t="s">
        <v>38</v>
      </c>
      <c r="O227" s="261">
        <v>20</v>
      </c>
      <c r="P227" s="183"/>
      <c r="Q227" s="212" t="str">
        <f>VLOOKUP(Ruimtestaat[[#This Row],[Ruimte code]],Ruimtegroepen[#All],4,FALSE)</f>
        <v>B  (Bureauruimte)</v>
      </c>
      <c r="R227" s="184"/>
      <c r="S227" s="185">
        <v>40</v>
      </c>
      <c r="T227" s="185" t="s">
        <v>17</v>
      </c>
      <c r="U227" s="185">
        <f>IF(S227&gt;0,IF(RIGHT(Ruimtestaat[[#This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7" s="185">
        <f>IF(U227&gt;0,VLOOKUP($K227,Ruimtegroepen[],3,FALSE)*VLOOKUP($M227,Vloersoorten[],3,FALSE)*VLOOKUP($T227,Frequenties[],3,FALSE)*VLOOKUP($A227,Locaties[],3,FALSE),0)</f>
        <v>0</v>
      </c>
      <c r="W227" s="185">
        <f>Ruimtestaat[[#This Row],[Uitvoeringen werkdagen]]*Ruimtestaat[[#This Row],[Oppervlak (netto)]]</f>
        <v>1600</v>
      </c>
      <c r="X227" s="220">
        <f>IF(V227&gt;0,Ruimtestaat[[#This Row],[Prest. (m2 /jaar) werkdagen]]/Ruimtestaat[[#This Row],[Norm (m2/uur) werkdagen]],0)</f>
        <v>0</v>
      </c>
      <c r="Y227" s="221">
        <f>Ruimtestaat[[#This Row],[uren / jaar werkdagen]]*Tariefsopbouw!$D$38</f>
        <v>0</v>
      </c>
      <c r="Z227" s="33"/>
      <c r="AA227" s="33">
        <f>IF(Ruimtestaat[[#This Row],[Frequentie weekend]]&gt;0,VALUE(LEFT(Z227,1))*S227,0)</f>
        <v>0</v>
      </c>
      <c r="AB227" s="33">
        <f>IF($AA227&gt;0,VLOOKUP($K227,Ruimtegroepen[],3,FALSE)*VLOOKUP($M227,Vloersoorten[],3,FALSE)*VLOOKUP($Z227,Frequenties[],3,FALSE)*VLOOKUP(#REF!,Locaties[],3,FALSE),0)</f>
        <v>0</v>
      </c>
      <c r="AC227" s="33"/>
      <c r="AD227" s="33"/>
      <c r="AE227" s="33">
        <f>Ruimtestaat[[#This Row],[uren / jaar weekend]]*Tariefsopbouw!$D$40</f>
        <v>0</v>
      </c>
      <c r="AF227" s="79">
        <f>Ruimtestaat[[#This Row],[Prest. (m2 /jaar) weekend]]+Ruimtestaat[[#This Row],[Prest. (m2 /jaar) werkdagen]]</f>
        <v>1600</v>
      </c>
      <c r="AG227" s="79">
        <f>Ruimtestaat[[#This Row],[uren / jaar weekend]]+Ruimtestaat[[#This Row],[uren / jaar werkdagen]]</f>
        <v>0</v>
      </c>
      <c r="AH227" s="80">
        <f>Ruimtestaat[[#This Row],[kosten / jaar weekend]]+Ruimtestaat[[#This Row],[kosten / jaar werkdagen]]</f>
        <v>0</v>
      </c>
    </row>
    <row r="228" spans="1:34" ht="15" customHeight="1">
      <c r="A228" s="256">
        <v>4</v>
      </c>
      <c r="B228" s="171" t="str">
        <f>VLOOKUP(Ruimtestaat[[#This Row],[Code]],Locaties[#All],2,FALSE)</f>
        <v>Stafbureau Attendiz</v>
      </c>
      <c r="C228" s="258" t="str">
        <f>VLOOKUP(Ruimtestaat[[#This Row],[Code]],Locaties[#All],4,FALSE)</f>
        <v>Welbergweg 20</v>
      </c>
      <c r="D228" s="258" t="str">
        <f>VLOOKUP(Ruimtestaat[[#This Row],[Code]],Locaties[#All],5,FALSE)</f>
        <v>7556 PE</v>
      </c>
      <c r="E228" s="258" t="str">
        <f>VLOOKUP(Ruimtestaat[[#This Row],[Code]],Locaties[#All],6,FALSE)</f>
        <v>Hengelo</v>
      </c>
      <c r="F228" s="257"/>
      <c r="G228" s="257" t="s">
        <v>564</v>
      </c>
      <c r="H228" s="171"/>
      <c r="I228" s="257" t="s">
        <v>1075</v>
      </c>
      <c r="J228" s="259" t="s">
        <v>574</v>
      </c>
      <c r="K228" s="258">
        <v>6</v>
      </c>
      <c r="L228" s="260" t="str">
        <f>VLOOKUP(Ruimtestaat[[#This Row],[Ruimte code]],Ruimtegroepen[#All],2,FALSE)</f>
        <v>Gangen/hallen</v>
      </c>
      <c r="M228" s="185" t="s">
        <v>597</v>
      </c>
      <c r="N228" s="257" t="s">
        <v>38</v>
      </c>
      <c r="O228" s="261">
        <v>20</v>
      </c>
      <c r="P228" s="183"/>
      <c r="Q228" s="212" t="str">
        <f>VLOOKUP(Ruimtestaat[[#This Row],[Ruimte code]],Ruimtegroepen[#All],4,FALSE)</f>
        <v>V  (Verkeersruimte)</v>
      </c>
      <c r="R228" s="184"/>
      <c r="S228" s="185">
        <v>40</v>
      </c>
      <c r="T228" s="185" t="s">
        <v>2</v>
      </c>
      <c r="U228" s="185">
        <f>IF(S228&gt;0,IF(RIGHT(Ruimtestaat[[#This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8" s="185">
        <f>IF(U228&gt;0,VLOOKUP($K228,Ruimtegroepen[],3,FALSE)*VLOOKUP($M228,Vloersoorten[],3,FALSE)*VLOOKUP($T228,Frequenties[],3,FALSE)*VLOOKUP($A228,Locaties[],3,FALSE),0)</f>
        <v>0</v>
      </c>
      <c r="W228" s="185">
        <f>Ruimtestaat[[#This Row],[Uitvoeringen werkdagen]]*Ruimtestaat[[#This Row],[Oppervlak (netto)]]</f>
        <v>4000</v>
      </c>
      <c r="X228" s="220">
        <f>IF(V228&gt;0,Ruimtestaat[[#This Row],[Prest. (m2 /jaar) werkdagen]]/Ruimtestaat[[#This Row],[Norm (m2/uur) werkdagen]],0)</f>
        <v>0</v>
      </c>
      <c r="Y228" s="221">
        <f>Ruimtestaat[[#This Row],[uren / jaar werkdagen]]*Tariefsopbouw!$D$38</f>
        <v>0</v>
      </c>
      <c r="Z228" s="33"/>
      <c r="AA228" s="33">
        <f>IF(Ruimtestaat[[#This Row],[Frequentie weekend]]&gt;0,VALUE(LEFT(Z228,1))*S228,0)</f>
        <v>0</v>
      </c>
      <c r="AB228" s="33">
        <f>IF($AA228&gt;0,VLOOKUP($K228,Ruimtegroepen[],3,FALSE)*VLOOKUP($M228,Vloersoorten[],3,FALSE)*VLOOKUP($Z228,Frequenties[],3,FALSE)*VLOOKUP(#REF!,Locaties[],3,FALSE),0)</f>
        <v>0</v>
      </c>
      <c r="AC228" s="33"/>
      <c r="AD228" s="33"/>
      <c r="AE228" s="33">
        <f>Ruimtestaat[[#This Row],[uren / jaar weekend]]*Tariefsopbouw!$D$40</f>
        <v>0</v>
      </c>
      <c r="AF228" s="79">
        <f>Ruimtestaat[[#This Row],[Prest. (m2 /jaar) weekend]]+Ruimtestaat[[#This Row],[Prest. (m2 /jaar) werkdagen]]</f>
        <v>4000</v>
      </c>
      <c r="AG228" s="79">
        <f>Ruimtestaat[[#This Row],[uren / jaar weekend]]+Ruimtestaat[[#This Row],[uren / jaar werkdagen]]</f>
        <v>0</v>
      </c>
      <c r="AH228" s="80">
        <f>Ruimtestaat[[#This Row],[kosten / jaar weekend]]+Ruimtestaat[[#This Row],[kosten / jaar werkdagen]]</f>
        <v>0</v>
      </c>
    </row>
    <row r="229" spans="1:34" ht="15" customHeight="1">
      <c r="A229" s="256">
        <v>4</v>
      </c>
      <c r="B229" s="171" t="str">
        <f>VLOOKUP(Ruimtestaat[[#This Row],[Code]],Locaties[#All],2,FALSE)</f>
        <v>Stafbureau Attendiz</v>
      </c>
      <c r="C229" s="258" t="str">
        <f>VLOOKUP(Ruimtestaat[[#This Row],[Code]],Locaties[#All],4,FALSE)</f>
        <v>Welbergweg 20</v>
      </c>
      <c r="D229" s="258" t="str">
        <f>VLOOKUP(Ruimtestaat[[#This Row],[Code]],Locaties[#All],5,FALSE)</f>
        <v>7556 PE</v>
      </c>
      <c r="E229" s="258" t="str">
        <f>VLOOKUP(Ruimtestaat[[#This Row],[Code]],Locaties[#All],6,FALSE)</f>
        <v>Hengelo</v>
      </c>
      <c r="F229" s="257"/>
      <c r="G229" s="257" t="s">
        <v>564</v>
      </c>
      <c r="H229" s="171"/>
      <c r="I229" s="257" t="s">
        <v>1076</v>
      </c>
      <c r="J229" s="259" t="s">
        <v>250</v>
      </c>
      <c r="K229" s="258">
        <v>11</v>
      </c>
      <c r="L229" s="260" t="str">
        <f>VLOOKUP(Ruimtestaat[[#This Row],[Ruimte code]],Ruimtegroepen[#All],2,FALSE)</f>
        <v>Garderobes</v>
      </c>
      <c r="M229" s="185" t="s">
        <v>597</v>
      </c>
      <c r="N229" s="257" t="s">
        <v>38</v>
      </c>
      <c r="O229" s="261">
        <v>6</v>
      </c>
      <c r="P229" s="183"/>
      <c r="Q229" s="212" t="str">
        <f>VLOOKUP(Ruimtestaat[[#This Row],[Ruimte code]],Ruimtegroepen[#All],4,FALSE)</f>
        <v>V  (Verkeersruimte)</v>
      </c>
      <c r="R229" s="184"/>
      <c r="S229" s="185">
        <v>40</v>
      </c>
      <c r="T229" s="185" t="s">
        <v>2</v>
      </c>
      <c r="U229" s="185">
        <f>IF(S229&gt;0,IF(RIGHT(Ruimtestaat[[#This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9" s="185">
        <f>IF(U229&gt;0,VLOOKUP($K229,Ruimtegroepen[],3,FALSE)*VLOOKUP($M229,Vloersoorten[],3,FALSE)*VLOOKUP($T229,Frequenties[],3,FALSE)*VLOOKUP($A229,Locaties[],3,FALSE),0)</f>
        <v>0</v>
      </c>
      <c r="W229" s="185">
        <f>Ruimtestaat[[#This Row],[Uitvoeringen werkdagen]]*Ruimtestaat[[#This Row],[Oppervlak (netto)]]</f>
        <v>1200</v>
      </c>
      <c r="X229" s="220">
        <f>IF(V229&gt;0,Ruimtestaat[[#This Row],[Prest. (m2 /jaar) werkdagen]]/Ruimtestaat[[#This Row],[Norm (m2/uur) werkdagen]],0)</f>
        <v>0</v>
      </c>
      <c r="Y229" s="221">
        <f>Ruimtestaat[[#This Row],[uren / jaar werkdagen]]*Tariefsopbouw!$D$38</f>
        <v>0</v>
      </c>
      <c r="Z229" s="33"/>
      <c r="AA229" s="33">
        <f>IF(Ruimtestaat[[#This Row],[Frequentie weekend]]&gt;0,VALUE(LEFT(Z229,1))*S229,0)</f>
        <v>0</v>
      </c>
      <c r="AB229" s="33">
        <f>IF($AA229&gt;0,VLOOKUP($K229,Ruimtegroepen[],3,FALSE)*VLOOKUP($M229,Vloersoorten[],3,FALSE)*VLOOKUP($Z229,Frequenties[],3,FALSE)*VLOOKUP(#REF!,Locaties[],3,FALSE),0)</f>
        <v>0</v>
      </c>
      <c r="AC229" s="33"/>
      <c r="AD229" s="33"/>
      <c r="AE229" s="33">
        <f>Ruimtestaat[[#This Row],[uren / jaar weekend]]*Tariefsopbouw!$D$40</f>
        <v>0</v>
      </c>
      <c r="AF229" s="79">
        <f>Ruimtestaat[[#This Row],[Prest. (m2 /jaar) weekend]]+Ruimtestaat[[#This Row],[Prest. (m2 /jaar) werkdagen]]</f>
        <v>1200</v>
      </c>
      <c r="AG229" s="79">
        <f>Ruimtestaat[[#This Row],[uren / jaar weekend]]+Ruimtestaat[[#This Row],[uren / jaar werkdagen]]</f>
        <v>0</v>
      </c>
      <c r="AH229" s="80">
        <f>Ruimtestaat[[#This Row],[kosten / jaar weekend]]+Ruimtestaat[[#This Row],[kosten / jaar werkdagen]]</f>
        <v>0</v>
      </c>
    </row>
    <row r="230" spans="1:34" ht="15" customHeight="1">
      <c r="A230" s="256">
        <v>4</v>
      </c>
      <c r="B230" s="171" t="str">
        <f>VLOOKUP(Ruimtestaat[[#This Row],[Code]],Locaties[#All],2,FALSE)</f>
        <v>Stafbureau Attendiz</v>
      </c>
      <c r="C230" s="258" t="str">
        <f>VLOOKUP(Ruimtestaat[[#This Row],[Code]],Locaties[#All],4,FALSE)</f>
        <v>Welbergweg 20</v>
      </c>
      <c r="D230" s="258" t="str">
        <f>VLOOKUP(Ruimtestaat[[#This Row],[Code]],Locaties[#All],5,FALSE)</f>
        <v>7556 PE</v>
      </c>
      <c r="E230" s="258" t="str">
        <f>VLOOKUP(Ruimtestaat[[#This Row],[Code]],Locaties[#All],6,FALSE)</f>
        <v>Hengelo</v>
      </c>
      <c r="F230" s="257"/>
      <c r="G230" s="257" t="s">
        <v>564</v>
      </c>
      <c r="H230" s="171"/>
      <c r="I230" s="257" t="s">
        <v>1077</v>
      </c>
      <c r="J230" s="259" t="s">
        <v>569</v>
      </c>
      <c r="K230" s="171">
        <v>5</v>
      </c>
      <c r="L230" s="260" t="str">
        <f>VLOOKUP(Ruimtestaat[[#This Row],[Ruimte code]],Ruimtegroepen[#All],2,FALSE)</f>
        <v>Sanitair</v>
      </c>
      <c r="M230" s="212" t="s">
        <v>111</v>
      </c>
      <c r="N230" s="257" t="s">
        <v>605</v>
      </c>
      <c r="O230" s="261">
        <v>5</v>
      </c>
      <c r="P230" s="183"/>
      <c r="Q230" s="212" t="str">
        <f>VLOOKUP(Ruimtestaat[[#This Row],[Ruimte code]],Ruimtegroepen[#All],4,FALSE)</f>
        <v>S  (Sanitair)</v>
      </c>
      <c r="R230" s="184"/>
      <c r="S230" s="185">
        <v>40</v>
      </c>
      <c r="T230" s="185" t="s">
        <v>2</v>
      </c>
      <c r="U230" s="185">
        <f>IF(S230&gt;0,IF(RIGHT(Ruimtestaat[[#This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0" s="185">
        <f>IF(U230&gt;0,VLOOKUP($K230,Ruimtegroepen[],3,FALSE)*VLOOKUP($M230,Vloersoorten[],3,FALSE)*VLOOKUP($T230,Frequenties[],3,FALSE)*VLOOKUP($A230,Locaties[],3,FALSE),0)</f>
        <v>0</v>
      </c>
      <c r="W230" s="185">
        <f>Ruimtestaat[[#This Row],[Uitvoeringen werkdagen]]*Ruimtestaat[[#This Row],[Oppervlak (netto)]]</f>
        <v>1000</v>
      </c>
      <c r="X230" s="220">
        <f>IF(V230&gt;0,Ruimtestaat[[#This Row],[Prest. (m2 /jaar) werkdagen]]/Ruimtestaat[[#This Row],[Norm (m2/uur) werkdagen]],0)</f>
        <v>0</v>
      </c>
      <c r="Y230" s="221">
        <f>Ruimtestaat[[#This Row],[uren / jaar werkdagen]]*Tariefsopbouw!$D$38</f>
        <v>0</v>
      </c>
      <c r="Z230" s="33"/>
      <c r="AA230" s="33">
        <f>IF(Ruimtestaat[[#This Row],[Frequentie weekend]]&gt;0,VALUE(LEFT(Z230,1))*S230,0)</f>
        <v>0</v>
      </c>
      <c r="AB230" s="33">
        <f>IF($AA230&gt;0,VLOOKUP($K230,Ruimtegroepen[],3,FALSE)*VLOOKUP($M230,Vloersoorten[],3,FALSE)*VLOOKUP($Z230,Frequenties[],3,FALSE)*VLOOKUP(#REF!,Locaties[],3,FALSE),0)</f>
        <v>0</v>
      </c>
      <c r="AC230" s="33"/>
      <c r="AD230" s="33"/>
      <c r="AE230" s="33">
        <f>Ruimtestaat[[#This Row],[uren / jaar weekend]]*Tariefsopbouw!$D$40</f>
        <v>0</v>
      </c>
      <c r="AF230" s="79">
        <f>Ruimtestaat[[#This Row],[Prest. (m2 /jaar) weekend]]+Ruimtestaat[[#This Row],[Prest. (m2 /jaar) werkdagen]]</f>
        <v>1000</v>
      </c>
      <c r="AG230" s="79">
        <f>Ruimtestaat[[#This Row],[uren / jaar weekend]]+Ruimtestaat[[#This Row],[uren / jaar werkdagen]]</f>
        <v>0</v>
      </c>
      <c r="AH230" s="80">
        <f>Ruimtestaat[[#This Row],[kosten / jaar weekend]]+Ruimtestaat[[#This Row],[kosten / jaar werkdagen]]</f>
        <v>0</v>
      </c>
    </row>
    <row r="231" spans="1:34" ht="15" customHeight="1">
      <c r="A231" s="256">
        <v>4</v>
      </c>
      <c r="B231" s="171" t="str">
        <f>VLOOKUP(Ruimtestaat[[#This Row],[Code]],Locaties[#All],2,FALSE)</f>
        <v>Stafbureau Attendiz</v>
      </c>
      <c r="C231" s="258" t="str">
        <f>VLOOKUP(Ruimtestaat[[#This Row],[Code]],Locaties[#All],4,FALSE)</f>
        <v>Welbergweg 20</v>
      </c>
      <c r="D231" s="258" t="str">
        <f>VLOOKUP(Ruimtestaat[[#This Row],[Code]],Locaties[#All],5,FALSE)</f>
        <v>7556 PE</v>
      </c>
      <c r="E231" s="258" t="str">
        <f>VLOOKUP(Ruimtestaat[[#This Row],[Code]],Locaties[#All],6,FALSE)</f>
        <v>Hengelo</v>
      </c>
      <c r="F231" s="257"/>
      <c r="G231" s="257" t="s">
        <v>564</v>
      </c>
      <c r="H231" s="171"/>
      <c r="I231" s="257" t="s">
        <v>1078</v>
      </c>
      <c r="J231" s="259" t="s">
        <v>569</v>
      </c>
      <c r="K231" s="171">
        <v>5</v>
      </c>
      <c r="L231" s="260" t="str">
        <f>VLOOKUP(Ruimtestaat[[#This Row],[Ruimte code]],Ruimtegroepen[#All],2,FALSE)</f>
        <v>Sanitair</v>
      </c>
      <c r="M231" s="212" t="s">
        <v>111</v>
      </c>
      <c r="N231" s="257" t="s">
        <v>605</v>
      </c>
      <c r="O231" s="261">
        <v>4</v>
      </c>
      <c r="P231" s="183"/>
      <c r="Q231" s="212" t="str">
        <f>VLOOKUP(Ruimtestaat[[#This Row],[Ruimte code]],Ruimtegroepen[#All],4,FALSE)</f>
        <v>S  (Sanitair)</v>
      </c>
      <c r="R231" s="184"/>
      <c r="S231" s="185">
        <v>40</v>
      </c>
      <c r="T231" s="185" t="s">
        <v>2</v>
      </c>
      <c r="U231" s="185">
        <f>IF(S231&gt;0,IF(RIGHT(Ruimtestaat[[#This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1" s="185">
        <f>IF(U231&gt;0,VLOOKUP($K231,Ruimtegroepen[],3,FALSE)*VLOOKUP($M231,Vloersoorten[],3,FALSE)*VLOOKUP($T231,Frequenties[],3,FALSE)*VLOOKUP($A231,Locaties[],3,FALSE),0)</f>
        <v>0</v>
      </c>
      <c r="W231" s="185">
        <f>Ruimtestaat[[#This Row],[Uitvoeringen werkdagen]]*Ruimtestaat[[#This Row],[Oppervlak (netto)]]</f>
        <v>800</v>
      </c>
      <c r="X231" s="220">
        <f>IF(V231&gt;0,Ruimtestaat[[#This Row],[Prest. (m2 /jaar) werkdagen]]/Ruimtestaat[[#This Row],[Norm (m2/uur) werkdagen]],0)</f>
        <v>0</v>
      </c>
      <c r="Y231" s="221">
        <f>Ruimtestaat[[#This Row],[uren / jaar werkdagen]]*Tariefsopbouw!$D$38</f>
        <v>0</v>
      </c>
      <c r="Z231" s="33"/>
      <c r="AA231" s="33">
        <f>IF(Ruimtestaat[[#This Row],[Frequentie weekend]]&gt;0,VALUE(LEFT(Z231,1))*S231,0)</f>
        <v>0</v>
      </c>
      <c r="AB231" s="33">
        <f>IF($AA231&gt;0,VLOOKUP($K231,Ruimtegroepen[],3,FALSE)*VLOOKUP($M231,Vloersoorten[],3,FALSE)*VLOOKUP($Z231,Frequenties[],3,FALSE)*VLOOKUP(#REF!,Locaties[],3,FALSE),0)</f>
        <v>0</v>
      </c>
      <c r="AC231" s="33"/>
      <c r="AD231" s="33"/>
      <c r="AE231" s="33">
        <f>Ruimtestaat[[#This Row],[uren / jaar weekend]]*Tariefsopbouw!$D$40</f>
        <v>0</v>
      </c>
      <c r="AF231" s="79">
        <f>Ruimtestaat[[#This Row],[Prest. (m2 /jaar) weekend]]+Ruimtestaat[[#This Row],[Prest. (m2 /jaar) werkdagen]]</f>
        <v>800</v>
      </c>
      <c r="AG231" s="79">
        <f>Ruimtestaat[[#This Row],[uren / jaar weekend]]+Ruimtestaat[[#This Row],[uren / jaar werkdagen]]</f>
        <v>0</v>
      </c>
      <c r="AH231" s="80">
        <f>Ruimtestaat[[#This Row],[kosten / jaar weekend]]+Ruimtestaat[[#This Row],[kosten / jaar werkdagen]]</f>
        <v>0</v>
      </c>
    </row>
    <row r="232" spans="1:34" ht="15" customHeight="1">
      <c r="A232" s="256">
        <v>4</v>
      </c>
      <c r="B232" s="171" t="str">
        <f>VLOOKUP(Ruimtestaat[[#This Row],[Code]],Locaties[#All],2,FALSE)</f>
        <v>Stafbureau Attendiz</v>
      </c>
      <c r="C232" s="258" t="str">
        <f>VLOOKUP(Ruimtestaat[[#This Row],[Code]],Locaties[#All],4,FALSE)</f>
        <v>Welbergweg 20</v>
      </c>
      <c r="D232" s="258" t="str">
        <f>VLOOKUP(Ruimtestaat[[#This Row],[Code]],Locaties[#All],5,FALSE)</f>
        <v>7556 PE</v>
      </c>
      <c r="E232" s="258" t="str">
        <f>VLOOKUP(Ruimtestaat[[#This Row],[Code]],Locaties[#All],6,FALSE)</f>
        <v>Hengelo</v>
      </c>
      <c r="F232" s="257"/>
      <c r="G232" s="257" t="s">
        <v>857</v>
      </c>
      <c r="H232" s="171"/>
      <c r="I232" s="257" t="s">
        <v>1079</v>
      </c>
      <c r="J232" s="259" t="s">
        <v>587</v>
      </c>
      <c r="K232" s="185">
        <v>6</v>
      </c>
      <c r="L232" s="260" t="str">
        <f>VLOOKUP(Ruimtestaat[[#This Row],[Ruimte code]],Ruimtegroepen[#All],2,FALSE)</f>
        <v>Gangen/hallen</v>
      </c>
      <c r="M232" s="212" t="s">
        <v>111</v>
      </c>
      <c r="N232" s="257" t="s">
        <v>1105</v>
      </c>
      <c r="O232" s="261">
        <v>19</v>
      </c>
      <c r="P232" s="183"/>
      <c r="Q232" s="212" t="str">
        <f>VLOOKUP(Ruimtestaat[[#This Row],[Ruimte code]],Ruimtegroepen[#All],4,FALSE)</f>
        <v>V  (Verkeersruimte)</v>
      </c>
      <c r="R232" s="184"/>
      <c r="S232" s="185">
        <v>40</v>
      </c>
      <c r="T232" s="185" t="s">
        <v>15</v>
      </c>
      <c r="U232" s="185">
        <f>IF(S232&gt;0,IF(RIGHT(Ruimtestaat[[#This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32" s="185">
        <f>IF(U232&gt;0,VLOOKUP($K232,Ruimtegroepen[],3,FALSE)*VLOOKUP($M232,Vloersoorten[],3,FALSE)*VLOOKUP($T232,Frequenties[],3,FALSE)*VLOOKUP($A232,Locaties[],3,FALSE),0)</f>
        <v>0</v>
      </c>
      <c r="W232" s="185">
        <f>Ruimtestaat[[#This Row],[Uitvoeringen werkdagen]]*Ruimtestaat[[#This Row],[Oppervlak (netto)]]</f>
        <v>760</v>
      </c>
      <c r="X232" s="220">
        <f>IF(V232&gt;0,Ruimtestaat[[#This Row],[Prest. (m2 /jaar) werkdagen]]/Ruimtestaat[[#This Row],[Norm (m2/uur) werkdagen]],0)</f>
        <v>0</v>
      </c>
      <c r="Y232" s="221">
        <f>Ruimtestaat[[#This Row],[uren / jaar werkdagen]]*Tariefsopbouw!$D$38</f>
        <v>0</v>
      </c>
      <c r="Z232" s="33"/>
      <c r="AA232" s="33">
        <f>IF(Ruimtestaat[[#This Row],[Frequentie weekend]]&gt;0,VALUE(LEFT(Z232,1))*S232,0)</f>
        <v>0</v>
      </c>
      <c r="AB232" s="33">
        <f>IF($AA232&gt;0,VLOOKUP($K232,Ruimtegroepen[],3,FALSE)*VLOOKUP($M232,Vloersoorten[],3,FALSE)*VLOOKUP($Z232,Frequenties[],3,FALSE)*VLOOKUP(#REF!,Locaties[],3,FALSE),0)</f>
        <v>0</v>
      </c>
      <c r="AC232" s="33"/>
      <c r="AD232" s="33"/>
      <c r="AE232" s="33">
        <f>Ruimtestaat[[#This Row],[uren / jaar weekend]]*Tariefsopbouw!$D$40</f>
        <v>0</v>
      </c>
      <c r="AF232" s="79">
        <f>Ruimtestaat[[#This Row],[Prest. (m2 /jaar) weekend]]+Ruimtestaat[[#This Row],[Prest. (m2 /jaar) werkdagen]]</f>
        <v>760</v>
      </c>
      <c r="AG232" s="79">
        <f>Ruimtestaat[[#This Row],[uren / jaar weekend]]+Ruimtestaat[[#This Row],[uren / jaar werkdagen]]</f>
        <v>0</v>
      </c>
      <c r="AH232" s="80">
        <f>Ruimtestaat[[#This Row],[kosten / jaar weekend]]+Ruimtestaat[[#This Row],[kosten / jaar werkdagen]]</f>
        <v>0</v>
      </c>
    </row>
    <row r="233" spans="1:34" ht="15" customHeight="1">
      <c r="A233" s="256">
        <v>4</v>
      </c>
      <c r="B233" s="171" t="str">
        <f>VLOOKUP(Ruimtestaat[[#This Row],[Code]],Locaties[#All],2,FALSE)</f>
        <v>Stafbureau Attendiz</v>
      </c>
      <c r="C233" s="258" t="str">
        <f>VLOOKUP(Ruimtestaat[[#This Row],[Code]],Locaties[#All],4,FALSE)</f>
        <v>Welbergweg 20</v>
      </c>
      <c r="D233" s="258" t="str">
        <f>VLOOKUP(Ruimtestaat[[#This Row],[Code]],Locaties[#All],5,FALSE)</f>
        <v>7556 PE</v>
      </c>
      <c r="E233" s="258" t="str">
        <f>VLOOKUP(Ruimtestaat[[#This Row],[Code]],Locaties[#All],6,FALSE)</f>
        <v>Hengelo</v>
      </c>
      <c r="F233" s="257"/>
      <c r="G233" s="257" t="s">
        <v>857</v>
      </c>
      <c r="H233" s="171"/>
      <c r="I233" s="257"/>
      <c r="J233" s="259" t="s">
        <v>695</v>
      </c>
      <c r="K233" s="171">
        <v>10</v>
      </c>
      <c r="L233" s="260" t="str">
        <f>VLOOKUP(Ruimtestaat[[#This Row],[Ruimte code]],Ruimtegroepen[#All],2,FALSE)</f>
        <v>Trappenhuizen/lift</v>
      </c>
      <c r="M233" s="212" t="s">
        <v>111</v>
      </c>
      <c r="N233" s="257" t="s">
        <v>1105</v>
      </c>
      <c r="O233" s="261">
        <v>15</v>
      </c>
      <c r="P233" s="183"/>
      <c r="Q233" s="212" t="str">
        <f>VLOOKUP(Ruimtestaat[[#This Row],[Ruimte code]],Ruimtegroepen[#All],4,FALSE)</f>
        <v>V  (Verkeersruimte)</v>
      </c>
      <c r="R233" s="184"/>
      <c r="S233" s="185">
        <v>40</v>
      </c>
      <c r="T233" s="185" t="s">
        <v>15</v>
      </c>
      <c r="U233" s="185">
        <f>IF(S233&gt;0,IF(RIGHT(Ruimtestaat[[#This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33" s="185">
        <f>IF(U233&gt;0,VLOOKUP($K233,Ruimtegroepen[],3,FALSE)*VLOOKUP($M233,Vloersoorten[],3,FALSE)*VLOOKUP($T233,Frequenties[],3,FALSE)*VLOOKUP($A233,Locaties[],3,FALSE),0)</f>
        <v>0</v>
      </c>
      <c r="W233" s="185">
        <f>Ruimtestaat[[#This Row],[Uitvoeringen werkdagen]]*Ruimtestaat[[#This Row],[Oppervlak (netto)]]</f>
        <v>600</v>
      </c>
      <c r="X233" s="220">
        <f>IF(V233&gt;0,Ruimtestaat[[#This Row],[Prest. (m2 /jaar) werkdagen]]/Ruimtestaat[[#This Row],[Norm (m2/uur) werkdagen]],0)</f>
        <v>0</v>
      </c>
      <c r="Y233" s="221">
        <f>Ruimtestaat[[#This Row],[uren / jaar werkdagen]]*Tariefsopbouw!$D$38</f>
        <v>0</v>
      </c>
      <c r="Z233" s="33"/>
      <c r="AA233" s="33">
        <f>IF(Ruimtestaat[[#This Row],[Frequentie weekend]]&gt;0,VALUE(LEFT(Z233,1))*S233,0)</f>
        <v>0</v>
      </c>
      <c r="AB233" s="33">
        <f>IF($AA233&gt;0,VLOOKUP($K233,Ruimtegroepen[],3,FALSE)*VLOOKUP($M233,Vloersoorten[],3,FALSE)*VLOOKUP($Z233,Frequenties[],3,FALSE)*VLOOKUP(#REF!,Locaties[],3,FALSE),0)</f>
        <v>0</v>
      </c>
      <c r="AC233" s="33"/>
      <c r="AD233" s="33"/>
      <c r="AE233" s="33">
        <f>Ruimtestaat[[#This Row],[uren / jaar weekend]]*Tariefsopbouw!$D$40</f>
        <v>0</v>
      </c>
      <c r="AF233" s="79">
        <f>Ruimtestaat[[#This Row],[Prest. (m2 /jaar) weekend]]+Ruimtestaat[[#This Row],[Prest. (m2 /jaar) werkdagen]]</f>
        <v>600</v>
      </c>
      <c r="AG233" s="79">
        <f>Ruimtestaat[[#This Row],[uren / jaar weekend]]+Ruimtestaat[[#This Row],[uren / jaar werkdagen]]</f>
        <v>0</v>
      </c>
      <c r="AH233" s="80">
        <f>Ruimtestaat[[#This Row],[kosten / jaar weekend]]+Ruimtestaat[[#This Row],[kosten / jaar werkdagen]]</f>
        <v>0</v>
      </c>
    </row>
    <row r="234" spans="1:34" ht="15" customHeight="1">
      <c r="A234" s="256">
        <v>4</v>
      </c>
      <c r="B234" s="171" t="str">
        <f>VLOOKUP(Ruimtestaat[[#This Row],[Code]],Locaties[#All],2,FALSE)</f>
        <v>Stafbureau Attendiz</v>
      </c>
      <c r="C234" s="258" t="str">
        <f>VLOOKUP(Ruimtestaat[[#This Row],[Code]],Locaties[#All],4,FALSE)</f>
        <v>Welbergweg 20</v>
      </c>
      <c r="D234" s="258" t="str">
        <f>VLOOKUP(Ruimtestaat[[#This Row],[Code]],Locaties[#All],5,FALSE)</f>
        <v>7556 PE</v>
      </c>
      <c r="E234" s="258" t="str">
        <f>VLOOKUP(Ruimtestaat[[#This Row],[Code]],Locaties[#All],6,FALSE)</f>
        <v>Hengelo</v>
      </c>
      <c r="F234" s="257"/>
      <c r="G234" s="257" t="s">
        <v>857</v>
      </c>
      <c r="H234" s="171"/>
      <c r="I234" s="257" t="s">
        <v>1080</v>
      </c>
      <c r="J234" s="259" t="s">
        <v>623</v>
      </c>
      <c r="K234" s="258">
        <v>20</v>
      </c>
      <c r="L234" s="260" t="str">
        <f>VLOOKUP(Ruimtestaat[[#This Row],[Ruimte code]],Ruimtegroepen[#All],2,FALSE)</f>
        <v>Niet in onderhoud</v>
      </c>
      <c r="M234" s="212" t="s">
        <v>111</v>
      </c>
      <c r="N234" s="257" t="s">
        <v>1105</v>
      </c>
      <c r="O234" s="261"/>
      <c r="P234" s="183">
        <v>3.6</v>
      </c>
      <c r="Q234" s="212" t="str">
        <f>VLOOKUP(Ruimtestaat[[#This Row],[Ruimte code]],Ruimtegroepen[#All],4,FALSE)</f>
        <v>niet in onderhoud</v>
      </c>
      <c r="R234" s="184"/>
      <c r="S234" s="185"/>
      <c r="T234" s="185"/>
      <c r="U234" s="185">
        <f>IF(S234&gt;0,IF(RIGHT(Ruimtestaat[[#This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34" s="185">
        <f>IF(U234&gt;0,VLOOKUP($K234,Ruimtegroepen[],3,FALSE)*VLOOKUP($M234,Vloersoorten[],3,FALSE)*VLOOKUP($T234,Frequenties[],3,FALSE)*VLOOKUP($A234,Locaties[],3,FALSE),0)</f>
        <v>0</v>
      </c>
      <c r="W234" s="185">
        <f>Ruimtestaat[[#This Row],[Uitvoeringen werkdagen]]*Ruimtestaat[[#This Row],[Oppervlak (netto)]]</f>
        <v>0</v>
      </c>
      <c r="X234" s="220">
        <f>IF(V234&gt;0,Ruimtestaat[[#This Row],[Prest. (m2 /jaar) werkdagen]]/Ruimtestaat[[#This Row],[Norm (m2/uur) werkdagen]],0)</f>
        <v>0</v>
      </c>
      <c r="Y234" s="221">
        <f>Ruimtestaat[[#This Row],[uren / jaar werkdagen]]*Tariefsopbouw!$D$38</f>
        <v>0</v>
      </c>
      <c r="Z234" s="33"/>
      <c r="AA234" s="33">
        <f>IF(Ruimtestaat[[#This Row],[Frequentie weekend]]&gt;0,VALUE(LEFT(Z234,1))*S234,0)</f>
        <v>0</v>
      </c>
      <c r="AB234" s="33">
        <f>IF($AA234&gt;0,VLOOKUP($K234,Ruimtegroepen[],3,FALSE)*VLOOKUP($M234,Vloersoorten[],3,FALSE)*VLOOKUP($Z234,Frequenties[],3,FALSE)*VLOOKUP(#REF!,Locaties[],3,FALSE),0)</f>
        <v>0</v>
      </c>
      <c r="AC234" s="33"/>
      <c r="AD234" s="33"/>
      <c r="AE234" s="33">
        <f>Ruimtestaat[[#This Row],[uren / jaar weekend]]*Tariefsopbouw!$D$40</f>
        <v>0</v>
      </c>
      <c r="AF234" s="79">
        <f>Ruimtestaat[[#This Row],[Prest. (m2 /jaar) weekend]]+Ruimtestaat[[#This Row],[Prest. (m2 /jaar) werkdagen]]</f>
        <v>0</v>
      </c>
      <c r="AG234" s="79">
        <f>Ruimtestaat[[#This Row],[uren / jaar weekend]]+Ruimtestaat[[#This Row],[uren / jaar werkdagen]]</f>
        <v>0</v>
      </c>
      <c r="AH234" s="80">
        <f>Ruimtestaat[[#This Row],[kosten / jaar weekend]]+Ruimtestaat[[#This Row],[kosten / jaar werkdagen]]</f>
        <v>0</v>
      </c>
    </row>
    <row r="235" spans="1:34" ht="15" customHeight="1">
      <c r="A235" s="256">
        <v>4</v>
      </c>
      <c r="B235" s="171" t="str">
        <f>VLOOKUP(Ruimtestaat[[#This Row],[Code]],Locaties[#All],2,FALSE)</f>
        <v>Stafbureau Attendiz</v>
      </c>
      <c r="C235" s="258" t="str">
        <f>VLOOKUP(Ruimtestaat[[#This Row],[Code]],Locaties[#All],4,FALSE)</f>
        <v>Welbergweg 20</v>
      </c>
      <c r="D235" s="258" t="str">
        <f>VLOOKUP(Ruimtestaat[[#This Row],[Code]],Locaties[#All],5,FALSE)</f>
        <v>7556 PE</v>
      </c>
      <c r="E235" s="258" t="str">
        <f>VLOOKUP(Ruimtestaat[[#This Row],[Code]],Locaties[#All],6,FALSE)</f>
        <v>Hengelo</v>
      </c>
      <c r="F235" s="257"/>
      <c r="G235" s="257" t="s">
        <v>857</v>
      </c>
      <c r="H235" s="171"/>
      <c r="I235" s="257" t="s">
        <v>1081</v>
      </c>
      <c r="J235" s="259" t="s">
        <v>571</v>
      </c>
      <c r="K235" s="258">
        <v>2</v>
      </c>
      <c r="L235" s="260" t="str">
        <f>VLOOKUP(Ruimtestaat[[#This Row],[Ruimte code]],Ruimtegroepen[#All],2,FALSE)</f>
        <v>Kantoren</v>
      </c>
      <c r="M235" s="212" t="s">
        <v>597</v>
      </c>
      <c r="N235" s="257" t="s">
        <v>38</v>
      </c>
      <c r="O235" s="261">
        <v>29</v>
      </c>
      <c r="P235" s="183"/>
      <c r="Q235" s="212" t="str">
        <f>VLOOKUP(Ruimtestaat[[#This Row],[Ruimte code]],Ruimtegroepen[#All],4,FALSE)</f>
        <v>B  (Bureauruimte)</v>
      </c>
      <c r="R235" s="184"/>
      <c r="S235" s="185">
        <v>40</v>
      </c>
      <c r="T235" s="185" t="s">
        <v>17</v>
      </c>
      <c r="U235" s="185">
        <f>IF(S235&gt;0,IF(RIGHT(Ruimtestaat[[#This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5" s="185">
        <f>IF(U235&gt;0,VLOOKUP($K235,Ruimtegroepen[],3,FALSE)*VLOOKUP($M235,Vloersoorten[],3,FALSE)*VLOOKUP($T235,Frequenties[],3,FALSE)*VLOOKUP($A235,Locaties[],3,FALSE),0)</f>
        <v>0</v>
      </c>
      <c r="W235" s="185">
        <f>Ruimtestaat[[#This Row],[Uitvoeringen werkdagen]]*Ruimtestaat[[#This Row],[Oppervlak (netto)]]</f>
        <v>2320</v>
      </c>
      <c r="X235" s="220">
        <f>IF(V235&gt;0,Ruimtestaat[[#This Row],[Prest. (m2 /jaar) werkdagen]]/Ruimtestaat[[#This Row],[Norm (m2/uur) werkdagen]],0)</f>
        <v>0</v>
      </c>
      <c r="Y235" s="221">
        <f>Ruimtestaat[[#This Row],[uren / jaar werkdagen]]*Tariefsopbouw!$D$38</f>
        <v>0</v>
      </c>
      <c r="Z235" s="33"/>
      <c r="AA235" s="33">
        <f>IF(Ruimtestaat[[#This Row],[Frequentie weekend]]&gt;0,VALUE(LEFT(Z235,1))*S235,0)</f>
        <v>0</v>
      </c>
      <c r="AB235" s="33">
        <f>IF($AA235&gt;0,VLOOKUP($K235,Ruimtegroepen[],3,FALSE)*VLOOKUP($M235,Vloersoorten[],3,FALSE)*VLOOKUP($Z235,Frequenties[],3,FALSE)*VLOOKUP(#REF!,Locaties[],3,FALSE),0)</f>
        <v>0</v>
      </c>
      <c r="AC235" s="33"/>
      <c r="AD235" s="33"/>
      <c r="AE235" s="33">
        <f>Ruimtestaat[[#This Row],[uren / jaar weekend]]*Tariefsopbouw!$D$40</f>
        <v>0</v>
      </c>
      <c r="AF235" s="79">
        <f>Ruimtestaat[[#This Row],[Prest. (m2 /jaar) weekend]]+Ruimtestaat[[#This Row],[Prest. (m2 /jaar) werkdagen]]</f>
        <v>2320</v>
      </c>
      <c r="AG235" s="79">
        <f>Ruimtestaat[[#This Row],[uren / jaar weekend]]+Ruimtestaat[[#This Row],[uren / jaar werkdagen]]</f>
        <v>0</v>
      </c>
      <c r="AH235" s="80">
        <f>Ruimtestaat[[#This Row],[kosten / jaar weekend]]+Ruimtestaat[[#This Row],[kosten / jaar werkdagen]]</f>
        <v>0</v>
      </c>
    </row>
    <row r="236" spans="1:34" ht="15" customHeight="1">
      <c r="A236" s="256">
        <v>4</v>
      </c>
      <c r="B236" s="171" t="str">
        <f>VLOOKUP(Ruimtestaat[[#This Row],[Code]],Locaties[#All],2,FALSE)</f>
        <v>Stafbureau Attendiz</v>
      </c>
      <c r="C236" s="258" t="str">
        <f>VLOOKUP(Ruimtestaat[[#This Row],[Code]],Locaties[#All],4,FALSE)</f>
        <v>Welbergweg 20</v>
      </c>
      <c r="D236" s="258" t="str">
        <f>VLOOKUP(Ruimtestaat[[#This Row],[Code]],Locaties[#All],5,FALSE)</f>
        <v>7556 PE</v>
      </c>
      <c r="E236" s="258" t="str">
        <f>VLOOKUP(Ruimtestaat[[#This Row],[Code]],Locaties[#All],6,FALSE)</f>
        <v>Hengelo</v>
      </c>
      <c r="F236" s="257"/>
      <c r="G236" s="257" t="s">
        <v>857</v>
      </c>
      <c r="H236" s="171"/>
      <c r="I236" s="257" t="s">
        <v>1082</v>
      </c>
      <c r="J236" s="259" t="s">
        <v>571</v>
      </c>
      <c r="K236" s="258">
        <v>2</v>
      </c>
      <c r="L236" s="260" t="str">
        <f>VLOOKUP(Ruimtestaat[[#This Row],[Ruimte code]],Ruimtegroepen[#All],2,FALSE)</f>
        <v>Kantoren</v>
      </c>
      <c r="M236" s="212" t="s">
        <v>597</v>
      </c>
      <c r="N236" s="257" t="s">
        <v>38</v>
      </c>
      <c r="O236" s="261">
        <v>46</v>
      </c>
      <c r="P236" s="183"/>
      <c r="Q236" s="212" t="str">
        <f>VLOOKUP(Ruimtestaat[[#This Row],[Ruimte code]],Ruimtegroepen[#All],4,FALSE)</f>
        <v>B  (Bureauruimte)</v>
      </c>
      <c r="R236" s="184"/>
      <c r="S236" s="185">
        <v>40</v>
      </c>
      <c r="T236" s="185" t="s">
        <v>17</v>
      </c>
      <c r="U236" s="185">
        <f>IF(S236&gt;0,IF(RIGHT(Ruimtestaat[[#This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6" s="185">
        <f>IF(U236&gt;0,VLOOKUP($K236,Ruimtegroepen[],3,FALSE)*VLOOKUP($M236,Vloersoorten[],3,FALSE)*VLOOKUP($T236,Frequenties[],3,FALSE)*VLOOKUP($A236,Locaties[],3,FALSE),0)</f>
        <v>0</v>
      </c>
      <c r="W236" s="185">
        <f>Ruimtestaat[[#This Row],[Uitvoeringen werkdagen]]*Ruimtestaat[[#This Row],[Oppervlak (netto)]]</f>
        <v>3680</v>
      </c>
      <c r="X236" s="220">
        <f>IF(V236&gt;0,Ruimtestaat[[#This Row],[Prest. (m2 /jaar) werkdagen]]/Ruimtestaat[[#This Row],[Norm (m2/uur) werkdagen]],0)</f>
        <v>0</v>
      </c>
      <c r="Y236" s="221">
        <f>Ruimtestaat[[#This Row],[uren / jaar werkdagen]]*Tariefsopbouw!$D$38</f>
        <v>0</v>
      </c>
      <c r="Z236" s="33"/>
      <c r="AA236" s="33">
        <f>IF(Ruimtestaat[[#This Row],[Frequentie weekend]]&gt;0,VALUE(LEFT(Z236,1))*S236,0)</f>
        <v>0</v>
      </c>
      <c r="AB236" s="33">
        <f>IF($AA236&gt;0,VLOOKUP($K236,Ruimtegroepen[],3,FALSE)*VLOOKUP($M236,Vloersoorten[],3,FALSE)*VLOOKUP($Z236,Frequenties[],3,FALSE)*VLOOKUP(#REF!,Locaties[],3,FALSE),0)</f>
        <v>0</v>
      </c>
      <c r="AC236" s="33"/>
      <c r="AD236" s="33"/>
      <c r="AE236" s="33">
        <f>Ruimtestaat[[#This Row],[uren / jaar weekend]]*Tariefsopbouw!$D$40</f>
        <v>0</v>
      </c>
      <c r="AF236" s="79">
        <f>Ruimtestaat[[#This Row],[Prest. (m2 /jaar) weekend]]+Ruimtestaat[[#This Row],[Prest. (m2 /jaar) werkdagen]]</f>
        <v>3680</v>
      </c>
      <c r="AG236" s="79">
        <f>Ruimtestaat[[#This Row],[uren / jaar weekend]]+Ruimtestaat[[#This Row],[uren / jaar werkdagen]]</f>
        <v>0</v>
      </c>
      <c r="AH236" s="80">
        <f>Ruimtestaat[[#This Row],[kosten / jaar weekend]]+Ruimtestaat[[#This Row],[kosten / jaar werkdagen]]</f>
        <v>0</v>
      </c>
    </row>
    <row r="237" spans="1:34" ht="15" customHeight="1">
      <c r="A237" s="256">
        <v>4</v>
      </c>
      <c r="B237" s="171" t="str">
        <f>VLOOKUP(Ruimtestaat[[#This Row],[Code]],Locaties[#All],2,FALSE)</f>
        <v>Stafbureau Attendiz</v>
      </c>
      <c r="C237" s="258" t="str">
        <f>VLOOKUP(Ruimtestaat[[#This Row],[Code]],Locaties[#All],4,FALSE)</f>
        <v>Welbergweg 20</v>
      </c>
      <c r="D237" s="258" t="str">
        <f>VLOOKUP(Ruimtestaat[[#This Row],[Code]],Locaties[#All],5,FALSE)</f>
        <v>7556 PE</v>
      </c>
      <c r="E237" s="258" t="str">
        <f>VLOOKUP(Ruimtestaat[[#This Row],[Code]],Locaties[#All],6,FALSE)</f>
        <v>Hengelo</v>
      </c>
      <c r="F237" s="257"/>
      <c r="G237" s="257" t="s">
        <v>857</v>
      </c>
      <c r="H237" s="171"/>
      <c r="I237" s="257" t="s">
        <v>1083</v>
      </c>
      <c r="J237" s="259" t="s">
        <v>571</v>
      </c>
      <c r="K237" s="171">
        <v>2</v>
      </c>
      <c r="L237" s="260" t="str">
        <f>VLOOKUP(Ruimtestaat[[#This Row],[Ruimte code]],Ruimtegroepen[#All],2,FALSE)</f>
        <v>Kantoren</v>
      </c>
      <c r="M237" s="212" t="s">
        <v>597</v>
      </c>
      <c r="N237" s="257" t="s">
        <v>38</v>
      </c>
      <c r="O237" s="261">
        <v>9</v>
      </c>
      <c r="P237" s="183"/>
      <c r="Q237" s="212" t="str">
        <f>VLOOKUP(Ruimtestaat[[#This Row],[Ruimte code]],Ruimtegroepen[#All],4,FALSE)</f>
        <v>B  (Bureauruimte)</v>
      </c>
      <c r="R237" s="184"/>
      <c r="S237" s="185">
        <v>40</v>
      </c>
      <c r="T237" s="185" t="s">
        <v>17</v>
      </c>
      <c r="U237" s="185">
        <f>IF(S237&gt;0,IF(RIGHT(Ruimtestaat[[#This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7" s="185">
        <f>IF(U237&gt;0,VLOOKUP($K237,Ruimtegroepen[],3,FALSE)*VLOOKUP($M237,Vloersoorten[],3,FALSE)*VLOOKUP($T237,Frequenties[],3,FALSE)*VLOOKUP($A237,Locaties[],3,FALSE),0)</f>
        <v>0</v>
      </c>
      <c r="W237" s="185">
        <f>Ruimtestaat[[#This Row],[Uitvoeringen werkdagen]]*Ruimtestaat[[#This Row],[Oppervlak (netto)]]</f>
        <v>720</v>
      </c>
      <c r="X237" s="220">
        <f>IF(V237&gt;0,Ruimtestaat[[#This Row],[Prest. (m2 /jaar) werkdagen]]/Ruimtestaat[[#This Row],[Norm (m2/uur) werkdagen]],0)</f>
        <v>0</v>
      </c>
      <c r="Y237" s="221">
        <f>Ruimtestaat[[#This Row],[uren / jaar werkdagen]]*Tariefsopbouw!$D$38</f>
        <v>0</v>
      </c>
      <c r="Z237" s="33"/>
      <c r="AA237" s="33">
        <f>IF(Ruimtestaat[[#This Row],[Frequentie weekend]]&gt;0,VALUE(LEFT(Z237,1))*S237,0)</f>
        <v>0</v>
      </c>
      <c r="AB237" s="33">
        <f>IF($AA237&gt;0,VLOOKUP($K237,Ruimtegroepen[],3,FALSE)*VLOOKUP($M237,Vloersoorten[],3,FALSE)*VLOOKUP($Z237,Frequenties[],3,FALSE)*VLOOKUP(#REF!,Locaties[],3,FALSE),0)</f>
        <v>0</v>
      </c>
      <c r="AC237" s="33"/>
      <c r="AD237" s="33"/>
      <c r="AE237" s="33">
        <f>Ruimtestaat[[#This Row],[uren / jaar weekend]]*Tariefsopbouw!$D$40</f>
        <v>0</v>
      </c>
      <c r="AF237" s="79">
        <f>Ruimtestaat[[#This Row],[Prest. (m2 /jaar) weekend]]+Ruimtestaat[[#This Row],[Prest. (m2 /jaar) werkdagen]]</f>
        <v>720</v>
      </c>
      <c r="AG237" s="79">
        <f>Ruimtestaat[[#This Row],[uren / jaar weekend]]+Ruimtestaat[[#This Row],[uren / jaar werkdagen]]</f>
        <v>0</v>
      </c>
      <c r="AH237" s="80">
        <f>Ruimtestaat[[#This Row],[kosten / jaar weekend]]+Ruimtestaat[[#This Row],[kosten / jaar werkdagen]]</f>
        <v>0</v>
      </c>
    </row>
    <row r="238" spans="1:34" ht="15" customHeight="1">
      <c r="A238" s="256">
        <v>4</v>
      </c>
      <c r="B238" s="171" t="str">
        <f>VLOOKUP(Ruimtestaat[[#This Row],[Code]],Locaties[#All],2,FALSE)</f>
        <v>Stafbureau Attendiz</v>
      </c>
      <c r="C238" s="258" t="str">
        <f>VLOOKUP(Ruimtestaat[[#This Row],[Code]],Locaties[#All],4,FALSE)</f>
        <v>Welbergweg 20</v>
      </c>
      <c r="D238" s="258" t="str">
        <f>VLOOKUP(Ruimtestaat[[#This Row],[Code]],Locaties[#All],5,FALSE)</f>
        <v>7556 PE</v>
      </c>
      <c r="E238" s="258" t="str">
        <f>VLOOKUP(Ruimtestaat[[#This Row],[Code]],Locaties[#All],6,FALSE)</f>
        <v>Hengelo</v>
      </c>
      <c r="F238" s="257"/>
      <c r="G238" s="257" t="s">
        <v>857</v>
      </c>
      <c r="H238" s="171"/>
      <c r="I238" s="257" t="s">
        <v>1084</v>
      </c>
      <c r="J238" s="259" t="s">
        <v>571</v>
      </c>
      <c r="K238" s="258">
        <v>2</v>
      </c>
      <c r="L238" s="260" t="str">
        <f>VLOOKUP(Ruimtestaat[[#This Row],[Ruimte code]],Ruimtegroepen[#All],2,FALSE)</f>
        <v>Kantoren</v>
      </c>
      <c r="M238" s="185" t="s">
        <v>597</v>
      </c>
      <c r="N238" s="257" t="s">
        <v>38</v>
      </c>
      <c r="O238" s="261">
        <v>27</v>
      </c>
      <c r="P238" s="183"/>
      <c r="Q238" s="212" t="str">
        <f>VLOOKUP(Ruimtestaat[[#This Row],[Ruimte code]],Ruimtegroepen[#All],4,FALSE)</f>
        <v>B  (Bureauruimte)</v>
      </c>
      <c r="R238" s="184"/>
      <c r="S238" s="185">
        <v>40</v>
      </c>
      <c r="T238" s="185" t="s">
        <v>17</v>
      </c>
      <c r="U238" s="185">
        <f>IF(S238&gt;0,IF(RIGHT(Ruimtestaat[[#This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8" s="185">
        <f>IF(U238&gt;0,VLOOKUP($K238,Ruimtegroepen[],3,FALSE)*VLOOKUP($M238,Vloersoorten[],3,FALSE)*VLOOKUP($T238,Frequenties[],3,FALSE)*VLOOKUP($A238,Locaties[],3,FALSE),0)</f>
        <v>0</v>
      </c>
      <c r="W238" s="185">
        <f>Ruimtestaat[[#This Row],[Uitvoeringen werkdagen]]*Ruimtestaat[[#This Row],[Oppervlak (netto)]]</f>
        <v>2160</v>
      </c>
      <c r="X238" s="220">
        <f>IF(V238&gt;0,Ruimtestaat[[#This Row],[Prest. (m2 /jaar) werkdagen]]/Ruimtestaat[[#This Row],[Norm (m2/uur) werkdagen]],0)</f>
        <v>0</v>
      </c>
      <c r="Y238" s="221">
        <f>Ruimtestaat[[#This Row],[uren / jaar werkdagen]]*Tariefsopbouw!$D$38</f>
        <v>0</v>
      </c>
      <c r="Z238" s="33"/>
      <c r="AA238" s="33">
        <f>IF(Ruimtestaat[[#This Row],[Frequentie weekend]]&gt;0,VALUE(LEFT(Z238,1))*S238,0)</f>
        <v>0</v>
      </c>
      <c r="AB238" s="33">
        <f>IF($AA238&gt;0,VLOOKUP($K238,Ruimtegroepen[],3,FALSE)*VLOOKUP($M238,Vloersoorten[],3,FALSE)*VLOOKUP($Z238,Frequenties[],3,FALSE)*VLOOKUP(#REF!,Locaties[],3,FALSE),0)</f>
        <v>0</v>
      </c>
      <c r="AC238" s="33"/>
      <c r="AD238" s="33"/>
      <c r="AE238" s="33">
        <f>Ruimtestaat[[#This Row],[uren / jaar weekend]]*Tariefsopbouw!$D$40</f>
        <v>0</v>
      </c>
      <c r="AF238" s="79">
        <f>Ruimtestaat[[#This Row],[Prest. (m2 /jaar) weekend]]+Ruimtestaat[[#This Row],[Prest. (m2 /jaar) werkdagen]]</f>
        <v>2160</v>
      </c>
      <c r="AG238" s="79">
        <f>Ruimtestaat[[#This Row],[uren / jaar weekend]]+Ruimtestaat[[#This Row],[uren / jaar werkdagen]]</f>
        <v>0</v>
      </c>
      <c r="AH238" s="80">
        <f>Ruimtestaat[[#This Row],[kosten / jaar weekend]]+Ruimtestaat[[#This Row],[kosten / jaar werkdagen]]</f>
        <v>0</v>
      </c>
    </row>
    <row r="239" spans="1:34" ht="15" customHeight="1">
      <c r="A239" s="256">
        <v>4</v>
      </c>
      <c r="B239" s="171" t="str">
        <f>VLOOKUP(Ruimtestaat[[#This Row],[Code]],Locaties[#All],2,FALSE)</f>
        <v>Stafbureau Attendiz</v>
      </c>
      <c r="C239" s="258" t="str">
        <f>VLOOKUP(Ruimtestaat[[#This Row],[Code]],Locaties[#All],4,FALSE)</f>
        <v>Welbergweg 20</v>
      </c>
      <c r="D239" s="258" t="str">
        <f>VLOOKUP(Ruimtestaat[[#This Row],[Code]],Locaties[#All],5,FALSE)</f>
        <v>7556 PE</v>
      </c>
      <c r="E239" s="258" t="str">
        <f>VLOOKUP(Ruimtestaat[[#This Row],[Code]],Locaties[#All],6,FALSE)</f>
        <v>Hengelo</v>
      </c>
      <c r="F239" s="257"/>
      <c r="G239" s="257" t="s">
        <v>857</v>
      </c>
      <c r="H239" s="171"/>
      <c r="I239" s="257" t="s">
        <v>1085</v>
      </c>
      <c r="J239" s="259" t="s">
        <v>61</v>
      </c>
      <c r="K239" s="258">
        <v>3</v>
      </c>
      <c r="L239" s="260" t="str">
        <f>VLOOKUP(Ruimtestaat[[#This Row],[Ruimte code]],Ruimtegroepen[#All],2,FALSE)</f>
        <v>Reproruimte</v>
      </c>
      <c r="M239" s="212" t="s">
        <v>597</v>
      </c>
      <c r="N239" s="257" t="s">
        <v>38</v>
      </c>
      <c r="O239" s="261">
        <v>7</v>
      </c>
      <c r="P239" s="183"/>
      <c r="Q239" s="212" t="str">
        <f>VLOOKUP(Ruimtestaat[[#This Row],[Ruimte code]],Ruimtegroepen[#All],4,FALSE)</f>
        <v>V  (Verkeersruimte)</v>
      </c>
      <c r="R239" s="184"/>
      <c r="S239" s="185">
        <v>40</v>
      </c>
      <c r="T239" s="185" t="s">
        <v>15</v>
      </c>
      <c r="U239" s="185">
        <f>IF(S239&gt;0,IF(RIGHT(Ruimtestaat[[#This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39" s="185">
        <f>IF(U239&gt;0,VLOOKUP($K239,Ruimtegroepen[],3,FALSE)*VLOOKUP($M239,Vloersoorten[],3,FALSE)*VLOOKUP($T239,Frequenties[],3,FALSE)*VLOOKUP($A239,Locaties[],3,FALSE),0)</f>
        <v>0</v>
      </c>
      <c r="W239" s="185">
        <f>Ruimtestaat[[#This Row],[Uitvoeringen werkdagen]]*Ruimtestaat[[#This Row],[Oppervlak (netto)]]</f>
        <v>280</v>
      </c>
      <c r="X239" s="220">
        <f>IF(V239&gt;0,Ruimtestaat[[#This Row],[Prest. (m2 /jaar) werkdagen]]/Ruimtestaat[[#This Row],[Norm (m2/uur) werkdagen]],0)</f>
        <v>0</v>
      </c>
      <c r="Y239" s="221">
        <f>Ruimtestaat[[#This Row],[uren / jaar werkdagen]]*Tariefsopbouw!$D$38</f>
        <v>0</v>
      </c>
      <c r="Z239" s="33"/>
      <c r="AA239" s="33">
        <f>IF(Ruimtestaat[[#This Row],[Frequentie weekend]]&gt;0,VALUE(LEFT(Z239,1))*S239,0)</f>
        <v>0</v>
      </c>
      <c r="AB239" s="33">
        <f>IF($AA239&gt;0,VLOOKUP($K239,Ruimtegroepen[],3,FALSE)*VLOOKUP($M239,Vloersoorten[],3,FALSE)*VLOOKUP($Z239,Frequenties[],3,FALSE)*VLOOKUP(#REF!,Locaties[],3,FALSE),0)</f>
        <v>0</v>
      </c>
      <c r="AC239" s="33"/>
      <c r="AD239" s="33"/>
      <c r="AE239" s="33">
        <f>Ruimtestaat[[#This Row],[uren / jaar weekend]]*Tariefsopbouw!$D$40</f>
        <v>0</v>
      </c>
      <c r="AF239" s="79">
        <f>Ruimtestaat[[#This Row],[Prest. (m2 /jaar) weekend]]+Ruimtestaat[[#This Row],[Prest. (m2 /jaar) werkdagen]]</f>
        <v>280</v>
      </c>
      <c r="AG239" s="79">
        <f>Ruimtestaat[[#This Row],[uren / jaar weekend]]+Ruimtestaat[[#This Row],[uren / jaar werkdagen]]</f>
        <v>0</v>
      </c>
      <c r="AH239" s="80">
        <f>Ruimtestaat[[#This Row],[kosten / jaar weekend]]+Ruimtestaat[[#This Row],[kosten / jaar werkdagen]]</f>
        <v>0</v>
      </c>
    </row>
    <row r="240" spans="1:34" ht="15" customHeight="1">
      <c r="A240" s="256">
        <v>4</v>
      </c>
      <c r="B240" s="171" t="str">
        <f>VLOOKUP(Ruimtestaat[[#This Row],[Code]],Locaties[#All],2,FALSE)</f>
        <v>Stafbureau Attendiz</v>
      </c>
      <c r="C240" s="258" t="str">
        <f>VLOOKUP(Ruimtestaat[[#This Row],[Code]],Locaties[#All],4,FALSE)</f>
        <v>Welbergweg 20</v>
      </c>
      <c r="D240" s="258" t="str">
        <f>VLOOKUP(Ruimtestaat[[#This Row],[Code]],Locaties[#All],5,FALSE)</f>
        <v>7556 PE</v>
      </c>
      <c r="E240" s="258" t="str">
        <f>VLOOKUP(Ruimtestaat[[#This Row],[Code]],Locaties[#All],6,FALSE)</f>
        <v>Hengelo</v>
      </c>
      <c r="F240" s="257"/>
      <c r="G240" s="257" t="s">
        <v>857</v>
      </c>
      <c r="H240" s="171"/>
      <c r="I240" s="257" t="s">
        <v>1086</v>
      </c>
      <c r="J240" s="259" t="s">
        <v>689</v>
      </c>
      <c r="K240" s="258">
        <v>4</v>
      </c>
      <c r="L240" s="260" t="str">
        <f>VLOOKUP(Ruimtestaat[[#This Row],[Ruimte code]],Ruimtegroepen[#All],2,FALSE)</f>
        <v>Vergader/spreekkamers</v>
      </c>
      <c r="M240" s="212" t="s">
        <v>597</v>
      </c>
      <c r="N240" s="257" t="s">
        <v>38</v>
      </c>
      <c r="O240" s="261">
        <v>14</v>
      </c>
      <c r="P240" s="183"/>
      <c r="Q240" s="212" t="str">
        <f>VLOOKUP(Ruimtestaat[[#This Row],[Ruimte code]],Ruimtegroepen[#All],4,FALSE)</f>
        <v>B  (Bureauruimte)</v>
      </c>
      <c r="R240" s="184"/>
      <c r="S240" s="185">
        <v>40</v>
      </c>
      <c r="T240" s="185" t="s">
        <v>18</v>
      </c>
      <c r="U240" s="185">
        <f>IF(S240&gt;0,IF(RIGHT(Ruimtestaat[[#This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240" s="185">
        <f>IF(U240&gt;0,VLOOKUP($K240,Ruimtegroepen[],3,FALSE)*VLOOKUP($M240,Vloersoorten[],3,FALSE)*VLOOKUP($T240,Frequenties[],3,FALSE)*VLOOKUP($A240,Locaties[],3,FALSE),0)</f>
        <v>0</v>
      </c>
      <c r="W240" s="185">
        <f>Ruimtestaat[[#This Row],[Uitvoeringen werkdagen]]*Ruimtestaat[[#This Row],[Oppervlak (netto)]]</f>
        <v>1680</v>
      </c>
      <c r="X240" s="220">
        <f>IF(V240&gt;0,Ruimtestaat[[#This Row],[Prest. (m2 /jaar) werkdagen]]/Ruimtestaat[[#This Row],[Norm (m2/uur) werkdagen]],0)</f>
        <v>0</v>
      </c>
      <c r="Y240" s="221">
        <f>Ruimtestaat[[#This Row],[uren / jaar werkdagen]]*Tariefsopbouw!$D$38</f>
        <v>0</v>
      </c>
      <c r="Z240" s="33"/>
      <c r="AA240" s="33">
        <f>IF(Ruimtestaat[[#This Row],[Frequentie weekend]]&gt;0,VALUE(LEFT(Z240,1))*S240,0)</f>
        <v>0</v>
      </c>
      <c r="AB240" s="33">
        <f>IF($AA240&gt;0,VLOOKUP($K240,Ruimtegroepen[],3,FALSE)*VLOOKUP($M240,Vloersoorten[],3,FALSE)*VLOOKUP($Z240,Frequenties[],3,FALSE)*VLOOKUP(#REF!,Locaties[],3,FALSE),0)</f>
        <v>0</v>
      </c>
      <c r="AC240" s="33"/>
      <c r="AD240" s="33"/>
      <c r="AE240" s="33">
        <f>Ruimtestaat[[#This Row],[uren / jaar weekend]]*Tariefsopbouw!$D$40</f>
        <v>0</v>
      </c>
      <c r="AF240" s="79">
        <f>Ruimtestaat[[#This Row],[Prest. (m2 /jaar) weekend]]+Ruimtestaat[[#This Row],[Prest. (m2 /jaar) werkdagen]]</f>
        <v>1680</v>
      </c>
      <c r="AG240" s="79">
        <f>Ruimtestaat[[#This Row],[uren / jaar weekend]]+Ruimtestaat[[#This Row],[uren / jaar werkdagen]]</f>
        <v>0</v>
      </c>
      <c r="AH240" s="80">
        <f>Ruimtestaat[[#This Row],[kosten / jaar weekend]]+Ruimtestaat[[#This Row],[kosten / jaar werkdagen]]</f>
        <v>0</v>
      </c>
    </row>
    <row r="241" spans="1:34" ht="15" customHeight="1">
      <c r="A241" s="256">
        <v>4</v>
      </c>
      <c r="B241" s="171" t="str">
        <f>VLOOKUP(Ruimtestaat[[#This Row],[Code]],Locaties[#All],2,FALSE)</f>
        <v>Stafbureau Attendiz</v>
      </c>
      <c r="C241" s="258" t="str">
        <f>VLOOKUP(Ruimtestaat[[#This Row],[Code]],Locaties[#All],4,FALSE)</f>
        <v>Welbergweg 20</v>
      </c>
      <c r="D241" s="258" t="str">
        <f>VLOOKUP(Ruimtestaat[[#This Row],[Code]],Locaties[#All],5,FALSE)</f>
        <v>7556 PE</v>
      </c>
      <c r="E241" s="258" t="str">
        <f>VLOOKUP(Ruimtestaat[[#This Row],[Code]],Locaties[#All],6,FALSE)</f>
        <v>Hengelo</v>
      </c>
      <c r="F241" s="257"/>
      <c r="G241" s="257" t="s">
        <v>857</v>
      </c>
      <c r="H241" s="171"/>
      <c r="I241" s="257" t="s">
        <v>1087</v>
      </c>
      <c r="J241" s="259" t="s">
        <v>689</v>
      </c>
      <c r="K241" s="258">
        <v>4</v>
      </c>
      <c r="L241" s="260" t="str">
        <f>VLOOKUP(Ruimtestaat[[#This Row],[Ruimte code]],Ruimtegroepen[#All],2,FALSE)</f>
        <v>Vergader/spreekkamers</v>
      </c>
      <c r="M241" s="258" t="s">
        <v>597</v>
      </c>
      <c r="N241" s="257" t="s">
        <v>38</v>
      </c>
      <c r="O241" s="261">
        <v>9</v>
      </c>
      <c r="P241" s="183"/>
      <c r="Q241" s="212" t="str">
        <f>VLOOKUP(Ruimtestaat[[#This Row],[Ruimte code]],Ruimtegroepen[#All],4,FALSE)</f>
        <v>B  (Bureauruimte)</v>
      </c>
      <c r="R241" s="184"/>
      <c r="S241" s="185">
        <v>40</v>
      </c>
      <c r="T241" s="185" t="s">
        <v>18</v>
      </c>
      <c r="U241" s="185">
        <f>IF(S241&gt;0,IF(RIGHT(Ruimtestaat[[#This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241" s="185">
        <f>IF(U241&gt;0,VLOOKUP($K241,Ruimtegroepen[],3,FALSE)*VLOOKUP($M241,Vloersoorten[],3,FALSE)*VLOOKUP($T241,Frequenties[],3,FALSE)*VLOOKUP($A241,Locaties[],3,FALSE),0)</f>
        <v>0</v>
      </c>
      <c r="W241" s="185">
        <f>Ruimtestaat[[#This Row],[Uitvoeringen werkdagen]]*Ruimtestaat[[#This Row],[Oppervlak (netto)]]</f>
        <v>1080</v>
      </c>
      <c r="X241" s="220">
        <f>IF(V241&gt;0,Ruimtestaat[[#This Row],[Prest. (m2 /jaar) werkdagen]]/Ruimtestaat[[#This Row],[Norm (m2/uur) werkdagen]],0)</f>
        <v>0</v>
      </c>
      <c r="Y241" s="221">
        <f>Ruimtestaat[[#This Row],[uren / jaar werkdagen]]*Tariefsopbouw!$D$38</f>
        <v>0</v>
      </c>
      <c r="Z241" s="33"/>
      <c r="AA241" s="33">
        <f>IF(Ruimtestaat[[#This Row],[Frequentie weekend]]&gt;0,VALUE(LEFT(Z241,1))*S241,0)</f>
        <v>0</v>
      </c>
      <c r="AB241" s="33">
        <f>IF($AA241&gt;0,VLOOKUP($K241,Ruimtegroepen[],3,FALSE)*VLOOKUP($M241,Vloersoorten[],3,FALSE)*VLOOKUP($Z241,Frequenties[],3,FALSE)*VLOOKUP(#REF!,Locaties[],3,FALSE),0)</f>
        <v>0</v>
      </c>
      <c r="AC241" s="33"/>
      <c r="AD241" s="33"/>
      <c r="AE241" s="33">
        <f>Ruimtestaat[[#This Row],[uren / jaar weekend]]*Tariefsopbouw!$D$40</f>
        <v>0</v>
      </c>
      <c r="AF241" s="79">
        <f>Ruimtestaat[[#This Row],[Prest. (m2 /jaar) weekend]]+Ruimtestaat[[#This Row],[Prest. (m2 /jaar) werkdagen]]</f>
        <v>1080</v>
      </c>
      <c r="AG241" s="79">
        <f>Ruimtestaat[[#This Row],[uren / jaar weekend]]+Ruimtestaat[[#This Row],[uren / jaar werkdagen]]</f>
        <v>0</v>
      </c>
      <c r="AH241" s="80">
        <f>Ruimtestaat[[#This Row],[kosten / jaar weekend]]+Ruimtestaat[[#This Row],[kosten / jaar werkdagen]]</f>
        <v>0</v>
      </c>
    </row>
    <row r="242" spans="1:34" ht="15" customHeight="1">
      <c r="A242" s="256">
        <v>4</v>
      </c>
      <c r="B242" s="171" t="str">
        <f>VLOOKUP(Ruimtestaat[[#This Row],[Code]],Locaties[#All],2,FALSE)</f>
        <v>Stafbureau Attendiz</v>
      </c>
      <c r="C242" s="258" t="str">
        <f>VLOOKUP(Ruimtestaat[[#This Row],[Code]],Locaties[#All],4,FALSE)</f>
        <v>Welbergweg 20</v>
      </c>
      <c r="D242" s="258" t="str">
        <f>VLOOKUP(Ruimtestaat[[#This Row],[Code]],Locaties[#All],5,FALSE)</f>
        <v>7556 PE</v>
      </c>
      <c r="E242" s="258" t="str">
        <f>VLOOKUP(Ruimtestaat[[#This Row],[Code]],Locaties[#All],6,FALSE)</f>
        <v>Hengelo</v>
      </c>
      <c r="F242" s="257"/>
      <c r="G242" s="257" t="s">
        <v>857</v>
      </c>
      <c r="H242" s="171"/>
      <c r="I242" s="257" t="s">
        <v>1088</v>
      </c>
      <c r="J242" s="259" t="s">
        <v>1034</v>
      </c>
      <c r="K242" s="171">
        <v>1</v>
      </c>
      <c r="L242" s="260" t="str">
        <f>VLOOKUP(Ruimtestaat[[#This Row],[Ruimte code]],Ruimtegroepen[#All],2,FALSE)</f>
        <v>Magazijnen/bergingen</v>
      </c>
      <c r="M242" s="185" t="s">
        <v>597</v>
      </c>
      <c r="N242" s="257" t="s">
        <v>38</v>
      </c>
      <c r="O242" s="261">
        <v>15</v>
      </c>
      <c r="P242" s="183"/>
      <c r="Q242" s="212" t="str">
        <f>VLOOKUP(Ruimtestaat[[#This Row],[Ruimte code]],Ruimtegroepen[#All],4,FALSE)</f>
        <v>V  (Verkeersruimte)</v>
      </c>
      <c r="R242" s="184"/>
      <c r="S242" s="185">
        <v>40</v>
      </c>
      <c r="T242" s="185" t="s">
        <v>16</v>
      </c>
      <c r="U242" s="185">
        <f>IF(S242&gt;0,IF(RIGHT(Ruimtestaat[[#This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242" s="185">
        <f>IF(U242&gt;0,VLOOKUP($K242,Ruimtegroepen[],3,FALSE)*VLOOKUP($M242,Vloersoorten[],3,FALSE)*VLOOKUP($T242,Frequenties[],3,FALSE)*VLOOKUP($A242,Locaties[],3,FALSE),0)</f>
        <v>0</v>
      </c>
      <c r="W242" s="185">
        <f>Ruimtestaat[[#This Row],[Uitvoeringen werkdagen]]*Ruimtestaat[[#This Row],[Oppervlak (netto)]]</f>
        <v>180</v>
      </c>
      <c r="X242" s="220">
        <f>IF(V242&gt;0,Ruimtestaat[[#This Row],[Prest. (m2 /jaar) werkdagen]]/Ruimtestaat[[#This Row],[Norm (m2/uur) werkdagen]],0)</f>
        <v>0</v>
      </c>
      <c r="Y242" s="221">
        <f>Ruimtestaat[[#This Row],[uren / jaar werkdagen]]*Tariefsopbouw!$D$38</f>
        <v>0</v>
      </c>
      <c r="Z242" s="33"/>
      <c r="AA242" s="33">
        <f>IF(Ruimtestaat[[#This Row],[Frequentie weekend]]&gt;0,VALUE(LEFT(Z242,1))*S242,0)</f>
        <v>0</v>
      </c>
      <c r="AB242" s="33">
        <f>IF($AA242&gt;0,VLOOKUP($K242,Ruimtegroepen[],3,FALSE)*VLOOKUP($M242,Vloersoorten[],3,FALSE)*VLOOKUP($Z242,Frequenties[],3,FALSE)*VLOOKUP(#REF!,Locaties[],3,FALSE),0)</f>
        <v>0</v>
      </c>
      <c r="AC242" s="33"/>
      <c r="AD242" s="33"/>
      <c r="AE242" s="33">
        <f>Ruimtestaat[[#This Row],[uren / jaar weekend]]*Tariefsopbouw!$D$40</f>
        <v>0</v>
      </c>
      <c r="AF242" s="79">
        <f>Ruimtestaat[[#This Row],[Prest. (m2 /jaar) weekend]]+Ruimtestaat[[#This Row],[Prest. (m2 /jaar) werkdagen]]</f>
        <v>180</v>
      </c>
      <c r="AG242" s="79">
        <f>Ruimtestaat[[#This Row],[uren / jaar weekend]]+Ruimtestaat[[#This Row],[uren / jaar werkdagen]]</f>
        <v>0</v>
      </c>
      <c r="AH242" s="80">
        <f>Ruimtestaat[[#This Row],[kosten / jaar weekend]]+Ruimtestaat[[#This Row],[kosten / jaar werkdagen]]</f>
        <v>0</v>
      </c>
    </row>
    <row r="243" spans="1:34" ht="15" customHeight="1">
      <c r="A243" s="256">
        <v>4</v>
      </c>
      <c r="B243" s="171" t="str">
        <f>VLOOKUP(Ruimtestaat[[#This Row],[Code]],Locaties[#All],2,FALSE)</f>
        <v>Stafbureau Attendiz</v>
      </c>
      <c r="C243" s="258" t="str">
        <f>VLOOKUP(Ruimtestaat[[#This Row],[Code]],Locaties[#All],4,FALSE)</f>
        <v>Welbergweg 20</v>
      </c>
      <c r="D243" s="258" t="str">
        <f>VLOOKUP(Ruimtestaat[[#This Row],[Code]],Locaties[#All],5,FALSE)</f>
        <v>7556 PE</v>
      </c>
      <c r="E243" s="258" t="str">
        <f>VLOOKUP(Ruimtestaat[[#This Row],[Code]],Locaties[#All],6,FALSE)</f>
        <v>Hengelo</v>
      </c>
      <c r="F243" s="257"/>
      <c r="G243" s="257" t="s">
        <v>857</v>
      </c>
      <c r="H243" s="171"/>
      <c r="I243" s="257" t="s">
        <v>1089</v>
      </c>
      <c r="J243" s="259" t="s">
        <v>574</v>
      </c>
      <c r="K243" s="258">
        <v>6</v>
      </c>
      <c r="L243" s="260" t="str">
        <f>VLOOKUP(Ruimtestaat[[#This Row],[Ruimte code]],Ruimtegroepen[#All],2,FALSE)</f>
        <v>Gangen/hallen</v>
      </c>
      <c r="M243" s="258" t="s">
        <v>597</v>
      </c>
      <c r="N243" s="257" t="s">
        <v>38</v>
      </c>
      <c r="O243" s="261">
        <v>18</v>
      </c>
      <c r="P243" s="183"/>
      <c r="Q243" s="212" t="str">
        <f>VLOOKUP(Ruimtestaat[[#This Row],[Ruimte code]],Ruimtegroepen[#All],4,FALSE)</f>
        <v>V  (Verkeersruimte)</v>
      </c>
      <c r="R243" s="184"/>
      <c r="S243" s="185">
        <v>40</v>
      </c>
      <c r="T243" s="185" t="s">
        <v>15</v>
      </c>
      <c r="U243" s="185">
        <f>IF(S243&gt;0,IF(RIGHT(Ruimtestaat[[#This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43" s="185">
        <f>IF(U243&gt;0,VLOOKUP($K243,Ruimtegroepen[],3,FALSE)*VLOOKUP($M243,Vloersoorten[],3,FALSE)*VLOOKUP($T243,Frequenties[],3,FALSE)*VLOOKUP($A243,Locaties[],3,FALSE),0)</f>
        <v>0</v>
      </c>
      <c r="W243" s="185">
        <f>Ruimtestaat[[#This Row],[Uitvoeringen werkdagen]]*Ruimtestaat[[#This Row],[Oppervlak (netto)]]</f>
        <v>720</v>
      </c>
      <c r="X243" s="220">
        <f>IF(V243&gt;0,Ruimtestaat[[#This Row],[Prest. (m2 /jaar) werkdagen]]/Ruimtestaat[[#This Row],[Norm (m2/uur) werkdagen]],0)</f>
        <v>0</v>
      </c>
      <c r="Y243" s="221">
        <f>Ruimtestaat[[#This Row],[uren / jaar werkdagen]]*Tariefsopbouw!$D$38</f>
        <v>0</v>
      </c>
      <c r="Z243" s="33"/>
      <c r="AA243" s="33">
        <f>IF(Ruimtestaat[[#This Row],[Frequentie weekend]]&gt;0,VALUE(LEFT(Z243,1))*S243,0)</f>
        <v>0</v>
      </c>
      <c r="AB243" s="33">
        <f>IF($AA243&gt;0,VLOOKUP($K243,Ruimtegroepen[],3,FALSE)*VLOOKUP($M243,Vloersoorten[],3,FALSE)*VLOOKUP($Z243,Frequenties[],3,FALSE)*VLOOKUP(#REF!,Locaties[],3,FALSE),0)</f>
        <v>0</v>
      </c>
      <c r="AC243" s="33"/>
      <c r="AD243" s="33"/>
      <c r="AE243" s="33">
        <f>Ruimtestaat[[#This Row],[uren / jaar weekend]]*Tariefsopbouw!$D$40</f>
        <v>0</v>
      </c>
      <c r="AF243" s="79">
        <f>Ruimtestaat[[#This Row],[Prest. (m2 /jaar) weekend]]+Ruimtestaat[[#This Row],[Prest. (m2 /jaar) werkdagen]]</f>
        <v>720</v>
      </c>
      <c r="AG243" s="79">
        <f>Ruimtestaat[[#This Row],[uren / jaar weekend]]+Ruimtestaat[[#This Row],[uren / jaar werkdagen]]</f>
        <v>0</v>
      </c>
      <c r="AH243" s="80">
        <f>Ruimtestaat[[#This Row],[kosten / jaar weekend]]+Ruimtestaat[[#This Row],[kosten / jaar werkdagen]]</f>
        <v>0</v>
      </c>
    </row>
    <row r="244" spans="1:34" ht="15" customHeight="1">
      <c r="A244" s="256">
        <v>4</v>
      </c>
      <c r="B244" s="171" t="str">
        <f>VLOOKUP(Ruimtestaat[[#This Row],[Code]],Locaties[#All],2,FALSE)</f>
        <v>Stafbureau Attendiz</v>
      </c>
      <c r="C244" s="258" t="str">
        <f>VLOOKUP(Ruimtestaat[[#This Row],[Code]],Locaties[#All],4,FALSE)</f>
        <v>Welbergweg 20</v>
      </c>
      <c r="D244" s="258" t="str">
        <f>VLOOKUP(Ruimtestaat[[#This Row],[Code]],Locaties[#All],5,FALSE)</f>
        <v>7556 PE</v>
      </c>
      <c r="E244" s="258" t="str">
        <f>VLOOKUP(Ruimtestaat[[#This Row],[Code]],Locaties[#All],6,FALSE)</f>
        <v>Hengelo</v>
      </c>
      <c r="F244" s="257"/>
      <c r="G244" s="257" t="s">
        <v>857</v>
      </c>
      <c r="H244" s="171"/>
      <c r="I244" s="257" t="s">
        <v>1090</v>
      </c>
      <c r="J244" s="259" t="s">
        <v>130</v>
      </c>
      <c r="K244" s="258">
        <v>15</v>
      </c>
      <c r="L244" s="260" t="str">
        <f>VLOOKUP(Ruimtestaat[[#This Row],[Ruimte code]],Ruimtegroepen[#All],2,FALSE)</f>
        <v>Keuken/pantry</v>
      </c>
      <c r="M244" s="185" t="s">
        <v>598</v>
      </c>
      <c r="N244" s="257" t="s">
        <v>132</v>
      </c>
      <c r="O244" s="261">
        <v>7.5</v>
      </c>
      <c r="P244" s="183"/>
      <c r="Q244" s="212" t="str">
        <f>VLOOKUP(Ruimtestaat[[#This Row],[Ruimte code]],Ruimtegroepen[#All],4,FALSE)</f>
        <v>V  (Verkeersruimte)</v>
      </c>
      <c r="R244" s="184"/>
      <c r="S244" s="185">
        <v>40</v>
      </c>
      <c r="T244" s="185" t="s">
        <v>2</v>
      </c>
      <c r="U244" s="185">
        <f>IF(S244&gt;0,IF(RIGHT(Ruimtestaat[[#This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4" s="185">
        <f>IF(U244&gt;0,VLOOKUP($K244,Ruimtegroepen[],3,FALSE)*VLOOKUP($M244,Vloersoorten[],3,FALSE)*VLOOKUP($T244,Frequenties[],3,FALSE)*VLOOKUP($A244,Locaties[],3,FALSE),0)</f>
        <v>0</v>
      </c>
      <c r="W244" s="185">
        <f>Ruimtestaat[[#This Row],[Uitvoeringen werkdagen]]*Ruimtestaat[[#This Row],[Oppervlak (netto)]]</f>
        <v>1500</v>
      </c>
      <c r="X244" s="220">
        <f>IF(V244&gt;0,Ruimtestaat[[#This Row],[Prest. (m2 /jaar) werkdagen]]/Ruimtestaat[[#This Row],[Norm (m2/uur) werkdagen]],0)</f>
        <v>0</v>
      </c>
      <c r="Y244" s="221">
        <f>Ruimtestaat[[#This Row],[uren / jaar werkdagen]]*Tariefsopbouw!$D$38</f>
        <v>0</v>
      </c>
      <c r="Z244" s="33"/>
      <c r="AA244" s="33">
        <f>IF(Ruimtestaat[[#This Row],[Frequentie weekend]]&gt;0,VALUE(LEFT(Z244,1))*S244,0)</f>
        <v>0</v>
      </c>
      <c r="AB244" s="33">
        <f>IF($AA244&gt;0,VLOOKUP($K244,Ruimtegroepen[],3,FALSE)*VLOOKUP($M244,Vloersoorten[],3,FALSE)*VLOOKUP($Z244,Frequenties[],3,FALSE)*VLOOKUP(#REF!,Locaties[],3,FALSE),0)</f>
        <v>0</v>
      </c>
      <c r="AC244" s="33"/>
      <c r="AD244" s="33"/>
      <c r="AE244" s="33">
        <f>Ruimtestaat[[#This Row],[uren / jaar weekend]]*Tariefsopbouw!$D$40</f>
        <v>0</v>
      </c>
      <c r="AF244" s="79">
        <f>Ruimtestaat[[#This Row],[Prest. (m2 /jaar) weekend]]+Ruimtestaat[[#This Row],[Prest. (m2 /jaar) werkdagen]]</f>
        <v>1500</v>
      </c>
      <c r="AG244" s="79">
        <f>Ruimtestaat[[#This Row],[uren / jaar weekend]]+Ruimtestaat[[#This Row],[uren / jaar werkdagen]]</f>
        <v>0</v>
      </c>
      <c r="AH244" s="80">
        <f>Ruimtestaat[[#This Row],[kosten / jaar weekend]]+Ruimtestaat[[#This Row],[kosten / jaar werkdagen]]</f>
        <v>0</v>
      </c>
    </row>
    <row r="245" spans="1:34" ht="15" customHeight="1">
      <c r="A245" s="256">
        <v>4</v>
      </c>
      <c r="B245" s="171" t="str">
        <f>VLOOKUP(Ruimtestaat[[#This Row],[Code]],Locaties[#All],2,FALSE)</f>
        <v>Stafbureau Attendiz</v>
      </c>
      <c r="C245" s="258" t="str">
        <f>VLOOKUP(Ruimtestaat[[#This Row],[Code]],Locaties[#All],4,FALSE)</f>
        <v>Welbergweg 20</v>
      </c>
      <c r="D245" s="258" t="str">
        <f>VLOOKUP(Ruimtestaat[[#This Row],[Code]],Locaties[#All],5,FALSE)</f>
        <v>7556 PE</v>
      </c>
      <c r="E245" s="258" t="str">
        <f>VLOOKUP(Ruimtestaat[[#This Row],[Code]],Locaties[#All],6,FALSE)</f>
        <v>Hengelo</v>
      </c>
      <c r="F245" s="257"/>
      <c r="G245" s="257" t="s">
        <v>857</v>
      </c>
      <c r="H245" s="171"/>
      <c r="I245" s="257" t="s">
        <v>1091</v>
      </c>
      <c r="J245" s="259" t="s">
        <v>569</v>
      </c>
      <c r="K245" s="171">
        <v>5</v>
      </c>
      <c r="L245" s="260" t="str">
        <f>VLOOKUP(Ruimtestaat[[#This Row],[Ruimte code]],Ruimtegroepen[#All],2,FALSE)</f>
        <v>Sanitair</v>
      </c>
      <c r="M245" s="212" t="s">
        <v>111</v>
      </c>
      <c r="N245" s="257" t="s">
        <v>605</v>
      </c>
      <c r="O245" s="261">
        <v>5</v>
      </c>
      <c r="P245" s="183"/>
      <c r="Q245" s="212" t="str">
        <f>VLOOKUP(Ruimtestaat[[#This Row],[Ruimte code]],Ruimtegroepen[#All],4,FALSE)</f>
        <v>S  (Sanitair)</v>
      </c>
      <c r="R245" s="184"/>
      <c r="S245" s="185">
        <v>40</v>
      </c>
      <c r="T245" s="185" t="s">
        <v>2</v>
      </c>
      <c r="U245" s="185">
        <f>IF(S245&gt;0,IF(RIGHT(Ruimtestaat[[#This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5" s="185">
        <f>IF(U245&gt;0,VLOOKUP($K245,Ruimtegroepen[],3,FALSE)*VLOOKUP($M245,Vloersoorten[],3,FALSE)*VLOOKUP($T245,Frequenties[],3,FALSE)*VLOOKUP($A245,Locaties[],3,FALSE),0)</f>
        <v>0</v>
      </c>
      <c r="W245" s="185">
        <f>Ruimtestaat[[#This Row],[Uitvoeringen werkdagen]]*Ruimtestaat[[#This Row],[Oppervlak (netto)]]</f>
        <v>1000</v>
      </c>
      <c r="X245" s="220">
        <f>IF(V245&gt;0,Ruimtestaat[[#This Row],[Prest. (m2 /jaar) werkdagen]]/Ruimtestaat[[#This Row],[Norm (m2/uur) werkdagen]],0)</f>
        <v>0</v>
      </c>
      <c r="Y245" s="221">
        <f>Ruimtestaat[[#This Row],[uren / jaar werkdagen]]*Tariefsopbouw!$D$38</f>
        <v>0</v>
      </c>
      <c r="Z245" s="33"/>
      <c r="AA245" s="33">
        <f>IF(Ruimtestaat[[#This Row],[Frequentie weekend]]&gt;0,VALUE(LEFT(Z245,1))*S245,0)</f>
        <v>0</v>
      </c>
      <c r="AB245" s="33">
        <f>IF($AA245&gt;0,VLOOKUP($K245,Ruimtegroepen[],3,FALSE)*VLOOKUP($M245,Vloersoorten[],3,FALSE)*VLOOKUP($Z245,Frequenties[],3,FALSE)*VLOOKUP(#REF!,Locaties[],3,FALSE),0)</f>
        <v>0</v>
      </c>
      <c r="AC245" s="33"/>
      <c r="AD245" s="33"/>
      <c r="AE245" s="33">
        <f>Ruimtestaat[[#This Row],[uren / jaar weekend]]*Tariefsopbouw!$D$40</f>
        <v>0</v>
      </c>
      <c r="AF245" s="79">
        <f>Ruimtestaat[[#This Row],[Prest. (m2 /jaar) weekend]]+Ruimtestaat[[#This Row],[Prest. (m2 /jaar) werkdagen]]</f>
        <v>1000</v>
      </c>
      <c r="AG245" s="79">
        <f>Ruimtestaat[[#This Row],[uren / jaar weekend]]+Ruimtestaat[[#This Row],[uren / jaar werkdagen]]</f>
        <v>0</v>
      </c>
      <c r="AH245" s="80">
        <f>Ruimtestaat[[#This Row],[kosten / jaar weekend]]+Ruimtestaat[[#This Row],[kosten / jaar werkdagen]]</f>
        <v>0</v>
      </c>
    </row>
    <row r="246" spans="1:34" ht="15" customHeight="1">
      <c r="A246" s="256">
        <v>4</v>
      </c>
      <c r="B246" s="171" t="str">
        <f>VLOOKUP(Ruimtestaat[[#This Row],[Code]],Locaties[#All],2,FALSE)</f>
        <v>Stafbureau Attendiz</v>
      </c>
      <c r="C246" s="258" t="str">
        <f>VLOOKUP(Ruimtestaat[[#This Row],[Code]],Locaties[#All],4,FALSE)</f>
        <v>Welbergweg 20</v>
      </c>
      <c r="D246" s="258" t="str">
        <f>VLOOKUP(Ruimtestaat[[#This Row],[Code]],Locaties[#All],5,FALSE)</f>
        <v>7556 PE</v>
      </c>
      <c r="E246" s="258" t="str">
        <f>VLOOKUP(Ruimtestaat[[#This Row],[Code]],Locaties[#All],6,FALSE)</f>
        <v>Hengelo</v>
      </c>
      <c r="F246" s="257"/>
      <c r="G246" s="257" t="s">
        <v>857</v>
      </c>
      <c r="H246" s="171"/>
      <c r="I246" s="257" t="s">
        <v>1092</v>
      </c>
      <c r="J246" s="259" t="s">
        <v>569</v>
      </c>
      <c r="K246" s="258">
        <v>5</v>
      </c>
      <c r="L246" s="260" t="str">
        <f>VLOOKUP(Ruimtestaat[[#This Row],[Ruimte code]],Ruimtegroepen[#All],2,FALSE)</f>
        <v>Sanitair</v>
      </c>
      <c r="M246" s="212" t="s">
        <v>111</v>
      </c>
      <c r="N246" s="257" t="s">
        <v>605</v>
      </c>
      <c r="O246" s="261">
        <v>3.7</v>
      </c>
      <c r="P246" s="183"/>
      <c r="Q246" s="212" t="str">
        <f>VLOOKUP(Ruimtestaat[[#This Row],[Ruimte code]],Ruimtegroepen[#All],4,FALSE)</f>
        <v>S  (Sanitair)</v>
      </c>
      <c r="R246" s="184"/>
      <c r="S246" s="185">
        <v>40</v>
      </c>
      <c r="T246" s="185" t="s">
        <v>2</v>
      </c>
      <c r="U246" s="185">
        <f>IF(S246&gt;0,IF(RIGHT(Ruimtestaat[[#This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6" s="185">
        <f>IF(U246&gt;0,VLOOKUP($K246,Ruimtegroepen[],3,FALSE)*VLOOKUP($M246,Vloersoorten[],3,FALSE)*VLOOKUP($T246,Frequenties[],3,FALSE)*VLOOKUP($A246,Locaties[],3,FALSE),0)</f>
        <v>0</v>
      </c>
      <c r="W246" s="185">
        <f>Ruimtestaat[[#This Row],[Uitvoeringen werkdagen]]*Ruimtestaat[[#This Row],[Oppervlak (netto)]]</f>
        <v>740</v>
      </c>
      <c r="X246" s="220">
        <f>IF(V246&gt;0,Ruimtestaat[[#This Row],[Prest. (m2 /jaar) werkdagen]]/Ruimtestaat[[#This Row],[Norm (m2/uur) werkdagen]],0)</f>
        <v>0</v>
      </c>
      <c r="Y246" s="221">
        <f>Ruimtestaat[[#This Row],[uren / jaar werkdagen]]*Tariefsopbouw!$D$38</f>
        <v>0</v>
      </c>
      <c r="Z246" s="33"/>
      <c r="AA246" s="33">
        <f>IF(Ruimtestaat[[#This Row],[Frequentie weekend]]&gt;0,VALUE(LEFT(Z246,1))*S246,0)</f>
        <v>0</v>
      </c>
      <c r="AB246" s="33">
        <f>IF($AA246&gt;0,VLOOKUP($K246,Ruimtegroepen[],3,FALSE)*VLOOKUP($M246,Vloersoorten[],3,FALSE)*VLOOKUP($Z246,Frequenties[],3,FALSE)*VLOOKUP(#REF!,Locaties[],3,FALSE),0)</f>
        <v>0</v>
      </c>
      <c r="AC246" s="33"/>
      <c r="AD246" s="33"/>
      <c r="AE246" s="33">
        <f>Ruimtestaat[[#This Row],[uren / jaar weekend]]*Tariefsopbouw!$D$40</f>
        <v>0</v>
      </c>
      <c r="AF246" s="79">
        <f>Ruimtestaat[[#This Row],[Prest. (m2 /jaar) weekend]]+Ruimtestaat[[#This Row],[Prest. (m2 /jaar) werkdagen]]</f>
        <v>740</v>
      </c>
      <c r="AG246" s="79">
        <f>Ruimtestaat[[#This Row],[uren / jaar weekend]]+Ruimtestaat[[#This Row],[uren / jaar werkdagen]]</f>
        <v>0</v>
      </c>
      <c r="AH246" s="80">
        <f>Ruimtestaat[[#This Row],[kosten / jaar weekend]]+Ruimtestaat[[#This Row],[kosten / jaar werkdagen]]</f>
        <v>0</v>
      </c>
    </row>
    <row r="247" spans="1:34" ht="15" customHeight="1">
      <c r="A247" s="256">
        <v>4</v>
      </c>
      <c r="B247" s="171" t="str">
        <f>VLOOKUP(Ruimtestaat[[#This Row],[Code]],Locaties[#All],2,FALSE)</f>
        <v>Stafbureau Attendiz</v>
      </c>
      <c r="C247" s="258" t="str">
        <f>VLOOKUP(Ruimtestaat[[#This Row],[Code]],Locaties[#All],4,FALSE)</f>
        <v>Welbergweg 20</v>
      </c>
      <c r="D247" s="258" t="str">
        <f>VLOOKUP(Ruimtestaat[[#This Row],[Code]],Locaties[#All],5,FALSE)</f>
        <v>7556 PE</v>
      </c>
      <c r="E247" s="258" t="str">
        <f>VLOOKUP(Ruimtestaat[[#This Row],[Code]],Locaties[#All],6,FALSE)</f>
        <v>Hengelo</v>
      </c>
      <c r="F247" s="257"/>
      <c r="G247" s="257" t="s">
        <v>1065</v>
      </c>
      <c r="H247" s="171"/>
      <c r="I247" s="257" t="s">
        <v>1093</v>
      </c>
      <c r="J247" s="259" t="s">
        <v>587</v>
      </c>
      <c r="K247" s="258">
        <v>6</v>
      </c>
      <c r="L247" s="260" t="str">
        <f>VLOOKUP(Ruimtestaat[[#This Row],[Ruimte code]],Ruimtegroepen[#All],2,FALSE)</f>
        <v>Gangen/hallen</v>
      </c>
      <c r="M247" s="212" t="s">
        <v>111</v>
      </c>
      <c r="N247" s="257" t="s">
        <v>1105</v>
      </c>
      <c r="O247" s="261">
        <v>23</v>
      </c>
      <c r="P247" s="183"/>
      <c r="Q247" s="212" t="str">
        <f>VLOOKUP(Ruimtestaat[[#This Row],[Ruimte code]],Ruimtegroepen[#All],4,FALSE)</f>
        <v>V  (Verkeersruimte)</v>
      </c>
      <c r="R247" s="184"/>
      <c r="S247" s="185">
        <v>40</v>
      </c>
      <c r="T247" s="185" t="s">
        <v>15</v>
      </c>
      <c r="U247" s="185">
        <f>IF(S247&gt;0,IF(RIGHT(Ruimtestaat[[#This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47" s="185">
        <f>IF(U247&gt;0,VLOOKUP($K247,Ruimtegroepen[],3,FALSE)*VLOOKUP($M247,Vloersoorten[],3,FALSE)*VLOOKUP($T247,Frequenties[],3,FALSE)*VLOOKUP($A247,Locaties[],3,FALSE),0)</f>
        <v>0</v>
      </c>
      <c r="W247" s="185">
        <f>Ruimtestaat[[#This Row],[Uitvoeringen werkdagen]]*Ruimtestaat[[#This Row],[Oppervlak (netto)]]</f>
        <v>920</v>
      </c>
      <c r="X247" s="220">
        <f>IF(V247&gt;0,Ruimtestaat[[#This Row],[Prest. (m2 /jaar) werkdagen]]/Ruimtestaat[[#This Row],[Norm (m2/uur) werkdagen]],0)</f>
        <v>0</v>
      </c>
      <c r="Y247" s="221">
        <f>Ruimtestaat[[#This Row],[uren / jaar werkdagen]]*Tariefsopbouw!$D$38</f>
        <v>0</v>
      </c>
      <c r="Z247" s="33"/>
      <c r="AA247" s="33">
        <f>IF(Ruimtestaat[[#This Row],[Frequentie weekend]]&gt;0,VALUE(LEFT(Z247,1))*S247,0)</f>
        <v>0</v>
      </c>
      <c r="AB247" s="33">
        <f>IF($AA247&gt;0,VLOOKUP($K247,Ruimtegroepen[],3,FALSE)*VLOOKUP($M247,Vloersoorten[],3,FALSE)*VLOOKUP($Z247,Frequenties[],3,FALSE)*VLOOKUP(#REF!,Locaties[],3,FALSE),0)</f>
        <v>0</v>
      </c>
      <c r="AC247" s="33"/>
      <c r="AD247" s="33"/>
      <c r="AE247" s="33">
        <f>Ruimtestaat[[#This Row],[uren / jaar weekend]]*Tariefsopbouw!$D$40</f>
        <v>0</v>
      </c>
      <c r="AF247" s="79">
        <f>Ruimtestaat[[#This Row],[Prest. (m2 /jaar) weekend]]+Ruimtestaat[[#This Row],[Prest. (m2 /jaar) werkdagen]]</f>
        <v>920</v>
      </c>
      <c r="AG247" s="79">
        <f>Ruimtestaat[[#This Row],[uren / jaar weekend]]+Ruimtestaat[[#This Row],[uren / jaar werkdagen]]</f>
        <v>0</v>
      </c>
      <c r="AH247" s="80">
        <f>Ruimtestaat[[#This Row],[kosten / jaar weekend]]+Ruimtestaat[[#This Row],[kosten / jaar werkdagen]]</f>
        <v>0</v>
      </c>
    </row>
    <row r="248" spans="1:34" ht="15" customHeight="1">
      <c r="A248" s="256">
        <v>4</v>
      </c>
      <c r="B248" s="171" t="str">
        <f>VLOOKUP(Ruimtestaat[[#This Row],[Code]],Locaties[#All],2,FALSE)</f>
        <v>Stafbureau Attendiz</v>
      </c>
      <c r="C248" s="258" t="str">
        <f>VLOOKUP(Ruimtestaat[[#This Row],[Code]],Locaties[#All],4,FALSE)</f>
        <v>Welbergweg 20</v>
      </c>
      <c r="D248" s="258" t="str">
        <f>VLOOKUP(Ruimtestaat[[#This Row],[Code]],Locaties[#All],5,FALSE)</f>
        <v>7556 PE</v>
      </c>
      <c r="E248" s="258" t="str">
        <f>VLOOKUP(Ruimtestaat[[#This Row],[Code]],Locaties[#All],6,FALSE)</f>
        <v>Hengelo</v>
      </c>
      <c r="F248" s="257"/>
      <c r="G248" s="257" t="s">
        <v>1065</v>
      </c>
      <c r="H248" s="171"/>
      <c r="I248" s="257"/>
      <c r="J248" s="259" t="s">
        <v>695</v>
      </c>
      <c r="K248" s="258">
        <v>10</v>
      </c>
      <c r="L248" s="260" t="str">
        <f>VLOOKUP(Ruimtestaat[[#This Row],[Ruimte code]],Ruimtegroepen[#All],2,FALSE)</f>
        <v>Trappenhuizen/lift</v>
      </c>
      <c r="M248" s="212" t="s">
        <v>111</v>
      </c>
      <c r="N248" s="257" t="s">
        <v>1105</v>
      </c>
      <c r="O248" s="261">
        <v>15</v>
      </c>
      <c r="P248" s="183"/>
      <c r="Q248" s="212" t="str">
        <f>VLOOKUP(Ruimtestaat[[#This Row],[Ruimte code]],Ruimtegroepen[#All],4,FALSE)</f>
        <v>V  (Verkeersruimte)</v>
      </c>
      <c r="R248" s="184"/>
      <c r="S248" s="185">
        <v>40</v>
      </c>
      <c r="T248" s="185" t="s">
        <v>15</v>
      </c>
      <c r="U248" s="185">
        <f>IF(S248&gt;0,IF(RIGHT(Ruimtestaat[[#This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48" s="185">
        <f>IF(U248&gt;0,VLOOKUP($K248,Ruimtegroepen[],3,FALSE)*VLOOKUP($M248,Vloersoorten[],3,FALSE)*VLOOKUP($T248,Frequenties[],3,FALSE)*VLOOKUP($A248,Locaties[],3,FALSE),0)</f>
        <v>0</v>
      </c>
      <c r="W248" s="185">
        <f>Ruimtestaat[[#This Row],[Uitvoeringen werkdagen]]*Ruimtestaat[[#This Row],[Oppervlak (netto)]]</f>
        <v>600</v>
      </c>
      <c r="X248" s="220">
        <f>IF(V248&gt;0,Ruimtestaat[[#This Row],[Prest. (m2 /jaar) werkdagen]]/Ruimtestaat[[#This Row],[Norm (m2/uur) werkdagen]],0)</f>
        <v>0</v>
      </c>
      <c r="Y248" s="221">
        <f>Ruimtestaat[[#This Row],[uren / jaar werkdagen]]*Tariefsopbouw!$D$38</f>
        <v>0</v>
      </c>
      <c r="Z248" s="33"/>
      <c r="AA248" s="33">
        <f>IF(Ruimtestaat[[#This Row],[Frequentie weekend]]&gt;0,VALUE(LEFT(Z248,1))*S248,0)</f>
        <v>0</v>
      </c>
      <c r="AB248" s="33">
        <f>IF($AA248&gt;0,VLOOKUP($K248,Ruimtegroepen[],3,FALSE)*VLOOKUP($M248,Vloersoorten[],3,FALSE)*VLOOKUP($Z248,Frequenties[],3,FALSE)*VLOOKUP(#REF!,Locaties[],3,FALSE),0)</f>
        <v>0</v>
      </c>
      <c r="AC248" s="33"/>
      <c r="AD248" s="33"/>
      <c r="AE248" s="33">
        <f>Ruimtestaat[[#This Row],[uren / jaar weekend]]*Tariefsopbouw!$D$40</f>
        <v>0</v>
      </c>
      <c r="AF248" s="79">
        <f>Ruimtestaat[[#This Row],[Prest. (m2 /jaar) weekend]]+Ruimtestaat[[#This Row],[Prest. (m2 /jaar) werkdagen]]</f>
        <v>600</v>
      </c>
      <c r="AG248" s="79">
        <f>Ruimtestaat[[#This Row],[uren / jaar weekend]]+Ruimtestaat[[#This Row],[uren / jaar werkdagen]]</f>
        <v>0</v>
      </c>
      <c r="AH248" s="80">
        <f>Ruimtestaat[[#This Row],[kosten / jaar weekend]]+Ruimtestaat[[#This Row],[kosten / jaar werkdagen]]</f>
        <v>0</v>
      </c>
    </row>
    <row r="249" spans="1:34" ht="15" customHeight="1">
      <c r="A249" s="256">
        <v>4</v>
      </c>
      <c r="B249" s="171" t="str">
        <f>VLOOKUP(Ruimtestaat[[#This Row],[Code]],Locaties[#All],2,FALSE)</f>
        <v>Stafbureau Attendiz</v>
      </c>
      <c r="C249" s="258" t="str">
        <f>VLOOKUP(Ruimtestaat[[#This Row],[Code]],Locaties[#All],4,FALSE)</f>
        <v>Welbergweg 20</v>
      </c>
      <c r="D249" s="258" t="str">
        <f>VLOOKUP(Ruimtestaat[[#This Row],[Code]],Locaties[#All],5,FALSE)</f>
        <v>7556 PE</v>
      </c>
      <c r="E249" s="258" t="str">
        <f>VLOOKUP(Ruimtestaat[[#This Row],[Code]],Locaties[#All],6,FALSE)</f>
        <v>Hengelo</v>
      </c>
      <c r="F249" s="257"/>
      <c r="G249" s="257" t="s">
        <v>1065</v>
      </c>
      <c r="H249" s="171"/>
      <c r="I249" s="257" t="s">
        <v>1094</v>
      </c>
      <c r="J249" s="259" t="s">
        <v>689</v>
      </c>
      <c r="K249" s="258">
        <v>4</v>
      </c>
      <c r="L249" s="260" t="str">
        <f>VLOOKUP(Ruimtestaat[[#This Row],[Ruimte code]],Ruimtegroepen[#All],2,FALSE)</f>
        <v>Vergader/spreekkamers</v>
      </c>
      <c r="M249" s="258" t="s">
        <v>597</v>
      </c>
      <c r="N249" s="257" t="s">
        <v>38</v>
      </c>
      <c r="O249" s="261">
        <v>13.2</v>
      </c>
      <c r="P249" s="183"/>
      <c r="Q249" s="212" t="str">
        <f>VLOOKUP(Ruimtestaat[[#This Row],[Ruimte code]],Ruimtegroepen[#All],4,FALSE)</f>
        <v>B  (Bureauruimte)</v>
      </c>
      <c r="R249" s="184"/>
      <c r="S249" s="185">
        <v>40</v>
      </c>
      <c r="T249" s="185" t="s">
        <v>18</v>
      </c>
      <c r="U249" s="185">
        <f>IF(S249&gt;0,IF(RIGHT(Ruimtestaat[[#This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249" s="185">
        <f>IF(U249&gt;0,VLOOKUP($K249,Ruimtegroepen[],3,FALSE)*VLOOKUP($M249,Vloersoorten[],3,FALSE)*VLOOKUP($T249,Frequenties[],3,FALSE)*VLOOKUP($A249,Locaties[],3,FALSE),0)</f>
        <v>0</v>
      </c>
      <c r="W249" s="185">
        <f>Ruimtestaat[[#This Row],[Uitvoeringen werkdagen]]*Ruimtestaat[[#This Row],[Oppervlak (netto)]]</f>
        <v>1584</v>
      </c>
      <c r="X249" s="220">
        <f>IF(V249&gt;0,Ruimtestaat[[#This Row],[Prest. (m2 /jaar) werkdagen]]/Ruimtestaat[[#This Row],[Norm (m2/uur) werkdagen]],0)</f>
        <v>0</v>
      </c>
      <c r="Y249" s="221">
        <f>Ruimtestaat[[#This Row],[uren / jaar werkdagen]]*Tariefsopbouw!$D$38</f>
        <v>0</v>
      </c>
      <c r="Z249" s="33"/>
      <c r="AA249" s="33">
        <f>IF(Ruimtestaat[[#This Row],[Frequentie weekend]]&gt;0,VALUE(LEFT(Z249,1))*S249,0)</f>
        <v>0</v>
      </c>
      <c r="AB249" s="33">
        <f>IF($AA249&gt;0,VLOOKUP($K249,Ruimtegroepen[],3,FALSE)*VLOOKUP($M249,Vloersoorten[],3,FALSE)*VLOOKUP($Z249,Frequenties[],3,FALSE)*VLOOKUP(#REF!,Locaties[],3,FALSE),0)</f>
        <v>0</v>
      </c>
      <c r="AC249" s="33"/>
      <c r="AD249" s="33"/>
      <c r="AE249" s="33">
        <f>Ruimtestaat[[#This Row],[uren / jaar weekend]]*Tariefsopbouw!$D$40</f>
        <v>0</v>
      </c>
      <c r="AF249" s="79">
        <f>Ruimtestaat[[#This Row],[Prest. (m2 /jaar) weekend]]+Ruimtestaat[[#This Row],[Prest. (m2 /jaar) werkdagen]]</f>
        <v>1584</v>
      </c>
      <c r="AG249" s="79">
        <f>Ruimtestaat[[#This Row],[uren / jaar weekend]]+Ruimtestaat[[#This Row],[uren / jaar werkdagen]]</f>
        <v>0</v>
      </c>
      <c r="AH249" s="80">
        <f>Ruimtestaat[[#This Row],[kosten / jaar weekend]]+Ruimtestaat[[#This Row],[kosten / jaar werkdagen]]</f>
        <v>0</v>
      </c>
    </row>
    <row r="250" spans="1:34" ht="15" customHeight="1">
      <c r="A250" s="256">
        <v>4</v>
      </c>
      <c r="B250" s="171" t="str">
        <f>VLOOKUP(Ruimtestaat[[#This Row],[Code]],Locaties[#All],2,FALSE)</f>
        <v>Stafbureau Attendiz</v>
      </c>
      <c r="C250" s="258" t="str">
        <f>VLOOKUP(Ruimtestaat[[#This Row],[Code]],Locaties[#All],4,FALSE)</f>
        <v>Welbergweg 20</v>
      </c>
      <c r="D250" s="258" t="str">
        <f>VLOOKUP(Ruimtestaat[[#This Row],[Code]],Locaties[#All],5,FALSE)</f>
        <v>7556 PE</v>
      </c>
      <c r="E250" s="258" t="str">
        <f>VLOOKUP(Ruimtestaat[[#This Row],[Code]],Locaties[#All],6,FALSE)</f>
        <v>Hengelo</v>
      </c>
      <c r="F250" s="257"/>
      <c r="G250" s="257" t="s">
        <v>1065</v>
      </c>
      <c r="H250" s="171"/>
      <c r="I250" s="257" t="s">
        <v>1095</v>
      </c>
      <c r="J250" s="259" t="s">
        <v>571</v>
      </c>
      <c r="K250" s="258">
        <v>2</v>
      </c>
      <c r="L250" s="260" t="str">
        <f>VLOOKUP(Ruimtestaat[[#This Row],[Ruimte code]],Ruimtegroepen[#All],2,FALSE)</f>
        <v>Kantoren</v>
      </c>
      <c r="M250" s="212" t="s">
        <v>597</v>
      </c>
      <c r="N250" s="257" t="s">
        <v>38</v>
      </c>
      <c r="O250" s="261">
        <v>33.6</v>
      </c>
      <c r="P250" s="183"/>
      <c r="Q250" s="212" t="str">
        <f>VLOOKUP(Ruimtestaat[[#This Row],[Ruimte code]],Ruimtegroepen[#All],4,FALSE)</f>
        <v>B  (Bureauruimte)</v>
      </c>
      <c r="R250" s="184"/>
      <c r="S250" s="185">
        <v>40</v>
      </c>
      <c r="T250" s="185" t="s">
        <v>17</v>
      </c>
      <c r="U250" s="185">
        <f>IF(S250&gt;0,IF(RIGHT(Ruimtestaat[[#This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50" s="185">
        <f>IF(U250&gt;0,VLOOKUP($K250,Ruimtegroepen[],3,FALSE)*VLOOKUP($M250,Vloersoorten[],3,FALSE)*VLOOKUP($T250,Frequenties[],3,FALSE)*VLOOKUP($A250,Locaties[],3,FALSE),0)</f>
        <v>0</v>
      </c>
      <c r="W250" s="185">
        <f>Ruimtestaat[[#This Row],[Uitvoeringen werkdagen]]*Ruimtestaat[[#This Row],[Oppervlak (netto)]]</f>
        <v>2688</v>
      </c>
      <c r="X250" s="220">
        <f>IF(V250&gt;0,Ruimtestaat[[#This Row],[Prest. (m2 /jaar) werkdagen]]/Ruimtestaat[[#This Row],[Norm (m2/uur) werkdagen]],0)</f>
        <v>0</v>
      </c>
      <c r="Y250" s="221">
        <f>Ruimtestaat[[#This Row],[uren / jaar werkdagen]]*Tariefsopbouw!$D$38</f>
        <v>0</v>
      </c>
      <c r="Z250" s="33"/>
      <c r="AA250" s="33">
        <f>IF(Ruimtestaat[[#This Row],[Frequentie weekend]]&gt;0,VALUE(LEFT(Z250,1))*S250,0)</f>
        <v>0</v>
      </c>
      <c r="AB250" s="33">
        <f>IF($AA250&gt;0,VLOOKUP($K250,Ruimtegroepen[],3,FALSE)*VLOOKUP($M250,Vloersoorten[],3,FALSE)*VLOOKUP($Z250,Frequenties[],3,FALSE)*VLOOKUP(#REF!,Locaties[],3,FALSE),0)</f>
        <v>0</v>
      </c>
      <c r="AC250" s="33"/>
      <c r="AD250" s="33"/>
      <c r="AE250" s="33">
        <f>Ruimtestaat[[#This Row],[uren / jaar weekend]]*Tariefsopbouw!$D$40</f>
        <v>0</v>
      </c>
      <c r="AF250" s="79">
        <f>Ruimtestaat[[#This Row],[Prest. (m2 /jaar) weekend]]+Ruimtestaat[[#This Row],[Prest. (m2 /jaar) werkdagen]]</f>
        <v>2688</v>
      </c>
      <c r="AG250" s="79">
        <f>Ruimtestaat[[#This Row],[uren / jaar weekend]]+Ruimtestaat[[#This Row],[uren / jaar werkdagen]]</f>
        <v>0</v>
      </c>
      <c r="AH250" s="80">
        <f>Ruimtestaat[[#This Row],[kosten / jaar weekend]]+Ruimtestaat[[#This Row],[kosten / jaar werkdagen]]</f>
        <v>0</v>
      </c>
    </row>
    <row r="251" spans="1:34" ht="15" customHeight="1">
      <c r="A251" s="256">
        <v>4</v>
      </c>
      <c r="B251" s="171" t="str">
        <f>VLOOKUP(Ruimtestaat[[#This Row],[Code]],Locaties[#All],2,FALSE)</f>
        <v>Stafbureau Attendiz</v>
      </c>
      <c r="C251" s="258" t="str">
        <f>VLOOKUP(Ruimtestaat[[#This Row],[Code]],Locaties[#All],4,FALSE)</f>
        <v>Welbergweg 20</v>
      </c>
      <c r="D251" s="258" t="str">
        <f>VLOOKUP(Ruimtestaat[[#This Row],[Code]],Locaties[#All],5,FALSE)</f>
        <v>7556 PE</v>
      </c>
      <c r="E251" s="258" t="str">
        <f>VLOOKUP(Ruimtestaat[[#This Row],[Code]],Locaties[#All],6,FALSE)</f>
        <v>Hengelo</v>
      </c>
      <c r="F251" s="257"/>
      <c r="G251" s="257" t="s">
        <v>1065</v>
      </c>
      <c r="H251" s="171"/>
      <c r="I251" s="257" t="s">
        <v>1096</v>
      </c>
      <c r="J251" s="259" t="s">
        <v>571</v>
      </c>
      <c r="K251" s="171">
        <v>2</v>
      </c>
      <c r="L251" s="260" t="str">
        <f>VLOOKUP(Ruimtestaat[[#This Row],[Ruimte code]],Ruimtegroepen[#All],2,FALSE)</f>
        <v>Kantoren</v>
      </c>
      <c r="M251" s="185" t="s">
        <v>597</v>
      </c>
      <c r="N251" s="257" t="s">
        <v>38</v>
      </c>
      <c r="O251" s="261">
        <v>18</v>
      </c>
      <c r="P251" s="183"/>
      <c r="Q251" s="212" t="str">
        <f>VLOOKUP(Ruimtestaat[[#This Row],[Ruimte code]],Ruimtegroepen[#All],4,FALSE)</f>
        <v>B  (Bureauruimte)</v>
      </c>
      <c r="R251" s="184"/>
      <c r="S251" s="185">
        <v>40</v>
      </c>
      <c r="T251" s="185" t="s">
        <v>17</v>
      </c>
      <c r="U251" s="185">
        <f>IF(S251&gt;0,IF(RIGHT(Ruimtestaat[[#This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51" s="185">
        <f>IF(U251&gt;0,VLOOKUP($K251,Ruimtegroepen[],3,FALSE)*VLOOKUP($M251,Vloersoorten[],3,FALSE)*VLOOKUP($T251,Frequenties[],3,FALSE)*VLOOKUP($A251,Locaties[],3,FALSE),0)</f>
        <v>0</v>
      </c>
      <c r="W251" s="185">
        <f>Ruimtestaat[[#This Row],[Uitvoeringen werkdagen]]*Ruimtestaat[[#This Row],[Oppervlak (netto)]]</f>
        <v>1440</v>
      </c>
      <c r="X251" s="220">
        <f>IF(V251&gt;0,Ruimtestaat[[#This Row],[Prest. (m2 /jaar) werkdagen]]/Ruimtestaat[[#This Row],[Norm (m2/uur) werkdagen]],0)</f>
        <v>0</v>
      </c>
      <c r="Y251" s="221">
        <f>Ruimtestaat[[#This Row],[uren / jaar werkdagen]]*Tariefsopbouw!$D$38</f>
        <v>0</v>
      </c>
      <c r="Z251" s="33"/>
      <c r="AA251" s="33">
        <f>IF(Ruimtestaat[[#This Row],[Frequentie weekend]]&gt;0,VALUE(LEFT(Z251,1))*S251,0)</f>
        <v>0</v>
      </c>
      <c r="AB251" s="33">
        <f>IF($AA251&gt;0,VLOOKUP($K251,Ruimtegroepen[],3,FALSE)*VLOOKUP($M251,Vloersoorten[],3,FALSE)*VLOOKUP($Z251,Frequenties[],3,FALSE)*VLOOKUP(#REF!,Locaties[],3,FALSE),0)</f>
        <v>0</v>
      </c>
      <c r="AC251" s="33"/>
      <c r="AD251" s="33"/>
      <c r="AE251" s="33">
        <f>Ruimtestaat[[#This Row],[uren / jaar weekend]]*Tariefsopbouw!$D$40</f>
        <v>0</v>
      </c>
      <c r="AF251" s="79">
        <f>Ruimtestaat[[#This Row],[Prest. (m2 /jaar) weekend]]+Ruimtestaat[[#This Row],[Prest. (m2 /jaar) werkdagen]]</f>
        <v>1440</v>
      </c>
      <c r="AG251" s="79">
        <f>Ruimtestaat[[#This Row],[uren / jaar weekend]]+Ruimtestaat[[#This Row],[uren / jaar werkdagen]]</f>
        <v>0</v>
      </c>
      <c r="AH251" s="80">
        <f>Ruimtestaat[[#This Row],[kosten / jaar weekend]]+Ruimtestaat[[#This Row],[kosten / jaar werkdagen]]</f>
        <v>0</v>
      </c>
    </row>
    <row r="252" spans="1:34" ht="15" customHeight="1">
      <c r="A252" s="256">
        <v>4</v>
      </c>
      <c r="B252" s="171" t="str">
        <f>VLOOKUP(Ruimtestaat[[#This Row],[Code]],Locaties[#All],2,FALSE)</f>
        <v>Stafbureau Attendiz</v>
      </c>
      <c r="C252" s="258" t="str">
        <f>VLOOKUP(Ruimtestaat[[#This Row],[Code]],Locaties[#All],4,FALSE)</f>
        <v>Welbergweg 20</v>
      </c>
      <c r="D252" s="258" t="str">
        <f>VLOOKUP(Ruimtestaat[[#This Row],[Code]],Locaties[#All],5,FALSE)</f>
        <v>7556 PE</v>
      </c>
      <c r="E252" s="258" t="str">
        <f>VLOOKUP(Ruimtestaat[[#This Row],[Code]],Locaties[#All],6,FALSE)</f>
        <v>Hengelo</v>
      </c>
      <c r="F252" s="257"/>
      <c r="G252" s="257" t="s">
        <v>1065</v>
      </c>
      <c r="H252" s="171"/>
      <c r="I252" s="257" t="s">
        <v>1097</v>
      </c>
      <c r="J252" s="259" t="s">
        <v>571</v>
      </c>
      <c r="K252" s="258">
        <v>2</v>
      </c>
      <c r="L252" s="260" t="str">
        <f>VLOOKUP(Ruimtestaat[[#This Row],[Ruimte code]],Ruimtegroepen[#All],2,FALSE)</f>
        <v>Kantoren</v>
      </c>
      <c r="M252" s="258" t="s">
        <v>597</v>
      </c>
      <c r="N252" s="257" t="s">
        <v>38</v>
      </c>
      <c r="O252" s="261">
        <v>23</v>
      </c>
      <c r="P252" s="183"/>
      <c r="Q252" s="212" t="str">
        <f>VLOOKUP(Ruimtestaat[[#This Row],[Ruimte code]],Ruimtegroepen[#All],4,FALSE)</f>
        <v>B  (Bureauruimte)</v>
      </c>
      <c r="R252" s="184"/>
      <c r="S252" s="185">
        <v>40</v>
      </c>
      <c r="T252" s="185" t="s">
        <v>17</v>
      </c>
      <c r="U252" s="185">
        <f>IF(S252&gt;0,IF(RIGHT(Ruimtestaat[[#This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52" s="185">
        <f>IF(U252&gt;0,VLOOKUP($K252,Ruimtegroepen[],3,FALSE)*VLOOKUP($M252,Vloersoorten[],3,FALSE)*VLOOKUP($T252,Frequenties[],3,FALSE)*VLOOKUP($A252,Locaties[],3,FALSE),0)</f>
        <v>0</v>
      </c>
      <c r="W252" s="185">
        <f>Ruimtestaat[[#This Row],[Uitvoeringen werkdagen]]*Ruimtestaat[[#This Row],[Oppervlak (netto)]]</f>
        <v>1840</v>
      </c>
      <c r="X252" s="220">
        <f>IF(V252&gt;0,Ruimtestaat[[#This Row],[Prest. (m2 /jaar) werkdagen]]/Ruimtestaat[[#This Row],[Norm (m2/uur) werkdagen]],0)</f>
        <v>0</v>
      </c>
      <c r="Y252" s="221">
        <f>Ruimtestaat[[#This Row],[uren / jaar werkdagen]]*Tariefsopbouw!$D$38</f>
        <v>0</v>
      </c>
      <c r="Z252" s="33"/>
      <c r="AA252" s="33">
        <f>IF(Ruimtestaat[[#This Row],[Frequentie weekend]]&gt;0,VALUE(LEFT(Z252,1))*S252,0)</f>
        <v>0</v>
      </c>
      <c r="AB252" s="33">
        <f>IF($AA252&gt;0,VLOOKUP($K252,Ruimtegroepen[],3,FALSE)*VLOOKUP($M252,Vloersoorten[],3,FALSE)*VLOOKUP($Z252,Frequenties[],3,FALSE)*VLOOKUP(#REF!,Locaties[],3,FALSE),0)</f>
        <v>0</v>
      </c>
      <c r="AC252" s="33"/>
      <c r="AD252" s="33"/>
      <c r="AE252" s="33">
        <f>Ruimtestaat[[#This Row],[uren / jaar weekend]]*Tariefsopbouw!$D$40</f>
        <v>0</v>
      </c>
      <c r="AF252" s="79">
        <f>Ruimtestaat[[#This Row],[Prest. (m2 /jaar) weekend]]+Ruimtestaat[[#This Row],[Prest. (m2 /jaar) werkdagen]]</f>
        <v>1840</v>
      </c>
      <c r="AG252" s="79">
        <f>Ruimtestaat[[#This Row],[uren / jaar weekend]]+Ruimtestaat[[#This Row],[uren / jaar werkdagen]]</f>
        <v>0</v>
      </c>
      <c r="AH252" s="80">
        <f>Ruimtestaat[[#This Row],[kosten / jaar weekend]]+Ruimtestaat[[#This Row],[kosten / jaar werkdagen]]</f>
        <v>0</v>
      </c>
    </row>
    <row r="253" spans="1:34" ht="15" customHeight="1">
      <c r="A253" s="256">
        <v>4</v>
      </c>
      <c r="B253" s="171" t="str">
        <f>VLOOKUP(Ruimtestaat[[#This Row],[Code]],Locaties[#All],2,FALSE)</f>
        <v>Stafbureau Attendiz</v>
      </c>
      <c r="C253" s="258" t="str">
        <f>VLOOKUP(Ruimtestaat[[#This Row],[Code]],Locaties[#All],4,FALSE)</f>
        <v>Welbergweg 20</v>
      </c>
      <c r="D253" s="258" t="str">
        <f>VLOOKUP(Ruimtestaat[[#This Row],[Code]],Locaties[#All],5,FALSE)</f>
        <v>7556 PE</v>
      </c>
      <c r="E253" s="258" t="str">
        <f>VLOOKUP(Ruimtestaat[[#This Row],[Code]],Locaties[#All],6,FALSE)</f>
        <v>Hengelo</v>
      </c>
      <c r="F253" s="257"/>
      <c r="G253" s="257" t="s">
        <v>1065</v>
      </c>
      <c r="H253" s="171"/>
      <c r="I253" s="257" t="s">
        <v>1098</v>
      </c>
      <c r="J253" s="259" t="s">
        <v>821</v>
      </c>
      <c r="K253" s="171">
        <v>20</v>
      </c>
      <c r="L253" s="260" t="str">
        <f>VLOOKUP(Ruimtestaat[[#This Row],[Ruimte code]],Ruimtegroepen[#All],2,FALSE)</f>
        <v>Niet in onderhoud</v>
      </c>
      <c r="M253" s="212" t="s">
        <v>597</v>
      </c>
      <c r="N253" s="257" t="s">
        <v>38</v>
      </c>
      <c r="O253" s="261"/>
      <c r="P253" s="183">
        <v>3.8</v>
      </c>
      <c r="Q253" s="212" t="str">
        <f>VLOOKUP(Ruimtestaat[[#This Row],[Ruimte code]],Ruimtegroepen[#All],4,FALSE)</f>
        <v>niet in onderhoud</v>
      </c>
      <c r="R253" s="184"/>
      <c r="S253" s="185"/>
      <c r="T253" s="185"/>
      <c r="U253" s="185">
        <f>IF(S253&gt;0,IF(RIGHT(Ruimtestaat[[#This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53" s="185">
        <f>IF(U253&gt;0,VLOOKUP($K253,Ruimtegroepen[],3,FALSE)*VLOOKUP($M253,Vloersoorten[],3,FALSE)*VLOOKUP($T253,Frequenties[],3,FALSE)*VLOOKUP($A253,Locaties[],3,FALSE),0)</f>
        <v>0</v>
      </c>
      <c r="W253" s="185">
        <f>Ruimtestaat[[#This Row],[Uitvoeringen werkdagen]]*Ruimtestaat[[#This Row],[Oppervlak (netto)]]</f>
        <v>0</v>
      </c>
      <c r="X253" s="220">
        <f>IF(V253&gt;0,Ruimtestaat[[#This Row],[Prest. (m2 /jaar) werkdagen]]/Ruimtestaat[[#This Row],[Norm (m2/uur) werkdagen]],0)</f>
        <v>0</v>
      </c>
      <c r="Y253" s="221">
        <f>Ruimtestaat[[#This Row],[uren / jaar werkdagen]]*Tariefsopbouw!$D$38</f>
        <v>0</v>
      </c>
      <c r="Z253" s="33"/>
      <c r="AA253" s="33">
        <f>IF(Ruimtestaat[[#This Row],[Frequentie weekend]]&gt;0,VALUE(LEFT(Z253,1))*S253,0)</f>
        <v>0</v>
      </c>
      <c r="AB253" s="33">
        <f>IF($AA253&gt;0,VLOOKUP($K253,Ruimtegroepen[],3,FALSE)*VLOOKUP($M253,Vloersoorten[],3,FALSE)*VLOOKUP($Z253,Frequenties[],3,FALSE)*VLOOKUP(#REF!,Locaties[],3,FALSE),0)</f>
        <v>0</v>
      </c>
      <c r="AC253" s="33"/>
      <c r="AD253" s="33"/>
      <c r="AE253" s="33">
        <f>Ruimtestaat[[#This Row],[uren / jaar weekend]]*Tariefsopbouw!$D$40</f>
        <v>0</v>
      </c>
      <c r="AF253" s="79">
        <f>Ruimtestaat[[#This Row],[Prest. (m2 /jaar) weekend]]+Ruimtestaat[[#This Row],[Prest. (m2 /jaar) werkdagen]]</f>
        <v>0</v>
      </c>
      <c r="AG253" s="79">
        <f>Ruimtestaat[[#This Row],[uren / jaar weekend]]+Ruimtestaat[[#This Row],[uren / jaar werkdagen]]</f>
        <v>0</v>
      </c>
      <c r="AH253" s="80">
        <f>Ruimtestaat[[#This Row],[kosten / jaar weekend]]+Ruimtestaat[[#This Row],[kosten / jaar werkdagen]]</f>
        <v>0</v>
      </c>
    </row>
    <row r="254" spans="1:34" ht="15" customHeight="1">
      <c r="A254" s="256">
        <v>4</v>
      </c>
      <c r="B254" s="171" t="str">
        <f>VLOOKUP(Ruimtestaat[[#This Row],[Code]],Locaties[#All],2,FALSE)</f>
        <v>Stafbureau Attendiz</v>
      </c>
      <c r="C254" s="258" t="str">
        <f>VLOOKUP(Ruimtestaat[[#This Row],[Code]],Locaties[#All],4,FALSE)</f>
        <v>Welbergweg 20</v>
      </c>
      <c r="D254" s="258" t="str">
        <f>VLOOKUP(Ruimtestaat[[#This Row],[Code]],Locaties[#All],5,FALSE)</f>
        <v>7556 PE</v>
      </c>
      <c r="E254" s="258" t="str">
        <f>VLOOKUP(Ruimtestaat[[#This Row],[Code]],Locaties[#All],6,FALSE)</f>
        <v>Hengelo</v>
      </c>
      <c r="F254" s="257"/>
      <c r="G254" s="257" t="s">
        <v>1065</v>
      </c>
      <c r="H254" s="171"/>
      <c r="I254" s="257" t="s">
        <v>1099</v>
      </c>
      <c r="J254" s="259" t="s">
        <v>1034</v>
      </c>
      <c r="K254" s="258">
        <v>1</v>
      </c>
      <c r="L254" s="260" t="str">
        <f>VLOOKUP(Ruimtestaat[[#This Row],[Ruimte code]],Ruimtegroepen[#All],2,FALSE)</f>
        <v>Magazijnen/bergingen</v>
      </c>
      <c r="M254" s="258" t="s">
        <v>597</v>
      </c>
      <c r="N254" s="257" t="s">
        <v>38</v>
      </c>
      <c r="O254" s="261">
        <v>15</v>
      </c>
      <c r="P254" s="183"/>
      <c r="Q254" s="212" t="str">
        <f>VLOOKUP(Ruimtestaat[[#This Row],[Ruimte code]],Ruimtegroepen[#All],4,FALSE)</f>
        <v>V  (Verkeersruimte)</v>
      </c>
      <c r="R254" s="184"/>
      <c r="S254" s="185">
        <v>40</v>
      </c>
      <c r="T254" s="185" t="s">
        <v>16</v>
      </c>
      <c r="U254" s="185">
        <f>IF(S254&gt;0,IF(RIGHT(Ruimtestaat[[#This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254" s="185">
        <f>IF(U254&gt;0,VLOOKUP($K254,Ruimtegroepen[],3,FALSE)*VLOOKUP($M254,Vloersoorten[],3,FALSE)*VLOOKUP($T254,Frequenties[],3,FALSE)*VLOOKUP($A254,Locaties[],3,FALSE),0)</f>
        <v>0</v>
      </c>
      <c r="W254" s="185">
        <f>Ruimtestaat[[#This Row],[Uitvoeringen werkdagen]]*Ruimtestaat[[#This Row],[Oppervlak (netto)]]</f>
        <v>180</v>
      </c>
      <c r="X254" s="220">
        <f>IF(V254&gt;0,Ruimtestaat[[#This Row],[Prest. (m2 /jaar) werkdagen]]/Ruimtestaat[[#This Row],[Norm (m2/uur) werkdagen]],0)</f>
        <v>0</v>
      </c>
      <c r="Y254" s="221">
        <f>Ruimtestaat[[#This Row],[uren / jaar werkdagen]]*Tariefsopbouw!$D$38</f>
        <v>0</v>
      </c>
      <c r="Z254" s="33"/>
      <c r="AA254" s="33">
        <f>IF(Ruimtestaat[[#This Row],[Frequentie weekend]]&gt;0,VALUE(LEFT(Z254,1))*S254,0)</f>
        <v>0</v>
      </c>
      <c r="AB254" s="33">
        <f>IF($AA254&gt;0,VLOOKUP($K254,Ruimtegroepen[],3,FALSE)*VLOOKUP($M254,Vloersoorten[],3,FALSE)*VLOOKUP($Z254,Frequenties[],3,FALSE)*VLOOKUP(#REF!,Locaties[],3,FALSE),0)</f>
        <v>0</v>
      </c>
      <c r="AC254" s="33"/>
      <c r="AD254" s="33"/>
      <c r="AE254" s="33">
        <f>Ruimtestaat[[#This Row],[uren / jaar weekend]]*Tariefsopbouw!$D$40</f>
        <v>0</v>
      </c>
      <c r="AF254" s="79">
        <f>Ruimtestaat[[#This Row],[Prest. (m2 /jaar) weekend]]+Ruimtestaat[[#This Row],[Prest. (m2 /jaar) werkdagen]]</f>
        <v>180</v>
      </c>
      <c r="AG254" s="79">
        <f>Ruimtestaat[[#This Row],[uren / jaar weekend]]+Ruimtestaat[[#This Row],[uren / jaar werkdagen]]</f>
        <v>0</v>
      </c>
      <c r="AH254" s="80">
        <f>Ruimtestaat[[#This Row],[kosten / jaar weekend]]+Ruimtestaat[[#This Row],[kosten / jaar werkdagen]]</f>
        <v>0</v>
      </c>
    </row>
    <row r="255" spans="1:34" ht="15" customHeight="1">
      <c r="A255" s="256">
        <v>4</v>
      </c>
      <c r="B255" s="171" t="str">
        <f>VLOOKUP(Ruimtestaat[[#This Row],[Code]],Locaties[#All],2,FALSE)</f>
        <v>Stafbureau Attendiz</v>
      </c>
      <c r="C255" s="258" t="str">
        <f>VLOOKUP(Ruimtestaat[[#This Row],[Code]],Locaties[#All],4,FALSE)</f>
        <v>Welbergweg 20</v>
      </c>
      <c r="D255" s="258" t="str">
        <f>VLOOKUP(Ruimtestaat[[#This Row],[Code]],Locaties[#All],5,FALSE)</f>
        <v>7556 PE</v>
      </c>
      <c r="E255" s="258" t="str">
        <f>VLOOKUP(Ruimtestaat[[#This Row],[Code]],Locaties[#All],6,FALSE)</f>
        <v>Hengelo</v>
      </c>
      <c r="F255" s="257"/>
      <c r="G255" s="257" t="s">
        <v>1065</v>
      </c>
      <c r="H255" s="171"/>
      <c r="I255" s="257" t="s">
        <v>1100</v>
      </c>
      <c r="J255" s="259" t="s">
        <v>587</v>
      </c>
      <c r="K255" s="185">
        <v>6</v>
      </c>
      <c r="L255" s="260" t="str">
        <f>VLOOKUP(Ruimtestaat[[#This Row],[Ruimte code]],Ruimtegroepen[#All],2,FALSE)</f>
        <v>Gangen/hallen</v>
      </c>
      <c r="M255" s="258" t="s">
        <v>597</v>
      </c>
      <c r="N255" s="257" t="s">
        <v>38</v>
      </c>
      <c r="O255" s="261">
        <v>11</v>
      </c>
      <c r="P255" s="183"/>
      <c r="Q255" s="212" t="str">
        <f>VLOOKUP(Ruimtestaat[[#This Row],[Ruimte code]],Ruimtegroepen[#All],4,FALSE)</f>
        <v>V  (Verkeersruimte)</v>
      </c>
      <c r="R255" s="184"/>
      <c r="S255" s="185">
        <v>40</v>
      </c>
      <c r="T255" s="185" t="s">
        <v>15</v>
      </c>
      <c r="U255" s="185">
        <f>IF(S255&gt;0,IF(RIGHT(Ruimtestaat[[#This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55" s="185">
        <f>IF(U255&gt;0,VLOOKUP($K255,Ruimtegroepen[],3,FALSE)*VLOOKUP($M255,Vloersoorten[],3,FALSE)*VLOOKUP($T255,Frequenties[],3,FALSE)*VLOOKUP($A255,Locaties[],3,FALSE),0)</f>
        <v>0</v>
      </c>
      <c r="W255" s="185">
        <f>Ruimtestaat[[#This Row],[Uitvoeringen werkdagen]]*Ruimtestaat[[#This Row],[Oppervlak (netto)]]</f>
        <v>440</v>
      </c>
      <c r="X255" s="220">
        <f>IF(V255&gt;0,Ruimtestaat[[#This Row],[Prest. (m2 /jaar) werkdagen]]/Ruimtestaat[[#This Row],[Norm (m2/uur) werkdagen]],0)</f>
        <v>0</v>
      </c>
      <c r="Y255" s="221">
        <f>Ruimtestaat[[#This Row],[uren / jaar werkdagen]]*Tariefsopbouw!$D$38</f>
        <v>0</v>
      </c>
      <c r="Z255" s="33"/>
      <c r="AA255" s="33">
        <f>IF(Ruimtestaat[[#This Row],[Frequentie weekend]]&gt;0,VALUE(LEFT(Z255,1))*S255,0)</f>
        <v>0</v>
      </c>
      <c r="AB255" s="33">
        <f>IF($AA255&gt;0,VLOOKUP($K255,Ruimtegroepen[],3,FALSE)*VLOOKUP($M255,Vloersoorten[],3,FALSE)*VLOOKUP($Z255,Frequenties[],3,FALSE)*VLOOKUP(#REF!,Locaties[],3,FALSE),0)</f>
        <v>0</v>
      </c>
      <c r="AC255" s="33"/>
      <c r="AD255" s="33"/>
      <c r="AE255" s="33">
        <f>Ruimtestaat[[#This Row],[uren / jaar weekend]]*Tariefsopbouw!$D$40</f>
        <v>0</v>
      </c>
      <c r="AF255" s="79">
        <f>Ruimtestaat[[#This Row],[Prest. (m2 /jaar) weekend]]+Ruimtestaat[[#This Row],[Prest. (m2 /jaar) werkdagen]]</f>
        <v>440</v>
      </c>
      <c r="AG255" s="79">
        <f>Ruimtestaat[[#This Row],[uren / jaar weekend]]+Ruimtestaat[[#This Row],[uren / jaar werkdagen]]</f>
        <v>0</v>
      </c>
      <c r="AH255" s="80">
        <f>Ruimtestaat[[#This Row],[kosten / jaar weekend]]+Ruimtestaat[[#This Row],[kosten / jaar werkdagen]]</f>
        <v>0</v>
      </c>
    </row>
    <row r="256" spans="1:34" ht="15" customHeight="1">
      <c r="A256" s="256">
        <v>4</v>
      </c>
      <c r="B256" s="171" t="str">
        <f>VLOOKUP(Ruimtestaat[[#This Row],[Code]],Locaties[#All],2,FALSE)</f>
        <v>Stafbureau Attendiz</v>
      </c>
      <c r="C256" s="258" t="str">
        <f>VLOOKUP(Ruimtestaat[[#This Row],[Code]],Locaties[#All],4,FALSE)</f>
        <v>Welbergweg 20</v>
      </c>
      <c r="D256" s="258" t="str">
        <f>VLOOKUP(Ruimtestaat[[#This Row],[Code]],Locaties[#All],5,FALSE)</f>
        <v>7556 PE</v>
      </c>
      <c r="E256" s="258" t="str">
        <f>VLOOKUP(Ruimtestaat[[#This Row],[Code]],Locaties[#All],6,FALSE)</f>
        <v>Hengelo</v>
      </c>
      <c r="F256" s="257"/>
      <c r="G256" s="257" t="s">
        <v>1065</v>
      </c>
      <c r="H256" s="171"/>
      <c r="I256" s="257" t="s">
        <v>1101</v>
      </c>
      <c r="J256" s="259" t="s">
        <v>130</v>
      </c>
      <c r="K256" s="258">
        <v>15</v>
      </c>
      <c r="L256" s="260" t="str">
        <f>VLOOKUP(Ruimtestaat[[#This Row],[Ruimte code]],Ruimtegroepen[#All],2,FALSE)</f>
        <v>Keuken/pantry</v>
      </c>
      <c r="M256" s="185" t="s">
        <v>598</v>
      </c>
      <c r="N256" s="257" t="s">
        <v>132</v>
      </c>
      <c r="O256" s="261">
        <v>4</v>
      </c>
      <c r="P256" s="183"/>
      <c r="Q256" s="212" t="str">
        <f>VLOOKUP(Ruimtestaat[[#This Row],[Ruimte code]],Ruimtegroepen[#All],4,FALSE)</f>
        <v>V  (Verkeersruimte)</v>
      </c>
      <c r="R256" s="184"/>
      <c r="S256" s="185">
        <v>40</v>
      </c>
      <c r="T256" s="185" t="s">
        <v>2</v>
      </c>
      <c r="U256" s="185">
        <f>IF(S256&gt;0,IF(RIGHT(Ruimtestaat[[#This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6" s="185">
        <f>IF(U256&gt;0,VLOOKUP($K256,Ruimtegroepen[],3,FALSE)*VLOOKUP($M256,Vloersoorten[],3,FALSE)*VLOOKUP($T256,Frequenties[],3,FALSE)*VLOOKUP($A256,Locaties[],3,FALSE),0)</f>
        <v>0</v>
      </c>
      <c r="W256" s="185">
        <f>Ruimtestaat[[#This Row],[Uitvoeringen werkdagen]]*Ruimtestaat[[#This Row],[Oppervlak (netto)]]</f>
        <v>800</v>
      </c>
      <c r="X256" s="220">
        <f>IF(V256&gt;0,Ruimtestaat[[#This Row],[Prest. (m2 /jaar) werkdagen]]/Ruimtestaat[[#This Row],[Norm (m2/uur) werkdagen]],0)</f>
        <v>0</v>
      </c>
      <c r="Y256" s="221">
        <f>Ruimtestaat[[#This Row],[uren / jaar werkdagen]]*Tariefsopbouw!$D$38</f>
        <v>0</v>
      </c>
      <c r="Z256" s="33"/>
      <c r="AA256" s="33">
        <f>IF(Ruimtestaat[[#This Row],[Frequentie weekend]]&gt;0,VALUE(LEFT(Z256,1))*S256,0)</f>
        <v>0</v>
      </c>
      <c r="AB256" s="33">
        <f>IF($AA256&gt;0,VLOOKUP($K256,Ruimtegroepen[],3,FALSE)*VLOOKUP($M256,Vloersoorten[],3,FALSE)*VLOOKUP($Z256,Frequenties[],3,FALSE)*VLOOKUP(#REF!,Locaties[],3,FALSE),0)</f>
        <v>0</v>
      </c>
      <c r="AC256" s="33"/>
      <c r="AD256" s="33"/>
      <c r="AE256" s="33">
        <f>Ruimtestaat[[#This Row],[uren / jaar weekend]]*Tariefsopbouw!$D$40</f>
        <v>0</v>
      </c>
      <c r="AF256" s="79">
        <f>Ruimtestaat[[#This Row],[Prest. (m2 /jaar) weekend]]+Ruimtestaat[[#This Row],[Prest. (m2 /jaar) werkdagen]]</f>
        <v>800</v>
      </c>
      <c r="AG256" s="79">
        <f>Ruimtestaat[[#This Row],[uren / jaar weekend]]+Ruimtestaat[[#This Row],[uren / jaar werkdagen]]</f>
        <v>0</v>
      </c>
      <c r="AH256" s="80">
        <f>Ruimtestaat[[#This Row],[kosten / jaar weekend]]+Ruimtestaat[[#This Row],[kosten / jaar werkdagen]]</f>
        <v>0</v>
      </c>
    </row>
    <row r="257" spans="1:34" ht="15" customHeight="1">
      <c r="A257" s="256">
        <v>4</v>
      </c>
      <c r="B257" s="171" t="str">
        <f>VLOOKUP(Ruimtestaat[[#This Row],[Code]],Locaties[#All],2,FALSE)</f>
        <v>Stafbureau Attendiz</v>
      </c>
      <c r="C257" s="258" t="str">
        <f>VLOOKUP(Ruimtestaat[[#This Row],[Code]],Locaties[#All],4,FALSE)</f>
        <v>Welbergweg 20</v>
      </c>
      <c r="D257" s="258" t="str">
        <f>VLOOKUP(Ruimtestaat[[#This Row],[Code]],Locaties[#All],5,FALSE)</f>
        <v>7556 PE</v>
      </c>
      <c r="E257" s="258" t="str">
        <f>VLOOKUP(Ruimtestaat[[#This Row],[Code]],Locaties[#All],6,FALSE)</f>
        <v>Hengelo</v>
      </c>
      <c r="F257" s="257"/>
      <c r="G257" s="257" t="s">
        <v>1065</v>
      </c>
      <c r="H257" s="171"/>
      <c r="I257" s="257" t="s">
        <v>1102</v>
      </c>
      <c r="J257" s="259" t="s">
        <v>574</v>
      </c>
      <c r="K257" s="258">
        <v>6</v>
      </c>
      <c r="L257" s="260" t="str">
        <f>VLOOKUP(Ruimtestaat[[#This Row],[Ruimte code]],Ruimtegroepen[#All],2,FALSE)</f>
        <v>Gangen/hallen</v>
      </c>
      <c r="M257" s="258" t="s">
        <v>597</v>
      </c>
      <c r="N257" s="257" t="s">
        <v>38</v>
      </c>
      <c r="O257" s="261">
        <v>6</v>
      </c>
      <c r="P257" s="183"/>
      <c r="Q257" s="212" t="str">
        <f>VLOOKUP(Ruimtestaat[[#This Row],[Ruimte code]],Ruimtegroepen[#All],4,FALSE)</f>
        <v>V  (Verkeersruimte)</v>
      </c>
      <c r="R257" s="184"/>
      <c r="S257" s="185">
        <v>40</v>
      </c>
      <c r="T257" s="185" t="s">
        <v>15</v>
      </c>
      <c r="U257" s="185">
        <f>IF(S257&gt;0,IF(RIGHT(Ruimtestaat[[#This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57" s="185">
        <f>IF(U257&gt;0,VLOOKUP($K257,Ruimtegroepen[],3,FALSE)*VLOOKUP($M257,Vloersoorten[],3,FALSE)*VLOOKUP($T257,Frequenties[],3,FALSE)*VLOOKUP($A257,Locaties[],3,FALSE),0)</f>
        <v>0</v>
      </c>
      <c r="W257" s="185">
        <f>Ruimtestaat[[#This Row],[Uitvoeringen werkdagen]]*Ruimtestaat[[#This Row],[Oppervlak (netto)]]</f>
        <v>240</v>
      </c>
      <c r="X257" s="220">
        <f>IF(V257&gt;0,Ruimtestaat[[#This Row],[Prest. (m2 /jaar) werkdagen]]/Ruimtestaat[[#This Row],[Norm (m2/uur) werkdagen]],0)</f>
        <v>0</v>
      </c>
      <c r="Y257" s="221">
        <f>Ruimtestaat[[#This Row],[uren / jaar werkdagen]]*Tariefsopbouw!$D$38</f>
        <v>0</v>
      </c>
      <c r="Z257" s="33"/>
      <c r="AA257" s="33">
        <f>IF(Ruimtestaat[[#This Row],[Frequentie weekend]]&gt;0,VALUE(LEFT(Z257,1))*S257,0)</f>
        <v>0</v>
      </c>
      <c r="AB257" s="33">
        <f>IF($AA257&gt;0,VLOOKUP($K257,Ruimtegroepen[],3,FALSE)*VLOOKUP($M257,Vloersoorten[],3,FALSE)*VLOOKUP($Z257,Frequenties[],3,FALSE)*VLOOKUP(#REF!,Locaties[],3,FALSE),0)</f>
        <v>0</v>
      </c>
      <c r="AC257" s="33"/>
      <c r="AD257" s="33"/>
      <c r="AE257" s="33">
        <f>Ruimtestaat[[#This Row],[uren / jaar weekend]]*Tariefsopbouw!$D$40</f>
        <v>0</v>
      </c>
      <c r="AF257" s="79">
        <f>Ruimtestaat[[#This Row],[Prest. (m2 /jaar) weekend]]+Ruimtestaat[[#This Row],[Prest. (m2 /jaar) werkdagen]]</f>
        <v>240</v>
      </c>
      <c r="AG257" s="79">
        <f>Ruimtestaat[[#This Row],[uren / jaar weekend]]+Ruimtestaat[[#This Row],[uren / jaar werkdagen]]</f>
        <v>0</v>
      </c>
      <c r="AH257" s="80">
        <f>Ruimtestaat[[#This Row],[kosten / jaar weekend]]+Ruimtestaat[[#This Row],[kosten / jaar werkdagen]]</f>
        <v>0</v>
      </c>
    </row>
    <row r="258" spans="1:34" ht="15" customHeight="1">
      <c r="A258" s="256">
        <v>4</v>
      </c>
      <c r="B258" s="171" t="str">
        <f>VLOOKUP(Ruimtestaat[[#This Row],[Code]],Locaties[#All],2,FALSE)</f>
        <v>Stafbureau Attendiz</v>
      </c>
      <c r="C258" s="258" t="str">
        <f>VLOOKUP(Ruimtestaat[[#This Row],[Code]],Locaties[#All],4,FALSE)</f>
        <v>Welbergweg 20</v>
      </c>
      <c r="D258" s="258" t="str">
        <f>VLOOKUP(Ruimtestaat[[#This Row],[Code]],Locaties[#All],5,FALSE)</f>
        <v>7556 PE</v>
      </c>
      <c r="E258" s="258" t="str">
        <f>VLOOKUP(Ruimtestaat[[#This Row],[Code]],Locaties[#All],6,FALSE)</f>
        <v>Hengelo</v>
      </c>
      <c r="F258" s="257"/>
      <c r="G258" s="257" t="s">
        <v>1065</v>
      </c>
      <c r="H258" s="171"/>
      <c r="I258" s="257" t="s">
        <v>1103</v>
      </c>
      <c r="J258" s="259" t="s">
        <v>569</v>
      </c>
      <c r="K258" s="185">
        <v>5</v>
      </c>
      <c r="L258" s="260" t="str">
        <f>VLOOKUP(Ruimtestaat[[#This Row],[Ruimte code]],Ruimtegroepen[#All],2,FALSE)</f>
        <v>Sanitair</v>
      </c>
      <c r="M258" s="212" t="s">
        <v>111</v>
      </c>
      <c r="N258" s="257" t="s">
        <v>605</v>
      </c>
      <c r="O258" s="261">
        <v>3.7</v>
      </c>
      <c r="P258" s="183"/>
      <c r="Q258" s="212" t="str">
        <f>VLOOKUP(Ruimtestaat[[#This Row],[Ruimte code]],Ruimtegroepen[#All],4,FALSE)</f>
        <v>S  (Sanitair)</v>
      </c>
      <c r="R258" s="184"/>
      <c r="S258" s="185">
        <v>40</v>
      </c>
      <c r="T258" s="185" t="s">
        <v>2</v>
      </c>
      <c r="U258" s="185">
        <f>IF(S258&gt;0,IF(RIGHT(Ruimtestaat[[#This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8" s="185">
        <f>IF(U258&gt;0,VLOOKUP($K258,Ruimtegroepen[],3,FALSE)*VLOOKUP($M258,Vloersoorten[],3,FALSE)*VLOOKUP($T258,Frequenties[],3,FALSE)*VLOOKUP($A258,Locaties[],3,FALSE),0)</f>
        <v>0</v>
      </c>
      <c r="W258" s="185">
        <f>Ruimtestaat[[#This Row],[Uitvoeringen werkdagen]]*Ruimtestaat[[#This Row],[Oppervlak (netto)]]</f>
        <v>740</v>
      </c>
      <c r="X258" s="220">
        <f>IF(V258&gt;0,Ruimtestaat[[#This Row],[Prest. (m2 /jaar) werkdagen]]/Ruimtestaat[[#This Row],[Norm (m2/uur) werkdagen]],0)</f>
        <v>0</v>
      </c>
      <c r="Y258" s="221">
        <f>Ruimtestaat[[#This Row],[uren / jaar werkdagen]]*Tariefsopbouw!$D$38</f>
        <v>0</v>
      </c>
      <c r="Z258" s="33"/>
      <c r="AA258" s="33">
        <f>IF(Ruimtestaat[[#This Row],[Frequentie weekend]]&gt;0,VALUE(LEFT(Z258,1))*S258,0)</f>
        <v>0</v>
      </c>
      <c r="AB258" s="33">
        <f>IF($AA258&gt;0,VLOOKUP($K258,Ruimtegroepen[],3,FALSE)*VLOOKUP($M258,Vloersoorten[],3,FALSE)*VLOOKUP($Z258,Frequenties[],3,FALSE)*VLOOKUP(#REF!,Locaties[],3,FALSE),0)</f>
        <v>0</v>
      </c>
      <c r="AC258" s="33"/>
      <c r="AD258" s="33"/>
      <c r="AE258" s="33">
        <f>Ruimtestaat[[#This Row],[uren / jaar weekend]]*Tariefsopbouw!$D$40</f>
        <v>0</v>
      </c>
      <c r="AF258" s="79">
        <f>Ruimtestaat[[#This Row],[Prest. (m2 /jaar) weekend]]+Ruimtestaat[[#This Row],[Prest. (m2 /jaar) werkdagen]]</f>
        <v>740</v>
      </c>
      <c r="AG258" s="79">
        <f>Ruimtestaat[[#This Row],[uren / jaar weekend]]+Ruimtestaat[[#This Row],[uren / jaar werkdagen]]</f>
        <v>0</v>
      </c>
      <c r="AH258" s="80">
        <f>Ruimtestaat[[#This Row],[kosten / jaar weekend]]+Ruimtestaat[[#This Row],[kosten / jaar werkdagen]]</f>
        <v>0</v>
      </c>
    </row>
    <row r="259" spans="1:34" ht="15" customHeight="1">
      <c r="A259" s="256">
        <v>4</v>
      </c>
      <c r="B259" s="171" t="str">
        <f>VLOOKUP(Ruimtestaat[[#This Row],[Code]],Locaties[#All],2,FALSE)</f>
        <v>Stafbureau Attendiz</v>
      </c>
      <c r="C259" s="258" t="str">
        <f>VLOOKUP(Ruimtestaat[[#This Row],[Code]],Locaties[#All],4,FALSE)</f>
        <v>Welbergweg 20</v>
      </c>
      <c r="D259" s="258" t="str">
        <f>VLOOKUP(Ruimtestaat[[#This Row],[Code]],Locaties[#All],5,FALSE)</f>
        <v>7556 PE</v>
      </c>
      <c r="E259" s="258" t="str">
        <f>VLOOKUP(Ruimtestaat[[#This Row],[Code]],Locaties[#All],6,FALSE)</f>
        <v>Hengelo</v>
      </c>
      <c r="F259" s="257"/>
      <c r="G259" s="257" t="s">
        <v>1065</v>
      </c>
      <c r="H259" s="171"/>
      <c r="I259" s="257" t="s">
        <v>1104</v>
      </c>
      <c r="J259" s="259" t="s">
        <v>569</v>
      </c>
      <c r="K259" s="185">
        <v>5</v>
      </c>
      <c r="L259" s="260" t="str">
        <f>VLOOKUP(Ruimtestaat[[#This Row],[Ruimte code]],Ruimtegroepen[#All],2,FALSE)</f>
        <v>Sanitair</v>
      </c>
      <c r="M259" s="212" t="s">
        <v>111</v>
      </c>
      <c r="N259" s="257" t="s">
        <v>605</v>
      </c>
      <c r="O259" s="261">
        <v>2.8</v>
      </c>
      <c r="P259" s="183"/>
      <c r="Q259" s="212" t="str">
        <f>VLOOKUP(Ruimtestaat[[#This Row],[Ruimte code]],Ruimtegroepen[#All],4,FALSE)</f>
        <v>S  (Sanitair)</v>
      </c>
      <c r="R259" s="184"/>
      <c r="S259" s="185">
        <v>40</v>
      </c>
      <c r="T259" s="185" t="s">
        <v>2</v>
      </c>
      <c r="U259" s="185">
        <f>IF(S259&gt;0,IF(RIGHT(Ruimtestaat[[#This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9" s="185">
        <f>IF(U259&gt;0,VLOOKUP($K259,Ruimtegroepen[],3,FALSE)*VLOOKUP($M259,Vloersoorten[],3,FALSE)*VLOOKUP($T259,Frequenties[],3,FALSE)*VLOOKUP($A259,Locaties[],3,FALSE),0)</f>
        <v>0</v>
      </c>
      <c r="W259" s="185">
        <f>Ruimtestaat[[#This Row],[Uitvoeringen werkdagen]]*Ruimtestaat[[#This Row],[Oppervlak (netto)]]</f>
        <v>560</v>
      </c>
      <c r="X259" s="220">
        <f>IF(V259&gt;0,Ruimtestaat[[#This Row],[Prest. (m2 /jaar) werkdagen]]/Ruimtestaat[[#This Row],[Norm (m2/uur) werkdagen]],0)</f>
        <v>0</v>
      </c>
      <c r="Y259" s="221">
        <f>Ruimtestaat[[#This Row],[uren / jaar werkdagen]]*Tariefsopbouw!$D$38</f>
        <v>0</v>
      </c>
      <c r="Z259" s="33"/>
      <c r="AA259" s="33">
        <f>IF(Ruimtestaat[[#This Row],[Frequentie weekend]]&gt;0,VALUE(LEFT(Z259,1))*S259,0)</f>
        <v>0</v>
      </c>
      <c r="AB259" s="33">
        <f>IF($AA259&gt;0,VLOOKUP($K259,Ruimtegroepen[],3,FALSE)*VLOOKUP($M259,Vloersoorten[],3,FALSE)*VLOOKUP($Z259,Frequenties[],3,FALSE)*VLOOKUP(#REF!,Locaties[],3,FALSE),0)</f>
        <v>0</v>
      </c>
      <c r="AC259" s="33"/>
      <c r="AD259" s="33"/>
      <c r="AE259" s="33">
        <f>Ruimtestaat[[#This Row],[uren / jaar weekend]]*Tariefsopbouw!$D$40</f>
        <v>0</v>
      </c>
      <c r="AF259" s="79">
        <f>Ruimtestaat[[#This Row],[Prest. (m2 /jaar) weekend]]+Ruimtestaat[[#This Row],[Prest. (m2 /jaar) werkdagen]]</f>
        <v>560</v>
      </c>
      <c r="AG259" s="79">
        <f>Ruimtestaat[[#This Row],[uren / jaar weekend]]+Ruimtestaat[[#This Row],[uren / jaar werkdagen]]</f>
        <v>0</v>
      </c>
      <c r="AH259" s="80">
        <f>Ruimtestaat[[#This Row],[kosten / jaar weekend]]+Ruimtestaat[[#This Row],[kosten / jaar werkdagen]]</f>
        <v>0</v>
      </c>
    </row>
    <row r="260" spans="1:34" ht="15" customHeight="1">
      <c r="A260" s="256">
        <v>5</v>
      </c>
      <c r="B260" s="171" t="str">
        <f>VLOOKUP(Ruimtestaat[[#This Row],[Code]],Locaties[#All],2,FALSE)</f>
        <v>VSO Het Mozaïek Almelo</v>
      </c>
      <c r="C260" s="258" t="str">
        <f>VLOOKUP(Ruimtestaat[[#This Row],[Code]],Locaties[#All],4,FALSE)</f>
        <v>Cesar Franckstaat 3</v>
      </c>
      <c r="D260" s="258" t="str">
        <f>VLOOKUP(Ruimtestaat[[#This Row],[Code]],Locaties[#All],5,FALSE)</f>
        <v>7604JE</v>
      </c>
      <c r="E260" s="258" t="str">
        <f>VLOOKUP(Ruimtestaat[[#This Row],[Code]],Locaties[#All],6,FALSE)</f>
        <v>Almelo</v>
      </c>
      <c r="F260" s="257" t="s">
        <v>1114</v>
      </c>
      <c r="G260" s="257" t="s">
        <v>563</v>
      </c>
      <c r="H260" s="171"/>
      <c r="I260" s="257" t="s">
        <v>446</v>
      </c>
      <c r="J260" s="259" t="s">
        <v>781</v>
      </c>
      <c r="K260" s="258">
        <v>14</v>
      </c>
      <c r="L260" s="260" t="str">
        <f>VLOOKUP(Ruimtestaat[[#This Row],[Ruimte code]],Ruimtegroepen[#All],2,FALSE)</f>
        <v>Praktijklokalen</v>
      </c>
      <c r="M260" s="212" t="s">
        <v>111</v>
      </c>
      <c r="N260" s="257" t="s">
        <v>605</v>
      </c>
      <c r="O260" s="261">
        <v>50.2</v>
      </c>
      <c r="P260" s="183"/>
      <c r="Q260" s="212" t="str">
        <f>VLOOKUP(Ruimtestaat[[#This Row],[Ruimte code]],Ruimtegroepen[#All],4,FALSE)</f>
        <v>L  (Lesruimte)</v>
      </c>
      <c r="R260" s="184"/>
      <c r="S260" s="185">
        <v>40</v>
      </c>
      <c r="T260" s="185" t="s">
        <v>15</v>
      </c>
      <c r="U260" s="185">
        <f>IF(S260&gt;0,IF(RIGHT(Ruimtestaat[[#This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60" s="185">
        <f>IF(U260&gt;0,VLOOKUP($K260,Ruimtegroepen[],3,FALSE)*VLOOKUP($M260,Vloersoorten[],3,FALSE)*VLOOKUP($T260,Frequenties[],3,FALSE)*VLOOKUP($A260,Locaties[],3,FALSE),0)</f>
        <v>0</v>
      </c>
      <c r="W260" s="185">
        <f>Ruimtestaat[[#This Row],[Uitvoeringen werkdagen]]*Ruimtestaat[[#This Row],[Oppervlak (netto)]]</f>
        <v>2008</v>
      </c>
      <c r="X260" s="220">
        <f>IF(V260&gt;0,Ruimtestaat[[#This Row],[Prest. (m2 /jaar) werkdagen]]/Ruimtestaat[[#This Row],[Norm (m2/uur) werkdagen]],0)</f>
        <v>0</v>
      </c>
      <c r="Y260" s="221">
        <f>Ruimtestaat[[#This Row],[uren / jaar werkdagen]]*Tariefsopbouw!$D$38</f>
        <v>0</v>
      </c>
      <c r="Z260" s="33"/>
      <c r="AA260" s="33">
        <f>IF(Ruimtestaat[[#This Row],[Frequentie weekend]]&gt;0,VALUE(LEFT(Z260,1))*S260,0)</f>
        <v>0</v>
      </c>
      <c r="AB260" s="33">
        <f>IF($AA260&gt;0,VLOOKUP($K260,Ruimtegroepen[],3,FALSE)*VLOOKUP($M260,Vloersoorten[],3,FALSE)*VLOOKUP($Z260,Frequenties[],3,FALSE)*VLOOKUP(#REF!,Locaties[],3,FALSE),0)</f>
        <v>0</v>
      </c>
      <c r="AC260" s="33"/>
      <c r="AD260" s="33"/>
      <c r="AE260" s="33">
        <f>Ruimtestaat[[#This Row],[uren / jaar weekend]]*Tariefsopbouw!$D$40</f>
        <v>0</v>
      </c>
      <c r="AF260" s="79">
        <f>Ruimtestaat[[#This Row],[Prest. (m2 /jaar) weekend]]+Ruimtestaat[[#This Row],[Prest. (m2 /jaar) werkdagen]]</f>
        <v>2008</v>
      </c>
      <c r="AG260" s="79">
        <f>Ruimtestaat[[#This Row],[uren / jaar weekend]]+Ruimtestaat[[#This Row],[uren / jaar werkdagen]]</f>
        <v>0</v>
      </c>
      <c r="AH260" s="80">
        <f>Ruimtestaat[[#This Row],[kosten / jaar weekend]]+Ruimtestaat[[#This Row],[kosten / jaar werkdagen]]</f>
        <v>0</v>
      </c>
    </row>
    <row r="261" spans="1:34" ht="15" customHeight="1">
      <c r="A261" s="256">
        <v>5</v>
      </c>
      <c r="B261" s="171" t="str">
        <f>VLOOKUP(Ruimtestaat[[#This Row],[Code]],Locaties[#All],2,FALSE)</f>
        <v>VSO Het Mozaïek Almelo</v>
      </c>
      <c r="C261" s="258" t="str">
        <f>VLOOKUP(Ruimtestaat[[#This Row],[Code]],Locaties[#All],4,FALSE)</f>
        <v>Cesar Franckstaat 3</v>
      </c>
      <c r="D261" s="258" t="str">
        <f>VLOOKUP(Ruimtestaat[[#This Row],[Code]],Locaties[#All],5,FALSE)</f>
        <v>7604JE</v>
      </c>
      <c r="E261" s="258" t="str">
        <f>VLOOKUP(Ruimtestaat[[#This Row],[Code]],Locaties[#All],6,FALSE)</f>
        <v>Almelo</v>
      </c>
      <c r="F261" s="257" t="s">
        <v>1114</v>
      </c>
      <c r="G261" s="257" t="s">
        <v>563</v>
      </c>
      <c r="H261" s="171"/>
      <c r="I261" s="257" t="s">
        <v>447</v>
      </c>
      <c r="J261" s="259" t="s">
        <v>704</v>
      </c>
      <c r="K261" s="171">
        <v>1</v>
      </c>
      <c r="L261" s="260" t="str">
        <f>VLOOKUP(Ruimtestaat[[#This Row],[Ruimte code]],Ruimtegroepen[#All],2,FALSE)</f>
        <v>Magazijnen/bergingen</v>
      </c>
      <c r="M261" s="212" t="s">
        <v>111</v>
      </c>
      <c r="N261" s="257" t="s">
        <v>605</v>
      </c>
      <c r="O261" s="261">
        <v>8.23</v>
      </c>
      <c r="P261" s="183"/>
      <c r="Q261" s="212" t="str">
        <f>VLOOKUP(Ruimtestaat[[#This Row],[Ruimte code]],Ruimtegroepen[#All],4,FALSE)</f>
        <v>V  (Verkeersruimte)</v>
      </c>
      <c r="R261" s="184"/>
      <c r="S261" s="185">
        <v>40</v>
      </c>
      <c r="T261" s="185" t="s">
        <v>2</v>
      </c>
      <c r="U261" s="185">
        <f>IF(S261&gt;0,IF(RIGHT(Ruimtestaat[[#This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1" s="185">
        <f>IF(U261&gt;0,VLOOKUP($K261,Ruimtegroepen[],3,FALSE)*VLOOKUP($M261,Vloersoorten[],3,FALSE)*VLOOKUP($T261,Frequenties[],3,FALSE)*VLOOKUP($A261,Locaties[],3,FALSE),0)</f>
        <v>0</v>
      </c>
      <c r="W261" s="185">
        <f>Ruimtestaat[[#This Row],[Uitvoeringen werkdagen]]*Ruimtestaat[[#This Row],[Oppervlak (netto)]]</f>
        <v>1646</v>
      </c>
      <c r="X261" s="220">
        <f>IF(V261&gt;0,Ruimtestaat[[#This Row],[Prest. (m2 /jaar) werkdagen]]/Ruimtestaat[[#This Row],[Norm (m2/uur) werkdagen]],0)</f>
        <v>0</v>
      </c>
      <c r="Y261" s="221">
        <f>Ruimtestaat[[#This Row],[uren / jaar werkdagen]]*Tariefsopbouw!$D$38</f>
        <v>0</v>
      </c>
      <c r="Z261" s="33"/>
      <c r="AA261" s="33">
        <f>IF(Ruimtestaat[[#This Row],[Frequentie weekend]]&gt;0,VALUE(LEFT(Z261,1))*S261,0)</f>
        <v>0</v>
      </c>
      <c r="AB261" s="33">
        <f>IF($AA261&gt;0,VLOOKUP($K261,Ruimtegroepen[],3,FALSE)*VLOOKUP($M261,Vloersoorten[],3,FALSE)*VLOOKUP($Z261,Frequenties[],3,FALSE)*VLOOKUP(#REF!,Locaties[],3,FALSE),0)</f>
        <v>0</v>
      </c>
      <c r="AC261" s="33"/>
      <c r="AD261" s="33"/>
      <c r="AE261" s="33">
        <f>Ruimtestaat[[#This Row],[uren / jaar weekend]]*Tariefsopbouw!$D$40</f>
        <v>0</v>
      </c>
      <c r="AF261" s="79">
        <f>Ruimtestaat[[#This Row],[Prest. (m2 /jaar) weekend]]+Ruimtestaat[[#This Row],[Prest. (m2 /jaar) werkdagen]]</f>
        <v>1646</v>
      </c>
      <c r="AG261" s="79">
        <f>Ruimtestaat[[#This Row],[uren / jaar weekend]]+Ruimtestaat[[#This Row],[uren / jaar werkdagen]]</f>
        <v>0</v>
      </c>
      <c r="AH261" s="80">
        <f>Ruimtestaat[[#This Row],[kosten / jaar weekend]]+Ruimtestaat[[#This Row],[kosten / jaar werkdagen]]</f>
        <v>0</v>
      </c>
    </row>
    <row r="262" spans="1:34" ht="15" customHeight="1">
      <c r="A262" s="256">
        <v>5</v>
      </c>
      <c r="B262" s="171" t="str">
        <f>VLOOKUP(Ruimtestaat[[#This Row],[Code]],Locaties[#All],2,FALSE)</f>
        <v>VSO Het Mozaïek Almelo</v>
      </c>
      <c r="C262" s="258" t="str">
        <f>VLOOKUP(Ruimtestaat[[#This Row],[Code]],Locaties[#All],4,FALSE)</f>
        <v>Cesar Franckstaat 3</v>
      </c>
      <c r="D262" s="258" t="str">
        <f>VLOOKUP(Ruimtestaat[[#This Row],[Code]],Locaties[#All],5,FALSE)</f>
        <v>7604JE</v>
      </c>
      <c r="E262" s="258" t="str">
        <f>VLOOKUP(Ruimtestaat[[#This Row],[Code]],Locaties[#All],6,FALSE)</f>
        <v>Almelo</v>
      </c>
      <c r="F262" s="257" t="s">
        <v>1114</v>
      </c>
      <c r="G262" s="257" t="s">
        <v>563</v>
      </c>
      <c r="H262" s="171"/>
      <c r="I262" s="257" t="s">
        <v>448</v>
      </c>
      <c r="J262" s="259" t="s">
        <v>130</v>
      </c>
      <c r="K262" s="258">
        <v>15</v>
      </c>
      <c r="L262" s="260" t="str">
        <f>VLOOKUP(Ruimtestaat[[#This Row],[Ruimte code]],Ruimtegroepen[#All],2,FALSE)</f>
        <v>Keuken/pantry</v>
      </c>
      <c r="M262" s="258" t="s">
        <v>598</v>
      </c>
      <c r="N262" s="257" t="s">
        <v>132</v>
      </c>
      <c r="O262" s="261">
        <v>8</v>
      </c>
      <c r="P262" s="183"/>
      <c r="Q262" s="212" t="str">
        <f>VLOOKUP(Ruimtestaat[[#This Row],[Ruimte code]],Ruimtegroepen[#All],4,FALSE)</f>
        <v>V  (Verkeersruimte)</v>
      </c>
      <c r="R262" s="184"/>
      <c r="S262" s="185">
        <v>40</v>
      </c>
      <c r="T262" s="185" t="s">
        <v>17</v>
      </c>
      <c r="U262" s="185">
        <f>IF(S262&gt;0,IF(RIGHT(Ruimtestaat[[#This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62" s="185">
        <f>IF(U262&gt;0,VLOOKUP($K262,Ruimtegroepen[],3,FALSE)*VLOOKUP($M262,Vloersoorten[],3,FALSE)*VLOOKUP($T262,Frequenties[],3,FALSE)*VLOOKUP($A262,Locaties[],3,FALSE),0)</f>
        <v>0</v>
      </c>
      <c r="W262" s="185">
        <f>Ruimtestaat[[#This Row],[Uitvoeringen werkdagen]]*Ruimtestaat[[#This Row],[Oppervlak (netto)]]</f>
        <v>640</v>
      </c>
      <c r="X262" s="220">
        <f>IF(V262&gt;0,Ruimtestaat[[#This Row],[Prest. (m2 /jaar) werkdagen]]/Ruimtestaat[[#This Row],[Norm (m2/uur) werkdagen]],0)</f>
        <v>0</v>
      </c>
      <c r="Y262" s="221">
        <f>Ruimtestaat[[#This Row],[uren / jaar werkdagen]]*Tariefsopbouw!$D$38</f>
        <v>0</v>
      </c>
      <c r="Z262" s="33"/>
      <c r="AA262" s="33">
        <f>IF(Ruimtestaat[[#This Row],[Frequentie weekend]]&gt;0,VALUE(LEFT(Z262,1))*S262,0)</f>
        <v>0</v>
      </c>
      <c r="AB262" s="33">
        <f>IF($AA262&gt;0,VLOOKUP($K262,Ruimtegroepen[],3,FALSE)*VLOOKUP($M262,Vloersoorten[],3,FALSE)*VLOOKUP($Z262,Frequenties[],3,FALSE)*VLOOKUP(#REF!,Locaties[],3,FALSE),0)</f>
        <v>0</v>
      </c>
      <c r="AC262" s="33"/>
      <c r="AD262" s="33"/>
      <c r="AE262" s="33">
        <f>Ruimtestaat[[#This Row],[uren / jaar weekend]]*Tariefsopbouw!$D$40</f>
        <v>0</v>
      </c>
      <c r="AF262" s="79">
        <f>Ruimtestaat[[#This Row],[Prest. (m2 /jaar) weekend]]+Ruimtestaat[[#This Row],[Prest. (m2 /jaar) werkdagen]]</f>
        <v>640</v>
      </c>
      <c r="AG262" s="79">
        <f>Ruimtestaat[[#This Row],[uren / jaar weekend]]+Ruimtestaat[[#This Row],[uren / jaar werkdagen]]</f>
        <v>0</v>
      </c>
      <c r="AH262" s="80">
        <f>Ruimtestaat[[#This Row],[kosten / jaar weekend]]+Ruimtestaat[[#This Row],[kosten / jaar werkdagen]]</f>
        <v>0</v>
      </c>
    </row>
    <row r="263" spans="1:34" ht="15" customHeight="1">
      <c r="A263" s="256">
        <v>5</v>
      </c>
      <c r="B263" s="171" t="str">
        <f>VLOOKUP(Ruimtestaat[[#This Row],[Code]],Locaties[#All],2,FALSE)</f>
        <v>VSO Het Mozaïek Almelo</v>
      </c>
      <c r="C263" s="258" t="str">
        <f>VLOOKUP(Ruimtestaat[[#This Row],[Code]],Locaties[#All],4,FALSE)</f>
        <v>Cesar Franckstaat 3</v>
      </c>
      <c r="D263" s="258" t="str">
        <f>VLOOKUP(Ruimtestaat[[#This Row],[Code]],Locaties[#All],5,FALSE)</f>
        <v>7604JE</v>
      </c>
      <c r="E263" s="258" t="str">
        <f>VLOOKUP(Ruimtestaat[[#This Row],[Code]],Locaties[#All],6,FALSE)</f>
        <v>Almelo</v>
      </c>
      <c r="F263" s="257" t="s">
        <v>1114</v>
      </c>
      <c r="G263" s="257" t="s">
        <v>563</v>
      </c>
      <c r="H263" s="171"/>
      <c r="I263" s="257" t="s">
        <v>449</v>
      </c>
      <c r="J263" s="259" t="s">
        <v>683</v>
      </c>
      <c r="K263" s="185">
        <v>5</v>
      </c>
      <c r="L263" s="260" t="str">
        <f>VLOOKUP(Ruimtestaat[[#This Row],[Ruimte code]],Ruimtegroepen[#All],2,FALSE)</f>
        <v>Sanitair</v>
      </c>
      <c r="M263" s="212" t="s">
        <v>111</v>
      </c>
      <c r="N263" s="257" t="s">
        <v>606</v>
      </c>
      <c r="O263" s="261">
        <v>6.8</v>
      </c>
      <c r="P263" s="183"/>
      <c r="Q263" s="212" t="str">
        <f>VLOOKUP(Ruimtestaat[[#This Row],[Ruimte code]],Ruimtegroepen[#All],4,FALSE)</f>
        <v>S  (Sanitair)</v>
      </c>
      <c r="R263" s="184"/>
      <c r="S263" s="185">
        <v>40</v>
      </c>
      <c r="T263" s="185" t="s">
        <v>2</v>
      </c>
      <c r="U263" s="185">
        <f>IF(S263&gt;0,IF(RIGHT(Ruimtestaat[[#This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3" s="185">
        <f>IF(U263&gt;0,VLOOKUP($K263,Ruimtegroepen[],3,FALSE)*VLOOKUP($M263,Vloersoorten[],3,FALSE)*VLOOKUP($T263,Frequenties[],3,FALSE)*VLOOKUP($A263,Locaties[],3,FALSE),0)</f>
        <v>0</v>
      </c>
      <c r="W263" s="185">
        <f>Ruimtestaat[[#This Row],[Uitvoeringen werkdagen]]*Ruimtestaat[[#This Row],[Oppervlak (netto)]]</f>
        <v>1360</v>
      </c>
      <c r="X263" s="220">
        <f>IF(V263&gt;0,Ruimtestaat[[#This Row],[Prest. (m2 /jaar) werkdagen]]/Ruimtestaat[[#This Row],[Norm (m2/uur) werkdagen]],0)</f>
        <v>0</v>
      </c>
      <c r="Y263" s="221">
        <f>Ruimtestaat[[#This Row],[uren / jaar werkdagen]]*Tariefsopbouw!$D$38</f>
        <v>0</v>
      </c>
      <c r="Z263" s="33"/>
      <c r="AA263" s="33">
        <f>IF(Ruimtestaat[[#This Row],[Frequentie weekend]]&gt;0,VALUE(LEFT(Z263,1))*S263,0)</f>
        <v>0</v>
      </c>
      <c r="AB263" s="33">
        <f>IF($AA263&gt;0,VLOOKUP($K263,Ruimtegroepen[],3,FALSE)*VLOOKUP($M263,Vloersoorten[],3,FALSE)*VLOOKUP($Z263,Frequenties[],3,FALSE)*VLOOKUP(#REF!,Locaties[],3,FALSE),0)</f>
        <v>0</v>
      </c>
      <c r="AC263" s="33"/>
      <c r="AD263" s="33"/>
      <c r="AE263" s="33">
        <f>Ruimtestaat[[#This Row],[uren / jaar weekend]]*Tariefsopbouw!$D$40</f>
        <v>0</v>
      </c>
      <c r="AF263" s="79">
        <f>Ruimtestaat[[#This Row],[Prest. (m2 /jaar) weekend]]+Ruimtestaat[[#This Row],[Prest. (m2 /jaar) werkdagen]]</f>
        <v>1360</v>
      </c>
      <c r="AG263" s="79">
        <f>Ruimtestaat[[#This Row],[uren / jaar weekend]]+Ruimtestaat[[#This Row],[uren / jaar werkdagen]]</f>
        <v>0</v>
      </c>
      <c r="AH263" s="80">
        <f>Ruimtestaat[[#This Row],[kosten / jaar weekend]]+Ruimtestaat[[#This Row],[kosten / jaar werkdagen]]</f>
        <v>0</v>
      </c>
    </row>
    <row r="264" spans="1:34" ht="15" customHeight="1">
      <c r="A264" s="256">
        <v>5</v>
      </c>
      <c r="B264" s="171" t="str">
        <f>VLOOKUP(Ruimtestaat[[#This Row],[Code]],Locaties[#All],2,FALSE)</f>
        <v>VSO Het Mozaïek Almelo</v>
      </c>
      <c r="C264" s="258" t="str">
        <f>VLOOKUP(Ruimtestaat[[#This Row],[Code]],Locaties[#All],4,FALSE)</f>
        <v>Cesar Franckstaat 3</v>
      </c>
      <c r="D264" s="258" t="str">
        <f>VLOOKUP(Ruimtestaat[[#This Row],[Code]],Locaties[#All],5,FALSE)</f>
        <v>7604JE</v>
      </c>
      <c r="E264" s="258" t="str">
        <f>VLOOKUP(Ruimtestaat[[#This Row],[Code]],Locaties[#All],6,FALSE)</f>
        <v>Almelo</v>
      </c>
      <c r="F264" s="257" t="s">
        <v>1114</v>
      </c>
      <c r="G264" s="257" t="s">
        <v>563</v>
      </c>
      <c r="H264" s="171"/>
      <c r="I264" s="257" t="s">
        <v>450</v>
      </c>
      <c r="J264" s="259" t="s">
        <v>569</v>
      </c>
      <c r="K264" s="185">
        <v>5</v>
      </c>
      <c r="L264" s="260" t="str">
        <f>VLOOKUP(Ruimtestaat[[#This Row],[Ruimte code]],Ruimtegroepen[#All],2,FALSE)</f>
        <v>Sanitair</v>
      </c>
      <c r="M264" s="212" t="s">
        <v>111</v>
      </c>
      <c r="N264" s="257" t="s">
        <v>606</v>
      </c>
      <c r="O264" s="261">
        <v>3.6</v>
      </c>
      <c r="P264" s="183"/>
      <c r="Q264" s="212" t="str">
        <f>VLOOKUP(Ruimtestaat[[#This Row],[Ruimte code]],Ruimtegroepen[#All],4,FALSE)</f>
        <v>S  (Sanitair)</v>
      </c>
      <c r="R264" s="184"/>
      <c r="S264" s="185">
        <v>40</v>
      </c>
      <c r="T264" s="185" t="s">
        <v>2</v>
      </c>
      <c r="U264" s="185">
        <f>IF(S264&gt;0,IF(RIGHT(Ruimtestaat[[#This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4" s="185">
        <f>IF(U264&gt;0,VLOOKUP($K264,Ruimtegroepen[],3,FALSE)*VLOOKUP($M264,Vloersoorten[],3,FALSE)*VLOOKUP($T264,Frequenties[],3,FALSE)*VLOOKUP($A264,Locaties[],3,FALSE),0)</f>
        <v>0</v>
      </c>
      <c r="W264" s="185">
        <f>Ruimtestaat[[#This Row],[Uitvoeringen werkdagen]]*Ruimtestaat[[#This Row],[Oppervlak (netto)]]</f>
        <v>720</v>
      </c>
      <c r="X264" s="220">
        <f>IF(V264&gt;0,Ruimtestaat[[#This Row],[Prest. (m2 /jaar) werkdagen]]/Ruimtestaat[[#This Row],[Norm (m2/uur) werkdagen]],0)</f>
        <v>0</v>
      </c>
      <c r="Y264" s="221">
        <f>Ruimtestaat[[#This Row],[uren / jaar werkdagen]]*Tariefsopbouw!$D$38</f>
        <v>0</v>
      </c>
      <c r="Z264" s="33"/>
      <c r="AA264" s="33">
        <f>IF(Ruimtestaat[[#This Row],[Frequentie weekend]]&gt;0,VALUE(LEFT(Z264,1))*S264,0)</f>
        <v>0</v>
      </c>
      <c r="AB264" s="33">
        <f>IF($AA264&gt;0,VLOOKUP($K264,Ruimtegroepen[],3,FALSE)*VLOOKUP($M264,Vloersoorten[],3,FALSE)*VLOOKUP($Z264,Frequenties[],3,FALSE)*VLOOKUP(#REF!,Locaties[],3,FALSE),0)</f>
        <v>0</v>
      </c>
      <c r="AC264" s="33"/>
      <c r="AD264" s="33"/>
      <c r="AE264" s="33">
        <f>Ruimtestaat[[#This Row],[uren / jaar weekend]]*Tariefsopbouw!$D$40</f>
        <v>0</v>
      </c>
      <c r="AF264" s="79">
        <f>Ruimtestaat[[#This Row],[Prest. (m2 /jaar) weekend]]+Ruimtestaat[[#This Row],[Prest. (m2 /jaar) werkdagen]]</f>
        <v>720</v>
      </c>
      <c r="AG264" s="79">
        <f>Ruimtestaat[[#This Row],[uren / jaar weekend]]+Ruimtestaat[[#This Row],[uren / jaar werkdagen]]</f>
        <v>0</v>
      </c>
      <c r="AH264" s="80">
        <f>Ruimtestaat[[#This Row],[kosten / jaar weekend]]+Ruimtestaat[[#This Row],[kosten / jaar werkdagen]]</f>
        <v>0</v>
      </c>
    </row>
    <row r="265" spans="1:34" ht="15" customHeight="1">
      <c r="A265" s="256">
        <v>5</v>
      </c>
      <c r="B265" s="171" t="str">
        <f>VLOOKUP(Ruimtestaat[[#This Row],[Code]],Locaties[#All],2,FALSE)</f>
        <v>VSO Het Mozaïek Almelo</v>
      </c>
      <c r="C265" s="258" t="str">
        <f>VLOOKUP(Ruimtestaat[[#This Row],[Code]],Locaties[#All],4,FALSE)</f>
        <v>Cesar Franckstaat 3</v>
      </c>
      <c r="D265" s="258" t="str">
        <f>VLOOKUP(Ruimtestaat[[#This Row],[Code]],Locaties[#All],5,FALSE)</f>
        <v>7604JE</v>
      </c>
      <c r="E265" s="258" t="str">
        <f>VLOOKUP(Ruimtestaat[[#This Row],[Code]],Locaties[#All],6,FALSE)</f>
        <v>Almelo</v>
      </c>
      <c r="F265" s="257" t="s">
        <v>1114</v>
      </c>
      <c r="G265" s="257" t="s">
        <v>563</v>
      </c>
      <c r="H265" s="171"/>
      <c r="I265" s="257" t="s">
        <v>451</v>
      </c>
      <c r="J265" s="259" t="s">
        <v>585</v>
      </c>
      <c r="K265" s="258">
        <v>1</v>
      </c>
      <c r="L265" s="260" t="str">
        <f>VLOOKUP(Ruimtestaat[[#This Row],[Ruimte code]],Ruimtegroepen[#All],2,FALSE)</f>
        <v>Magazijnen/bergingen</v>
      </c>
      <c r="M265" s="258" t="s">
        <v>598</v>
      </c>
      <c r="N265" s="257" t="s">
        <v>132</v>
      </c>
      <c r="O265" s="261">
        <v>7.9</v>
      </c>
      <c r="P265" s="183"/>
      <c r="Q265" s="212" t="str">
        <f>VLOOKUP(Ruimtestaat[[#This Row],[Ruimte code]],Ruimtegroepen[#All],4,FALSE)</f>
        <v>V  (Verkeersruimte)</v>
      </c>
      <c r="R265" s="184"/>
      <c r="S265" s="185">
        <v>40</v>
      </c>
      <c r="T265" s="185" t="s">
        <v>15</v>
      </c>
      <c r="U265" s="185">
        <f>IF(S265&gt;0,IF(RIGHT(Ruimtestaat[[#This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65" s="185">
        <f>IF(U265&gt;0,VLOOKUP($K265,Ruimtegroepen[],3,FALSE)*VLOOKUP($M265,Vloersoorten[],3,FALSE)*VLOOKUP($T265,Frequenties[],3,FALSE)*VLOOKUP($A265,Locaties[],3,FALSE),0)</f>
        <v>0</v>
      </c>
      <c r="W265" s="185">
        <f>Ruimtestaat[[#This Row],[Uitvoeringen werkdagen]]*Ruimtestaat[[#This Row],[Oppervlak (netto)]]</f>
        <v>316</v>
      </c>
      <c r="X265" s="220">
        <f>IF(V265&gt;0,Ruimtestaat[[#This Row],[Prest. (m2 /jaar) werkdagen]]/Ruimtestaat[[#This Row],[Norm (m2/uur) werkdagen]],0)</f>
        <v>0</v>
      </c>
      <c r="Y265" s="221">
        <f>Ruimtestaat[[#This Row],[uren / jaar werkdagen]]*Tariefsopbouw!$D$38</f>
        <v>0</v>
      </c>
      <c r="Z265" s="33"/>
      <c r="AA265" s="33">
        <f>IF(Ruimtestaat[[#This Row],[Frequentie weekend]]&gt;0,VALUE(LEFT(Z265,1))*S265,0)</f>
        <v>0</v>
      </c>
      <c r="AB265" s="33">
        <f>IF($AA265&gt;0,VLOOKUP($K265,Ruimtegroepen[],3,FALSE)*VLOOKUP($M265,Vloersoorten[],3,FALSE)*VLOOKUP($Z265,Frequenties[],3,FALSE)*VLOOKUP(#REF!,Locaties[],3,FALSE),0)</f>
        <v>0</v>
      </c>
      <c r="AC265" s="33"/>
      <c r="AD265" s="33"/>
      <c r="AE265" s="33">
        <f>Ruimtestaat[[#This Row],[uren / jaar weekend]]*Tariefsopbouw!$D$40</f>
        <v>0</v>
      </c>
      <c r="AF265" s="79">
        <f>Ruimtestaat[[#This Row],[Prest. (m2 /jaar) weekend]]+Ruimtestaat[[#This Row],[Prest. (m2 /jaar) werkdagen]]</f>
        <v>316</v>
      </c>
      <c r="AG265" s="79">
        <f>Ruimtestaat[[#This Row],[uren / jaar weekend]]+Ruimtestaat[[#This Row],[uren / jaar werkdagen]]</f>
        <v>0</v>
      </c>
      <c r="AH265" s="80">
        <f>Ruimtestaat[[#This Row],[kosten / jaar weekend]]+Ruimtestaat[[#This Row],[kosten / jaar werkdagen]]</f>
        <v>0</v>
      </c>
    </row>
    <row r="266" spans="1:34" ht="15" customHeight="1">
      <c r="A266" s="256">
        <v>5</v>
      </c>
      <c r="B266" s="171" t="str">
        <f>VLOOKUP(Ruimtestaat[[#This Row],[Code]],Locaties[#All],2,FALSE)</f>
        <v>VSO Het Mozaïek Almelo</v>
      </c>
      <c r="C266" s="258" t="str">
        <f>VLOOKUP(Ruimtestaat[[#This Row],[Code]],Locaties[#All],4,FALSE)</f>
        <v>Cesar Franckstaat 3</v>
      </c>
      <c r="D266" s="258" t="str">
        <f>VLOOKUP(Ruimtestaat[[#This Row],[Code]],Locaties[#All],5,FALSE)</f>
        <v>7604JE</v>
      </c>
      <c r="E266" s="258" t="str">
        <f>VLOOKUP(Ruimtestaat[[#This Row],[Code]],Locaties[#All],6,FALSE)</f>
        <v>Almelo</v>
      </c>
      <c r="F266" s="257" t="s">
        <v>1114</v>
      </c>
      <c r="G266" s="257" t="s">
        <v>563</v>
      </c>
      <c r="H266" s="171"/>
      <c r="I266" s="257" t="s">
        <v>452</v>
      </c>
      <c r="J266" s="259" t="s">
        <v>585</v>
      </c>
      <c r="K266" s="258">
        <v>1</v>
      </c>
      <c r="L266" s="260" t="str">
        <f>VLOOKUP(Ruimtestaat[[#This Row],[Ruimte code]],Ruimtegroepen[#All],2,FALSE)</f>
        <v>Magazijnen/bergingen</v>
      </c>
      <c r="M266" s="185" t="s">
        <v>598</v>
      </c>
      <c r="N266" s="257" t="s">
        <v>132</v>
      </c>
      <c r="O266" s="261">
        <v>7.9</v>
      </c>
      <c r="P266" s="183"/>
      <c r="Q266" s="212" t="str">
        <f>VLOOKUP(Ruimtestaat[[#This Row],[Ruimte code]],Ruimtegroepen[#All],4,FALSE)</f>
        <v>V  (Verkeersruimte)</v>
      </c>
      <c r="R266" s="184"/>
      <c r="S266" s="185">
        <v>40</v>
      </c>
      <c r="T266" s="185" t="s">
        <v>15</v>
      </c>
      <c r="U266" s="185">
        <f>IF(S266&gt;0,IF(RIGHT(Ruimtestaat[[#This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66" s="185">
        <f>IF(U266&gt;0,VLOOKUP($K266,Ruimtegroepen[],3,FALSE)*VLOOKUP($M266,Vloersoorten[],3,FALSE)*VLOOKUP($T266,Frequenties[],3,FALSE)*VLOOKUP($A266,Locaties[],3,FALSE),0)</f>
        <v>0</v>
      </c>
      <c r="W266" s="185">
        <f>Ruimtestaat[[#This Row],[Uitvoeringen werkdagen]]*Ruimtestaat[[#This Row],[Oppervlak (netto)]]</f>
        <v>316</v>
      </c>
      <c r="X266" s="220">
        <f>IF(V266&gt;0,Ruimtestaat[[#This Row],[Prest. (m2 /jaar) werkdagen]]/Ruimtestaat[[#This Row],[Norm (m2/uur) werkdagen]],0)</f>
        <v>0</v>
      </c>
      <c r="Y266" s="221">
        <f>Ruimtestaat[[#This Row],[uren / jaar werkdagen]]*Tariefsopbouw!$D$38</f>
        <v>0</v>
      </c>
      <c r="Z266" s="33"/>
      <c r="AA266" s="33">
        <f>IF(Ruimtestaat[[#This Row],[Frequentie weekend]]&gt;0,VALUE(LEFT(Z266,1))*S266,0)</f>
        <v>0</v>
      </c>
      <c r="AB266" s="33">
        <f>IF($AA266&gt;0,VLOOKUP($K266,Ruimtegroepen[],3,FALSE)*VLOOKUP($M266,Vloersoorten[],3,FALSE)*VLOOKUP($Z266,Frequenties[],3,FALSE)*VLOOKUP(#REF!,Locaties[],3,FALSE),0)</f>
        <v>0</v>
      </c>
      <c r="AC266" s="33"/>
      <c r="AD266" s="33"/>
      <c r="AE266" s="33">
        <f>Ruimtestaat[[#This Row],[uren / jaar weekend]]*Tariefsopbouw!$D$40</f>
        <v>0</v>
      </c>
      <c r="AF266" s="79">
        <f>Ruimtestaat[[#This Row],[Prest. (m2 /jaar) weekend]]+Ruimtestaat[[#This Row],[Prest. (m2 /jaar) werkdagen]]</f>
        <v>316</v>
      </c>
      <c r="AG266" s="79">
        <f>Ruimtestaat[[#This Row],[uren / jaar weekend]]+Ruimtestaat[[#This Row],[uren / jaar werkdagen]]</f>
        <v>0</v>
      </c>
      <c r="AH266" s="80">
        <f>Ruimtestaat[[#This Row],[kosten / jaar weekend]]+Ruimtestaat[[#This Row],[kosten / jaar werkdagen]]</f>
        <v>0</v>
      </c>
    </row>
    <row r="267" spans="1:34" ht="15" customHeight="1">
      <c r="A267" s="256">
        <v>5</v>
      </c>
      <c r="B267" s="171" t="str">
        <f>VLOOKUP(Ruimtestaat[[#This Row],[Code]],Locaties[#All],2,FALSE)</f>
        <v>VSO Het Mozaïek Almelo</v>
      </c>
      <c r="C267" s="258" t="str">
        <f>VLOOKUP(Ruimtestaat[[#This Row],[Code]],Locaties[#All],4,FALSE)</f>
        <v>Cesar Franckstaat 3</v>
      </c>
      <c r="D267" s="258" t="str">
        <f>VLOOKUP(Ruimtestaat[[#This Row],[Code]],Locaties[#All],5,FALSE)</f>
        <v>7604JE</v>
      </c>
      <c r="E267" s="258" t="str">
        <f>VLOOKUP(Ruimtestaat[[#This Row],[Code]],Locaties[#All],6,FALSE)</f>
        <v>Almelo</v>
      </c>
      <c r="F267" s="257" t="s">
        <v>1114</v>
      </c>
      <c r="G267" s="257" t="s">
        <v>563</v>
      </c>
      <c r="H267" s="171"/>
      <c r="I267" s="257" t="s">
        <v>453</v>
      </c>
      <c r="J267" s="259" t="s">
        <v>782</v>
      </c>
      <c r="K267" s="258">
        <v>14</v>
      </c>
      <c r="L267" s="260" t="str">
        <f>VLOOKUP(Ruimtestaat[[#This Row],[Ruimte code]],Ruimtegroepen[#All],2,FALSE)</f>
        <v>Praktijklokalen</v>
      </c>
      <c r="M267" s="185" t="s">
        <v>598</v>
      </c>
      <c r="N267" s="257" t="s">
        <v>132</v>
      </c>
      <c r="O267" s="261">
        <v>61.5</v>
      </c>
      <c r="P267" s="183"/>
      <c r="Q267" s="212" t="str">
        <f>VLOOKUP(Ruimtestaat[[#This Row],[Ruimte code]],Ruimtegroepen[#All],4,FALSE)</f>
        <v>L  (Lesruimte)</v>
      </c>
      <c r="R267" s="184"/>
      <c r="S267" s="185">
        <v>40</v>
      </c>
      <c r="T267" s="185" t="s">
        <v>2</v>
      </c>
      <c r="U267" s="185">
        <f>IF(S267&gt;0,IF(RIGHT(Ruimtestaat[[#This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7" s="185">
        <f>IF(U267&gt;0,VLOOKUP($K267,Ruimtegroepen[],3,FALSE)*VLOOKUP($M267,Vloersoorten[],3,FALSE)*VLOOKUP($T267,Frequenties[],3,FALSE)*VLOOKUP($A267,Locaties[],3,FALSE),0)</f>
        <v>0</v>
      </c>
      <c r="W267" s="185">
        <f>Ruimtestaat[[#This Row],[Uitvoeringen werkdagen]]*Ruimtestaat[[#This Row],[Oppervlak (netto)]]</f>
        <v>12300</v>
      </c>
      <c r="X267" s="220">
        <f>IF(V267&gt;0,Ruimtestaat[[#This Row],[Prest. (m2 /jaar) werkdagen]]/Ruimtestaat[[#This Row],[Norm (m2/uur) werkdagen]],0)</f>
        <v>0</v>
      </c>
      <c r="Y267" s="221">
        <f>Ruimtestaat[[#This Row],[uren / jaar werkdagen]]*Tariefsopbouw!$D$38</f>
        <v>0</v>
      </c>
      <c r="Z267" s="33"/>
      <c r="AA267" s="33">
        <f>IF(Ruimtestaat[[#This Row],[Frequentie weekend]]&gt;0,VALUE(LEFT(Z267,1))*S267,0)</f>
        <v>0</v>
      </c>
      <c r="AB267" s="33">
        <f>IF($AA267&gt;0,VLOOKUP($K267,Ruimtegroepen[],3,FALSE)*VLOOKUP($M267,Vloersoorten[],3,FALSE)*VLOOKUP($Z267,Frequenties[],3,FALSE)*VLOOKUP(#REF!,Locaties[],3,FALSE),0)</f>
        <v>0</v>
      </c>
      <c r="AC267" s="33"/>
      <c r="AD267" s="33"/>
      <c r="AE267" s="33">
        <f>Ruimtestaat[[#This Row],[uren / jaar weekend]]*Tariefsopbouw!$D$40</f>
        <v>0</v>
      </c>
      <c r="AF267" s="79">
        <f>Ruimtestaat[[#This Row],[Prest. (m2 /jaar) weekend]]+Ruimtestaat[[#This Row],[Prest. (m2 /jaar) werkdagen]]</f>
        <v>12300</v>
      </c>
      <c r="AG267" s="79">
        <f>Ruimtestaat[[#This Row],[uren / jaar weekend]]+Ruimtestaat[[#This Row],[uren / jaar werkdagen]]</f>
        <v>0</v>
      </c>
      <c r="AH267" s="80">
        <f>Ruimtestaat[[#This Row],[kosten / jaar weekend]]+Ruimtestaat[[#This Row],[kosten / jaar werkdagen]]</f>
        <v>0</v>
      </c>
    </row>
    <row r="268" spans="1:34" ht="15" customHeight="1">
      <c r="A268" s="256">
        <v>5</v>
      </c>
      <c r="B268" s="171" t="str">
        <f>VLOOKUP(Ruimtestaat[[#This Row],[Code]],Locaties[#All],2,FALSE)</f>
        <v>VSO Het Mozaïek Almelo</v>
      </c>
      <c r="C268" s="258" t="str">
        <f>VLOOKUP(Ruimtestaat[[#This Row],[Code]],Locaties[#All],4,FALSE)</f>
        <v>Cesar Franckstaat 3</v>
      </c>
      <c r="D268" s="258" t="str">
        <f>VLOOKUP(Ruimtestaat[[#This Row],[Code]],Locaties[#All],5,FALSE)</f>
        <v>7604JE</v>
      </c>
      <c r="E268" s="258" t="str">
        <f>VLOOKUP(Ruimtestaat[[#This Row],[Code]],Locaties[#All],6,FALSE)</f>
        <v>Almelo</v>
      </c>
      <c r="F268" s="257" t="s">
        <v>1114</v>
      </c>
      <c r="G268" s="257" t="s">
        <v>563</v>
      </c>
      <c r="H268" s="171"/>
      <c r="I268" s="257" t="s">
        <v>454</v>
      </c>
      <c r="J268" s="259" t="s">
        <v>576</v>
      </c>
      <c r="K268" s="171">
        <v>16</v>
      </c>
      <c r="L268" s="260" t="str">
        <f>VLOOKUP(Ruimtestaat[[#This Row],[Ruimte code]],Ruimtegroepen[#All],2,FALSE)</f>
        <v>Leslokalen</v>
      </c>
      <c r="M268" s="185" t="s">
        <v>598</v>
      </c>
      <c r="N268" s="257" t="s">
        <v>132</v>
      </c>
      <c r="O268" s="261">
        <v>50.1</v>
      </c>
      <c r="P268" s="183"/>
      <c r="Q268" s="212" t="str">
        <f>VLOOKUP(Ruimtestaat[[#This Row],[Ruimte code]],Ruimtegroepen[#All],4,FALSE)</f>
        <v>L  (Lesruimte)</v>
      </c>
      <c r="R268" s="184"/>
      <c r="S268" s="185">
        <v>40</v>
      </c>
      <c r="T268" s="185" t="s">
        <v>2</v>
      </c>
      <c r="U268" s="185">
        <f>IF(S268&gt;0,IF(RIGHT(Ruimtestaat[[#This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8" s="185">
        <f>IF(U268&gt;0,VLOOKUP($K268,Ruimtegroepen[],3,FALSE)*VLOOKUP($M268,Vloersoorten[],3,FALSE)*VLOOKUP($T268,Frequenties[],3,FALSE)*VLOOKUP($A268,Locaties[],3,FALSE),0)</f>
        <v>0</v>
      </c>
      <c r="W268" s="185">
        <f>Ruimtestaat[[#This Row],[Uitvoeringen werkdagen]]*Ruimtestaat[[#This Row],[Oppervlak (netto)]]</f>
        <v>10020</v>
      </c>
      <c r="X268" s="220">
        <f>IF(V268&gt;0,Ruimtestaat[[#This Row],[Prest. (m2 /jaar) werkdagen]]/Ruimtestaat[[#This Row],[Norm (m2/uur) werkdagen]],0)</f>
        <v>0</v>
      </c>
      <c r="Y268" s="221">
        <f>Ruimtestaat[[#This Row],[uren / jaar werkdagen]]*Tariefsopbouw!$D$38</f>
        <v>0</v>
      </c>
      <c r="Z268" s="33"/>
      <c r="AA268" s="33">
        <f>IF(Ruimtestaat[[#This Row],[Frequentie weekend]]&gt;0,VALUE(LEFT(Z268,1))*S268,0)</f>
        <v>0</v>
      </c>
      <c r="AB268" s="33">
        <f>IF($AA268&gt;0,VLOOKUP($K268,Ruimtegroepen[],3,FALSE)*VLOOKUP($M268,Vloersoorten[],3,FALSE)*VLOOKUP($Z268,Frequenties[],3,FALSE)*VLOOKUP(#REF!,Locaties[],3,FALSE),0)</f>
        <v>0</v>
      </c>
      <c r="AC268" s="33"/>
      <c r="AD268" s="33"/>
      <c r="AE268" s="33">
        <f>Ruimtestaat[[#This Row],[uren / jaar weekend]]*Tariefsopbouw!$D$40</f>
        <v>0</v>
      </c>
      <c r="AF268" s="79">
        <f>Ruimtestaat[[#This Row],[Prest. (m2 /jaar) weekend]]+Ruimtestaat[[#This Row],[Prest. (m2 /jaar) werkdagen]]</f>
        <v>10020</v>
      </c>
      <c r="AG268" s="79">
        <f>Ruimtestaat[[#This Row],[uren / jaar weekend]]+Ruimtestaat[[#This Row],[uren / jaar werkdagen]]</f>
        <v>0</v>
      </c>
      <c r="AH268" s="80">
        <f>Ruimtestaat[[#This Row],[kosten / jaar weekend]]+Ruimtestaat[[#This Row],[kosten / jaar werkdagen]]</f>
        <v>0</v>
      </c>
    </row>
    <row r="269" spans="1:34" ht="15" customHeight="1">
      <c r="A269" s="256">
        <v>5</v>
      </c>
      <c r="B269" s="171" t="str">
        <f>VLOOKUP(Ruimtestaat[[#This Row],[Code]],Locaties[#All],2,FALSE)</f>
        <v>VSO Het Mozaïek Almelo</v>
      </c>
      <c r="C269" s="258" t="str">
        <f>VLOOKUP(Ruimtestaat[[#This Row],[Code]],Locaties[#All],4,FALSE)</f>
        <v>Cesar Franckstaat 3</v>
      </c>
      <c r="D269" s="258" t="str">
        <f>VLOOKUP(Ruimtestaat[[#This Row],[Code]],Locaties[#All],5,FALSE)</f>
        <v>7604JE</v>
      </c>
      <c r="E269" s="258" t="str">
        <f>VLOOKUP(Ruimtestaat[[#This Row],[Code]],Locaties[#All],6,FALSE)</f>
        <v>Almelo</v>
      </c>
      <c r="F269" s="257" t="s">
        <v>1114</v>
      </c>
      <c r="G269" s="257" t="s">
        <v>563</v>
      </c>
      <c r="H269" s="171"/>
      <c r="I269" s="257" t="s">
        <v>455</v>
      </c>
      <c r="J269" s="259" t="s">
        <v>571</v>
      </c>
      <c r="K269" s="171">
        <v>2</v>
      </c>
      <c r="L269" s="260" t="str">
        <f>VLOOKUP(Ruimtestaat[[#This Row],[Ruimte code]],Ruimtegroepen[#All],2,FALSE)</f>
        <v>Kantoren</v>
      </c>
      <c r="M269" s="185" t="s">
        <v>598</v>
      </c>
      <c r="N269" s="257" t="s">
        <v>132</v>
      </c>
      <c r="O269" s="261">
        <v>8.5</v>
      </c>
      <c r="P269" s="183"/>
      <c r="Q269" s="212" t="str">
        <f>VLOOKUP(Ruimtestaat[[#This Row],[Ruimte code]],Ruimtegroepen[#All],4,FALSE)</f>
        <v>B  (Bureauruimte)</v>
      </c>
      <c r="R269" s="184"/>
      <c r="S269" s="185">
        <v>40</v>
      </c>
      <c r="T269" s="185" t="s">
        <v>17</v>
      </c>
      <c r="U269" s="185">
        <f>IF(S269&gt;0,IF(RIGHT(Ruimtestaat[[#This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69" s="185">
        <f>IF(U269&gt;0,VLOOKUP($K269,Ruimtegroepen[],3,FALSE)*VLOOKUP($M269,Vloersoorten[],3,FALSE)*VLOOKUP($T269,Frequenties[],3,FALSE)*VLOOKUP($A269,Locaties[],3,FALSE),0)</f>
        <v>0</v>
      </c>
      <c r="W269" s="185">
        <f>Ruimtestaat[[#This Row],[Uitvoeringen werkdagen]]*Ruimtestaat[[#This Row],[Oppervlak (netto)]]</f>
        <v>680</v>
      </c>
      <c r="X269" s="220">
        <f>IF(V269&gt;0,Ruimtestaat[[#This Row],[Prest. (m2 /jaar) werkdagen]]/Ruimtestaat[[#This Row],[Norm (m2/uur) werkdagen]],0)</f>
        <v>0</v>
      </c>
      <c r="Y269" s="221">
        <f>Ruimtestaat[[#This Row],[uren / jaar werkdagen]]*Tariefsopbouw!$D$38</f>
        <v>0</v>
      </c>
      <c r="Z269" s="33"/>
      <c r="AA269" s="33">
        <f>IF(Ruimtestaat[[#This Row],[Frequentie weekend]]&gt;0,VALUE(LEFT(Z269,1))*S269,0)</f>
        <v>0</v>
      </c>
      <c r="AB269" s="33">
        <f>IF($AA269&gt;0,VLOOKUP($K269,Ruimtegroepen[],3,FALSE)*VLOOKUP($M269,Vloersoorten[],3,FALSE)*VLOOKUP($Z269,Frequenties[],3,FALSE)*VLOOKUP(#REF!,Locaties[],3,FALSE),0)</f>
        <v>0</v>
      </c>
      <c r="AC269" s="33"/>
      <c r="AD269" s="33"/>
      <c r="AE269" s="33">
        <f>Ruimtestaat[[#This Row],[uren / jaar weekend]]*Tariefsopbouw!$D$40</f>
        <v>0</v>
      </c>
      <c r="AF269" s="79">
        <f>Ruimtestaat[[#This Row],[Prest. (m2 /jaar) weekend]]+Ruimtestaat[[#This Row],[Prest. (m2 /jaar) werkdagen]]</f>
        <v>680</v>
      </c>
      <c r="AG269" s="79">
        <f>Ruimtestaat[[#This Row],[uren / jaar weekend]]+Ruimtestaat[[#This Row],[uren / jaar werkdagen]]</f>
        <v>0</v>
      </c>
      <c r="AH269" s="80">
        <f>Ruimtestaat[[#This Row],[kosten / jaar weekend]]+Ruimtestaat[[#This Row],[kosten / jaar werkdagen]]</f>
        <v>0</v>
      </c>
    </row>
    <row r="270" spans="1:34" ht="15" customHeight="1">
      <c r="A270" s="256">
        <v>5</v>
      </c>
      <c r="B270" s="171" t="str">
        <f>VLOOKUP(Ruimtestaat[[#This Row],[Code]],Locaties[#All],2,FALSE)</f>
        <v>VSO Het Mozaïek Almelo</v>
      </c>
      <c r="C270" s="258" t="str">
        <f>VLOOKUP(Ruimtestaat[[#This Row],[Code]],Locaties[#All],4,FALSE)</f>
        <v>Cesar Franckstaat 3</v>
      </c>
      <c r="D270" s="258" t="str">
        <f>VLOOKUP(Ruimtestaat[[#This Row],[Code]],Locaties[#All],5,FALSE)</f>
        <v>7604JE</v>
      </c>
      <c r="E270" s="258" t="str">
        <f>VLOOKUP(Ruimtestaat[[#This Row],[Code]],Locaties[#All],6,FALSE)</f>
        <v>Almelo</v>
      </c>
      <c r="F270" s="257" t="s">
        <v>1114</v>
      </c>
      <c r="G270" s="257" t="s">
        <v>563</v>
      </c>
      <c r="H270" s="171"/>
      <c r="I270" s="257" t="s">
        <v>456</v>
      </c>
      <c r="J270" s="259" t="s">
        <v>574</v>
      </c>
      <c r="K270" s="224">
        <v>6</v>
      </c>
      <c r="L270" s="260" t="str">
        <f>VLOOKUP(Ruimtestaat[[#This Row],[Ruimte code]],Ruimtegroepen[#All],2,FALSE)</f>
        <v>Gangen/hallen</v>
      </c>
      <c r="M270" s="258" t="s">
        <v>598</v>
      </c>
      <c r="N270" s="257" t="s">
        <v>132</v>
      </c>
      <c r="O270" s="261">
        <v>11.5</v>
      </c>
      <c r="P270" s="183"/>
      <c r="Q270" s="212" t="str">
        <f>VLOOKUP(Ruimtestaat[[#This Row],[Ruimte code]],Ruimtegroepen[#All],4,FALSE)</f>
        <v>V  (Verkeersruimte)</v>
      </c>
      <c r="R270" s="184"/>
      <c r="S270" s="185">
        <v>40</v>
      </c>
      <c r="T270" s="185" t="s">
        <v>2</v>
      </c>
      <c r="U270" s="185">
        <f>IF(S270&gt;0,IF(RIGHT(Ruimtestaat[[#This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0" s="185">
        <f>IF(U270&gt;0,VLOOKUP($K270,Ruimtegroepen[],3,FALSE)*VLOOKUP($M270,Vloersoorten[],3,FALSE)*VLOOKUP($T270,Frequenties[],3,FALSE)*VLOOKUP($A270,Locaties[],3,FALSE),0)</f>
        <v>0</v>
      </c>
      <c r="W270" s="185">
        <f>Ruimtestaat[[#This Row],[Uitvoeringen werkdagen]]*Ruimtestaat[[#This Row],[Oppervlak (netto)]]</f>
        <v>2300</v>
      </c>
      <c r="X270" s="220">
        <f>IF(V270&gt;0,Ruimtestaat[[#This Row],[Prest. (m2 /jaar) werkdagen]]/Ruimtestaat[[#This Row],[Norm (m2/uur) werkdagen]],0)</f>
        <v>0</v>
      </c>
      <c r="Y270" s="221">
        <f>Ruimtestaat[[#This Row],[uren / jaar werkdagen]]*Tariefsopbouw!$D$38</f>
        <v>0</v>
      </c>
      <c r="Z270" s="33"/>
      <c r="AA270" s="33">
        <f>IF(Ruimtestaat[[#This Row],[Frequentie weekend]]&gt;0,VALUE(LEFT(Z270,1))*S270,0)</f>
        <v>0</v>
      </c>
      <c r="AB270" s="33">
        <f>IF($AA270&gt;0,VLOOKUP($K270,Ruimtegroepen[],3,FALSE)*VLOOKUP($M270,Vloersoorten[],3,FALSE)*VLOOKUP($Z270,Frequenties[],3,FALSE)*VLOOKUP(#REF!,Locaties[],3,FALSE),0)</f>
        <v>0</v>
      </c>
      <c r="AC270" s="33"/>
      <c r="AD270" s="33"/>
      <c r="AE270" s="33">
        <f>Ruimtestaat[[#This Row],[uren / jaar weekend]]*Tariefsopbouw!$D$40</f>
        <v>0</v>
      </c>
      <c r="AF270" s="79">
        <f>Ruimtestaat[[#This Row],[Prest. (m2 /jaar) weekend]]+Ruimtestaat[[#This Row],[Prest. (m2 /jaar) werkdagen]]</f>
        <v>2300</v>
      </c>
      <c r="AG270" s="79">
        <f>Ruimtestaat[[#This Row],[uren / jaar weekend]]+Ruimtestaat[[#This Row],[uren / jaar werkdagen]]</f>
        <v>0</v>
      </c>
      <c r="AH270" s="80">
        <f>Ruimtestaat[[#This Row],[kosten / jaar weekend]]+Ruimtestaat[[#This Row],[kosten / jaar werkdagen]]</f>
        <v>0</v>
      </c>
    </row>
    <row r="271" spans="1:34" ht="15" customHeight="1">
      <c r="A271" s="256">
        <v>5</v>
      </c>
      <c r="B271" s="171" t="str">
        <f>VLOOKUP(Ruimtestaat[[#This Row],[Code]],Locaties[#All],2,FALSE)</f>
        <v>VSO Het Mozaïek Almelo</v>
      </c>
      <c r="C271" s="258" t="str">
        <f>VLOOKUP(Ruimtestaat[[#This Row],[Code]],Locaties[#All],4,FALSE)</f>
        <v>Cesar Franckstaat 3</v>
      </c>
      <c r="D271" s="258" t="str">
        <f>VLOOKUP(Ruimtestaat[[#This Row],[Code]],Locaties[#All],5,FALSE)</f>
        <v>7604JE</v>
      </c>
      <c r="E271" s="258" t="str">
        <f>VLOOKUP(Ruimtestaat[[#This Row],[Code]],Locaties[#All],6,FALSE)</f>
        <v>Almelo</v>
      </c>
      <c r="F271" s="257" t="s">
        <v>1114</v>
      </c>
      <c r="G271" s="257" t="s">
        <v>563</v>
      </c>
      <c r="H271" s="171"/>
      <c r="I271" s="257" t="s">
        <v>457</v>
      </c>
      <c r="J271" s="259" t="s">
        <v>783</v>
      </c>
      <c r="K271" s="258">
        <v>10</v>
      </c>
      <c r="L271" s="260" t="str">
        <f>VLOOKUP(Ruimtestaat[[#This Row],[Ruimte code]],Ruimtegroepen[#All],2,FALSE)</f>
        <v>Trappenhuizen/lift</v>
      </c>
      <c r="M271" s="212" t="s">
        <v>111</v>
      </c>
      <c r="N271" s="257" t="s">
        <v>626</v>
      </c>
      <c r="O271" s="261">
        <v>16.899999999999999</v>
      </c>
      <c r="P271" s="183"/>
      <c r="Q271" s="212" t="str">
        <f>VLOOKUP(Ruimtestaat[[#This Row],[Ruimte code]],Ruimtegroepen[#All],4,FALSE)</f>
        <v>V  (Verkeersruimte)</v>
      </c>
      <c r="R271" s="184"/>
      <c r="S271" s="185">
        <v>40</v>
      </c>
      <c r="T271" s="185" t="s">
        <v>2</v>
      </c>
      <c r="U271" s="185">
        <f>IF(S271&gt;0,IF(RIGHT(Ruimtestaat[[#This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1" s="185">
        <f>IF(U271&gt;0,VLOOKUP($K271,Ruimtegroepen[],3,FALSE)*VLOOKUP($M271,Vloersoorten[],3,FALSE)*VLOOKUP($T271,Frequenties[],3,FALSE)*VLOOKUP($A271,Locaties[],3,FALSE),0)</f>
        <v>0</v>
      </c>
      <c r="W271" s="185">
        <f>Ruimtestaat[[#This Row],[Uitvoeringen werkdagen]]*Ruimtestaat[[#This Row],[Oppervlak (netto)]]</f>
        <v>3379.9999999999995</v>
      </c>
      <c r="X271" s="220">
        <f>IF(V271&gt;0,Ruimtestaat[[#This Row],[Prest. (m2 /jaar) werkdagen]]/Ruimtestaat[[#This Row],[Norm (m2/uur) werkdagen]],0)</f>
        <v>0</v>
      </c>
      <c r="Y271" s="221">
        <f>Ruimtestaat[[#This Row],[uren / jaar werkdagen]]*Tariefsopbouw!$D$38</f>
        <v>0</v>
      </c>
      <c r="Z271" s="33"/>
      <c r="AA271" s="33">
        <f>IF(Ruimtestaat[[#This Row],[Frequentie weekend]]&gt;0,VALUE(LEFT(Z271,1))*S271,0)</f>
        <v>0</v>
      </c>
      <c r="AB271" s="33">
        <f>IF($AA271&gt;0,VLOOKUP($K271,Ruimtegroepen[],3,FALSE)*VLOOKUP($M271,Vloersoorten[],3,FALSE)*VLOOKUP($Z271,Frequenties[],3,FALSE)*VLOOKUP(#REF!,Locaties[],3,FALSE),0)</f>
        <v>0</v>
      </c>
      <c r="AC271" s="33"/>
      <c r="AD271" s="33"/>
      <c r="AE271" s="33">
        <f>Ruimtestaat[[#This Row],[uren / jaar weekend]]*Tariefsopbouw!$D$40</f>
        <v>0</v>
      </c>
      <c r="AF271" s="79">
        <f>Ruimtestaat[[#This Row],[Prest. (m2 /jaar) weekend]]+Ruimtestaat[[#This Row],[Prest. (m2 /jaar) werkdagen]]</f>
        <v>3379.9999999999995</v>
      </c>
      <c r="AG271" s="79">
        <f>Ruimtestaat[[#This Row],[uren / jaar weekend]]+Ruimtestaat[[#This Row],[uren / jaar werkdagen]]</f>
        <v>0</v>
      </c>
      <c r="AH271" s="80">
        <f>Ruimtestaat[[#This Row],[kosten / jaar weekend]]+Ruimtestaat[[#This Row],[kosten / jaar werkdagen]]</f>
        <v>0</v>
      </c>
    </row>
    <row r="272" spans="1:34" ht="15" customHeight="1">
      <c r="A272" s="256">
        <v>5</v>
      </c>
      <c r="B272" s="171" t="str">
        <f>VLOOKUP(Ruimtestaat[[#This Row],[Code]],Locaties[#All],2,FALSE)</f>
        <v>VSO Het Mozaïek Almelo</v>
      </c>
      <c r="C272" s="258" t="str">
        <f>VLOOKUP(Ruimtestaat[[#This Row],[Code]],Locaties[#All],4,FALSE)</f>
        <v>Cesar Franckstaat 3</v>
      </c>
      <c r="D272" s="258" t="str">
        <f>VLOOKUP(Ruimtestaat[[#This Row],[Code]],Locaties[#All],5,FALSE)</f>
        <v>7604JE</v>
      </c>
      <c r="E272" s="258" t="str">
        <f>VLOOKUP(Ruimtestaat[[#This Row],[Code]],Locaties[#All],6,FALSE)</f>
        <v>Almelo</v>
      </c>
      <c r="F272" s="257" t="s">
        <v>1114</v>
      </c>
      <c r="G272" s="257" t="s">
        <v>563</v>
      </c>
      <c r="H272" s="171"/>
      <c r="I272" s="257" t="s">
        <v>458</v>
      </c>
      <c r="J272" s="259" t="s">
        <v>585</v>
      </c>
      <c r="K272" s="258">
        <v>1</v>
      </c>
      <c r="L272" s="260" t="str">
        <f>VLOOKUP(Ruimtestaat[[#This Row],[Ruimte code]],Ruimtegroepen[#All],2,FALSE)</f>
        <v>Magazijnen/bergingen</v>
      </c>
      <c r="M272" s="258" t="s">
        <v>598</v>
      </c>
      <c r="N272" s="257" t="s">
        <v>132</v>
      </c>
      <c r="O272" s="261">
        <v>2.6</v>
      </c>
      <c r="P272" s="183"/>
      <c r="Q272" s="212" t="str">
        <f>VLOOKUP(Ruimtestaat[[#This Row],[Ruimte code]],Ruimtegroepen[#All],4,FALSE)</f>
        <v>V  (Verkeersruimte)</v>
      </c>
      <c r="R272" s="184"/>
      <c r="S272" s="185">
        <v>40</v>
      </c>
      <c r="T272" s="185" t="s">
        <v>15</v>
      </c>
      <c r="U272" s="185">
        <f>IF(S272&gt;0,IF(RIGHT(Ruimtestaat[[#This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2" s="185">
        <f>IF(U272&gt;0,VLOOKUP($K272,Ruimtegroepen[],3,FALSE)*VLOOKUP($M272,Vloersoorten[],3,FALSE)*VLOOKUP($T272,Frequenties[],3,FALSE)*VLOOKUP($A272,Locaties[],3,FALSE),0)</f>
        <v>0</v>
      </c>
      <c r="W272" s="185">
        <f>Ruimtestaat[[#This Row],[Uitvoeringen werkdagen]]*Ruimtestaat[[#This Row],[Oppervlak (netto)]]</f>
        <v>104</v>
      </c>
      <c r="X272" s="220">
        <f>IF(V272&gt;0,Ruimtestaat[[#This Row],[Prest. (m2 /jaar) werkdagen]]/Ruimtestaat[[#This Row],[Norm (m2/uur) werkdagen]],0)</f>
        <v>0</v>
      </c>
      <c r="Y272" s="221">
        <f>Ruimtestaat[[#This Row],[uren / jaar werkdagen]]*Tariefsopbouw!$D$38</f>
        <v>0</v>
      </c>
      <c r="Z272" s="33"/>
      <c r="AA272" s="33">
        <f>IF(Ruimtestaat[[#This Row],[Frequentie weekend]]&gt;0,VALUE(LEFT(Z272,1))*S272,0)</f>
        <v>0</v>
      </c>
      <c r="AB272" s="33">
        <f>IF($AA272&gt;0,VLOOKUP($K272,Ruimtegroepen[],3,FALSE)*VLOOKUP($M272,Vloersoorten[],3,FALSE)*VLOOKUP($Z272,Frequenties[],3,FALSE)*VLOOKUP(#REF!,Locaties[],3,FALSE),0)</f>
        <v>0</v>
      </c>
      <c r="AC272" s="33"/>
      <c r="AD272" s="33"/>
      <c r="AE272" s="33">
        <f>Ruimtestaat[[#This Row],[uren / jaar weekend]]*Tariefsopbouw!$D$40</f>
        <v>0</v>
      </c>
      <c r="AF272" s="79">
        <f>Ruimtestaat[[#This Row],[Prest. (m2 /jaar) weekend]]+Ruimtestaat[[#This Row],[Prest. (m2 /jaar) werkdagen]]</f>
        <v>104</v>
      </c>
      <c r="AG272" s="79">
        <f>Ruimtestaat[[#This Row],[uren / jaar weekend]]+Ruimtestaat[[#This Row],[uren / jaar werkdagen]]</f>
        <v>0</v>
      </c>
      <c r="AH272" s="80">
        <f>Ruimtestaat[[#This Row],[kosten / jaar weekend]]+Ruimtestaat[[#This Row],[kosten / jaar werkdagen]]</f>
        <v>0</v>
      </c>
    </row>
    <row r="273" spans="1:34" ht="15" customHeight="1">
      <c r="A273" s="256">
        <v>5</v>
      </c>
      <c r="B273" s="171" t="str">
        <f>VLOOKUP(Ruimtestaat[[#This Row],[Code]],Locaties[#All],2,FALSE)</f>
        <v>VSO Het Mozaïek Almelo</v>
      </c>
      <c r="C273" s="258" t="str">
        <f>VLOOKUP(Ruimtestaat[[#This Row],[Code]],Locaties[#All],4,FALSE)</f>
        <v>Cesar Franckstaat 3</v>
      </c>
      <c r="D273" s="258" t="str">
        <f>VLOOKUP(Ruimtestaat[[#This Row],[Code]],Locaties[#All],5,FALSE)</f>
        <v>7604JE</v>
      </c>
      <c r="E273" s="258" t="str">
        <f>VLOOKUP(Ruimtestaat[[#This Row],[Code]],Locaties[#All],6,FALSE)</f>
        <v>Almelo</v>
      </c>
      <c r="F273" s="257" t="s">
        <v>1114</v>
      </c>
      <c r="G273" s="257" t="s">
        <v>563</v>
      </c>
      <c r="H273" s="171"/>
      <c r="I273" s="257" t="s">
        <v>459</v>
      </c>
      <c r="J273" s="259" t="s">
        <v>583</v>
      </c>
      <c r="K273" s="171">
        <v>20</v>
      </c>
      <c r="L273" s="260" t="str">
        <f>VLOOKUP(Ruimtestaat[[#This Row],[Ruimte code]],Ruimtegroepen[#All],2,FALSE)</f>
        <v>Niet in onderhoud</v>
      </c>
      <c r="M273" s="258" t="s">
        <v>598</v>
      </c>
      <c r="N273" s="257" t="s">
        <v>132</v>
      </c>
      <c r="O273" s="261"/>
      <c r="P273" s="183">
        <v>2.2999999999999998</v>
      </c>
      <c r="Q273" s="212" t="str">
        <f>VLOOKUP(Ruimtestaat[[#This Row],[Ruimte code]],Ruimtegroepen[#All],4,FALSE)</f>
        <v>niet in onderhoud</v>
      </c>
      <c r="R273" s="184"/>
      <c r="S273" s="185"/>
      <c r="T273" s="185" t="s">
        <v>3</v>
      </c>
      <c r="U273" s="185">
        <f>IF(S273&gt;0,IF(RIGHT(Ruimtestaat[[#This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73" s="185">
        <f>IF(U273&gt;0,VLOOKUP($K273,Ruimtegroepen[],3,FALSE)*VLOOKUP($M273,Vloersoorten[],3,FALSE)*VLOOKUP($T273,Frequenties[],3,FALSE)*VLOOKUP($A273,Locaties[],3,FALSE),0)</f>
        <v>0</v>
      </c>
      <c r="W273" s="185">
        <f>Ruimtestaat[[#This Row],[Uitvoeringen werkdagen]]*Ruimtestaat[[#This Row],[Oppervlak (netto)]]</f>
        <v>0</v>
      </c>
      <c r="X273" s="220">
        <f>IF(V273&gt;0,Ruimtestaat[[#This Row],[Prest. (m2 /jaar) werkdagen]]/Ruimtestaat[[#This Row],[Norm (m2/uur) werkdagen]],0)</f>
        <v>0</v>
      </c>
      <c r="Y273" s="221">
        <f>Ruimtestaat[[#This Row],[uren / jaar werkdagen]]*Tariefsopbouw!$D$38</f>
        <v>0</v>
      </c>
      <c r="Z273" s="33"/>
      <c r="AA273" s="33">
        <f>IF(Ruimtestaat[[#This Row],[Frequentie weekend]]&gt;0,VALUE(LEFT(Z273,1))*S273,0)</f>
        <v>0</v>
      </c>
      <c r="AB273" s="33">
        <f>IF($AA273&gt;0,VLOOKUP($K273,Ruimtegroepen[],3,FALSE)*VLOOKUP($M273,Vloersoorten[],3,FALSE)*VLOOKUP($Z273,Frequenties[],3,FALSE)*VLOOKUP(#REF!,Locaties[],3,FALSE),0)</f>
        <v>0</v>
      </c>
      <c r="AC273" s="33"/>
      <c r="AD273" s="33"/>
      <c r="AE273" s="33">
        <f>Ruimtestaat[[#This Row],[uren / jaar weekend]]*Tariefsopbouw!$D$40</f>
        <v>0</v>
      </c>
      <c r="AF273" s="79">
        <f>Ruimtestaat[[#This Row],[Prest. (m2 /jaar) weekend]]+Ruimtestaat[[#This Row],[Prest. (m2 /jaar) werkdagen]]</f>
        <v>0</v>
      </c>
      <c r="AG273" s="79">
        <f>Ruimtestaat[[#This Row],[uren / jaar weekend]]+Ruimtestaat[[#This Row],[uren / jaar werkdagen]]</f>
        <v>0</v>
      </c>
      <c r="AH273" s="80">
        <f>Ruimtestaat[[#This Row],[kosten / jaar weekend]]+Ruimtestaat[[#This Row],[kosten / jaar werkdagen]]</f>
        <v>0</v>
      </c>
    </row>
    <row r="274" spans="1:34" ht="15" customHeight="1">
      <c r="A274" s="256">
        <v>5</v>
      </c>
      <c r="B274" s="171" t="str">
        <f>VLOOKUP(Ruimtestaat[[#This Row],[Code]],Locaties[#All],2,FALSE)</f>
        <v>VSO Het Mozaïek Almelo</v>
      </c>
      <c r="C274" s="258" t="str">
        <f>VLOOKUP(Ruimtestaat[[#This Row],[Code]],Locaties[#All],4,FALSE)</f>
        <v>Cesar Franckstaat 3</v>
      </c>
      <c r="D274" s="258" t="str">
        <f>VLOOKUP(Ruimtestaat[[#This Row],[Code]],Locaties[#All],5,FALSE)</f>
        <v>7604JE</v>
      </c>
      <c r="E274" s="258" t="str">
        <f>VLOOKUP(Ruimtestaat[[#This Row],[Code]],Locaties[#All],6,FALSE)</f>
        <v>Almelo</v>
      </c>
      <c r="F274" s="257" t="s">
        <v>1114</v>
      </c>
      <c r="G274" s="257" t="s">
        <v>563</v>
      </c>
      <c r="H274" s="171"/>
      <c r="I274" s="257" t="s">
        <v>460</v>
      </c>
      <c r="J274" s="259" t="s">
        <v>569</v>
      </c>
      <c r="K274" s="171">
        <v>5</v>
      </c>
      <c r="L274" s="260" t="str">
        <f>VLOOKUP(Ruimtestaat[[#This Row],[Ruimte code]],Ruimtegroepen[#All],2,FALSE)</f>
        <v>Sanitair</v>
      </c>
      <c r="M274" s="212" t="s">
        <v>111</v>
      </c>
      <c r="N274" s="257" t="s">
        <v>606</v>
      </c>
      <c r="O274" s="261">
        <v>3.9</v>
      </c>
      <c r="P274" s="183"/>
      <c r="Q274" s="212" t="str">
        <f>VLOOKUP(Ruimtestaat[[#This Row],[Ruimte code]],Ruimtegroepen[#All],4,FALSE)</f>
        <v>S  (Sanitair)</v>
      </c>
      <c r="R274" s="184"/>
      <c r="S274" s="185">
        <v>40</v>
      </c>
      <c r="T274" s="185" t="s">
        <v>2</v>
      </c>
      <c r="U274" s="185">
        <f>IF(S274&gt;0,IF(RIGHT(Ruimtestaat[[#This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4" s="185">
        <f>IF(U274&gt;0,VLOOKUP($K274,Ruimtegroepen[],3,FALSE)*VLOOKUP($M274,Vloersoorten[],3,FALSE)*VLOOKUP($T274,Frequenties[],3,FALSE)*VLOOKUP($A274,Locaties[],3,FALSE),0)</f>
        <v>0</v>
      </c>
      <c r="W274" s="185">
        <f>Ruimtestaat[[#This Row],[Uitvoeringen werkdagen]]*Ruimtestaat[[#This Row],[Oppervlak (netto)]]</f>
        <v>780</v>
      </c>
      <c r="X274" s="220">
        <f>IF(V274&gt;0,Ruimtestaat[[#This Row],[Prest. (m2 /jaar) werkdagen]]/Ruimtestaat[[#This Row],[Norm (m2/uur) werkdagen]],0)</f>
        <v>0</v>
      </c>
      <c r="Y274" s="221">
        <f>Ruimtestaat[[#This Row],[uren / jaar werkdagen]]*Tariefsopbouw!$D$38</f>
        <v>0</v>
      </c>
      <c r="Z274" s="33"/>
      <c r="AA274" s="33">
        <f>IF(Ruimtestaat[[#This Row],[Frequentie weekend]]&gt;0,VALUE(LEFT(Z274,1))*S274,0)</f>
        <v>0</v>
      </c>
      <c r="AB274" s="33">
        <f>IF($AA274&gt;0,VLOOKUP($K274,Ruimtegroepen[],3,FALSE)*VLOOKUP($M274,Vloersoorten[],3,FALSE)*VLOOKUP($Z274,Frequenties[],3,FALSE)*VLOOKUP(#REF!,Locaties[],3,FALSE),0)</f>
        <v>0</v>
      </c>
      <c r="AC274" s="33"/>
      <c r="AD274" s="33"/>
      <c r="AE274" s="33">
        <f>Ruimtestaat[[#This Row],[uren / jaar weekend]]*Tariefsopbouw!$D$40</f>
        <v>0</v>
      </c>
      <c r="AF274" s="79">
        <f>Ruimtestaat[[#This Row],[Prest. (m2 /jaar) weekend]]+Ruimtestaat[[#This Row],[Prest. (m2 /jaar) werkdagen]]</f>
        <v>780</v>
      </c>
      <c r="AG274" s="79">
        <f>Ruimtestaat[[#This Row],[uren / jaar weekend]]+Ruimtestaat[[#This Row],[uren / jaar werkdagen]]</f>
        <v>0</v>
      </c>
      <c r="AH274" s="80">
        <f>Ruimtestaat[[#This Row],[kosten / jaar weekend]]+Ruimtestaat[[#This Row],[kosten / jaar werkdagen]]</f>
        <v>0</v>
      </c>
    </row>
    <row r="275" spans="1:34" ht="15" customHeight="1">
      <c r="A275" s="256">
        <v>5</v>
      </c>
      <c r="B275" s="171" t="str">
        <f>VLOOKUP(Ruimtestaat[[#This Row],[Code]],Locaties[#All],2,FALSE)</f>
        <v>VSO Het Mozaïek Almelo</v>
      </c>
      <c r="C275" s="258" t="str">
        <f>VLOOKUP(Ruimtestaat[[#This Row],[Code]],Locaties[#All],4,FALSE)</f>
        <v>Cesar Franckstaat 3</v>
      </c>
      <c r="D275" s="258" t="str">
        <f>VLOOKUP(Ruimtestaat[[#This Row],[Code]],Locaties[#All],5,FALSE)</f>
        <v>7604JE</v>
      </c>
      <c r="E275" s="258" t="str">
        <f>VLOOKUP(Ruimtestaat[[#This Row],[Code]],Locaties[#All],6,FALSE)</f>
        <v>Almelo</v>
      </c>
      <c r="F275" s="257" t="s">
        <v>1114</v>
      </c>
      <c r="G275" s="257" t="s">
        <v>563</v>
      </c>
      <c r="H275" s="171"/>
      <c r="I275" s="257" t="s">
        <v>461</v>
      </c>
      <c r="J275" s="259" t="s">
        <v>585</v>
      </c>
      <c r="K275" s="171">
        <v>1</v>
      </c>
      <c r="L275" s="260" t="str">
        <f>VLOOKUP(Ruimtestaat[[#This Row],[Ruimte code]],Ruimtegroepen[#All],2,FALSE)</f>
        <v>Magazijnen/bergingen</v>
      </c>
      <c r="M275" s="258" t="s">
        <v>598</v>
      </c>
      <c r="N275" s="257" t="s">
        <v>132</v>
      </c>
      <c r="O275" s="261">
        <v>6.7</v>
      </c>
      <c r="P275" s="183"/>
      <c r="Q275" s="212" t="str">
        <f>VLOOKUP(Ruimtestaat[[#This Row],[Ruimte code]],Ruimtegroepen[#All],4,FALSE)</f>
        <v>V  (Verkeersruimte)</v>
      </c>
      <c r="R275" s="184"/>
      <c r="S275" s="185">
        <v>40</v>
      </c>
      <c r="T275" s="185" t="s">
        <v>15</v>
      </c>
      <c r="U275" s="185">
        <f>IF(S275&gt;0,IF(RIGHT(Ruimtestaat[[#This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5" s="185">
        <f>IF(U275&gt;0,VLOOKUP($K275,Ruimtegroepen[],3,FALSE)*VLOOKUP($M275,Vloersoorten[],3,FALSE)*VLOOKUP($T275,Frequenties[],3,FALSE)*VLOOKUP($A275,Locaties[],3,FALSE),0)</f>
        <v>0</v>
      </c>
      <c r="W275" s="185">
        <f>Ruimtestaat[[#This Row],[Uitvoeringen werkdagen]]*Ruimtestaat[[#This Row],[Oppervlak (netto)]]</f>
        <v>268</v>
      </c>
      <c r="X275" s="220">
        <f>IF(V275&gt;0,Ruimtestaat[[#This Row],[Prest. (m2 /jaar) werkdagen]]/Ruimtestaat[[#This Row],[Norm (m2/uur) werkdagen]],0)</f>
        <v>0</v>
      </c>
      <c r="Y275" s="221">
        <f>Ruimtestaat[[#This Row],[uren / jaar werkdagen]]*Tariefsopbouw!$D$38</f>
        <v>0</v>
      </c>
      <c r="Z275" s="33"/>
      <c r="AA275" s="33">
        <f>IF(Ruimtestaat[[#This Row],[Frequentie weekend]]&gt;0,VALUE(LEFT(Z275,1))*S275,0)</f>
        <v>0</v>
      </c>
      <c r="AB275" s="33">
        <f>IF($AA275&gt;0,VLOOKUP($K275,Ruimtegroepen[],3,FALSE)*VLOOKUP($M275,Vloersoorten[],3,FALSE)*VLOOKUP($Z275,Frequenties[],3,FALSE)*VLOOKUP(#REF!,Locaties[],3,FALSE),0)</f>
        <v>0</v>
      </c>
      <c r="AC275" s="33"/>
      <c r="AD275" s="33"/>
      <c r="AE275" s="33">
        <f>Ruimtestaat[[#This Row],[uren / jaar weekend]]*Tariefsopbouw!$D$40</f>
        <v>0</v>
      </c>
      <c r="AF275" s="79">
        <f>Ruimtestaat[[#This Row],[Prest. (m2 /jaar) weekend]]+Ruimtestaat[[#This Row],[Prest. (m2 /jaar) werkdagen]]</f>
        <v>268</v>
      </c>
      <c r="AG275" s="79">
        <f>Ruimtestaat[[#This Row],[uren / jaar weekend]]+Ruimtestaat[[#This Row],[uren / jaar werkdagen]]</f>
        <v>0</v>
      </c>
      <c r="AH275" s="80">
        <f>Ruimtestaat[[#This Row],[kosten / jaar weekend]]+Ruimtestaat[[#This Row],[kosten / jaar werkdagen]]</f>
        <v>0</v>
      </c>
    </row>
    <row r="276" spans="1:34" ht="15" customHeight="1">
      <c r="A276" s="256">
        <v>5</v>
      </c>
      <c r="B276" s="171" t="str">
        <f>VLOOKUP(Ruimtestaat[[#This Row],[Code]],Locaties[#All],2,FALSE)</f>
        <v>VSO Het Mozaïek Almelo</v>
      </c>
      <c r="C276" s="258" t="str">
        <f>VLOOKUP(Ruimtestaat[[#This Row],[Code]],Locaties[#All],4,FALSE)</f>
        <v>Cesar Franckstaat 3</v>
      </c>
      <c r="D276" s="258" t="str">
        <f>VLOOKUP(Ruimtestaat[[#This Row],[Code]],Locaties[#All],5,FALSE)</f>
        <v>7604JE</v>
      </c>
      <c r="E276" s="258" t="str">
        <f>VLOOKUP(Ruimtestaat[[#This Row],[Code]],Locaties[#All],6,FALSE)</f>
        <v>Almelo</v>
      </c>
      <c r="F276" s="257" t="s">
        <v>1114</v>
      </c>
      <c r="G276" s="257" t="s">
        <v>563</v>
      </c>
      <c r="H276" s="171"/>
      <c r="I276" s="257" t="s">
        <v>462</v>
      </c>
      <c r="J276" s="259" t="s">
        <v>576</v>
      </c>
      <c r="K276" s="171">
        <v>16</v>
      </c>
      <c r="L276" s="260" t="str">
        <f>VLOOKUP(Ruimtestaat[[#This Row],[Ruimte code]],Ruimtegroepen[#All],2,FALSE)</f>
        <v>Leslokalen</v>
      </c>
      <c r="M276" s="258" t="s">
        <v>598</v>
      </c>
      <c r="N276" s="257" t="s">
        <v>132</v>
      </c>
      <c r="O276" s="261">
        <v>33.200000000000003</v>
      </c>
      <c r="P276" s="183"/>
      <c r="Q276" s="212" t="str">
        <f>VLOOKUP(Ruimtestaat[[#This Row],[Ruimte code]],Ruimtegroepen[#All],4,FALSE)</f>
        <v>L  (Lesruimte)</v>
      </c>
      <c r="R276" s="184"/>
      <c r="S276" s="185">
        <v>40</v>
      </c>
      <c r="T276" s="185" t="s">
        <v>2</v>
      </c>
      <c r="U276" s="185">
        <f>IF(S276&gt;0,IF(RIGHT(Ruimtestaat[[#This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6" s="185">
        <f>IF(U276&gt;0,VLOOKUP($K276,Ruimtegroepen[],3,FALSE)*VLOOKUP($M276,Vloersoorten[],3,FALSE)*VLOOKUP($T276,Frequenties[],3,FALSE)*VLOOKUP($A276,Locaties[],3,FALSE),0)</f>
        <v>0</v>
      </c>
      <c r="W276" s="185">
        <f>Ruimtestaat[[#This Row],[Uitvoeringen werkdagen]]*Ruimtestaat[[#This Row],[Oppervlak (netto)]]</f>
        <v>6640.0000000000009</v>
      </c>
      <c r="X276" s="220">
        <f>IF(V276&gt;0,Ruimtestaat[[#This Row],[Prest. (m2 /jaar) werkdagen]]/Ruimtestaat[[#This Row],[Norm (m2/uur) werkdagen]],0)</f>
        <v>0</v>
      </c>
      <c r="Y276" s="221">
        <f>Ruimtestaat[[#This Row],[uren / jaar werkdagen]]*Tariefsopbouw!$D$38</f>
        <v>0</v>
      </c>
      <c r="Z276" s="33"/>
      <c r="AA276" s="33">
        <f>IF(Ruimtestaat[[#This Row],[Frequentie weekend]]&gt;0,VALUE(LEFT(Z276,1))*S276,0)</f>
        <v>0</v>
      </c>
      <c r="AB276" s="33">
        <f>IF($AA276&gt;0,VLOOKUP($K276,Ruimtegroepen[],3,FALSE)*VLOOKUP($M276,Vloersoorten[],3,FALSE)*VLOOKUP($Z276,Frequenties[],3,FALSE)*VLOOKUP(#REF!,Locaties[],3,FALSE),0)</f>
        <v>0</v>
      </c>
      <c r="AC276" s="33"/>
      <c r="AD276" s="33"/>
      <c r="AE276" s="33">
        <f>Ruimtestaat[[#This Row],[uren / jaar weekend]]*Tariefsopbouw!$D$40</f>
        <v>0</v>
      </c>
      <c r="AF276" s="79">
        <f>Ruimtestaat[[#This Row],[Prest. (m2 /jaar) weekend]]+Ruimtestaat[[#This Row],[Prest. (m2 /jaar) werkdagen]]</f>
        <v>6640.0000000000009</v>
      </c>
      <c r="AG276" s="79">
        <f>Ruimtestaat[[#This Row],[uren / jaar weekend]]+Ruimtestaat[[#This Row],[uren / jaar werkdagen]]</f>
        <v>0</v>
      </c>
      <c r="AH276" s="80">
        <f>Ruimtestaat[[#This Row],[kosten / jaar weekend]]+Ruimtestaat[[#This Row],[kosten / jaar werkdagen]]</f>
        <v>0</v>
      </c>
    </row>
    <row r="277" spans="1:34" ht="15" customHeight="1">
      <c r="A277" s="256">
        <v>5</v>
      </c>
      <c r="B277" s="171" t="str">
        <f>VLOOKUP(Ruimtestaat[[#This Row],[Code]],Locaties[#All],2,FALSE)</f>
        <v>VSO Het Mozaïek Almelo</v>
      </c>
      <c r="C277" s="258" t="str">
        <f>VLOOKUP(Ruimtestaat[[#This Row],[Code]],Locaties[#All],4,FALSE)</f>
        <v>Cesar Franckstaat 3</v>
      </c>
      <c r="D277" s="258" t="str">
        <f>VLOOKUP(Ruimtestaat[[#This Row],[Code]],Locaties[#All],5,FALSE)</f>
        <v>7604JE</v>
      </c>
      <c r="E277" s="258" t="str">
        <f>VLOOKUP(Ruimtestaat[[#This Row],[Code]],Locaties[#All],6,FALSE)</f>
        <v>Almelo</v>
      </c>
      <c r="F277" s="257" t="s">
        <v>1114</v>
      </c>
      <c r="G277" s="257" t="s">
        <v>563</v>
      </c>
      <c r="H277" s="171"/>
      <c r="I277" s="257" t="s">
        <v>463</v>
      </c>
      <c r="J277" s="259" t="s">
        <v>784</v>
      </c>
      <c r="K277" s="185">
        <v>14</v>
      </c>
      <c r="L277" s="260" t="str">
        <f>VLOOKUP(Ruimtestaat[[#This Row],[Ruimte code]],Ruimtegroepen[#All],2,FALSE)</f>
        <v>Praktijklokalen</v>
      </c>
      <c r="M277" s="212" t="s">
        <v>111</v>
      </c>
      <c r="N277" s="257" t="s">
        <v>787</v>
      </c>
      <c r="O277" s="261">
        <v>90.6</v>
      </c>
      <c r="P277" s="183"/>
      <c r="Q277" s="212" t="str">
        <f>VLOOKUP(Ruimtestaat[[#This Row],[Ruimte code]],Ruimtegroepen[#All],4,FALSE)</f>
        <v>L  (Lesruimte)</v>
      </c>
      <c r="R277" s="184"/>
      <c r="S277" s="185">
        <v>40</v>
      </c>
      <c r="T277" s="185" t="s">
        <v>17</v>
      </c>
      <c r="U277" s="185">
        <f>IF(S277&gt;0,IF(RIGHT(Ruimtestaat[[#This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77" s="185">
        <f>IF(U277&gt;0,VLOOKUP($K277,Ruimtegroepen[],3,FALSE)*VLOOKUP($M277,Vloersoorten[],3,FALSE)*VLOOKUP($T277,Frequenties[],3,FALSE)*VLOOKUP($A277,Locaties[],3,FALSE),0)</f>
        <v>0</v>
      </c>
      <c r="W277" s="185">
        <f>Ruimtestaat[[#This Row],[Uitvoeringen werkdagen]]*Ruimtestaat[[#This Row],[Oppervlak (netto)]]</f>
        <v>7248</v>
      </c>
      <c r="X277" s="220">
        <f>IF(V277&gt;0,Ruimtestaat[[#This Row],[Prest. (m2 /jaar) werkdagen]]/Ruimtestaat[[#This Row],[Norm (m2/uur) werkdagen]],0)</f>
        <v>0</v>
      </c>
      <c r="Y277" s="221">
        <f>Ruimtestaat[[#This Row],[uren / jaar werkdagen]]*Tariefsopbouw!$D$38</f>
        <v>0</v>
      </c>
      <c r="Z277" s="33"/>
      <c r="AA277" s="33">
        <f>IF(Ruimtestaat[[#This Row],[Frequentie weekend]]&gt;0,VALUE(LEFT(Z277,1))*S277,0)</f>
        <v>0</v>
      </c>
      <c r="AB277" s="33">
        <f>IF($AA277&gt;0,VLOOKUP($K277,Ruimtegroepen[],3,FALSE)*VLOOKUP($M277,Vloersoorten[],3,FALSE)*VLOOKUP($Z277,Frequenties[],3,FALSE)*VLOOKUP(#REF!,Locaties[],3,FALSE),0)</f>
        <v>0</v>
      </c>
      <c r="AC277" s="33"/>
      <c r="AD277" s="33"/>
      <c r="AE277" s="33">
        <f>Ruimtestaat[[#This Row],[uren / jaar weekend]]*Tariefsopbouw!$D$40</f>
        <v>0</v>
      </c>
      <c r="AF277" s="79">
        <f>Ruimtestaat[[#This Row],[Prest. (m2 /jaar) weekend]]+Ruimtestaat[[#This Row],[Prest. (m2 /jaar) werkdagen]]</f>
        <v>7248</v>
      </c>
      <c r="AG277" s="79">
        <f>Ruimtestaat[[#This Row],[uren / jaar weekend]]+Ruimtestaat[[#This Row],[uren / jaar werkdagen]]</f>
        <v>0</v>
      </c>
      <c r="AH277" s="80">
        <f>Ruimtestaat[[#This Row],[kosten / jaar weekend]]+Ruimtestaat[[#This Row],[kosten / jaar werkdagen]]</f>
        <v>0</v>
      </c>
    </row>
    <row r="278" spans="1:34" ht="15" customHeight="1">
      <c r="A278" s="256">
        <v>5</v>
      </c>
      <c r="B278" s="171" t="str">
        <f>VLOOKUP(Ruimtestaat[[#This Row],[Code]],Locaties[#All],2,FALSE)</f>
        <v>VSO Het Mozaïek Almelo</v>
      </c>
      <c r="C278" s="258" t="str">
        <f>VLOOKUP(Ruimtestaat[[#This Row],[Code]],Locaties[#All],4,FALSE)</f>
        <v>Cesar Franckstaat 3</v>
      </c>
      <c r="D278" s="258" t="str">
        <f>VLOOKUP(Ruimtestaat[[#This Row],[Code]],Locaties[#All],5,FALSE)</f>
        <v>7604JE</v>
      </c>
      <c r="E278" s="258" t="str">
        <f>VLOOKUP(Ruimtestaat[[#This Row],[Code]],Locaties[#All],6,FALSE)</f>
        <v>Almelo</v>
      </c>
      <c r="F278" s="257" t="s">
        <v>1114</v>
      </c>
      <c r="G278" s="257" t="s">
        <v>563</v>
      </c>
      <c r="H278" s="171"/>
      <c r="I278" s="257" t="s">
        <v>464</v>
      </c>
      <c r="J278" s="259" t="s">
        <v>585</v>
      </c>
      <c r="K278" s="185">
        <v>1</v>
      </c>
      <c r="L278" s="260" t="str">
        <f>VLOOKUP(Ruimtestaat[[#This Row],[Ruimte code]],Ruimtegroepen[#All],2,FALSE)</f>
        <v>Magazijnen/bergingen</v>
      </c>
      <c r="M278" s="258" t="s">
        <v>598</v>
      </c>
      <c r="N278" s="257" t="s">
        <v>132</v>
      </c>
      <c r="O278" s="261">
        <v>11.1</v>
      </c>
      <c r="P278" s="183"/>
      <c r="Q278" s="212" t="str">
        <f>VLOOKUP(Ruimtestaat[[#This Row],[Ruimte code]],Ruimtegroepen[#All],4,FALSE)</f>
        <v>V  (Verkeersruimte)</v>
      </c>
      <c r="R278" s="184"/>
      <c r="S278" s="185">
        <v>40</v>
      </c>
      <c r="T278" s="185" t="s">
        <v>15</v>
      </c>
      <c r="U278" s="185">
        <f>IF(S278&gt;0,IF(RIGHT(Ruimtestaat[[#This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8" s="185">
        <f>IF(U278&gt;0,VLOOKUP($K278,Ruimtegroepen[],3,FALSE)*VLOOKUP($M278,Vloersoorten[],3,FALSE)*VLOOKUP($T278,Frequenties[],3,FALSE)*VLOOKUP($A278,Locaties[],3,FALSE),0)</f>
        <v>0</v>
      </c>
      <c r="W278" s="185">
        <f>Ruimtestaat[[#This Row],[Uitvoeringen werkdagen]]*Ruimtestaat[[#This Row],[Oppervlak (netto)]]</f>
        <v>444</v>
      </c>
      <c r="X278" s="220">
        <f>IF(V278&gt;0,Ruimtestaat[[#This Row],[Prest. (m2 /jaar) werkdagen]]/Ruimtestaat[[#This Row],[Norm (m2/uur) werkdagen]],0)</f>
        <v>0</v>
      </c>
      <c r="Y278" s="221">
        <f>Ruimtestaat[[#This Row],[uren / jaar werkdagen]]*Tariefsopbouw!$D$38</f>
        <v>0</v>
      </c>
      <c r="Z278" s="33"/>
      <c r="AA278" s="33">
        <f>IF(Ruimtestaat[[#This Row],[Frequentie weekend]]&gt;0,VALUE(LEFT(Z278,1))*S278,0)</f>
        <v>0</v>
      </c>
      <c r="AB278" s="33">
        <f>IF($AA278&gt;0,VLOOKUP($K278,Ruimtegroepen[],3,FALSE)*VLOOKUP($M278,Vloersoorten[],3,FALSE)*VLOOKUP($Z278,Frequenties[],3,FALSE)*VLOOKUP(#REF!,Locaties[],3,FALSE),0)</f>
        <v>0</v>
      </c>
      <c r="AC278" s="33"/>
      <c r="AD278" s="33"/>
      <c r="AE278" s="33">
        <f>Ruimtestaat[[#This Row],[uren / jaar weekend]]*Tariefsopbouw!$D$40</f>
        <v>0</v>
      </c>
      <c r="AF278" s="79">
        <f>Ruimtestaat[[#This Row],[Prest. (m2 /jaar) weekend]]+Ruimtestaat[[#This Row],[Prest. (m2 /jaar) werkdagen]]</f>
        <v>444</v>
      </c>
      <c r="AG278" s="79">
        <f>Ruimtestaat[[#This Row],[uren / jaar weekend]]+Ruimtestaat[[#This Row],[uren / jaar werkdagen]]</f>
        <v>0</v>
      </c>
      <c r="AH278" s="80">
        <f>Ruimtestaat[[#This Row],[kosten / jaar weekend]]+Ruimtestaat[[#This Row],[kosten / jaar werkdagen]]</f>
        <v>0</v>
      </c>
    </row>
    <row r="279" spans="1:34" ht="15" customHeight="1">
      <c r="A279" s="256">
        <v>5</v>
      </c>
      <c r="B279" s="171" t="str">
        <f>VLOOKUP(Ruimtestaat[[#This Row],[Code]],Locaties[#All],2,FALSE)</f>
        <v>VSO Het Mozaïek Almelo</v>
      </c>
      <c r="C279" s="258" t="str">
        <f>VLOOKUP(Ruimtestaat[[#This Row],[Code]],Locaties[#All],4,FALSE)</f>
        <v>Cesar Franckstaat 3</v>
      </c>
      <c r="D279" s="258" t="str">
        <f>VLOOKUP(Ruimtestaat[[#This Row],[Code]],Locaties[#All],5,FALSE)</f>
        <v>7604JE</v>
      </c>
      <c r="E279" s="258" t="str">
        <f>VLOOKUP(Ruimtestaat[[#This Row],[Code]],Locaties[#All],6,FALSE)</f>
        <v>Almelo</v>
      </c>
      <c r="F279" s="257" t="s">
        <v>1114</v>
      </c>
      <c r="G279" s="257" t="s">
        <v>563</v>
      </c>
      <c r="H279" s="171"/>
      <c r="I279" s="257" t="s">
        <v>465</v>
      </c>
      <c r="J279" s="259" t="s">
        <v>586</v>
      </c>
      <c r="K279" s="258">
        <v>1</v>
      </c>
      <c r="L279" s="260" t="str">
        <f>VLOOKUP(Ruimtestaat[[#This Row],[Ruimte code]],Ruimtegroepen[#All],2,FALSE)</f>
        <v>Magazijnen/bergingen</v>
      </c>
      <c r="M279" s="258" t="s">
        <v>598</v>
      </c>
      <c r="N279" s="257" t="s">
        <v>132</v>
      </c>
      <c r="O279" s="261">
        <v>10.8</v>
      </c>
      <c r="P279" s="183"/>
      <c r="Q279" s="212" t="str">
        <f>VLOOKUP(Ruimtestaat[[#This Row],[Ruimte code]],Ruimtegroepen[#All],4,FALSE)</f>
        <v>V  (Verkeersruimte)</v>
      </c>
      <c r="R279" s="184"/>
      <c r="S279" s="185">
        <v>40</v>
      </c>
      <c r="T279" s="185" t="s">
        <v>15</v>
      </c>
      <c r="U279" s="185">
        <f>IF(S279&gt;0,IF(RIGHT(Ruimtestaat[[#This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9" s="185">
        <f>IF(U279&gt;0,VLOOKUP($K279,Ruimtegroepen[],3,FALSE)*VLOOKUP($M279,Vloersoorten[],3,FALSE)*VLOOKUP($T279,Frequenties[],3,FALSE)*VLOOKUP($A279,Locaties[],3,FALSE),0)</f>
        <v>0</v>
      </c>
      <c r="W279" s="185">
        <f>Ruimtestaat[[#This Row],[Uitvoeringen werkdagen]]*Ruimtestaat[[#This Row],[Oppervlak (netto)]]</f>
        <v>432</v>
      </c>
      <c r="X279" s="220">
        <f>IF(V279&gt;0,Ruimtestaat[[#This Row],[Prest. (m2 /jaar) werkdagen]]/Ruimtestaat[[#This Row],[Norm (m2/uur) werkdagen]],0)</f>
        <v>0</v>
      </c>
      <c r="Y279" s="221">
        <f>Ruimtestaat[[#This Row],[uren / jaar werkdagen]]*Tariefsopbouw!$D$38</f>
        <v>0</v>
      </c>
      <c r="Z279" s="33"/>
      <c r="AA279" s="33">
        <f>IF(Ruimtestaat[[#This Row],[Frequentie weekend]]&gt;0,VALUE(LEFT(Z279,1))*S279,0)</f>
        <v>0</v>
      </c>
      <c r="AB279" s="33">
        <f>IF($AA279&gt;0,VLOOKUP($K279,Ruimtegroepen[],3,FALSE)*VLOOKUP($M279,Vloersoorten[],3,FALSE)*VLOOKUP($Z279,Frequenties[],3,FALSE)*VLOOKUP(#REF!,Locaties[],3,FALSE),0)</f>
        <v>0</v>
      </c>
      <c r="AC279" s="33"/>
      <c r="AD279" s="33"/>
      <c r="AE279" s="33">
        <f>Ruimtestaat[[#This Row],[uren / jaar weekend]]*Tariefsopbouw!$D$40</f>
        <v>0</v>
      </c>
      <c r="AF279" s="79">
        <f>Ruimtestaat[[#This Row],[Prest. (m2 /jaar) weekend]]+Ruimtestaat[[#This Row],[Prest. (m2 /jaar) werkdagen]]</f>
        <v>432</v>
      </c>
      <c r="AG279" s="79">
        <f>Ruimtestaat[[#This Row],[uren / jaar weekend]]+Ruimtestaat[[#This Row],[uren / jaar werkdagen]]</f>
        <v>0</v>
      </c>
      <c r="AH279" s="80">
        <f>Ruimtestaat[[#This Row],[kosten / jaar weekend]]+Ruimtestaat[[#This Row],[kosten / jaar werkdagen]]</f>
        <v>0</v>
      </c>
    </row>
    <row r="280" spans="1:34" ht="15" customHeight="1">
      <c r="A280" s="256">
        <v>5</v>
      </c>
      <c r="B280" s="171" t="str">
        <f>VLOOKUP(Ruimtestaat[[#This Row],[Code]],Locaties[#All],2,FALSE)</f>
        <v>VSO Het Mozaïek Almelo</v>
      </c>
      <c r="C280" s="258" t="str">
        <f>VLOOKUP(Ruimtestaat[[#This Row],[Code]],Locaties[#All],4,FALSE)</f>
        <v>Cesar Franckstaat 3</v>
      </c>
      <c r="D280" s="258" t="str">
        <f>VLOOKUP(Ruimtestaat[[#This Row],[Code]],Locaties[#All],5,FALSE)</f>
        <v>7604JE</v>
      </c>
      <c r="E280" s="258" t="str">
        <f>VLOOKUP(Ruimtestaat[[#This Row],[Code]],Locaties[#All],6,FALSE)</f>
        <v>Almelo</v>
      </c>
      <c r="F280" s="257" t="s">
        <v>1114</v>
      </c>
      <c r="G280" s="257" t="s">
        <v>563</v>
      </c>
      <c r="H280" s="171"/>
      <c r="I280" s="257" t="s">
        <v>466</v>
      </c>
      <c r="J280" s="259" t="s">
        <v>586</v>
      </c>
      <c r="K280" s="258">
        <v>1</v>
      </c>
      <c r="L280" s="260" t="str">
        <f>VLOOKUP(Ruimtestaat[[#This Row],[Ruimte code]],Ruimtegroepen[#All],2,FALSE)</f>
        <v>Magazijnen/bergingen</v>
      </c>
      <c r="M280" s="185" t="s">
        <v>598</v>
      </c>
      <c r="N280" s="257" t="s">
        <v>132</v>
      </c>
      <c r="O280" s="261">
        <v>12.4</v>
      </c>
      <c r="P280" s="183"/>
      <c r="Q280" s="212" t="str">
        <f>VLOOKUP(Ruimtestaat[[#This Row],[Ruimte code]],Ruimtegroepen[#All],4,FALSE)</f>
        <v>V  (Verkeersruimte)</v>
      </c>
      <c r="R280" s="184"/>
      <c r="S280" s="185">
        <v>40</v>
      </c>
      <c r="T280" s="185" t="s">
        <v>15</v>
      </c>
      <c r="U280" s="185">
        <f>IF(S280&gt;0,IF(RIGHT(Ruimtestaat[[#This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0" s="185">
        <f>IF(U280&gt;0,VLOOKUP($K280,Ruimtegroepen[],3,FALSE)*VLOOKUP($M280,Vloersoorten[],3,FALSE)*VLOOKUP($T280,Frequenties[],3,FALSE)*VLOOKUP($A280,Locaties[],3,FALSE),0)</f>
        <v>0</v>
      </c>
      <c r="W280" s="185">
        <f>Ruimtestaat[[#This Row],[Uitvoeringen werkdagen]]*Ruimtestaat[[#This Row],[Oppervlak (netto)]]</f>
        <v>496</v>
      </c>
      <c r="X280" s="220">
        <f>IF(V280&gt;0,Ruimtestaat[[#This Row],[Prest. (m2 /jaar) werkdagen]]/Ruimtestaat[[#This Row],[Norm (m2/uur) werkdagen]],0)</f>
        <v>0</v>
      </c>
      <c r="Y280" s="221">
        <f>Ruimtestaat[[#This Row],[uren / jaar werkdagen]]*Tariefsopbouw!$D$38</f>
        <v>0</v>
      </c>
      <c r="Z280" s="33"/>
      <c r="AA280" s="33">
        <f>IF(Ruimtestaat[[#This Row],[Frequentie weekend]]&gt;0,VALUE(LEFT(Z280,1))*S280,0)</f>
        <v>0</v>
      </c>
      <c r="AB280" s="33">
        <f>IF($AA280&gt;0,VLOOKUP($K280,Ruimtegroepen[],3,FALSE)*VLOOKUP($M280,Vloersoorten[],3,FALSE)*VLOOKUP($Z280,Frequenties[],3,FALSE)*VLOOKUP(#REF!,Locaties[],3,FALSE),0)</f>
        <v>0</v>
      </c>
      <c r="AC280" s="33"/>
      <c r="AD280" s="33"/>
      <c r="AE280" s="33">
        <f>Ruimtestaat[[#This Row],[uren / jaar weekend]]*Tariefsopbouw!$D$40</f>
        <v>0</v>
      </c>
      <c r="AF280" s="79">
        <f>Ruimtestaat[[#This Row],[Prest. (m2 /jaar) weekend]]+Ruimtestaat[[#This Row],[Prest. (m2 /jaar) werkdagen]]</f>
        <v>496</v>
      </c>
      <c r="AG280" s="79">
        <f>Ruimtestaat[[#This Row],[uren / jaar weekend]]+Ruimtestaat[[#This Row],[uren / jaar werkdagen]]</f>
        <v>0</v>
      </c>
      <c r="AH280" s="80">
        <f>Ruimtestaat[[#This Row],[kosten / jaar weekend]]+Ruimtestaat[[#This Row],[kosten / jaar werkdagen]]</f>
        <v>0</v>
      </c>
    </row>
    <row r="281" spans="1:34" ht="15" customHeight="1">
      <c r="A281" s="256">
        <v>5</v>
      </c>
      <c r="B281" s="171" t="str">
        <f>VLOOKUP(Ruimtestaat[[#This Row],[Code]],Locaties[#All],2,FALSE)</f>
        <v>VSO Het Mozaïek Almelo</v>
      </c>
      <c r="C281" s="258" t="str">
        <f>VLOOKUP(Ruimtestaat[[#This Row],[Code]],Locaties[#All],4,FALSE)</f>
        <v>Cesar Franckstaat 3</v>
      </c>
      <c r="D281" s="258" t="str">
        <f>VLOOKUP(Ruimtestaat[[#This Row],[Code]],Locaties[#All],5,FALSE)</f>
        <v>7604JE</v>
      </c>
      <c r="E281" s="258" t="str">
        <f>VLOOKUP(Ruimtestaat[[#This Row],[Code]],Locaties[#All],6,FALSE)</f>
        <v>Almelo</v>
      </c>
      <c r="F281" s="257" t="s">
        <v>1114</v>
      </c>
      <c r="G281" s="257" t="s">
        <v>563</v>
      </c>
      <c r="H281" s="171"/>
      <c r="I281" s="257" t="s">
        <v>467</v>
      </c>
      <c r="J281" s="259" t="s">
        <v>585</v>
      </c>
      <c r="K281" s="258">
        <v>1</v>
      </c>
      <c r="L281" s="260" t="str">
        <f>VLOOKUP(Ruimtestaat[[#This Row],[Ruimte code]],Ruimtegroepen[#All],2,FALSE)</f>
        <v>Magazijnen/bergingen</v>
      </c>
      <c r="M281" s="258" t="s">
        <v>598</v>
      </c>
      <c r="N281" s="257" t="s">
        <v>132</v>
      </c>
      <c r="O281" s="261">
        <v>12.35</v>
      </c>
      <c r="P281" s="183"/>
      <c r="Q281" s="212" t="str">
        <f>VLOOKUP(Ruimtestaat[[#This Row],[Ruimte code]],Ruimtegroepen[#All],4,FALSE)</f>
        <v>V  (Verkeersruimte)</v>
      </c>
      <c r="R281" s="184"/>
      <c r="S281" s="185">
        <v>40</v>
      </c>
      <c r="T281" s="185" t="s">
        <v>15</v>
      </c>
      <c r="U281" s="185">
        <f>IF(S281&gt;0,IF(RIGHT(Ruimtestaat[[#This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1" s="185">
        <f>IF(U281&gt;0,VLOOKUP($K281,Ruimtegroepen[],3,FALSE)*VLOOKUP($M281,Vloersoorten[],3,FALSE)*VLOOKUP($T281,Frequenties[],3,FALSE)*VLOOKUP($A281,Locaties[],3,FALSE),0)</f>
        <v>0</v>
      </c>
      <c r="W281" s="185">
        <f>Ruimtestaat[[#This Row],[Uitvoeringen werkdagen]]*Ruimtestaat[[#This Row],[Oppervlak (netto)]]</f>
        <v>494</v>
      </c>
      <c r="X281" s="220">
        <f>IF(V281&gt;0,Ruimtestaat[[#This Row],[Prest. (m2 /jaar) werkdagen]]/Ruimtestaat[[#This Row],[Norm (m2/uur) werkdagen]],0)</f>
        <v>0</v>
      </c>
      <c r="Y281" s="221">
        <f>Ruimtestaat[[#This Row],[uren / jaar werkdagen]]*Tariefsopbouw!$D$38</f>
        <v>0</v>
      </c>
      <c r="Z281" s="33"/>
      <c r="AA281" s="33">
        <f>IF(Ruimtestaat[[#This Row],[Frequentie weekend]]&gt;0,VALUE(LEFT(Z281,1))*S281,0)</f>
        <v>0</v>
      </c>
      <c r="AB281" s="33">
        <f>IF($AA281&gt;0,VLOOKUP($K281,Ruimtegroepen[],3,FALSE)*VLOOKUP($M281,Vloersoorten[],3,FALSE)*VLOOKUP($Z281,Frequenties[],3,FALSE)*VLOOKUP(#REF!,Locaties[],3,FALSE),0)</f>
        <v>0</v>
      </c>
      <c r="AC281" s="33"/>
      <c r="AD281" s="33"/>
      <c r="AE281" s="33">
        <f>Ruimtestaat[[#This Row],[uren / jaar weekend]]*Tariefsopbouw!$D$40</f>
        <v>0</v>
      </c>
      <c r="AF281" s="79">
        <f>Ruimtestaat[[#This Row],[Prest. (m2 /jaar) weekend]]+Ruimtestaat[[#This Row],[Prest. (m2 /jaar) werkdagen]]</f>
        <v>494</v>
      </c>
      <c r="AG281" s="79">
        <f>Ruimtestaat[[#This Row],[uren / jaar weekend]]+Ruimtestaat[[#This Row],[uren / jaar werkdagen]]</f>
        <v>0</v>
      </c>
      <c r="AH281" s="80">
        <f>Ruimtestaat[[#This Row],[kosten / jaar weekend]]+Ruimtestaat[[#This Row],[kosten / jaar werkdagen]]</f>
        <v>0</v>
      </c>
    </row>
    <row r="282" spans="1:34" ht="15" customHeight="1">
      <c r="A282" s="256">
        <v>5</v>
      </c>
      <c r="B282" s="171" t="str">
        <f>VLOOKUP(Ruimtestaat[[#This Row],[Code]],Locaties[#All],2,FALSE)</f>
        <v>VSO Het Mozaïek Almelo</v>
      </c>
      <c r="C282" s="258" t="str">
        <f>VLOOKUP(Ruimtestaat[[#This Row],[Code]],Locaties[#All],4,FALSE)</f>
        <v>Cesar Franckstaat 3</v>
      </c>
      <c r="D282" s="258" t="str">
        <f>VLOOKUP(Ruimtestaat[[#This Row],[Code]],Locaties[#All],5,FALSE)</f>
        <v>7604JE</v>
      </c>
      <c r="E282" s="258" t="str">
        <f>VLOOKUP(Ruimtestaat[[#This Row],[Code]],Locaties[#All],6,FALSE)</f>
        <v>Almelo</v>
      </c>
      <c r="F282" s="257" t="s">
        <v>1114</v>
      </c>
      <c r="G282" s="257" t="s">
        <v>563</v>
      </c>
      <c r="H282" s="171"/>
      <c r="I282" s="257" t="s">
        <v>468</v>
      </c>
      <c r="J282" s="259" t="s">
        <v>785</v>
      </c>
      <c r="K282" s="258">
        <v>14</v>
      </c>
      <c r="L282" s="260" t="str">
        <f>VLOOKUP(Ruimtestaat[[#This Row],[Ruimte code]],Ruimtegroepen[#All],2,FALSE)</f>
        <v>Praktijklokalen</v>
      </c>
      <c r="M282" s="212" t="s">
        <v>111</v>
      </c>
      <c r="N282" s="257" t="s">
        <v>787</v>
      </c>
      <c r="O282" s="261">
        <v>89.2</v>
      </c>
      <c r="P282" s="183"/>
      <c r="Q282" s="212" t="str">
        <f>VLOOKUP(Ruimtestaat[[#This Row],[Ruimte code]],Ruimtegroepen[#All],4,FALSE)</f>
        <v>L  (Lesruimte)</v>
      </c>
      <c r="R282" s="184"/>
      <c r="S282" s="185">
        <v>40</v>
      </c>
      <c r="T282" s="185" t="s">
        <v>17</v>
      </c>
      <c r="U282" s="185">
        <f>IF(S282&gt;0,IF(RIGHT(Ruimtestaat[[#This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82" s="185">
        <f>IF(U282&gt;0,VLOOKUP($K282,Ruimtegroepen[],3,FALSE)*VLOOKUP($M282,Vloersoorten[],3,FALSE)*VLOOKUP($T282,Frequenties[],3,FALSE)*VLOOKUP($A282,Locaties[],3,FALSE),0)</f>
        <v>0</v>
      </c>
      <c r="W282" s="185">
        <f>Ruimtestaat[[#This Row],[Uitvoeringen werkdagen]]*Ruimtestaat[[#This Row],[Oppervlak (netto)]]</f>
        <v>7136</v>
      </c>
      <c r="X282" s="220">
        <f>IF(V282&gt;0,Ruimtestaat[[#This Row],[Prest. (m2 /jaar) werkdagen]]/Ruimtestaat[[#This Row],[Norm (m2/uur) werkdagen]],0)</f>
        <v>0</v>
      </c>
      <c r="Y282" s="221">
        <f>Ruimtestaat[[#This Row],[uren / jaar werkdagen]]*Tariefsopbouw!$D$38</f>
        <v>0</v>
      </c>
      <c r="Z282" s="33"/>
      <c r="AA282" s="33">
        <f>IF(Ruimtestaat[[#This Row],[Frequentie weekend]]&gt;0,VALUE(LEFT(Z282,1))*S282,0)</f>
        <v>0</v>
      </c>
      <c r="AB282" s="33">
        <f>IF($AA282&gt;0,VLOOKUP($K282,Ruimtegroepen[],3,FALSE)*VLOOKUP($M282,Vloersoorten[],3,FALSE)*VLOOKUP($Z282,Frequenties[],3,FALSE)*VLOOKUP(#REF!,Locaties[],3,FALSE),0)</f>
        <v>0</v>
      </c>
      <c r="AC282" s="33"/>
      <c r="AD282" s="33"/>
      <c r="AE282" s="33">
        <f>Ruimtestaat[[#This Row],[uren / jaar weekend]]*Tariefsopbouw!$D$40</f>
        <v>0</v>
      </c>
      <c r="AF282" s="79">
        <f>Ruimtestaat[[#This Row],[Prest. (m2 /jaar) weekend]]+Ruimtestaat[[#This Row],[Prest. (m2 /jaar) werkdagen]]</f>
        <v>7136</v>
      </c>
      <c r="AG282" s="79">
        <f>Ruimtestaat[[#This Row],[uren / jaar weekend]]+Ruimtestaat[[#This Row],[uren / jaar werkdagen]]</f>
        <v>0</v>
      </c>
      <c r="AH282" s="80">
        <f>Ruimtestaat[[#This Row],[kosten / jaar weekend]]+Ruimtestaat[[#This Row],[kosten / jaar werkdagen]]</f>
        <v>0</v>
      </c>
    </row>
    <row r="283" spans="1:34" ht="15" customHeight="1">
      <c r="A283" s="256">
        <v>5</v>
      </c>
      <c r="B283" s="171" t="str">
        <f>VLOOKUP(Ruimtestaat[[#This Row],[Code]],Locaties[#All],2,FALSE)</f>
        <v>VSO Het Mozaïek Almelo</v>
      </c>
      <c r="C283" s="258" t="str">
        <f>VLOOKUP(Ruimtestaat[[#This Row],[Code]],Locaties[#All],4,FALSE)</f>
        <v>Cesar Franckstaat 3</v>
      </c>
      <c r="D283" s="258" t="str">
        <f>VLOOKUP(Ruimtestaat[[#This Row],[Code]],Locaties[#All],5,FALSE)</f>
        <v>7604JE</v>
      </c>
      <c r="E283" s="258" t="str">
        <f>VLOOKUP(Ruimtestaat[[#This Row],[Code]],Locaties[#All],6,FALSE)</f>
        <v>Almelo</v>
      </c>
      <c r="F283" s="257" t="s">
        <v>1114</v>
      </c>
      <c r="G283" s="257" t="s">
        <v>563</v>
      </c>
      <c r="H283" s="171"/>
      <c r="I283" s="257" t="s">
        <v>469</v>
      </c>
      <c r="J283" s="259" t="s">
        <v>580</v>
      </c>
      <c r="K283" s="258">
        <v>18</v>
      </c>
      <c r="L283" s="260" t="str">
        <f>VLOOKUP(Ruimtestaat[[#This Row],[Ruimte code]],Ruimtegroepen[#All],2,FALSE)</f>
        <v>Gymzaal</v>
      </c>
      <c r="M283" s="185" t="s">
        <v>112</v>
      </c>
      <c r="N283" s="257" t="s">
        <v>596</v>
      </c>
      <c r="O283" s="261">
        <v>250</v>
      </c>
      <c r="P283" s="183"/>
      <c r="Q283" s="212" t="str">
        <f>VLOOKUP(Ruimtestaat[[#This Row],[Ruimte code]],Ruimtegroepen[#All],4,FALSE)</f>
        <v>Sp  (Sportruimte)</v>
      </c>
      <c r="R283" s="184"/>
      <c r="S283" s="185">
        <v>40</v>
      </c>
      <c r="T283" s="185" t="s">
        <v>2</v>
      </c>
      <c r="U283" s="185">
        <f>IF(S283&gt;0,IF(RIGHT(Ruimtestaat[[#This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3" s="185">
        <f>IF(U283&gt;0,VLOOKUP($K283,Ruimtegroepen[],3,FALSE)*VLOOKUP($M283,Vloersoorten[],3,FALSE)*VLOOKUP($T283,Frequenties[],3,FALSE)*VLOOKUP($A283,Locaties[],3,FALSE),0)</f>
        <v>0</v>
      </c>
      <c r="W283" s="185">
        <f>Ruimtestaat[[#This Row],[Uitvoeringen werkdagen]]*Ruimtestaat[[#This Row],[Oppervlak (netto)]]</f>
        <v>50000</v>
      </c>
      <c r="X283" s="220">
        <f>IF(V283&gt;0,Ruimtestaat[[#This Row],[Prest. (m2 /jaar) werkdagen]]/Ruimtestaat[[#This Row],[Norm (m2/uur) werkdagen]],0)</f>
        <v>0</v>
      </c>
      <c r="Y283" s="221">
        <f>Ruimtestaat[[#This Row],[uren / jaar werkdagen]]*Tariefsopbouw!$D$38</f>
        <v>0</v>
      </c>
      <c r="Z283" s="33"/>
      <c r="AA283" s="33">
        <f>IF(Ruimtestaat[[#This Row],[Frequentie weekend]]&gt;0,VALUE(LEFT(Z283,1))*S283,0)</f>
        <v>0</v>
      </c>
      <c r="AB283" s="33">
        <f>IF($AA283&gt;0,VLOOKUP($K283,Ruimtegroepen[],3,FALSE)*VLOOKUP($M283,Vloersoorten[],3,FALSE)*VLOOKUP($Z283,Frequenties[],3,FALSE)*VLOOKUP(#REF!,Locaties[],3,FALSE),0)</f>
        <v>0</v>
      </c>
      <c r="AC283" s="33"/>
      <c r="AD283" s="33"/>
      <c r="AE283" s="33">
        <f>Ruimtestaat[[#This Row],[uren / jaar weekend]]*Tariefsopbouw!$D$40</f>
        <v>0</v>
      </c>
      <c r="AF283" s="79">
        <f>Ruimtestaat[[#This Row],[Prest. (m2 /jaar) weekend]]+Ruimtestaat[[#This Row],[Prest. (m2 /jaar) werkdagen]]</f>
        <v>50000</v>
      </c>
      <c r="AG283" s="79">
        <f>Ruimtestaat[[#This Row],[uren / jaar weekend]]+Ruimtestaat[[#This Row],[uren / jaar werkdagen]]</f>
        <v>0</v>
      </c>
      <c r="AH283" s="80">
        <f>Ruimtestaat[[#This Row],[kosten / jaar weekend]]+Ruimtestaat[[#This Row],[kosten / jaar werkdagen]]</f>
        <v>0</v>
      </c>
    </row>
    <row r="284" spans="1:34" ht="15" customHeight="1">
      <c r="A284" s="256">
        <v>5</v>
      </c>
      <c r="B284" s="171" t="str">
        <f>VLOOKUP(Ruimtestaat[[#This Row],[Code]],Locaties[#All],2,FALSE)</f>
        <v>VSO Het Mozaïek Almelo</v>
      </c>
      <c r="C284" s="258" t="str">
        <f>VLOOKUP(Ruimtestaat[[#This Row],[Code]],Locaties[#All],4,FALSE)</f>
        <v>Cesar Franckstaat 3</v>
      </c>
      <c r="D284" s="258" t="str">
        <f>VLOOKUP(Ruimtestaat[[#This Row],[Code]],Locaties[#All],5,FALSE)</f>
        <v>7604JE</v>
      </c>
      <c r="E284" s="258" t="str">
        <f>VLOOKUP(Ruimtestaat[[#This Row],[Code]],Locaties[#All],6,FALSE)</f>
        <v>Almelo</v>
      </c>
      <c r="F284" s="257" t="s">
        <v>1114</v>
      </c>
      <c r="G284" s="257" t="s">
        <v>563</v>
      </c>
      <c r="H284" s="171"/>
      <c r="I284" s="257" t="s">
        <v>470</v>
      </c>
      <c r="J284" s="259" t="s">
        <v>581</v>
      </c>
      <c r="K284" s="258">
        <v>19</v>
      </c>
      <c r="L284" s="260" t="str">
        <f>VLOOKUP(Ruimtestaat[[#This Row],[Ruimte code]],Ruimtegroepen[#All],2,FALSE)</f>
        <v>Kleedruimten</v>
      </c>
      <c r="M284" s="258" t="s">
        <v>598</v>
      </c>
      <c r="N284" s="257" t="s">
        <v>132</v>
      </c>
      <c r="O284" s="261">
        <v>5.16</v>
      </c>
      <c r="P284" s="183"/>
      <c r="Q284" s="212" t="str">
        <f>VLOOKUP(Ruimtestaat[[#This Row],[Ruimte code]],Ruimtegroepen[#All],4,FALSE)</f>
        <v>V  (Verkeersruimte)</v>
      </c>
      <c r="R284" s="184"/>
      <c r="S284" s="185">
        <v>40</v>
      </c>
      <c r="T284" s="185" t="s">
        <v>15</v>
      </c>
      <c r="U284" s="185">
        <f>IF(S284&gt;0,IF(RIGHT(Ruimtestaat[[#This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4" s="185">
        <f>IF(U284&gt;0,VLOOKUP($K284,Ruimtegroepen[],3,FALSE)*VLOOKUP($M284,Vloersoorten[],3,FALSE)*VLOOKUP($T284,Frequenties[],3,FALSE)*VLOOKUP($A284,Locaties[],3,FALSE),0)</f>
        <v>0</v>
      </c>
      <c r="W284" s="185">
        <f>Ruimtestaat[[#This Row],[Uitvoeringen werkdagen]]*Ruimtestaat[[#This Row],[Oppervlak (netto)]]</f>
        <v>206.4</v>
      </c>
      <c r="X284" s="220">
        <f>IF(V284&gt;0,Ruimtestaat[[#This Row],[Prest. (m2 /jaar) werkdagen]]/Ruimtestaat[[#This Row],[Norm (m2/uur) werkdagen]],0)</f>
        <v>0</v>
      </c>
      <c r="Y284" s="221">
        <f>Ruimtestaat[[#This Row],[uren / jaar werkdagen]]*Tariefsopbouw!$D$38</f>
        <v>0</v>
      </c>
      <c r="Z284" s="33"/>
      <c r="AA284" s="33">
        <f>IF(Ruimtestaat[[#This Row],[Frequentie weekend]]&gt;0,VALUE(LEFT(Z284,1))*S284,0)</f>
        <v>0</v>
      </c>
      <c r="AB284" s="33">
        <f>IF($AA284&gt;0,VLOOKUP($K284,Ruimtegroepen[],3,FALSE)*VLOOKUP($M284,Vloersoorten[],3,FALSE)*VLOOKUP($Z284,Frequenties[],3,FALSE)*VLOOKUP(#REF!,Locaties[],3,FALSE),0)</f>
        <v>0</v>
      </c>
      <c r="AC284" s="33"/>
      <c r="AD284" s="33"/>
      <c r="AE284" s="33">
        <f>Ruimtestaat[[#This Row],[uren / jaar weekend]]*Tariefsopbouw!$D$40</f>
        <v>0</v>
      </c>
      <c r="AF284" s="79">
        <f>Ruimtestaat[[#This Row],[Prest. (m2 /jaar) weekend]]+Ruimtestaat[[#This Row],[Prest. (m2 /jaar) werkdagen]]</f>
        <v>206.4</v>
      </c>
      <c r="AG284" s="79">
        <f>Ruimtestaat[[#This Row],[uren / jaar weekend]]+Ruimtestaat[[#This Row],[uren / jaar werkdagen]]</f>
        <v>0</v>
      </c>
      <c r="AH284" s="80">
        <f>Ruimtestaat[[#This Row],[kosten / jaar weekend]]+Ruimtestaat[[#This Row],[kosten / jaar werkdagen]]</f>
        <v>0</v>
      </c>
    </row>
    <row r="285" spans="1:34" ht="15" customHeight="1">
      <c r="A285" s="256">
        <v>5</v>
      </c>
      <c r="B285" s="171" t="str">
        <f>VLOOKUP(Ruimtestaat[[#This Row],[Code]],Locaties[#All],2,FALSE)</f>
        <v>VSO Het Mozaïek Almelo</v>
      </c>
      <c r="C285" s="258" t="str">
        <f>VLOOKUP(Ruimtestaat[[#This Row],[Code]],Locaties[#All],4,FALSE)</f>
        <v>Cesar Franckstaat 3</v>
      </c>
      <c r="D285" s="258" t="str">
        <f>VLOOKUP(Ruimtestaat[[#This Row],[Code]],Locaties[#All],5,FALSE)</f>
        <v>7604JE</v>
      </c>
      <c r="E285" s="258" t="str">
        <f>VLOOKUP(Ruimtestaat[[#This Row],[Code]],Locaties[#All],6,FALSE)</f>
        <v>Almelo</v>
      </c>
      <c r="F285" s="257" t="s">
        <v>1114</v>
      </c>
      <c r="G285" s="257" t="s">
        <v>563</v>
      </c>
      <c r="H285" s="171"/>
      <c r="I285" s="257" t="s">
        <v>471</v>
      </c>
      <c r="J285" s="259" t="s">
        <v>569</v>
      </c>
      <c r="K285" s="258">
        <v>5</v>
      </c>
      <c r="L285" s="260" t="str">
        <f>VLOOKUP(Ruimtestaat[[#This Row],[Ruimte code]],Ruimtegroepen[#All],2,FALSE)</f>
        <v>Sanitair</v>
      </c>
      <c r="M285" s="212" t="s">
        <v>111</v>
      </c>
      <c r="N285" s="257" t="s">
        <v>606</v>
      </c>
      <c r="O285" s="261">
        <v>1.8</v>
      </c>
      <c r="P285" s="183"/>
      <c r="Q285" s="212" t="str">
        <f>VLOOKUP(Ruimtestaat[[#This Row],[Ruimte code]],Ruimtegroepen[#All],4,FALSE)</f>
        <v>S  (Sanitair)</v>
      </c>
      <c r="R285" s="184"/>
      <c r="S285" s="185">
        <v>40</v>
      </c>
      <c r="T285" s="185" t="s">
        <v>2</v>
      </c>
      <c r="U285" s="185">
        <f>IF(S285&gt;0,IF(RIGHT(Ruimtestaat[[#This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5" s="185">
        <f>IF(U285&gt;0,VLOOKUP($K285,Ruimtegroepen[],3,FALSE)*VLOOKUP($M285,Vloersoorten[],3,FALSE)*VLOOKUP($T285,Frequenties[],3,FALSE)*VLOOKUP($A285,Locaties[],3,FALSE),0)</f>
        <v>0</v>
      </c>
      <c r="W285" s="185">
        <f>Ruimtestaat[[#This Row],[Uitvoeringen werkdagen]]*Ruimtestaat[[#This Row],[Oppervlak (netto)]]</f>
        <v>360</v>
      </c>
      <c r="X285" s="220">
        <f>IF(V285&gt;0,Ruimtestaat[[#This Row],[Prest. (m2 /jaar) werkdagen]]/Ruimtestaat[[#This Row],[Norm (m2/uur) werkdagen]],0)</f>
        <v>0</v>
      </c>
      <c r="Y285" s="221">
        <f>Ruimtestaat[[#This Row],[uren / jaar werkdagen]]*Tariefsopbouw!$D$38</f>
        <v>0</v>
      </c>
      <c r="Z285" s="33"/>
      <c r="AA285" s="33">
        <f>IF(Ruimtestaat[[#This Row],[Frequentie weekend]]&gt;0,VALUE(LEFT(Z285,1))*S285,0)</f>
        <v>0</v>
      </c>
      <c r="AB285" s="33">
        <f>IF($AA285&gt;0,VLOOKUP($K285,Ruimtegroepen[],3,FALSE)*VLOOKUP($M285,Vloersoorten[],3,FALSE)*VLOOKUP($Z285,Frequenties[],3,FALSE)*VLOOKUP(#REF!,Locaties[],3,FALSE),0)</f>
        <v>0</v>
      </c>
      <c r="AC285" s="33"/>
      <c r="AD285" s="33"/>
      <c r="AE285" s="33">
        <f>Ruimtestaat[[#This Row],[uren / jaar weekend]]*Tariefsopbouw!$D$40</f>
        <v>0</v>
      </c>
      <c r="AF285" s="79">
        <f>Ruimtestaat[[#This Row],[Prest. (m2 /jaar) weekend]]+Ruimtestaat[[#This Row],[Prest. (m2 /jaar) werkdagen]]</f>
        <v>360</v>
      </c>
      <c r="AG285" s="79">
        <f>Ruimtestaat[[#This Row],[uren / jaar weekend]]+Ruimtestaat[[#This Row],[uren / jaar werkdagen]]</f>
        <v>0</v>
      </c>
      <c r="AH285" s="80">
        <f>Ruimtestaat[[#This Row],[kosten / jaar weekend]]+Ruimtestaat[[#This Row],[kosten / jaar werkdagen]]</f>
        <v>0</v>
      </c>
    </row>
    <row r="286" spans="1:34" ht="15" customHeight="1">
      <c r="A286" s="256">
        <v>5</v>
      </c>
      <c r="B286" s="171" t="str">
        <f>VLOOKUP(Ruimtestaat[[#This Row],[Code]],Locaties[#All],2,FALSE)</f>
        <v>VSO Het Mozaïek Almelo</v>
      </c>
      <c r="C286" s="258" t="str">
        <f>VLOOKUP(Ruimtestaat[[#This Row],[Code]],Locaties[#All],4,FALSE)</f>
        <v>Cesar Franckstaat 3</v>
      </c>
      <c r="D286" s="258" t="str">
        <f>VLOOKUP(Ruimtestaat[[#This Row],[Code]],Locaties[#All],5,FALSE)</f>
        <v>7604JE</v>
      </c>
      <c r="E286" s="258" t="str">
        <f>VLOOKUP(Ruimtestaat[[#This Row],[Code]],Locaties[#All],6,FALSE)</f>
        <v>Almelo</v>
      </c>
      <c r="F286" s="257" t="s">
        <v>1114</v>
      </c>
      <c r="G286" s="257" t="s">
        <v>563</v>
      </c>
      <c r="H286" s="171"/>
      <c r="I286" s="257" t="s">
        <v>472</v>
      </c>
      <c r="J286" s="259" t="s">
        <v>581</v>
      </c>
      <c r="K286" s="258">
        <v>19</v>
      </c>
      <c r="L286" s="260" t="str">
        <f>VLOOKUP(Ruimtestaat[[#This Row],[Ruimte code]],Ruimtegroepen[#All],2,FALSE)</f>
        <v>Kleedruimten</v>
      </c>
      <c r="M286" s="258" t="s">
        <v>598</v>
      </c>
      <c r="N286" s="257" t="s">
        <v>132</v>
      </c>
      <c r="O286" s="261">
        <v>16</v>
      </c>
      <c r="P286" s="183"/>
      <c r="Q286" s="212" t="str">
        <f>VLOOKUP(Ruimtestaat[[#This Row],[Ruimte code]],Ruimtegroepen[#All],4,FALSE)</f>
        <v>V  (Verkeersruimte)</v>
      </c>
      <c r="R286" s="184"/>
      <c r="S286" s="185">
        <v>40</v>
      </c>
      <c r="T286" s="185" t="s">
        <v>15</v>
      </c>
      <c r="U286" s="185">
        <f>IF(S286&gt;0,IF(RIGHT(Ruimtestaat[[#This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6" s="185">
        <f>IF(U286&gt;0,VLOOKUP($K286,Ruimtegroepen[],3,FALSE)*VLOOKUP($M286,Vloersoorten[],3,FALSE)*VLOOKUP($T286,Frequenties[],3,FALSE)*VLOOKUP($A286,Locaties[],3,FALSE),0)</f>
        <v>0</v>
      </c>
      <c r="W286" s="185">
        <f>Ruimtestaat[[#This Row],[Uitvoeringen werkdagen]]*Ruimtestaat[[#This Row],[Oppervlak (netto)]]</f>
        <v>640</v>
      </c>
      <c r="X286" s="220">
        <f>IF(V286&gt;0,Ruimtestaat[[#This Row],[Prest. (m2 /jaar) werkdagen]]/Ruimtestaat[[#This Row],[Norm (m2/uur) werkdagen]],0)</f>
        <v>0</v>
      </c>
      <c r="Y286" s="221">
        <f>Ruimtestaat[[#This Row],[uren / jaar werkdagen]]*Tariefsopbouw!$D$38</f>
        <v>0</v>
      </c>
      <c r="Z286" s="33"/>
      <c r="AA286" s="33">
        <f>IF(Ruimtestaat[[#This Row],[Frequentie weekend]]&gt;0,VALUE(LEFT(Z286,1))*S286,0)</f>
        <v>0</v>
      </c>
      <c r="AB286" s="33">
        <f>IF($AA286&gt;0,VLOOKUP($K286,Ruimtegroepen[],3,FALSE)*VLOOKUP($M286,Vloersoorten[],3,FALSE)*VLOOKUP($Z286,Frequenties[],3,FALSE)*VLOOKUP(#REF!,Locaties[],3,FALSE),0)</f>
        <v>0</v>
      </c>
      <c r="AC286" s="33"/>
      <c r="AD286" s="33"/>
      <c r="AE286" s="33">
        <f>Ruimtestaat[[#This Row],[uren / jaar weekend]]*Tariefsopbouw!$D$40</f>
        <v>0</v>
      </c>
      <c r="AF286" s="79">
        <f>Ruimtestaat[[#This Row],[Prest. (m2 /jaar) weekend]]+Ruimtestaat[[#This Row],[Prest. (m2 /jaar) werkdagen]]</f>
        <v>640</v>
      </c>
      <c r="AG286" s="79">
        <f>Ruimtestaat[[#This Row],[uren / jaar weekend]]+Ruimtestaat[[#This Row],[uren / jaar werkdagen]]</f>
        <v>0</v>
      </c>
      <c r="AH286" s="80">
        <f>Ruimtestaat[[#This Row],[kosten / jaar weekend]]+Ruimtestaat[[#This Row],[kosten / jaar werkdagen]]</f>
        <v>0</v>
      </c>
    </row>
    <row r="287" spans="1:34" ht="15" customHeight="1">
      <c r="A287" s="256">
        <v>5</v>
      </c>
      <c r="B287" s="171" t="str">
        <f>VLOOKUP(Ruimtestaat[[#This Row],[Code]],Locaties[#All],2,FALSE)</f>
        <v>VSO Het Mozaïek Almelo</v>
      </c>
      <c r="C287" s="258" t="str">
        <f>VLOOKUP(Ruimtestaat[[#This Row],[Code]],Locaties[#All],4,FALSE)</f>
        <v>Cesar Franckstaat 3</v>
      </c>
      <c r="D287" s="258" t="str">
        <f>VLOOKUP(Ruimtestaat[[#This Row],[Code]],Locaties[#All],5,FALSE)</f>
        <v>7604JE</v>
      </c>
      <c r="E287" s="258" t="str">
        <f>VLOOKUP(Ruimtestaat[[#This Row],[Code]],Locaties[#All],6,FALSE)</f>
        <v>Almelo</v>
      </c>
      <c r="F287" s="257" t="s">
        <v>1114</v>
      </c>
      <c r="G287" s="257" t="s">
        <v>563</v>
      </c>
      <c r="H287" s="171"/>
      <c r="I287" s="257" t="s">
        <v>473</v>
      </c>
      <c r="J287" s="259" t="s">
        <v>660</v>
      </c>
      <c r="K287" s="258">
        <v>19</v>
      </c>
      <c r="L287" s="260" t="str">
        <f>VLOOKUP(Ruimtestaat[[#This Row],[Ruimte code]],Ruimtegroepen[#All],2,FALSE)</f>
        <v>Kleedruimten</v>
      </c>
      <c r="M287" s="212" t="s">
        <v>111</v>
      </c>
      <c r="N287" s="257" t="s">
        <v>606</v>
      </c>
      <c r="O287" s="261">
        <v>22.4</v>
      </c>
      <c r="P287" s="183"/>
      <c r="Q287" s="212" t="str">
        <f>VLOOKUP(Ruimtestaat[[#This Row],[Ruimte code]],Ruimtegroepen[#All],4,FALSE)</f>
        <v>V  (Verkeersruimte)</v>
      </c>
      <c r="R287" s="184"/>
      <c r="S287" s="185">
        <v>40</v>
      </c>
      <c r="T287" s="185" t="s">
        <v>15</v>
      </c>
      <c r="U287" s="185">
        <f>IF(S287&gt;0,IF(RIGHT(Ruimtestaat[[#This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7" s="185">
        <f>IF(U287&gt;0,VLOOKUP($K287,Ruimtegroepen[],3,FALSE)*VLOOKUP($M287,Vloersoorten[],3,FALSE)*VLOOKUP($T287,Frequenties[],3,FALSE)*VLOOKUP($A287,Locaties[],3,FALSE),0)</f>
        <v>0</v>
      </c>
      <c r="W287" s="185">
        <f>Ruimtestaat[[#This Row],[Uitvoeringen werkdagen]]*Ruimtestaat[[#This Row],[Oppervlak (netto)]]</f>
        <v>896</v>
      </c>
      <c r="X287" s="220">
        <f>IF(V287&gt;0,Ruimtestaat[[#This Row],[Prest. (m2 /jaar) werkdagen]]/Ruimtestaat[[#This Row],[Norm (m2/uur) werkdagen]],0)</f>
        <v>0</v>
      </c>
      <c r="Y287" s="221">
        <f>Ruimtestaat[[#This Row],[uren / jaar werkdagen]]*Tariefsopbouw!$D$38</f>
        <v>0</v>
      </c>
      <c r="Z287" s="33"/>
      <c r="AA287" s="33">
        <f>IF(Ruimtestaat[[#This Row],[Frequentie weekend]]&gt;0,VALUE(LEFT(Z287,1))*S287,0)</f>
        <v>0</v>
      </c>
      <c r="AB287" s="33">
        <f>IF($AA287&gt;0,VLOOKUP($K287,Ruimtegroepen[],3,FALSE)*VLOOKUP($M287,Vloersoorten[],3,FALSE)*VLOOKUP($Z287,Frequenties[],3,FALSE)*VLOOKUP(#REF!,Locaties[],3,FALSE),0)</f>
        <v>0</v>
      </c>
      <c r="AC287" s="33"/>
      <c r="AD287" s="33"/>
      <c r="AE287" s="33">
        <f>Ruimtestaat[[#This Row],[uren / jaar weekend]]*Tariefsopbouw!$D$40</f>
        <v>0</v>
      </c>
      <c r="AF287" s="79">
        <f>Ruimtestaat[[#This Row],[Prest. (m2 /jaar) weekend]]+Ruimtestaat[[#This Row],[Prest. (m2 /jaar) werkdagen]]</f>
        <v>896</v>
      </c>
      <c r="AG287" s="79">
        <f>Ruimtestaat[[#This Row],[uren / jaar weekend]]+Ruimtestaat[[#This Row],[uren / jaar werkdagen]]</f>
        <v>0</v>
      </c>
      <c r="AH287" s="80">
        <f>Ruimtestaat[[#This Row],[kosten / jaar weekend]]+Ruimtestaat[[#This Row],[kosten / jaar werkdagen]]</f>
        <v>0</v>
      </c>
    </row>
    <row r="288" spans="1:34" ht="15" customHeight="1">
      <c r="A288" s="256">
        <v>5</v>
      </c>
      <c r="B288" s="171" t="str">
        <f>VLOOKUP(Ruimtestaat[[#This Row],[Code]],Locaties[#All],2,FALSE)</f>
        <v>VSO Het Mozaïek Almelo</v>
      </c>
      <c r="C288" s="258" t="str">
        <f>VLOOKUP(Ruimtestaat[[#This Row],[Code]],Locaties[#All],4,FALSE)</f>
        <v>Cesar Franckstaat 3</v>
      </c>
      <c r="D288" s="258" t="str">
        <f>VLOOKUP(Ruimtestaat[[#This Row],[Code]],Locaties[#All],5,FALSE)</f>
        <v>7604JE</v>
      </c>
      <c r="E288" s="258" t="str">
        <f>VLOOKUP(Ruimtestaat[[#This Row],[Code]],Locaties[#All],6,FALSE)</f>
        <v>Almelo</v>
      </c>
      <c r="F288" s="257" t="s">
        <v>1114</v>
      </c>
      <c r="G288" s="257" t="s">
        <v>563</v>
      </c>
      <c r="H288" s="171"/>
      <c r="I288" s="257" t="s">
        <v>474</v>
      </c>
      <c r="J288" s="259" t="s">
        <v>569</v>
      </c>
      <c r="K288" s="258">
        <v>5</v>
      </c>
      <c r="L288" s="260" t="str">
        <f>VLOOKUP(Ruimtestaat[[#This Row],[Ruimte code]],Ruimtegroepen[#All],2,FALSE)</f>
        <v>Sanitair</v>
      </c>
      <c r="M288" s="212" t="s">
        <v>111</v>
      </c>
      <c r="N288" s="257" t="s">
        <v>606</v>
      </c>
      <c r="O288" s="261">
        <v>1.9</v>
      </c>
      <c r="P288" s="183"/>
      <c r="Q288" s="212" t="str">
        <f>VLOOKUP(Ruimtestaat[[#This Row],[Ruimte code]],Ruimtegroepen[#All],4,FALSE)</f>
        <v>S  (Sanitair)</v>
      </c>
      <c r="R288" s="184"/>
      <c r="S288" s="185">
        <v>40</v>
      </c>
      <c r="T288" s="185" t="s">
        <v>2</v>
      </c>
      <c r="U288" s="185">
        <f>IF(S288&gt;0,IF(RIGHT(Ruimtestaat[[#This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8" s="185">
        <f>IF(U288&gt;0,VLOOKUP($K288,Ruimtegroepen[],3,FALSE)*VLOOKUP($M288,Vloersoorten[],3,FALSE)*VLOOKUP($T288,Frequenties[],3,FALSE)*VLOOKUP($A288,Locaties[],3,FALSE),0)</f>
        <v>0</v>
      </c>
      <c r="W288" s="185">
        <f>Ruimtestaat[[#This Row],[Uitvoeringen werkdagen]]*Ruimtestaat[[#This Row],[Oppervlak (netto)]]</f>
        <v>380</v>
      </c>
      <c r="X288" s="220">
        <f>IF(V288&gt;0,Ruimtestaat[[#This Row],[Prest. (m2 /jaar) werkdagen]]/Ruimtestaat[[#This Row],[Norm (m2/uur) werkdagen]],0)</f>
        <v>0</v>
      </c>
      <c r="Y288" s="221">
        <f>Ruimtestaat[[#This Row],[uren / jaar werkdagen]]*Tariefsopbouw!$D$38</f>
        <v>0</v>
      </c>
      <c r="Z288" s="33"/>
      <c r="AA288" s="33">
        <f>IF(Ruimtestaat[[#This Row],[Frequentie weekend]]&gt;0,VALUE(LEFT(Z288,1))*S288,0)</f>
        <v>0</v>
      </c>
      <c r="AB288" s="33">
        <f>IF($AA288&gt;0,VLOOKUP($K288,Ruimtegroepen[],3,FALSE)*VLOOKUP($M288,Vloersoorten[],3,FALSE)*VLOOKUP($Z288,Frequenties[],3,FALSE)*VLOOKUP(#REF!,Locaties[],3,FALSE),0)</f>
        <v>0</v>
      </c>
      <c r="AC288" s="33"/>
      <c r="AD288" s="33"/>
      <c r="AE288" s="33">
        <f>Ruimtestaat[[#This Row],[uren / jaar weekend]]*Tariefsopbouw!$D$40</f>
        <v>0</v>
      </c>
      <c r="AF288" s="79">
        <f>Ruimtestaat[[#This Row],[Prest. (m2 /jaar) weekend]]+Ruimtestaat[[#This Row],[Prest. (m2 /jaar) werkdagen]]</f>
        <v>380</v>
      </c>
      <c r="AG288" s="79">
        <f>Ruimtestaat[[#This Row],[uren / jaar weekend]]+Ruimtestaat[[#This Row],[uren / jaar werkdagen]]</f>
        <v>0</v>
      </c>
      <c r="AH288" s="80">
        <f>Ruimtestaat[[#This Row],[kosten / jaar weekend]]+Ruimtestaat[[#This Row],[kosten / jaar werkdagen]]</f>
        <v>0</v>
      </c>
    </row>
    <row r="289" spans="1:34" ht="15" customHeight="1">
      <c r="A289" s="256">
        <v>5</v>
      </c>
      <c r="B289" s="171" t="str">
        <f>VLOOKUP(Ruimtestaat[[#This Row],[Code]],Locaties[#All],2,FALSE)</f>
        <v>VSO Het Mozaïek Almelo</v>
      </c>
      <c r="C289" s="258" t="str">
        <f>VLOOKUP(Ruimtestaat[[#This Row],[Code]],Locaties[#All],4,FALSE)</f>
        <v>Cesar Franckstaat 3</v>
      </c>
      <c r="D289" s="258" t="str">
        <f>VLOOKUP(Ruimtestaat[[#This Row],[Code]],Locaties[#All],5,FALSE)</f>
        <v>7604JE</v>
      </c>
      <c r="E289" s="258" t="str">
        <f>VLOOKUP(Ruimtestaat[[#This Row],[Code]],Locaties[#All],6,FALSE)</f>
        <v>Almelo</v>
      </c>
      <c r="F289" s="257" t="s">
        <v>1114</v>
      </c>
      <c r="G289" s="257" t="s">
        <v>563</v>
      </c>
      <c r="H289" s="171"/>
      <c r="I289" s="257" t="s">
        <v>475</v>
      </c>
      <c r="J289" s="259" t="s">
        <v>660</v>
      </c>
      <c r="K289" s="258">
        <v>19</v>
      </c>
      <c r="L289" s="260" t="str">
        <f>VLOOKUP(Ruimtestaat[[#This Row],[Ruimte code]],Ruimtegroepen[#All],2,FALSE)</f>
        <v>Kleedruimten</v>
      </c>
      <c r="M289" s="212" t="s">
        <v>111</v>
      </c>
      <c r="N289" s="257" t="s">
        <v>606</v>
      </c>
      <c r="O289" s="261">
        <v>20.3</v>
      </c>
      <c r="P289" s="183"/>
      <c r="Q289" s="212" t="str">
        <f>VLOOKUP(Ruimtestaat[[#This Row],[Ruimte code]],Ruimtegroepen[#All],4,FALSE)</f>
        <v>V  (Verkeersruimte)</v>
      </c>
      <c r="R289" s="184"/>
      <c r="S289" s="185">
        <v>40</v>
      </c>
      <c r="T289" s="185" t="s">
        <v>15</v>
      </c>
      <c r="U289" s="185">
        <f>IF(S289&gt;0,IF(RIGHT(Ruimtestaat[[#This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9" s="185">
        <f>IF(U289&gt;0,VLOOKUP($K289,Ruimtegroepen[],3,FALSE)*VLOOKUP($M289,Vloersoorten[],3,FALSE)*VLOOKUP($T289,Frequenties[],3,FALSE)*VLOOKUP($A289,Locaties[],3,FALSE),0)</f>
        <v>0</v>
      </c>
      <c r="W289" s="185">
        <f>Ruimtestaat[[#This Row],[Uitvoeringen werkdagen]]*Ruimtestaat[[#This Row],[Oppervlak (netto)]]</f>
        <v>812</v>
      </c>
      <c r="X289" s="220">
        <f>IF(V289&gt;0,Ruimtestaat[[#This Row],[Prest. (m2 /jaar) werkdagen]]/Ruimtestaat[[#This Row],[Norm (m2/uur) werkdagen]],0)</f>
        <v>0</v>
      </c>
      <c r="Y289" s="221">
        <f>Ruimtestaat[[#This Row],[uren / jaar werkdagen]]*Tariefsopbouw!$D$38</f>
        <v>0</v>
      </c>
      <c r="Z289" s="33"/>
      <c r="AA289" s="33">
        <f>IF(Ruimtestaat[[#This Row],[Frequentie weekend]]&gt;0,VALUE(LEFT(Z289,1))*S289,0)</f>
        <v>0</v>
      </c>
      <c r="AB289" s="33">
        <f>IF($AA289&gt;0,VLOOKUP($K289,Ruimtegroepen[],3,FALSE)*VLOOKUP($M289,Vloersoorten[],3,FALSE)*VLOOKUP($Z289,Frequenties[],3,FALSE)*VLOOKUP(#REF!,Locaties[],3,FALSE),0)</f>
        <v>0</v>
      </c>
      <c r="AC289" s="33"/>
      <c r="AD289" s="33"/>
      <c r="AE289" s="33">
        <f>Ruimtestaat[[#This Row],[uren / jaar weekend]]*Tariefsopbouw!$D$40</f>
        <v>0</v>
      </c>
      <c r="AF289" s="79">
        <f>Ruimtestaat[[#This Row],[Prest. (m2 /jaar) weekend]]+Ruimtestaat[[#This Row],[Prest. (m2 /jaar) werkdagen]]</f>
        <v>812</v>
      </c>
      <c r="AG289" s="79">
        <f>Ruimtestaat[[#This Row],[uren / jaar weekend]]+Ruimtestaat[[#This Row],[uren / jaar werkdagen]]</f>
        <v>0</v>
      </c>
      <c r="AH289" s="80">
        <f>Ruimtestaat[[#This Row],[kosten / jaar weekend]]+Ruimtestaat[[#This Row],[kosten / jaar werkdagen]]</f>
        <v>0</v>
      </c>
    </row>
    <row r="290" spans="1:34" ht="15" customHeight="1">
      <c r="A290" s="256">
        <v>5</v>
      </c>
      <c r="B290" s="171" t="str">
        <f>VLOOKUP(Ruimtestaat[[#This Row],[Code]],Locaties[#All],2,FALSE)</f>
        <v>VSO Het Mozaïek Almelo</v>
      </c>
      <c r="C290" s="258" t="str">
        <f>VLOOKUP(Ruimtestaat[[#This Row],[Code]],Locaties[#All],4,FALSE)</f>
        <v>Cesar Franckstaat 3</v>
      </c>
      <c r="D290" s="258" t="str">
        <f>VLOOKUP(Ruimtestaat[[#This Row],[Code]],Locaties[#All],5,FALSE)</f>
        <v>7604JE</v>
      </c>
      <c r="E290" s="258" t="str">
        <f>VLOOKUP(Ruimtestaat[[#This Row],[Code]],Locaties[#All],6,FALSE)</f>
        <v>Almelo</v>
      </c>
      <c r="F290" s="257" t="s">
        <v>1114</v>
      </c>
      <c r="G290" s="257" t="s">
        <v>563</v>
      </c>
      <c r="H290" s="171"/>
      <c r="I290" s="257" t="s">
        <v>476</v>
      </c>
      <c r="J290" s="259" t="s">
        <v>579</v>
      </c>
      <c r="K290" s="258">
        <v>17</v>
      </c>
      <c r="L290" s="260" t="str">
        <f>VLOOKUP(Ruimtestaat[[#This Row],[Ruimte code]],Ruimtegroepen[#All],2,FALSE)</f>
        <v>Toestelberging</v>
      </c>
      <c r="M290" s="185" t="s">
        <v>112</v>
      </c>
      <c r="N290" s="257" t="s">
        <v>596</v>
      </c>
      <c r="O290" s="261">
        <v>30.8</v>
      </c>
      <c r="P290" s="183"/>
      <c r="Q290" s="212" t="str">
        <f>VLOOKUP(Ruimtestaat[[#This Row],[Ruimte code]],Ruimtegroepen[#All],4,FALSE)</f>
        <v>V  (Verkeersruimte)</v>
      </c>
      <c r="R290" s="184"/>
      <c r="S290" s="185">
        <v>40</v>
      </c>
      <c r="T290" s="185" t="s">
        <v>15</v>
      </c>
      <c r="U290" s="185">
        <f>IF(S290&gt;0,IF(RIGHT(Ruimtestaat[[#This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0" s="185">
        <f>IF(U290&gt;0,VLOOKUP($K290,Ruimtegroepen[],3,FALSE)*VLOOKUP($M290,Vloersoorten[],3,FALSE)*VLOOKUP($T290,Frequenties[],3,FALSE)*VLOOKUP($A290,Locaties[],3,FALSE),0)</f>
        <v>0</v>
      </c>
      <c r="W290" s="185">
        <f>Ruimtestaat[[#This Row],[Uitvoeringen werkdagen]]*Ruimtestaat[[#This Row],[Oppervlak (netto)]]</f>
        <v>1232</v>
      </c>
      <c r="X290" s="220">
        <f>IF(V290&gt;0,Ruimtestaat[[#This Row],[Prest. (m2 /jaar) werkdagen]]/Ruimtestaat[[#This Row],[Norm (m2/uur) werkdagen]],0)</f>
        <v>0</v>
      </c>
      <c r="Y290" s="221">
        <f>Ruimtestaat[[#This Row],[uren / jaar werkdagen]]*Tariefsopbouw!$D$38</f>
        <v>0</v>
      </c>
      <c r="Z290" s="33"/>
      <c r="AA290" s="33">
        <f>IF(Ruimtestaat[[#This Row],[Frequentie weekend]]&gt;0,VALUE(LEFT(Z290,1))*S290,0)</f>
        <v>0</v>
      </c>
      <c r="AB290" s="33">
        <f>IF($AA290&gt;0,VLOOKUP($K290,Ruimtegroepen[],3,FALSE)*VLOOKUP($M290,Vloersoorten[],3,FALSE)*VLOOKUP($Z290,Frequenties[],3,FALSE)*VLOOKUP(#REF!,Locaties[],3,FALSE),0)</f>
        <v>0</v>
      </c>
      <c r="AC290" s="33"/>
      <c r="AD290" s="33"/>
      <c r="AE290" s="33">
        <f>Ruimtestaat[[#This Row],[uren / jaar weekend]]*Tariefsopbouw!$D$40</f>
        <v>0</v>
      </c>
      <c r="AF290" s="79">
        <f>Ruimtestaat[[#This Row],[Prest. (m2 /jaar) weekend]]+Ruimtestaat[[#This Row],[Prest. (m2 /jaar) werkdagen]]</f>
        <v>1232</v>
      </c>
      <c r="AG290" s="79">
        <f>Ruimtestaat[[#This Row],[uren / jaar weekend]]+Ruimtestaat[[#This Row],[uren / jaar werkdagen]]</f>
        <v>0</v>
      </c>
      <c r="AH290" s="80">
        <f>Ruimtestaat[[#This Row],[kosten / jaar weekend]]+Ruimtestaat[[#This Row],[kosten / jaar werkdagen]]</f>
        <v>0</v>
      </c>
    </row>
    <row r="291" spans="1:34" ht="15" customHeight="1">
      <c r="A291" s="256">
        <v>5</v>
      </c>
      <c r="B291" s="171" t="str">
        <f>VLOOKUP(Ruimtestaat[[#This Row],[Code]],Locaties[#All],2,FALSE)</f>
        <v>VSO Het Mozaïek Almelo</v>
      </c>
      <c r="C291" s="258" t="str">
        <f>VLOOKUP(Ruimtestaat[[#This Row],[Code]],Locaties[#All],4,FALSE)</f>
        <v>Cesar Franckstaat 3</v>
      </c>
      <c r="D291" s="258" t="str">
        <f>VLOOKUP(Ruimtestaat[[#This Row],[Code]],Locaties[#All],5,FALSE)</f>
        <v>7604JE</v>
      </c>
      <c r="E291" s="258" t="str">
        <f>VLOOKUP(Ruimtestaat[[#This Row],[Code]],Locaties[#All],6,FALSE)</f>
        <v>Almelo</v>
      </c>
      <c r="F291" s="257" t="s">
        <v>1114</v>
      </c>
      <c r="G291" s="257" t="s">
        <v>563</v>
      </c>
      <c r="H291" s="171"/>
      <c r="I291" s="257" t="s">
        <v>477</v>
      </c>
      <c r="J291" s="259" t="s">
        <v>581</v>
      </c>
      <c r="K291" s="185">
        <v>19</v>
      </c>
      <c r="L291" s="260" t="str">
        <f>VLOOKUP(Ruimtestaat[[#This Row],[Ruimte code]],Ruimtegroepen[#All],2,FALSE)</f>
        <v>Kleedruimten</v>
      </c>
      <c r="M291" s="258" t="s">
        <v>598</v>
      </c>
      <c r="N291" s="257" t="s">
        <v>132</v>
      </c>
      <c r="O291" s="261">
        <v>20.399999999999999</v>
      </c>
      <c r="P291" s="183"/>
      <c r="Q291" s="212" t="str">
        <f>VLOOKUP(Ruimtestaat[[#This Row],[Ruimte code]],Ruimtegroepen[#All],4,FALSE)</f>
        <v>V  (Verkeersruimte)</v>
      </c>
      <c r="R291" s="184"/>
      <c r="S291" s="185">
        <v>40</v>
      </c>
      <c r="T291" s="185" t="s">
        <v>15</v>
      </c>
      <c r="U291" s="185">
        <f>IF(S291&gt;0,IF(RIGHT(Ruimtestaat[[#This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1" s="185">
        <f>IF(U291&gt;0,VLOOKUP($K291,Ruimtegroepen[],3,FALSE)*VLOOKUP($M291,Vloersoorten[],3,FALSE)*VLOOKUP($T291,Frequenties[],3,FALSE)*VLOOKUP($A291,Locaties[],3,FALSE),0)</f>
        <v>0</v>
      </c>
      <c r="W291" s="185">
        <f>Ruimtestaat[[#This Row],[Uitvoeringen werkdagen]]*Ruimtestaat[[#This Row],[Oppervlak (netto)]]</f>
        <v>816</v>
      </c>
      <c r="X291" s="220">
        <f>IF(V291&gt;0,Ruimtestaat[[#This Row],[Prest. (m2 /jaar) werkdagen]]/Ruimtestaat[[#This Row],[Norm (m2/uur) werkdagen]],0)</f>
        <v>0</v>
      </c>
      <c r="Y291" s="221">
        <f>Ruimtestaat[[#This Row],[uren / jaar werkdagen]]*Tariefsopbouw!$D$38</f>
        <v>0</v>
      </c>
      <c r="Z291" s="33"/>
      <c r="AA291" s="33">
        <f>IF(Ruimtestaat[[#This Row],[Frequentie weekend]]&gt;0,VALUE(LEFT(Z291,1))*S291,0)</f>
        <v>0</v>
      </c>
      <c r="AB291" s="33">
        <f>IF($AA291&gt;0,VLOOKUP($K291,Ruimtegroepen[],3,FALSE)*VLOOKUP($M291,Vloersoorten[],3,FALSE)*VLOOKUP($Z291,Frequenties[],3,FALSE)*VLOOKUP(#REF!,Locaties[],3,FALSE),0)</f>
        <v>0</v>
      </c>
      <c r="AC291" s="33"/>
      <c r="AD291" s="33"/>
      <c r="AE291" s="33">
        <f>Ruimtestaat[[#This Row],[uren / jaar weekend]]*Tariefsopbouw!$D$40</f>
        <v>0</v>
      </c>
      <c r="AF291" s="79">
        <f>Ruimtestaat[[#This Row],[Prest. (m2 /jaar) weekend]]+Ruimtestaat[[#This Row],[Prest. (m2 /jaar) werkdagen]]</f>
        <v>816</v>
      </c>
      <c r="AG291" s="79">
        <f>Ruimtestaat[[#This Row],[uren / jaar weekend]]+Ruimtestaat[[#This Row],[uren / jaar werkdagen]]</f>
        <v>0</v>
      </c>
      <c r="AH291" s="80">
        <f>Ruimtestaat[[#This Row],[kosten / jaar weekend]]+Ruimtestaat[[#This Row],[kosten / jaar werkdagen]]</f>
        <v>0</v>
      </c>
    </row>
    <row r="292" spans="1:34" ht="15" customHeight="1">
      <c r="A292" s="256">
        <v>5</v>
      </c>
      <c r="B292" s="171" t="str">
        <f>VLOOKUP(Ruimtestaat[[#This Row],[Code]],Locaties[#All],2,FALSE)</f>
        <v>VSO Het Mozaïek Almelo</v>
      </c>
      <c r="C292" s="258" t="str">
        <f>VLOOKUP(Ruimtestaat[[#This Row],[Code]],Locaties[#All],4,FALSE)</f>
        <v>Cesar Franckstaat 3</v>
      </c>
      <c r="D292" s="258" t="str">
        <f>VLOOKUP(Ruimtestaat[[#This Row],[Code]],Locaties[#All],5,FALSE)</f>
        <v>7604JE</v>
      </c>
      <c r="E292" s="258" t="str">
        <f>VLOOKUP(Ruimtestaat[[#This Row],[Code]],Locaties[#All],6,FALSE)</f>
        <v>Almelo</v>
      </c>
      <c r="F292" s="257" t="s">
        <v>1114</v>
      </c>
      <c r="G292" s="257" t="s">
        <v>563</v>
      </c>
      <c r="H292" s="171"/>
      <c r="I292" s="257" t="s">
        <v>478</v>
      </c>
      <c r="J292" s="259" t="s">
        <v>569</v>
      </c>
      <c r="K292" s="185">
        <v>5</v>
      </c>
      <c r="L292" s="260" t="str">
        <f>VLOOKUP(Ruimtestaat[[#This Row],[Ruimte code]],Ruimtegroepen[#All],2,FALSE)</f>
        <v>Sanitair</v>
      </c>
      <c r="M292" s="212" t="s">
        <v>111</v>
      </c>
      <c r="N292" s="257" t="s">
        <v>606</v>
      </c>
      <c r="O292" s="261">
        <v>1.4</v>
      </c>
      <c r="P292" s="183"/>
      <c r="Q292" s="212" t="str">
        <f>VLOOKUP(Ruimtestaat[[#This Row],[Ruimte code]],Ruimtegroepen[#All],4,FALSE)</f>
        <v>S  (Sanitair)</v>
      </c>
      <c r="R292" s="184"/>
      <c r="S292" s="185">
        <v>40</v>
      </c>
      <c r="T292" s="185" t="s">
        <v>2</v>
      </c>
      <c r="U292" s="185">
        <f>IF(S292&gt;0,IF(RIGHT(Ruimtestaat[[#This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2" s="185">
        <f>IF(U292&gt;0,VLOOKUP($K292,Ruimtegroepen[],3,FALSE)*VLOOKUP($M292,Vloersoorten[],3,FALSE)*VLOOKUP($T292,Frequenties[],3,FALSE)*VLOOKUP($A292,Locaties[],3,FALSE),0)</f>
        <v>0</v>
      </c>
      <c r="W292" s="185">
        <f>Ruimtestaat[[#This Row],[Uitvoeringen werkdagen]]*Ruimtestaat[[#This Row],[Oppervlak (netto)]]</f>
        <v>280</v>
      </c>
      <c r="X292" s="220">
        <f>IF(V292&gt;0,Ruimtestaat[[#This Row],[Prest. (m2 /jaar) werkdagen]]/Ruimtestaat[[#This Row],[Norm (m2/uur) werkdagen]],0)</f>
        <v>0</v>
      </c>
      <c r="Y292" s="221">
        <f>Ruimtestaat[[#This Row],[uren / jaar werkdagen]]*Tariefsopbouw!$D$38</f>
        <v>0</v>
      </c>
      <c r="Z292" s="33"/>
      <c r="AA292" s="33">
        <f>IF(Ruimtestaat[[#This Row],[Frequentie weekend]]&gt;0,VALUE(LEFT(Z292,1))*S292,0)</f>
        <v>0</v>
      </c>
      <c r="AB292" s="33">
        <f>IF($AA292&gt;0,VLOOKUP($K292,Ruimtegroepen[],3,FALSE)*VLOOKUP($M292,Vloersoorten[],3,FALSE)*VLOOKUP($Z292,Frequenties[],3,FALSE)*VLOOKUP(#REF!,Locaties[],3,FALSE),0)</f>
        <v>0</v>
      </c>
      <c r="AC292" s="33"/>
      <c r="AD292" s="33"/>
      <c r="AE292" s="33">
        <f>Ruimtestaat[[#This Row],[uren / jaar weekend]]*Tariefsopbouw!$D$40</f>
        <v>0</v>
      </c>
      <c r="AF292" s="79">
        <f>Ruimtestaat[[#This Row],[Prest. (m2 /jaar) weekend]]+Ruimtestaat[[#This Row],[Prest. (m2 /jaar) werkdagen]]</f>
        <v>280</v>
      </c>
      <c r="AG292" s="79">
        <f>Ruimtestaat[[#This Row],[uren / jaar weekend]]+Ruimtestaat[[#This Row],[uren / jaar werkdagen]]</f>
        <v>0</v>
      </c>
      <c r="AH292" s="80">
        <f>Ruimtestaat[[#This Row],[kosten / jaar weekend]]+Ruimtestaat[[#This Row],[kosten / jaar werkdagen]]</f>
        <v>0</v>
      </c>
    </row>
    <row r="293" spans="1:34" ht="15" customHeight="1">
      <c r="A293" s="256">
        <v>5</v>
      </c>
      <c r="B293" s="171" t="str">
        <f>VLOOKUP(Ruimtestaat[[#This Row],[Code]],Locaties[#All],2,FALSE)</f>
        <v>VSO Het Mozaïek Almelo</v>
      </c>
      <c r="C293" s="258" t="str">
        <f>VLOOKUP(Ruimtestaat[[#This Row],[Code]],Locaties[#All],4,FALSE)</f>
        <v>Cesar Franckstaat 3</v>
      </c>
      <c r="D293" s="258" t="str">
        <f>VLOOKUP(Ruimtestaat[[#This Row],[Code]],Locaties[#All],5,FALSE)</f>
        <v>7604JE</v>
      </c>
      <c r="E293" s="258" t="str">
        <f>VLOOKUP(Ruimtestaat[[#This Row],[Code]],Locaties[#All],6,FALSE)</f>
        <v>Almelo</v>
      </c>
      <c r="F293" s="257" t="s">
        <v>1114</v>
      </c>
      <c r="G293" s="257" t="s">
        <v>563</v>
      </c>
      <c r="H293" s="171"/>
      <c r="I293" s="257" t="s">
        <v>479</v>
      </c>
      <c r="J293" s="259" t="s">
        <v>728</v>
      </c>
      <c r="K293" s="258">
        <v>20</v>
      </c>
      <c r="L293" s="260" t="str">
        <f>VLOOKUP(Ruimtestaat[[#This Row],[Ruimte code]],Ruimtegroepen[#All],2,FALSE)</f>
        <v>Niet in onderhoud</v>
      </c>
      <c r="M293" s="258" t="s">
        <v>598</v>
      </c>
      <c r="N293" s="257" t="s">
        <v>132</v>
      </c>
      <c r="O293" s="261"/>
      <c r="P293" s="183">
        <v>12.3</v>
      </c>
      <c r="Q293" s="212" t="str">
        <f>VLOOKUP(Ruimtestaat[[#This Row],[Ruimte code]],Ruimtegroepen[#All],4,FALSE)</f>
        <v>niet in onderhoud</v>
      </c>
      <c r="R293" s="184"/>
      <c r="S293" s="185"/>
      <c r="T293" s="185" t="s">
        <v>3</v>
      </c>
      <c r="U293" s="185">
        <f>IF(S293&gt;0,IF(RIGHT(Ruimtestaat[[#This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93" s="185">
        <f>IF(U293&gt;0,VLOOKUP($K293,Ruimtegroepen[],3,FALSE)*VLOOKUP($M293,Vloersoorten[],3,FALSE)*VLOOKUP($T293,Frequenties[],3,FALSE)*VLOOKUP($A293,Locaties[],3,FALSE),0)</f>
        <v>0</v>
      </c>
      <c r="W293" s="185">
        <f>Ruimtestaat[[#This Row],[Uitvoeringen werkdagen]]*Ruimtestaat[[#This Row],[Oppervlak (netto)]]</f>
        <v>0</v>
      </c>
      <c r="X293" s="220">
        <f>IF(V293&gt;0,Ruimtestaat[[#This Row],[Prest. (m2 /jaar) werkdagen]]/Ruimtestaat[[#This Row],[Norm (m2/uur) werkdagen]],0)</f>
        <v>0</v>
      </c>
      <c r="Y293" s="221">
        <f>Ruimtestaat[[#This Row],[uren / jaar werkdagen]]*Tariefsopbouw!$D$38</f>
        <v>0</v>
      </c>
      <c r="Z293" s="33"/>
      <c r="AA293" s="33">
        <f>IF(Ruimtestaat[[#This Row],[Frequentie weekend]]&gt;0,VALUE(LEFT(Z293,1))*S293,0)</f>
        <v>0</v>
      </c>
      <c r="AB293" s="33">
        <f>IF($AA293&gt;0,VLOOKUP($K293,Ruimtegroepen[],3,FALSE)*VLOOKUP($M293,Vloersoorten[],3,FALSE)*VLOOKUP($Z293,Frequenties[],3,FALSE)*VLOOKUP(#REF!,Locaties[],3,FALSE),0)</f>
        <v>0</v>
      </c>
      <c r="AC293" s="33"/>
      <c r="AD293" s="33"/>
      <c r="AE293" s="33">
        <f>Ruimtestaat[[#This Row],[uren / jaar weekend]]*Tariefsopbouw!$D$40</f>
        <v>0</v>
      </c>
      <c r="AF293" s="79">
        <f>Ruimtestaat[[#This Row],[Prest. (m2 /jaar) weekend]]+Ruimtestaat[[#This Row],[Prest. (m2 /jaar) werkdagen]]</f>
        <v>0</v>
      </c>
      <c r="AG293" s="79">
        <f>Ruimtestaat[[#This Row],[uren / jaar weekend]]+Ruimtestaat[[#This Row],[uren / jaar werkdagen]]</f>
        <v>0</v>
      </c>
      <c r="AH293" s="80">
        <f>Ruimtestaat[[#This Row],[kosten / jaar weekend]]+Ruimtestaat[[#This Row],[kosten / jaar werkdagen]]</f>
        <v>0</v>
      </c>
    </row>
    <row r="294" spans="1:34" ht="15" customHeight="1">
      <c r="A294" s="256">
        <v>5</v>
      </c>
      <c r="B294" s="171" t="str">
        <f>VLOOKUP(Ruimtestaat[[#This Row],[Code]],Locaties[#All],2,FALSE)</f>
        <v>VSO Het Mozaïek Almelo</v>
      </c>
      <c r="C294" s="258" t="str">
        <f>VLOOKUP(Ruimtestaat[[#This Row],[Code]],Locaties[#All],4,FALSE)</f>
        <v>Cesar Franckstaat 3</v>
      </c>
      <c r="D294" s="258" t="str">
        <f>VLOOKUP(Ruimtestaat[[#This Row],[Code]],Locaties[#All],5,FALSE)</f>
        <v>7604JE</v>
      </c>
      <c r="E294" s="258" t="str">
        <f>VLOOKUP(Ruimtestaat[[#This Row],[Code]],Locaties[#All],6,FALSE)</f>
        <v>Almelo</v>
      </c>
      <c r="F294" s="257" t="s">
        <v>1114</v>
      </c>
      <c r="G294" s="257" t="s">
        <v>563</v>
      </c>
      <c r="H294" s="171"/>
      <c r="I294" s="257" t="s">
        <v>480</v>
      </c>
      <c r="J294" s="259" t="s">
        <v>568</v>
      </c>
      <c r="K294" s="258">
        <v>6</v>
      </c>
      <c r="L294" s="260" t="str">
        <f>VLOOKUP(Ruimtestaat[[#This Row],[Ruimte code]],Ruimtegroepen[#All],2,FALSE)</f>
        <v>Gangen/hallen</v>
      </c>
      <c r="M294" s="212" t="s">
        <v>597</v>
      </c>
      <c r="N294" s="257" t="s">
        <v>38</v>
      </c>
      <c r="O294" s="261">
        <v>21.5</v>
      </c>
      <c r="P294" s="183"/>
      <c r="Q294" s="212" t="str">
        <f>VLOOKUP(Ruimtestaat[[#This Row],[Ruimte code]],Ruimtegroepen[#All],4,FALSE)</f>
        <v>V  (Verkeersruimte)</v>
      </c>
      <c r="R294" s="184"/>
      <c r="S294" s="185">
        <v>40</v>
      </c>
      <c r="T294" s="185" t="s">
        <v>2</v>
      </c>
      <c r="U294" s="185">
        <f>IF(S294&gt;0,IF(RIGHT(Ruimtestaat[[#This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4" s="185">
        <f>IF(U294&gt;0,VLOOKUP($K294,Ruimtegroepen[],3,FALSE)*VLOOKUP($M294,Vloersoorten[],3,FALSE)*VLOOKUP($T294,Frequenties[],3,FALSE)*VLOOKUP($A294,Locaties[],3,FALSE),0)</f>
        <v>0</v>
      </c>
      <c r="W294" s="185">
        <f>Ruimtestaat[[#This Row],[Uitvoeringen werkdagen]]*Ruimtestaat[[#This Row],[Oppervlak (netto)]]</f>
        <v>4300</v>
      </c>
      <c r="X294" s="220">
        <f>IF(V294&gt;0,Ruimtestaat[[#This Row],[Prest. (m2 /jaar) werkdagen]]/Ruimtestaat[[#This Row],[Norm (m2/uur) werkdagen]],0)</f>
        <v>0</v>
      </c>
      <c r="Y294" s="221">
        <f>Ruimtestaat[[#This Row],[uren / jaar werkdagen]]*Tariefsopbouw!$D$38</f>
        <v>0</v>
      </c>
      <c r="Z294" s="33"/>
      <c r="AA294" s="33">
        <f>IF(Ruimtestaat[[#This Row],[Frequentie weekend]]&gt;0,VALUE(LEFT(Z294,1))*S294,0)</f>
        <v>0</v>
      </c>
      <c r="AB294" s="33">
        <f>IF($AA294&gt;0,VLOOKUP($K294,Ruimtegroepen[],3,FALSE)*VLOOKUP($M294,Vloersoorten[],3,FALSE)*VLOOKUP($Z294,Frequenties[],3,FALSE)*VLOOKUP(#REF!,Locaties[],3,FALSE),0)</f>
        <v>0</v>
      </c>
      <c r="AC294" s="33"/>
      <c r="AD294" s="33"/>
      <c r="AE294" s="33">
        <f>Ruimtestaat[[#This Row],[uren / jaar weekend]]*Tariefsopbouw!$D$40</f>
        <v>0</v>
      </c>
      <c r="AF294" s="79">
        <f>Ruimtestaat[[#This Row],[Prest. (m2 /jaar) weekend]]+Ruimtestaat[[#This Row],[Prest. (m2 /jaar) werkdagen]]</f>
        <v>4300</v>
      </c>
      <c r="AG294" s="79">
        <f>Ruimtestaat[[#This Row],[uren / jaar weekend]]+Ruimtestaat[[#This Row],[uren / jaar werkdagen]]</f>
        <v>0</v>
      </c>
      <c r="AH294" s="80">
        <f>Ruimtestaat[[#This Row],[kosten / jaar weekend]]+Ruimtestaat[[#This Row],[kosten / jaar werkdagen]]</f>
        <v>0</v>
      </c>
    </row>
    <row r="295" spans="1:34" ht="15" customHeight="1">
      <c r="A295" s="256">
        <v>5</v>
      </c>
      <c r="B295" s="171" t="str">
        <f>VLOOKUP(Ruimtestaat[[#This Row],[Code]],Locaties[#All],2,FALSE)</f>
        <v>VSO Het Mozaïek Almelo</v>
      </c>
      <c r="C295" s="258" t="str">
        <f>VLOOKUP(Ruimtestaat[[#This Row],[Code]],Locaties[#All],4,FALSE)</f>
        <v>Cesar Franckstaat 3</v>
      </c>
      <c r="D295" s="258" t="str">
        <f>VLOOKUP(Ruimtestaat[[#This Row],[Code]],Locaties[#All],5,FALSE)</f>
        <v>7604JE</v>
      </c>
      <c r="E295" s="258" t="str">
        <f>VLOOKUP(Ruimtestaat[[#This Row],[Code]],Locaties[#All],6,FALSE)</f>
        <v>Almelo</v>
      </c>
      <c r="F295" s="257" t="s">
        <v>1114</v>
      </c>
      <c r="G295" s="257" t="s">
        <v>563</v>
      </c>
      <c r="H295" s="171"/>
      <c r="I295" s="257" t="s">
        <v>485</v>
      </c>
      <c r="J295" s="259" t="s">
        <v>574</v>
      </c>
      <c r="K295" s="258">
        <v>6</v>
      </c>
      <c r="L295" s="260" t="str">
        <f>VLOOKUP(Ruimtestaat[[#This Row],[Ruimte code]],Ruimtegroepen[#All],2,FALSE)</f>
        <v>Gangen/hallen</v>
      </c>
      <c r="M295" s="185" t="s">
        <v>598</v>
      </c>
      <c r="N295" s="257" t="s">
        <v>132</v>
      </c>
      <c r="O295" s="261">
        <v>126.2</v>
      </c>
      <c r="P295" s="183"/>
      <c r="Q295" s="212" t="str">
        <f>VLOOKUP(Ruimtestaat[[#This Row],[Ruimte code]],Ruimtegroepen[#All],4,FALSE)</f>
        <v>V  (Verkeersruimte)</v>
      </c>
      <c r="R295" s="184"/>
      <c r="S295" s="185">
        <v>40</v>
      </c>
      <c r="T295" s="185" t="s">
        <v>2</v>
      </c>
      <c r="U295" s="185">
        <f>IF(S295&gt;0,IF(RIGHT(Ruimtestaat[[#This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5" s="185">
        <f>IF(U295&gt;0,VLOOKUP($K295,Ruimtegroepen[],3,FALSE)*VLOOKUP($M295,Vloersoorten[],3,FALSE)*VLOOKUP($T295,Frequenties[],3,FALSE)*VLOOKUP($A295,Locaties[],3,FALSE),0)</f>
        <v>0</v>
      </c>
      <c r="W295" s="185">
        <f>Ruimtestaat[[#This Row],[Uitvoeringen werkdagen]]*Ruimtestaat[[#This Row],[Oppervlak (netto)]]</f>
        <v>25240</v>
      </c>
      <c r="X295" s="220">
        <f>IF(V295&gt;0,Ruimtestaat[[#This Row],[Prest. (m2 /jaar) werkdagen]]/Ruimtestaat[[#This Row],[Norm (m2/uur) werkdagen]],0)</f>
        <v>0</v>
      </c>
      <c r="Y295" s="221">
        <f>Ruimtestaat[[#This Row],[uren / jaar werkdagen]]*Tariefsopbouw!$D$38</f>
        <v>0</v>
      </c>
      <c r="Z295" s="33"/>
      <c r="AA295" s="33">
        <f>IF(Ruimtestaat[[#This Row],[Frequentie weekend]]&gt;0,VALUE(LEFT(Z295,1))*S295,0)</f>
        <v>0</v>
      </c>
      <c r="AB295" s="33">
        <f>IF($AA295&gt;0,VLOOKUP($K295,Ruimtegroepen[],3,FALSE)*VLOOKUP($M295,Vloersoorten[],3,FALSE)*VLOOKUP($Z295,Frequenties[],3,FALSE)*VLOOKUP(#REF!,Locaties[],3,FALSE),0)</f>
        <v>0</v>
      </c>
      <c r="AC295" s="33"/>
      <c r="AD295" s="33"/>
      <c r="AE295" s="33">
        <f>Ruimtestaat[[#This Row],[uren / jaar weekend]]*Tariefsopbouw!$D$40</f>
        <v>0</v>
      </c>
      <c r="AF295" s="79">
        <f>Ruimtestaat[[#This Row],[Prest. (m2 /jaar) weekend]]+Ruimtestaat[[#This Row],[Prest. (m2 /jaar) werkdagen]]</f>
        <v>25240</v>
      </c>
      <c r="AG295" s="79">
        <f>Ruimtestaat[[#This Row],[uren / jaar weekend]]+Ruimtestaat[[#This Row],[uren / jaar werkdagen]]</f>
        <v>0</v>
      </c>
      <c r="AH295" s="80">
        <f>Ruimtestaat[[#This Row],[kosten / jaar weekend]]+Ruimtestaat[[#This Row],[kosten / jaar werkdagen]]</f>
        <v>0</v>
      </c>
    </row>
    <row r="296" spans="1:34" ht="15" customHeight="1">
      <c r="A296" s="256">
        <v>5</v>
      </c>
      <c r="B296" s="171" t="str">
        <f>VLOOKUP(Ruimtestaat[[#This Row],[Code]],Locaties[#All],2,FALSE)</f>
        <v>VSO Het Mozaïek Almelo</v>
      </c>
      <c r="C296" s="258" t="str">
        <f>VLOOKUP(Ruimtestaat[[#This Row],[Code]],Locaties[#All],4,FALSE)</f>
        <v>Cesar Franckstaat 3</v>
      </c>
      <c r="D296" s="258" t="str">
        <f>VLOOKUP(Ruimtestaat[[#This Row],[Code]],Locaties[#All],5,FALSE)</f>
        <v>7604JE</v>
      </c>
      <c r="E296" s="258" t="str">
        <f>VLOOKUP(Ruimtestaat[[#This Row],[Code]],Locaties[#All],6,FALSE)</f>
        <v>Almelo</v>
      </c>
      <c r="F296" s="257" t="s">
        <v>1114</v>
      </c>
      <c r="G296" s="257" t="s">
        <v>563</v>
      </c>
      <c r="H296" s="171"/>
      <c r="I296" s="257" t="s">
        <v>486</v>
      </c>
      <c r="J296" s="259" t="s">
        <v>576</v>
      </c>
      <c r="K296" s="171">
        <v>16</v>
      </c>
      <c r="L296" s="260" t="str">
        <f>VLOOKUP(Ruimtestaat[[#This Row],[Ruimte code]],Ruimtegroepen[#All],2,FALSE)</f>
        <v>Leslokalen</v>
      </c>
      <c r="M296" s="258" t="s">
        <v>598</v>
      </c>
      <c r="N296" s="257" t="s">
        <v>132</v>
      </c>
      <c r="O296" s="261">
        <v>41.2</v>
      </c>
      <c r="P296" s="183"/>
      <c r="Q296" s="212" t="str">
        <f>VLOOKUP(Ruimtestaat[[#This Row],[Ruimte code]],Ruimtegroepen[#All],4,FALSE)</f>
        <v>L  (Lesruimte)</v>
      </c>
      <c r="R296" s="184"/>
      <c r="S296" s="185">
        <v>40</v>
      </c>
      <c r="T296" s="185" t="s">
        <v>2</v>
      </c>
      <c r="U296" s="185">
        <f>IF(S296&gt;0,IF(RIGHT(Ruimtestaat[[#This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6" s="185">
        <f>IF(U296&gt;0,VLOOKUP($K296,Ruimtegroepen[],3,FALSE)*VLOOKUP($M296,Vloersoorten[],3,FALSE)*VLOOKUP($T296,Frequenties[],3,FALSE)*VLOOKUP($A296,Locaties[],3,FALSE),0)</f>
        <v>0</v>
      </c>
      <c r="W296" s="185">
        <f>Ruimtestaat[[#This Row],[Uitvoeringen werkdagen]]*Ruimtestaat[[#This Row],[Oppervlak (netto)]]</f>
        <v>8240</v>
      </c>
      <c r="X296" s="220">
        <f>IF(V296&gt;0,Ruimtestaat[[#This Row],[Prest. (m2 /jaar) werkdagen]]/Ruimtestaat[[#This Row],[Norm (m2/uur) werkdagen]],0)</f>
        <v>0</v>
      </c>
      <c r="Y296" s="221">
        <f>Ruimtestaat[[#This Row],[uren / jaar werkdagen]]*Tariefsopbouw!$D$38</f>
        <v>0</v>
      </c>
      <c r="Z296" s="33"/>
      <c r="AA296" s="33">
        <f>IF(Ruimtestaat[[#This Row],[Frequentie weekend]]&gt;0,VALUE(LEFT(Z296,1))*S296,0)</f>
        <v>0</v>
      </c>
      <c r="AB296" s="33">
        <f>IF($AA296&gt;0,VLOOKUP($K296,Ruimtegroepen[],3,FALSE)*VLOOKUP($M296,Vloersoorten[],3,FALSE)*VLOOKUP($Z296,Frequenties[],3,FALSE)*VLOOKUP(#REF!,Locaties[],3,FALSE),0)</f>
        <v>0</v>
      </c>
      <c r="AC296" s="33"/>
      <c r="AD296" s="33"/>
      <c r="AE296" s="33">
        <f>Ruimtestaat[[#This Row],[uren / jaar weekend]]*Tariefsopbouw!$D$40</f>
        <v>0</v>
      </c>
      <c r="AF296" s="79">
        <f>Ruimtestaat[[#This Row],[Prest. (m2 /jaar) weekend]]+Ruimtestaat[[#This Row],[Prest. (m2 /jaar) werkdagen]]</f>
        <v>8240</v>
      </c>
      <c r="AG296" s="79">
        <f>Ruimtestaat[[#This Row],[uren / jaar weekend]]+Ruimtestaat[[#This Row],[uren / jaar werkdagen]]</f>
        <v>0</v>
      </c>
      <c r="AH296" s="80">
        <f>Ruimtestaat[[#This Row],[kosten / jaar weekend]]+Ruimtestaat[[#This Row],[kosten / jaar werkdagen]]</f>
        <v>0</v>
      </c>
    </row>
    <row r="297" spans="1:34" ht="15" customHeight="1">
      <c r="A297" s="256">
        <v>5</v>
      </c>
      <c r="B297" s="171" t="str">
        <f>VLOOKUP(Ruimtestaat[[#This Row],[Code]],Locaties[#All],2,FALSE)</f>
        <v>VSO Het Mozaïek Almelo</v>
      </c>
      <c r="C297" s="258" t="str">
        <f>VLOOKUP(Ruimtestaat[[#This Row],[Code]],Locaties[#All],4,FALSE)</f>
        <v>Cesar Franckstaat 3</v>
      </c>
      <c r="D297" s="258" t="str">
        <f>VLOOKUP(Ruimtestaat[[#This Row],[Code]],Locaties[#All],5,FALSE)</f>
        <v>7604JE</v>
      </c>
      <c r="E297" s="258" t="str">
        <f>VLOOKUP(Ruimtestaat[[#This Row],[Code]],Locaties[#All],6,FALSE)</f>
        <v>Almelo</v>
      </c>
      <c r="F297" s="257" t="s">
        <v>1114</v>
      </c>
      <c r="G297" s="257" t="s">
        <v>563</v>
      </c>
      <c r="H297" s="171"/>
      <c r="I297" s="257" t="s">
        <v>487</v>
      </c>
      <c r="J297" s="259" t="s">
        <v>576</v>
      </c>
      <c r="K297" s="171">
        <v>16</v>
      </c>
      <c r="L297" s="260" t="str">
        <f>VLOOKUP(Ruimtestaat[[#This Row],[Ruimte code]],Ruimtegroepen[#All],2,FALSE)</f>
        <v>Leslokalen</v>
      </c>
      <c r="M297" s="258" t="s">
        <v>598</v>
      </c>
      <c r="N297" s="257" t="s">
        <v>132</v>
      </c>
      <c r="O297" s="261">
        <v>42.9</v>
      </c>
      <c r="P297" s="183"/>
      <c r="Q297" s="212" t="str">
        <f>VLOOKUP(Ruimtestaat[[#This Row],[Ruimte code]],Ruimtegroepen[#All],4,FALSE)</f>
        <v>L  (Lesruimte)</v>
      </c>
      <c r="R297" s="184"/>
      <c r="S297" s="185">
        <v>40</v>
      </c>
      <c r="T297" s="185" t="s">
        <v>2</v>
      </c>
      <c r="U297" s="185">
        <f>IF(S297&gt;0,IF(RIGHT(Ruimtestaat[[#This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7" s="185">
        <f>IF(U297&gt;0,VLOOKUP($K297,Ruimtegroepen[],3,FALSE)*VLOOKUP($M297,Vloersoorten[],3,FALSE)*VLOOKUP($T297,Frequenties[],3,FALSE)*VLOOKUP($A297,Locaties[],3,FALSE),0)</f>
        <v>0</v>
      </c>
      <c r="W297" s="185">
        <f>Ruimtestaat[[#This Row],[Uitvoeringen werkdagen]]*Ruimtestaat[[#This Row],[Oppervlak (netto)]]</f>
        <v>8580</v>
      </c>
      <c r="X297" s="220">
        <f>IF(V297&gt;0,Ruimtestaat[[#This Row],[Prest. (m2 /jaar) werkdagen]]/Ruimtestaat[[#This Row],[Norm (m2/uur) werkdagen]],0)</f>
        <v>0</v>
      </c>
      <c r="Y297" s="221">
        <f>Ruimtestaat[[#This Row],[uren / jaar werkdagen]]*Tariefsopbouw!$D$38</f>
        <v>0</v>
      </c>
      <c r="Z297" s="33"/>
      <c r="AA297" s="33">
        <f>IF(Ruimtestaat[[#This Row],[Frequentie weekend]]&gt;0,VALUE(LEFT(Z297,1))*S297,0)</f>
        <v>0</v>
      </c>
      <c r="AB297" s="33">
        <f>IF($AA297&gt;0,VLOOKUP($K297,Ruimtegroepen[],3,FALSE)*VLOOKUP($M297,Vloersoorten[],3,FALSE)*VLOOKUP($Z297,Frequenties[],3,FALSE)*VLOOKUP(#REF!,Locaties[],3,FALSE),0)</f>
        <v>0</v>
      </c>
      <c r="AC297" s="33"/>
      <c r="AD297" s="33"/>
      <c r="AE297" s="33">
        <f>Ruimtestaat[[#This Row],[uren / jaar weekend]]*Tariefsopbouw!$D$40</f>
        <v>0</v>
      </c>
      <c r="AF297" s="79">
        <f>Ruimtestaat[[#This Row],[Prest. (m2 /jaar) weekend]]+Ruimtestaat[[#This Row],[Prest. (m2 /jaar) werkdagen]]</f>
        <v>8580</v>
      </c>
      <c r="AG297" s="79">
        <f>Ruimtestaat[[#This Row],[uren / jaar weekend]]+Ruimtestaat[[#This Row],[uren / jaar werkdagen]]</f>
        <v>0</v>
      </c>
      <c r="AH297" s="80">
        <f>Ruimtestaat[[#This Row],[kosten / jaar weekend]]+Ruimtestaat[[#This Row],[kosten / jaar werkdagen]]</f>
        <v>0</v>
      </c>
    </row>
    <row r="298" spans="1:34" ht="15" customHeight="1">
      <c r="A298" s="256">
        <v>5</v>
      </c>
      <c r="B298" s="171" t="str">
        <f>VLOOKUP(Ruimtestaat[[#This Row],[Code]],Locaties[#All],2,FALSE)</f>
        <v>VSO Het Mozaïek Almelo</v>
      </c>
      <c r="C298" s="258" t="str">
        <f>VLOOKUP(Ruimtestaat[[#This Row],[Code]],Locaties[#All],4,FALSE)</f>
        <v>Cesar Franckstaat 3</v>
      </c>
      <c r="D298" s="258" t="str">
        <f>VLOOKUP(Ruimtestaat[[#This Row],[Code]],Locaties[#All],5,FALSE)</f>
        <v>7604JE</v>
      </c>
      <c r="E298" s="258" t="str">
        <f>VLOOKUP(Ruimtestaat[[#This Row],[Code]],Locaties[#All],6,FALSE)</f>
        <v>Almelo</v>
      </c>
      <c r="F298" s="257" t="s">
        <v>1114</v>
      </c>
      <c r="G298" s="257" t="s">
        <v>563</v>
      </c>
      <c r="H298" s="171"/>
      <c r="I298" s="257" t="s">
        <v>488</v>
      </c>
      <c r="J298" s="259" t="s">
        <v>585</v>
      </c>
      <c r="K298" s="185">
        <v>1</v>
      </c>
      <c r="L298" s="260" t="str">
        <f>VLOOKUP(Ruimtestaat[[#This Row],[Ruimte code]],Ruimtegroepen[#All],2,FALSE)</f>
        <v>Magazijnen/bergingen</v>
      </c>
      <c r="M298" s="258" t="s">
        <v>598</v>
      </c>
      <c r="N298" s="257" t="s">
        <v>132</v>
      </c>
      <c r="O298" s="261">
        <v>9.5</v>
      </c>
      <c r="P298" s="183"/>
      <c r="Q298" s="212" t="str">
        <f>VLOOKUP(Ruimtestaat[[#This Row],[Ruimte code]],Ruimtegroepen[#All],4,FALSE)</f>
        <v>V  (Verkeersruimte)</v>
      </c>
      <c r="R298" s="184"/>
      <c r="S298" s="185">
        <v>40</v>
      </c>
      <c r="T298" s="185" t="s">
        <v>15</v>
      </c>
      <c r="U298" s="185">
        <f>IF(S298&gt;0,IF(RIGHT(Ruimtestaat[[#This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8" s="185">
        <f>IF(U298&gt;0,VLOOKUP($K298,Ruimtegroepen[],3,FALSE)*VLOOKUP($M298,Vloersoorten[],3,FALSE)*VLOOKUP($T298,Frequenties[],3,FALSE)*VLOOKUP($A298,Locaties[],3,FALSE),0)</f>
        <v>0</v>
      </c>
      <c r="W298" s="185">
        <f>Ruimtestaat[[#This Row],[Uitvoeringen werkdagen]]*Ruimtestaat[[#This Row],[Oppervlak (netto)]]</f>
        <v>380</v>
      </c>
      <c r="X298" s="220">
        <f>IF(V298&gt;0,Ruimtestaat[[#This Row],[Prest. (m2 /jaar) werkdagen]]/Ruimtestaat[[#This Row],[Norm (m2/uur) werkdagen]],0)</f>
        <v>0</v>
      </c>
      <c r="Y298" s="221">
        <f>Ruimtestaat[[#This Row],[uren / jaar werkdagen]]*Tariefsopbouw!$D$38</f>
        <v>0</v>
      </c>
      <c r="Z298" s="33"/>
      <c r="AA298" s="33">
        <f>IF(Ruimtestaat[[#This Row],[Frequentie weekend]]&gt;0,VALUE(LEFT(Z298,1))*S298,0)</f>
        <v>0</v>
      </c>
      <c r="AB298" s="33">
        <f>IF($AA298&gt;0,VLOOKUP($K298,Ruimtegroepen[],3,FALSE)*VLOOKUP($M298,Vloersoorten[],3,FALSE)*VLOOKUP($Z298,Frequenties[],3,FALSE)*VLOOKUP(#REF!,Locaties[],3,FALSE),0)</f>
        <v>0</v>
      </c>
      <c r="AC298" s="33"/>
      <c r="AD298" s="33"/>
      <c r="AE298" s="33">
        <f>Ruimtestaat[[#This Row],[uren / jaar weekend]]*Tariefsopbouw!$D$40</f>
        <v>0</v>
      </c>
      <c r="AF298" s="79">
        <f>Ruimtestaat[[#This Row],[Prest. (m2 /jaar) weekend]]+Ruimtestaat[[#This Row],[Prest. (m2 /jaar) werkdagen]]</f>
        <v>380</v>
      </c>
      <c r="AG298" s="79">
        <f>Ruimtestaat[[#This Row],[uren / jaar weekend]]+Ruimtestaat[[#This Row],[uren / jaar werkdagen]]</f>
        <v>0</v>
      </c>
      <c r="AH298" s="80">
        <f>Ruimtestaat[[#This Row],[kosten / jaar weekend]]+Ruimtestaat[[#This Row],[kosten / jaar werkdagen]]</f>
        <v>0</v>
      </c>
    </row>
    <row r="299" spans="1:34" ht="15" customHeight="1">
      <c r="A299" s="256">
        <v>5</v>
      </c>
      <c r="B299" s="171" t="str">
        <f>VLOOKUP(Ruimtestaat[[#This Row],[Code]],Locaties[#All],2,FALSE)</f>
        <v>VSO Het Mozaïek Almelo</v>
      </c>
      <c r="C299" s="258" t="str">
        <f>VLOOKUP(Ruimtestaat[[#This Row],[Code]],Locaties[#All],4,FALSE)</f>
        <v>Cesar Franckstaat 3</v>
      </c>
      <c r="D299" s="258" t="str">
        <f>VLOOKUP(Ruimtestaat[[#This Row],[Code]],Locaties[#All],5,FALSE)</f>
        <v>7604JE</v>
      </c>
      <c r="E299" s="258" t="str">
        <f>VLOOKUP(Ruimtestaat[[#This Row],[Code]],Locaties[#All],6,FALSE)</f>
        <v>Almelo</v>
      </c>
      <c r="F299" s="257" t="s">
        <v>1114</v>
      </c>
      <c r="G299" s="257" t="s">
        <v>563</v>
      </c>
      <c r="H299" s="171"/>
      <c r="I299" s="257" t="s">
        <v>489</v>
      </c>
      <c r="J299" s="259" t="s">
        <v>585</v>
      </c>
      <c r="K299" s="171">
        <v>1</v>
      </c>
      <c r="L299" s="260" t="str">
        <f>VLOOKUP(Ruimtestaat[[#This Row],[Ruimte code]],Ruimtegroepen[#All],2,FALSE)</f>
        <v>Magazijnen/bergingen</v>
      </c>
      <c r="M299" s="258" t="s">
        <v>598</v>
      </c>
      <c r="N299" s="257" t="s">
        <v>132</v>
      </c>
      <c r="O299" s="261">
        <v>9.6</v>
      </c>
      <c r="P299" s="183"/>
      <c r="Q299" s="212" t="str">
        <f>VLOOKUP(Ruimtestaat[[#This Row],[Ruimte code]],Ruimtegroepen[#All],4,FALSE)</f>
        <v>V  (Verkeersruimte)</v>
      </c>
      <c r="R299" s="184"/>
      <c r="S299" s="185">
        <v>40</v>
      </c>
      <c r="T299" s="185" t="s">
        <v>15</v>
      </c>
      <c r="U299" s="185">
        <f>IF(S299&gt;0,IF(RIGHT(Ruimtestaat[[#This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9" s="185">
        <f>IF(U299&gt;0,VLOOKUP($K299,Ruimtegroepen[],3,FALSE)*VLOOKUP($M299,Vloersoorten[],3,FALSE)*VLOOKUP($T299,Frequenties[],3,FALSE)*VLOOKUP($A299,Locaties[],3,FALSE),0)</f>
        <v>0</v>
      </c>
      <c r="W299" s="185">
        <f>Ruimtestaat[[#This Row],[Uitvoeringen werkdagen]]*Ruimtestaat[[#This Row],[Oppervlak (netto)]]</f>
        <v>384</v>
      </c>
      <c r="X299" s="220">
        <f>IF(V299&gt;0,Ruimtestaat[[#This Row],[Prest. (m2 /jaar) werkdagen]]/Ruimtestaat[[#This Row],[Norm (m2/uur) werkdagen]],0)</f>
        <v>0</v>
      </c>
      <c r="Y299" s="221">
        <f>Ruimtestaat[[#This Row],[uren / jaar werkdagen]]*Tariefsopbouw!$D$38</f>
        <v>0</v>
      </c>
      <c r="Z299" s="33"/>
      <c r="AA299" s="33">
        <f>IF(Ruimtestaat[[#This Row],[Frequentie weekend]]&gt;0,VALUE(LEFT(Z299,1))*S299,0)</f>
        <v>0</v>
      </c>
      <c r="AB299" s="33">
        <f>IF($AA299&gt;0,VLOOKUP($K299,Ruimtegroepen[],3,FALSE)*VLOOKUP($M299,Vloersoorten[],3,FALSE)*VLOOKUP($Z299,Frequenties[],3,FALSE)*VLOOKUP(#REF!,Locaties[],3,FALSE),0)</f>
        <v>0</v>
      </c>
      <c r="AC299" s="33"/>
      <c r="AD299" s="33"/>
      <c r="AE299" s="33">
        <f>Ruimtestaat[[#This Row],[uren / jaar weekend]]*Tariefsopbouw!$D$40</f>
        <v>0</v>
      </c>
      <c r="AF299" s="79">
        <f>Ruimtestaat[[#This Row],[Prest. (m2 /jaar) weekend]]+Ruimtestaat[[#This Row],[Prest. (m2 /jaar) werkdagen]]</f>
        <v>384</v>
      </c>
      <c r="AG299" s="79">
        <f>Ruimtestaat[[#This Row],[uren / jaar weekend]]+Ruimtestaat[[#This Row],[uren / jaar werkdagen]]</f>
        <v>0</v>
      </c>
      <c r="AH299" s="80">
        <f>Ruimtestaat[[#This Row],[kosten / jaar weekend]]+Ruimtestaat[[#This Row],[kosten / jaar werkdagen]]</f>
        <v>0</v>
      </c>
    </row>
    <row r="300" spans="1:34" ht="15" customHeight="1">
      <c r="A300" s="256">
        <v>5</v>
      </c>
      <c r="B300" s="171" t="str">
        <f>VLOOKUP(Ruimtestaat[[#This Row],[Code]],Locaties[#All],2,FALSE)</f>
        <v>VSO Het Mozaïek Almelo</v>
      </c>
      <c r="C300" s="258" t="str">
        <f>VLOOKUP(Ruimtestaat[[#This Row],[Code]],Locaties[#All],4,FALSE)</f>
        <v>Cesar Franckstaat 3</v>
      </c>
      <c r="D300" s="258" t="str">
        <f>VLOOKUP(Ruimtestaat[[#This Row],[Code]],Locaties[#All],5,FALSE)</f>
        <v>7604JE</v>
      </c>
      <c r="E300" s="258" t="str">
        <f>VLOOKUP(Ruimtestaat[[#This Row],[Code]],Locaties[#All],6,FALSE)</f>
        <v>Almelo</v>
      </c>
      <c r="F300" s="257" t="s">
        <v>1114</v>
      </c>
      <c r="G300" s="257" t="s">
        <v>563</v>
      </c>
      <c r="H300" s="171"/>
      <c r="I300" s="257" t="s">
        <v>490</v>
      </c>
      <c r="J300" s="259" t="s">
        <v>576</v>
      </c>
      <c r="K300" s="258">
        <v>16</v>
      </c>
      <c r="L300" s="260" t="str">
        <f>VLOOKUP(Ruimtestaat[[#This Row],[Ruimte code]],Ruimtegroepen[#All],2,FALSE)</f>
        <v>Leslokalen</v>
      </c>
      <c r="M300" s="258" t="s">
        <v>598</v>
      </c>
      <c r="N300" s="257" t="s">
        <v>132</v>
      </c>
      <c r="O300" s="261">
        <v>40.1</v>
      </c>
      <c r="P300" s="183"/>
      <c r="Q300" s="212" t="str">
        <f>VLOOKUP(Ruimtestaat[[#This Row],[Ruimte code]],Ruimtegroepen[#All],4,FALSE)</f>
        <v>L  (Lesruimte)</v>
      </c>
      <c r="R300" s="184"/>
      <c r="S300" s="185">
        <v>40</v>
      </c>
      <c r="T300" s="185" t="s">
        <v>2</v>
      </c>
      <c r="U300" s="185">
        <f>IF(S300&gt;0,IF(RIGHT(Ruimtestaat[[#This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0" s="185">
        <f>IF(U300&gt;0,VLOOKUP($K300,Ruimtegroepen[],3,FALSE)*VLOOKUP($M300,Vloersoorten[],3,FALSE)*VLOOKUP($T300,Frequenties[],3,FALSE)*VLOOKUP($A300,Locaties[],3,FALSE),0)</f>
        <v>0</v>
      </c>
      <c r="W300" s="185">
        <f>Ruimtestaat[[#This Row],[Uitvoeringen werkdagen]]*Ruimtestaat[[#This Row],[Oppervlak (netto)]]</f>
        <v>8020</v>
      </c>
      <c r="X300" s="220">
        <f>IF(V300&gt;0,Ruimtestaat[[#This Row],[Prest. (m2 /jaar) werkdagen]]/Ruimtestaat[[#This Row],[Norm (m2/uur) werkdagen]],0)</f>
        <v>0</v>
      </c>
      <c r="Y300" s="221">
        <f>Ruimtestaat[[#This Row],[uren / jaar werkdagen]]*Tariefsopbouw!$D$38</f>
        <v>0</v>
      </c>
      <c r="Z300" s="33"/>
      <c r="AA300" s="33">
        <f>IF(Ruimtestaat[[#This Row],[Frequentie weekend]]&gt;0,VALUE(LEFT(Z300,1))*S300,0)</f>
        <v>0</v>
      </c>
      <c r="AB300" s="33">
        <f>IF($AA300&gt;0,VLOOKUP($K300,Ruimtegroepen[],3,FALSE)*VLOOKUP($M300,Vloersoorten[],3,FALSE)*VLOOKUP($Z300,Frequenties[],3,FALSE)*VLOOKUP(#REF!,Locaties[],3,FALSE),0)</f>
        <v>0</v>
      </c>
      <c r="AC300" s="33"/>
      <c r="AD300" s="33"/>
      <c r="AE300" s="33">
        <f>Ruimtestaat[[#This Row],[uren / jaar weekend]]*Tariefsopbouw!$D$40</f>
        <v>0</v>
      </c>
      <c r="AF300" s="79">
        <f>Ruimtestaat[[#This Row],[Prest. (m2 /jaar) weekend]]+Ruimtestaat[[#This Row],[Prest. (m2 /jaar) werkdagen]]</f>
        <v>8020</v>
      </c>
      <c r="AG300" s="79">
        <f>Ruimtestaat[[#This Row],[uren / jaar weekend]]+Ruimtestaat[[#This Row],[uren / jaar werkdagen]]</f>
        <v>0</v>
      </c>
      <c r="AH300" s="80">
        <f>Ruimtestaat[[#This Row],[kosten / jaar weekend]]+Ruimtestaat[[#This Row],[kosten / jaar werkdagen]]</f>
        <v>0</v>
      </c>
    </row>
    <row r="301" spans="1:34" ht="15" customHeight="1">
      <c r="A301" s="256">
        <v>5</v>
      </c>
      <c r="B301" s="171" t="str">
        <f>VLOOKUP(Ruimtestaat[[#This Row],[Code]],Locaties[#All],2,FALSE)</f>
        <v>VSO Het Mozaïek Almelo</v>
      </c>
      <c r="C301" s="258" t="str">
        <f>VLOOKUP(Ruimtestaat[[#This Row],[Code]],Locaties[#All],4,FALSE)</f>
        <v>Cesar Franckstaat 3</v>
      </c>
      <c r="D301" s="258" t="str">
        <f>VLOOKUP(Ruimtestaat[[#This Row],[Code]],Locaties[#All],5,FALSE)</f>
        <v>7604JE</v>
      </c>
      <c r="E301" s="258" t="str">
        <f>VLOOKUP(Ruimtestaat[[#This Row],[Code]],Locaties[#All],6,FALSE)</f>
        <v>Almelo</v>
      </c>
      <c r="F301" s="257" t="s">
        <v>1114</v>
      </c>
      <c r="G301" s="257" t="s">
        <v>563</v>
      </c>
      <c r="H301" s="171"/>
      <c r="I301" s="257" t="s">
        <v>491</v>
      </c>
      <c r="J301" s="259" t="s">
        <v>719</v>
      </c>
      <c r="K301" s="258">
        <v>8</v>
      </c>
      <c r="L301" s="260" t="str">
        <f>VLOOKUP(Ruimtestaat[[#This Row],[Ruimte code]],Ruimtegroepen[#All],2,FALSE)</f>
        <v>Receptie</v>
      </c>
      <c r="M301" s="185" t="s">
        <v>597</v>
      </c>
      <c r="N301" s="257" t="s">
        <v>38</v>
      </c>
      <c r="O301" s="261">
        <v>22</v>
      </c>
      <c r="P301" s="183"/>
      <c r="Q301" s="212" t="str">
        <f>VLOOKUP(Ruimtestaat[[#This Row],[Ruimte code]],Ruimtegroepen[#All],4,FALSE)</f>
        <v>B  (Bureauruimte)</v>
      </c>
      <c r="R301" s="184"/>
      <c r="S301" s="185">
        <v>40</v>
      </c>
      <c r="T301" s="185" t="s">
        <v>17</v>
      </c>
      <c r="U301" s="185">
        <f>IF(S301&gt;0,IF(RIGHT(Ruimtestaat[[#This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1" s="185">
        <f>IF(U301&gt;0,VLOOKUP($K301,Ruimtegroepen[],3,FALSE)*VLOOKUP($M301,Vloersoorten[],3,FALSE)*VLOOKUP($T301,Frequenties[],3,FALSE)*VLOOKUP($A301,Locaties[],3,FALSE),0)</f>
        <v>0</v>
      </c>
      <c r="W301" s="185">
        <f>Ruimtestaat[[#This Row],[Uitvoeringen werkdagen]]*Ruimtestaat[[#This Row],[Oppervlak (netto)]]</f>
        <v>1760</v>
      </c>
      <c r="X301" s="220">
        <f>IF(V301&gt;0,Ruimtestaat[[#This Row],[Prest. (m2 /jaar) werkdagen]]/Ruimtestaat[[#This Row],[Norm (m2/uur) werkdagen]],0)</f>
        <v>0</v>
      </c>
      <c r="Y301" s="221">
        <f>Ruimtestaat[[#This Row],[uren / jaar werkdagen]]*Tariefsopbouw!$D$38</f>
        <v>0</v>
      </c>
      <c r="Z301" s="33"/>
      <c r="AA301" s="33">
        <f>IF(Ruimtestaat[[#This Row],[Frequentie weekend]]&gt;0,VALUE(LEFT(Z301,1))*S301,0)</f>
        <v>0</v>
      </c>
      <c r="AB301" s="33">
        <f>IF($AA301&gt;0,VLOOKUP($K301,Ruimtegroepen[],3,FALSE)*VLOOKUP($M301,Vloersoorten[],3,FALSE)*VLOOKUP($Z301,Frequenties[],3,FALSE)*VLOOKUP(#REF!,Locaties[],3,FALSE),0)</f>
        <v>0</v>
      </c>
      <c r="AC301" s="33"/>
      <c r="AD301" s="33"/>
      <c r="AE301" s="33">
        <f>Ruimtestaat[[#This Row],[uren / jaar weekend]]*Tariefsopbouw!$D$40</f>
        <v>0</v>
      </c>
      <c r="AF301" s="79">
        <f>Ruimtestaat[[#This Row],[Prest. (m2 /jaar) weekend]]+Ruimtestaat[[#This Row],[Prest. (m2 /jaar) werkdagen]]</f>
        <v>1760</v>
      </c>
      <c r="AG301" s="79">
        <f>Ruimtestaat[[#This Row],[uren / jaar weekend]]+Ruimtestaat[[#This Row],[uren / jaar werkdagen]]</f>
        <v>0</v>
      </c>
      <c r="AH301" s="80">
        <f>Ruimtestaat[[#This Row],[kosten / jaar weekend]]+Ruimtestaat[[#This Row],[kosten / jaar werkdagen]]</f>
        <v>0</v>
      </c>
    </row>
    <row r="302" spans="1:34" ht="15" customHeight="1">
      <c r="A302" s="256">
        <v>5</v>
      </c>
      <c r="B302" s="171" t="str">
        <f>VLOOKUP(Ruimtestaat[[#This Row],[Code]],Locaties[#All],2,FALSE)</f>
        <v>VSO Het Mozaïek Almelo</v>
      </c>
      <c r="C302" s="258" t="str">
        <f>VLOOKUP(Ruimtestaat[[#This Row],[Code]],Locaties[#All],4,FALSE)</f>
        <v>Cesar Franckstaat 3</v>
      </c>
      <c r="D302" s="258" t="str">
        <f>VLOOKUP(Ruimtestaat[[#This Row],[Code]],Locaties[#All],5,FALSE)</f>
        <v>7604JE</v>
      </c>
      <c r="E302" s="258" t="str">
        <f>VLOOKUP(Ruimtestaat[[#This Row],[Code]],Locaties[#All],6,FALSE)</f>
        <v>Almelo</v>
      </c>
      <c r="F302" s="257" t="s">
        <v>1114</v>
      </c>
      <c r="G302" s="257" t="s">
        <v>563</v>
      </c>
      <c r="H302" s="171"/>
      <c r="I302" s="257" t="s">
        <v>492</v>
      </c>
      <c r="J302" s="259" t="s">
        <v>40</v>
      </c>
      <c r="K302" s="224">
        <v>7</v>
      </c>
      <c r="L302" s="260" t="str">
        <f>VLOOKUP(Ruimtestaat[[#This Row],[Ruimte code]],Ruimtegroepen[#All],2,FALSE)</f>
        <v>Entree</v>
      </c>
      <c r="M302" s="258" t="s">
        <v>597</v>
      </c>
      <c r="N302" s="257" t="s">
        <v>38</v>
      </c>
      <c r="O302" s="261">
        <v>6.26</v>
      </c>
      <c r="P302" s="183"/>
      <c r="Q302" s="212" t="str">
        <f>VLOOKUP(Ruimtestaat[[#This Row],[Ruimte code]],Ruimtegroepen[#All],4,FALSE)</f>
        <v>V  (Verkeersruimte)</v>
      </c>
      <c r="R302" s="184"/>
      <c r="S302" s="185">
        <v>40</v>
      </c>
      <c r="T302" s="185" t="s">
        <v>2</v>
      </c>
      <c r="U302" s="185">
        <f>IF(S302&gt;0,IF(RIGHT(Ruimtestaat[[#This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2" s="185">
        <f>IF(U302&gt;0,VLOOKUP($K302,Ruimtegroepen[],3,FALSE)*VLOOKUP($M302,Vloersoorten[],3,FALSE)*VLOOKUP($T302,Frequenties[],3,FALSE)*VLOOKUP($A302,Locaties[],3,FALSE),0)</f>
        <v>0</v>
      </c>
      <c r="W302" s="185">
        <f>Ruimtestaat[[#This Row],[Uitvoeringen werkdagen]]*Ruimtestaat[[#This Row],[Oppervlak (netto)]]</f>
        <v>1252</v>
      </c>
      <c r="X302" s="220">
        <f>IF(V302&gt;0,Ruimtestaat[[#This Row],[Prest. (m2 /jaar) werkdagen]]/Ruimtestaat[[#This Row],[Norm (m2/uur) werkdagen]],0)</f>
        <v>0</v>
      </c>
      <c r="Y302" s="221">
        <f>Ruimtestaat[[#This Row],[uren / jaar werkdagen]]*Tariefsopbouw!$D$38</f>
        <v>0</v>
      </c>
      <c r="Z302" s="33"/>
      <c r="AA302" s="33">
        <f>IF(Ruimtestaat[[#This Row],[Frequentie weekend]]&gt;0,VALUE(LEFT(Z302,1))*S302,0)</f>
        <v>0</v>
      </c>
      <c r="AB302" s="33">
        <f>IF($AA302&gt;0,VLOOKUP($K302,Ruimtegroepen[],3,FALSE)*VLOOKUP($M302,Vloersoorten[],3,FALSE)*VLOOKUP($Z302,Frequenties[],3,FALSE)*VLOOKUP(#REF!,Locaties[],3,FALSE),0)</f>
        <v>0</v>
      </c>
      <c r="AC302" s="33"/>
      <c r="AD302" s="33"/>
      <c r="AE302" s="33">
        <f>Ruimtestaat[[#This Row],[uren / jaar weekend]]*Tariefsopbouw!$D$40</f>
        <v>0</v>
      </c>
      <c r="AF302" s="79">
        <f>Ruimtestaat[[#This Row],[Prest. (m2 /jaar) weekend]]+Ruimtestaat[[#This Row],[Prest. (m2 /jaar) werkdagen]]</f>
        <v>1252</v>
      </c>
      <c r="AG302" s="79">
        <f>Ruimtestaat[[#This Row],[uren / jaar weekend]]+Ruimtestaat[[#This Row],[uren / jaar werkdagen]]</f>
        <v>0</v>
      </c>
      <c r="AH302" s="80">
        <f>Ruimtestaat[[#This Row],[kosten / jaar weekend]]+Ruimtestaat[[#This Row],[kosten / jaar werkdagen]]</f>
        <v>0</v>
      </c>
    </row>
    <row r="303" spans="1:34" ht="15" customHeight="1">
      <c r="A303" s="256">
        <v>5</v>
      </c>
      <c r="B303" s="171" t="str">
        <f>VLOOKUP(Ruimtestaat[[#This Row],[Code]],Locaties[#All],2,FALSE)</f>
        <v>VSO Het Mozaïek Almelo</v>
      </c>
      <c r="C303" s="258" t="str">
        <f>VLOOKUP(Ruimtestaat[[#This Row],[Code]],Locaties[#All],4,FALSE)</f>
        <v>Cesar Franckstaat 3</v>
      </c>
      <c r="D303" s="258" t="str">
        <f>VLOOKUP(Ruimtestaat[[#This Row],[Code]],Locaties[#All],5,FALSE)</f>
        <v>7604JE</v>
      </c>
      <c r="E303" s="258" t="str">
        <f>VLOOKUP(Ruimtestaat[[#This Row],[Code]],Locaties[#All],6,FALSE)</f>
        <v>Almelo</v>
      </c>
      <c r="F303" s="257" t="s">
        <v>1114</v>
      </c>
      <c r="G303" s="257" t="s">
        <v>563</v>
      </c>
      <c r="H303" s="171"/>
      <c r="I303" s="257" t="s">
        <v>493</v>
      </c>
      <c r="J303" s="259" t="s">
        <v>574</v>
      </c>
      <c r="K303" s="258">
        <v>6</v>
      </c>
      <c r="L303" s="260" t="str">
        <f>VLOOKUP(Ruimtestaat[[#This Row],[Ruimte code]],Ruimtegroepen[#All],2,FALSE)</f>
        <v>Gangen/hallen</v>
      </c>
      <c r="M303" s="258" t="s">
        <v>598</v>
      </c>
      <c r="N303" s="257" t="s">
        <v>132</v>
      </c>
      <c r="O303" s="261">
        <v>81.900000000000006</v>
      </c>
      <c r="P303" s="183"/>
      <c r="Q303" s="212" t="str">
        <f>VLOOKUP(Ruimtestaat[[#This Row],[Ruimte code]],Ruimtegroepen[#All],4,FALSE)</f>
        <v>V  (Verkeersruimte)</v>
      </c>
      <c r="R303" s="184"/>
      <c r="S303" s="185">
        <v>40</v>
      </c>
      <c r="T303" s="185" t="s">
        <v>2</v>
      </c>
      <c r="U303" s="185">
        <f>IF(S303&gt;0,IF(RIGHT(Ruimtestaat[[#This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3" s="185">
        <f>IF(U303&gt;0,VLOOKUP($K303,Ruimtegroepen[],3,FALSE)*VLOOKUP($M303,Vloersoorten[],3,FALSE)*VLOOKUP($T303,Frequenties[],3,FALSE)*VLOOKUP($A303,Locaties[],3,FALSE),0)</f>
        <v>0</v>
      </c>
      <c r="W303" s="185">
        <f>Ruimtestaat[[#This Row],[Uitvoeringen werkdagen]]*Ruimtestaat[[#This Row],[Oppervlak (netto)]]</f>
        <v>16380.000000000002</v>
      </c>
      <c r="X303" s="220">
        <f>IF(V303&gt;0,Ruimtestaat[[#This Row],[Prest. (m2 /jaar) werkdagen]]/Ruimtestaat[[#This Row],[Norm (m2/uur) werkdagen]],0)</f>
        <v>0</v>
      </c>
      <c r="Y303" s="221">
        <f>Ruimtestaat[[#This Row],[uren / jaar werkdagen]]*Tariefsopbouw!$D$38</f>
        <v>0</v>
      </c>
      <c r="Z303" s="33"/>
      <c r="AA303" s="33">
        <f>IF(Ruimtestaat[[#This Row],[Frequentie weekend]]&gt;0,VALUE(LEFT(Z303,1))*S303,0)</f>
        <v>0</v>
      </c>
      <c r="AB303" s="33">
        <f>IF($AA303&gt;0,VLOOKUP($K303,Ruimtegroepen[],3,FALSE)*VLOOKUP($M303,Vloersoorten[],3,FALSE)*VLOOKUP($Z303,Frequenties[],3,FALSE)*VLOOKUP(#REF!,Locaties[],3,FALSE),0)</f>
        <v>0</v>
      </c>
      <c r="AC303" s="33"/>
      <c r="AD303" s="33"/>
      <c r="AE303" s="33">
        <f>Ruimtestaat[[#This Row],[uren / jaar weekend]]*Tariefsopbouw!$D$40</f>
        <v>0</v>
      </c>
      <c r="AF303" s="79">
        <f>Ruimtestaat[[#This Row],[Prest. (m2 /jaar) weekend]]+Ruimtestaat[[#This Row],[Prest. (m2 /jaar) werkdagen]]</f>
        <v>16380.000000000002</v>
      </c>
      <c r="AG303" s="79">
        <f>Ruimtestaat[[#This Row],[uren / jaar weekend]]+Ruimtestaat[[#This Row],[uren / jaar werkdagen]]</f>
        <v>0</v>
      </c>
      <c r="AH303" s="80">
        <f>Ruimtestaat[[#This Row],[kosten / jaar weekend]]+Ruimtestaat[[#This Row],[kosten / jaar werkdagen]]</f>
        <v>0</v>
      </c>
    </row>
    <row r="304" spans="1:34" ht="15" customHeight="1">
      <c r="A304" s="256">
        <v>5</v>
      </c>
      <c r="B304" s="171" t="str">
        <f>VLOOKUP(Ruimtestaat[[#This Row],[Code]],Locaties[#All],2,FALSE)</f>
        <v>VSO Het Mozaïek Almelo</v>
      </c>
      <c r="C304" s="258" t="str">
        <f>VLOOKUP(Ruimtestaat[[#This Row],[Code]],Locaties[#All],4,FALSE)</f>
        <v>Cesar Franckstaat 3</v>
      </c>
      <c r="D304" s="258" t="str">
        <f>VLOOKUP(Ruimtestaat[[#This Row],[Code]],Locaties[#All],5,FALSE)</f>
        <v>7604JE</v>
      </c>
      <c r="E304" s="258" t="str">
        <f>VLOOKUP(Ruimtestaat[[#This Row],[Code]],Locaties[#All],6,FALSE)</f>
        <v>Almelo</v>
      </c>
      <c r="F304" s="257" t="s">
        <v>1114</v>
      </c>
      <c r="G304" s="257" t="s">
        <v>563</v>
      </c>
      <c r="H304" s="171"/>
      <c r="I304" s="257" t="s">
        <v>494</v>
      </c>
      <c r="J304" s="259" t="s">
        <v>384</v>
      </c>
      <c r="K304" s="258">
        <v>12</v>
      </c>
      <c r="L304" s="260" t="str">
        <f>VLOOKUP(Ruimtestaat[[#This Row],[Ruimte code]],Ruimtegroepen[#All],2,FALSE)</f>
        <v>Kantine</v>
      </c>
      <c r="M304" s="212" t="s">
        <v>597</v>
      </c>
      <c r="N304" s="257" t="s">
        <v>38</v>
      </c>
      <c r="O304" s="261">
        <v>40.299999999999997</v>
      </c>
      <c r="P304" s="183"/>
      <c r="Q304" s="212" t="str">
        <f>VLOOKUP(Ruimtestaat[[#This Row],[Ruimte code]],Ruimtegroepen[#All],4,FALSE)</f>
        <v>V  (Verkeersruimte)</v>
      </c>
      <c r="R304" s="184"/>
      <c r="S304" s="185">
        <v>40</v>
      </c>
      <c r="T304" s="185" t="s">
        <v>17</v>
      </c>
      <c r="U304" s="185">
        <f>IF(S304&gt;0,IF(RIGHT(Ruimtestaat[[#This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4" s="185">
        <f>IF(U304&gt;0,VLOOKUP($K304,Ruimtegroepen[],3,FALSE)*VLOOKUP($M304,Vloersoorten[],3,FALSE)*VLOOKUP($T304,Frequenties[],3,FALSE)*VLOOKUP($A304,Locaties[],3,FALSE),0)</f>
        <v>0</v>
      </c>
      <c r="W304" s="185">
        <f>Ruimtestaat[[#This Row],[Uitvoeringen werkdagen]]*Ruimtestaat[[#This Row],[Oppervlak (netto)]]</f>
        <v>3224</v>
      </c>
      <c r="X304" s="220">
        <f>IF(V304&gt;0,Ruimtestaat[[#This Row],[Prest. (m2 /jaar) werkdagen]]/Ruimtestaat[[#This Row],[Norm (m2/uur) werkdagen]],0)</f>
        <v>0</v>
      </c>
      <c r="Y304" s="221">
        <f>Ruimtestaat[[#This Row],[uren / jaar werkdagen]]*Tariefsopbouw!$D$38</f>
        <v>0</v>
      </c>
      <c r="Z304" s="33"/>
      <c r="AA304" s="33">
        <f>IF(Ruimtestaat[[#This Row],[Frequentie weekend]]&gt;0,VALUE(LEFT(Z304,1))*S304,0)</f>
        <v>0</v>
      </c>
      <c r="AB304" s="33">
        <f>IF($AA304&gt;0,VLOOKUP($K304,Ruimtegroepen[],3,FALSE)*VLOOKUP($M304,Vloersoorten[],3,FALSE)*VLOOKUP($Z304,Frequenties[],3,FALSE)*VLOOKUP(#REF!,Locaties[],3,FALSE),0)</f>
        <v>0</v>
      </c>
      <c r="AC304" s="33"/>
      <c r="AD304" s="33"/>
      <c r="AE304" s="33">
        <f>Ruimtestaat[[#This Row],[uren / jaar weekend]]*Tariefsopbouw!$D$40</f>
        <v>0</v>
      </c>
      <c r="AF304" s="79">
        <f>Ruimtestaat[[#This Row],[Prest. (m2 /jaar) weekend]]+Ruimtestaat[[#This Row],[Prest. (m2 /jaar) werkdagen]]</f>
        <v>3224</v>
      </c>
      <c r="AG304" s="79">
        <f>Ruimtestaat[[#This Row],[uren / jaar weekend]]+Ruimtestaat[[#This Row],[uren / jaar werkdagen]]</f>
        <v>0</v>
      </c>
      <c r="AH304" s="80">
        <f>Ruimtestaat[[#This Row],[kosten / jaar weekend]]+Ruimtestaat[[#This Row],[kosten / jaar werkdagen]]</f>
        <v>0</v>
      </c>
    </row>
    <row r="305" spans="1:34" ht="15" customHeight="1">
      <c r="A305" s="256">
        <v>5</v>
      </c>
      <c r="B305" s="171" t="str">
        <f>VLOOKUP(Ruimtestaat[[#This Row],[Code]],Locaties[#All],2,FALSE)</f>
        <v>VSO Het Mozaïek Almelo</v>
      </c>
      <c r="C305" s="258" t="str">
        <f>VLOOKUP(Ruimtestaat[[#This Row],[Code]],Locaties[#All],4,FALSE)</f>
        <v>Cesar Franckstaat 3</v>
      </c>
      <c r="D305" s="258" t="str">
        <f>VLOOKUP(Ruimtestaat[[#This Row],[Code]],Locaties[#All],5,FALSE)</f>
        <v>7604JE</v>
      </c>
      <c r="E305" s="258" t="str">
        <f>VLOOKUP(Ruimtestaat[[#This Row],[Code]],Locaties[#All],6,FALSE)</f>
        <v>Almelo</v>
      </c>
      <c r="F305" s="257" t="s">
        <v>1114</v>
      </c>
      <c r="G305" s="257" t="s">
        <v>563</v>
      </c>
      <c r="H305" s="171"/>
      <c r="I305" s="257" t="s">
        <v>786</v>
      </c>
      <c r="J305" s="259" t="s">
        <v>384</v>
      </c>
      <c r="K305" s="171">
        <v>12</v>
      </c>
      <c r="L305" s="260" t="str">
        <f>VLOOKUP(Ruimtestaat[[#This Row],[Ruimte code]],Ruimtegroepen[#All],2,FALSE)</f>
        <v>Kantine</v>
      </c>
      <c r="M305" s="185" t="s">
        <v>598</v>
      </c>
      <c r="N305" s="257" t="s">
        <v>132</v>
      </c>
      <c r="O305" s="261">
        <v>7</v>
      </c>
      <c r="P305" s="183"/>
      <c r="Q305" s="212" t="str">
        <f>VLOOKUP(Ruimtestaat[[#This Row],[Ruimte code]],Ruimtegroepen[#All],4,FALSE)</f>
        <v>V  (Verkeersruimte)</v>
      </c>
      <c r="R305" s="184"/>
      <c r="S305" s="185">
        <v>40</v>
      </c>
      <c r="T305" s="185" t="s">
        <v>17</v>
      </c>
      <c r="U305" s="185">
        <f>IF(S305&gt;0,IF(RIGHT(Ruimtestaat[[#This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5" s="185">
        <f>IF(U305&gt;0,VLOOKUP($K305,Ruimtegroepen[],3,FALSE)*VLOOKUP($M305,Vloersoorten[],3,FALSE)*VLOOKUP($T305,Frequenties[],3,FALSE)*VLOOKUP($A305,Locaties[],3,FALSE),0)</f>
        <v>0</v>
      </c>
      <c r="W305" s="185">
        <f>Ruimtestaat[[#This Row],[Uitvoeringen werkdagen]]*Ruimtestaat[[#This Row],[Oppervlak (netto)]]</f>
        <v>560</v>
      </c>
      <c r="X305" s="220">
        <f>IF(V305&gt;0,Ruimtestaat[[#This Row],[Prest. (m2 /jaar) werkdagen]]/Ruimtestaat[[#This Row],[Norm (m2/uur) werkdagen]],0)</f>
        <v>0</v>
      </c>
      <c r="Y305" s="221">
        <f>Ruimtestaat[[#This Row],[uren / jaar werkdagen]]*Tariefsopbouw!$D$38</f>
        <v>0</v>
      </c>
      <c r="Z305" s="33"/>
      <c r="AA305" s="33">
        <f>IF(Ruimtestaat[[#This Row],[Frequentie weekend]]&gt;0,VALUE(LEFT(Z305,1))*S305,0)</f>
        <v>0</v>
      </c>
      <c r="AB305" s="33">
        <f>IF($AA305&gt;0,VLOOKUP($K305,Ruimtegroepen[],3,FALSE)*VLOOKUP($M305,Vloersoorten[],3,FALSE)*VLOOKUP($Z305,Frequenties[],3,FALSE)*VLOOKUP(#REF!,Locaties[],3,FALSE),0)</f>
        <v>0</v>
      </c>
      <c r="AC305" s="33"/>
      <c r="AD305" s="33"/>
      <c r="AE305" s="33">
        <f>Ruimtestaat[[#This Row],[uren / jaar weekend]]*Tariefsopbouw!$D$40</f>
        <v>0</v>
      </c>
      <c r="AF305" s="79">
        <f>Ruimtestaat[[#This Row],[Prest. (m2 /jaar) weekend]]+Ruimtestaat[[#This Row],[Prest. (m2 /jaar) werkdagen]]</f>
        <v>560</v>
      </c>
      <c r="AG305" s="79">
        <f>Ruimtestaat[[#This Row],[uren / jaar weekend]]+Ruimtestaat[[#This Row],[uren / jaar werkdagen]]</f>
        <v>0</v>
      </c>
      <c r="AH305" s="80">
        <f>Ruimtestaat[[#This Row],[kosten / jaar weekend]]+Ruimtestaat[[#This Row],[kosten / jaar werkdagen]]</f>
        <v>0</v>
      </c>
    </row>
    <row r="306" spans="1:34" ht="15" customHeight="1">
      <c r="A306" s="256">
        <v>5</v>
      </c>
      <c r="B306" s="171" t="str">
        <f>VLOOKUP(Ruimtestaat[[#This Row],[Code]],Locaties[#All],2,FALSE)</f>
        <v>VSO Het Mozaïek Almelo</v>
      </c>
      <c r="C306" s="258" t="str">
        <f>VLOOKUP(Ruimtestaat[[#This Row],[Code]],Locaties[#All],4,FALSE)</f>
        <v>Cesar Franckstaat 3</v>
      </c>
      <c r="D306" s="258" t="str">
        <f>VLOOKUP(Ruimtestaat[[#This Row],[Code]],Locaties[#All],5,FALSE)</f>
        <v>7604JE</v>
      </c>
      <c r="E306" s="258" t="str">
        <f>VLOOKUP(Ruimtestaat[[#This Row],[Code]],Locaties[#All],6,FALSE)</f>
        <v>Almelo</v>
      </c>
      <c r="F306" s="257" t="s">
        <v>1114</v>
      </c>
      <c r="G306" s="257" t="s">
        <v>563</v>
      </c>
      <c r="H306" s="171"/>
      <c r="I306" s="257" t="s">
        <v>495</v>
      </c>
      <c r="J306" s="259" t="s">
        <v>264</v>
      </c>
      <c r="K306" s="258">
        <v>10</v>
      </c>
      <c r="L306" s="260" t="str">
        <f>VLOOKUP(Ruimtestaat[[#This Row],[Ruimte code]],Ruimtegroepen[#All],2,FALSE)</f>
        <v>Trappenhuizen/lift</v>
      </c>
      <c r="M306" s="258" t="s">
        <v>598</v>
      </c>
      <c r="N306" s="257" t="s">
        <v>132</v>
      </c>
      <c r="O306" s="261">
        <v>2.5</v>
      </c>
      <c r="P306" s="183"/>
      <c r="Q306" s="212" t="str">
        <f>VLOOKUP(Ruimtestaat[[#This Row],[Ruimte code]],Ruimtegroepen[#All],4,FALSE)</f>
        <v>V  (Verkeersruimte)</v>
      </c>
      <c r="R306" s="184"/>
      <c r="S306" s="185">
        <v>40</v>
      </c>
      <c r="T306" s="185" t="s">
        <v>2</v>
      </c>
      <c r="U306" s="185">
        <f>IF(S306&gt;0,IF(RIGHT(Ruimtestaat[[#This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6" s="185">
        <f>IF(U306&gt;0,VLOOKUP($K306,Ruimtegroepen[],3,FALSE)*VLOOKUP($M306,Vloersoorten[],3,FALSE)*VLOOKUP($T306,Frequenties[],3,FALSE)*VLOOKUP($A306,Locaties[],3,FALSE),0)</f>
        <v>0</v>
      </c>
      <c r="W306" s="185">
        <f>Ruimtestaat[[#This Row],[Uitvoeringen werkdagen]]*Ruimtestaat[[#This Row],[Oppervlak (netto)]]</f>
        <v>500</v>
      </c>
      <c r="X306" s="220">
        <f>IF(V306&gt;0,Ruimtestaat[[#This Row],[Prest. (m2 /jaar) werkdagen]]/Ruimtestaat[[#This Row],[Norm (m2/uur) werkdagen]],0)</f>
        <v>0</v>
      </c>
      <c r="Y306" s="221">
        <f>Ruimtestaat[[#This Row],[uren / jaar werkdagen]]*Tariefsopbouw!$D$38</f>
        <v>0</v>
      </c>
      <c r="Z306" s="33"/>
      <c r="AA306" s="33">
        <f>IF(Ruimtestaat[[#This Row],[Frequentie weekend]]&gt;0,VALUE(LEFT(Z306,1))*S306,0)</f>
        <v>0</v>
      </c>
      <c r="AB306" s="33">
        <f>IF($AA306&gt;0,VLOOKUP($K306,Ruimtegroepen[],3,FALSE)*VLOOKUP($M306,Vloersoorten[],3,FALSE)*VLOOKUP($Z306,Frequenties[],3,FALSE)*VLOOKUP(#REF!,Locaties[],3,FALSE),0)</f>
        <v>0</v>
      </c>
      <c r="AC306" s="33"/>
      <c r="AD306" s="33"/>
      <c r="AE306" s="33">
        <f>Ruimtestaat[[#This Row],[uren / jaar weekend]]*Tariefsopbouw!$D$40</f>
        <v>0</v>
      </c>
      <c r="AF306" s="79">
        <f>Ruimtestaat[[#This Row],[Prest. (m2 /jaar) weekend]]+Ruimtestaat[[#This Row],[Prest. (m2 /jaar) werkdagen]]</f>
        <v>500</v>
      </c>
      <c r="AG306" s="79">
        <f>Ruimtestaat[[#This Row],[uren / jaar weekend]]+Ruimtestaat[[#This Row],[uren / jaar werkdagen]]</f>
        <v>0</v>
      </c>
      <c r="AH306" s="80">
        <f>Ruimtestaat[[#This Row],[kosten / jaar weekend]]+Ruimtestaat[[#This Row],[kosten / jaar werkdagen]]</f>
        <v>0</v>
      </c>
    </row>
    <row r="307" spans="1:34" ht="15" customHeight="1">
      <c r="A307" s="256">
        <v>5</v>
      </c>
      <c r="B307" s="171" t="str">
        <f>VLOOKUP(Ruimtestaat[[#This Row],[Code]],Locaties[#All],2,FALSE)</f>
        <v>VSO Het Mozaïek Almelo</v>
      </c>
      <c r="C307" s="258" t="str">
        <f>VLOOKUP(Ruimtestaat[[#This Row],[Code]],Locaties[#All],4,FALSE)</f>
        <v>Cesar Franckstaat 3</v>
      </c>
      <c r="D307" s="258" t="str">
        <f>VLOOKUP(Ruimtestaat[[#This Row],[Code]],Locaties[#All],5,FALSE)</f>
        <v>7604JE</v>
      </c>
      <c r="E307" s="258" t="str">
        <f>VLOOKUP(Ruimtestaat[[#This Row],[Code]],Locaties[#All],6,FALSE)</f>
        <v>Almelo</v>
      </c>
      <c r="F307" s="257" t="s">
        <v>1114</v>
      </c>
      <c r="G307" s="257" t="s">
        <v>563</v>
      </c>
      <c r="H307" s="171"/>
      <c r="I307" s="257" t="s">
        <v>496</v>
      </c>
      <c r="J307" s="259" t="s">
        <v>569</v>
      </c>
      <c r="K307" s="258">
        <v>5</v>
      </c>
      <c r="L307" s="260" t="str">
        <f>VLOOKUP(Ruimtestaat[[#This Row],[Ruimte code]],Ruimtegroepen[#All],2,FALSE)</f>
        <v>Sanitair</v>
      </c>
      <c r="M307" s="212" t="s">
        <v>111</v>
      </c>
      <c r="N307" s="257" t="s">
        <v>606</v>
      </c>
      <c r="O307" s="261">
        <v>6.6</v>
      </c>
      <c r="P307" s="183"/>
      <c r="Q307" s="212" t="str">
        <f>VLOOKUP(Ruimtestaat[[#This Row],[Ruimte code]],Ruimtegroepen[#All],4,FALSE)</f>
        <v>S  (Sanitair)</v>
      </c>
      <c r="R307" s="184"/>
      <c r="S307" s="185">
        <v>40</v>
      </c>
      <c r="T307" s="185" t="s">
        <v>2</v>
      </c>
      <c r="U307" s="185">
        <f>IF(S307&gt;0,IF(RIGHT(Ruimtestaat[[#This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7" s="185">
        <f>IF(U307&gt;0,VLOOKUP($K307,Ruimtegroepen[],3,FALSE)*VLOOKUP($M307,Vloersoorten[],3,FALSE)*VLOOKUP($T307,Frequenties[],3,FALSE)*VLOOKUP($A307,Locaties[],3,FALSE),0)</f>
        <v>0</v>
      </c>
      <c r="W307" s="185">
        <f>Ruimtestaat[[#This Row],[Uitvoeringen werkdagen]]*Ruimtestaat[[#This Row],[Oppervlak (netto)]]</f>
        <v>1320</v>
      </c>
      <c r="X307" s="220">
        <f>IF(V307&gt;0,Ruimtestaat[[#This Row],[Prest. (m2 /jaar) werkdagen]]/Ruimtestaat[[#This Row],[Norm (m2/uur) werkdagen]],0)</f>
        <v>0</v>
      </c>
      <c r="Y307" s="221">
        <f>Ruimtestaat[[#This Row],[uren / jaar werkdagen]]*Tariefsopbouw!$D$38</f>
        <v>0</v>
      </c>
      <c r="Z307" s="33"/>
      <c r="AA307" s="33">
        <f>IF(Ruimtestaat[[#This Row],[Frequentie weekend]]&gt;0,VALUE(LEFT(Z307,1))*S307,0)</f>
        <v>0</v>
      </c>
      <c r="AB307" s="33">
        <f>IF($AA307&gt;0,VLOOKUP($K307,Ruimtegroepen[],3,FALSE)*VLOOKUP($M307,Vloersoorten[],3,FALSE)*VLOOKUP($Z307,Frequenties[],3,FALSE)*VLOOKUP(#REF!,Locaties[],3,FALSE),0)</f>
        <v>0</v>
      </c>
      <c r="AC307" s="33"/>
      <c r="AD307" s="33"/>
      <c r="AE307" s="33">
        <f>Ruimtestaat[[#This Row],[uren / jaar weekend]]*Tariefsopbouw!$D$40</f>
        <v>0</v>
      </c>
      <c r="AF307" s="79">
        <f>Ruimtestaat[[#This Row],[Prest. (m2 /jaar) weekend]]+Ruimtestaat[[#This Row],[Prest. (m2 /jaar) werkdagen]]</f>
        <v>1320</v>
      </c>
      <c r="AG307" s="79">
        <f>Ruimtestaat[[#This Row],[uren / jaar weekend]]+Ruimtestaat[[#This Row],[uren / jaar werkdagen]]</f>
        <v>0</v>
      </c>
      <c r="AH307" s="80">
        <f>Ruimtestaat[[#This Row],[kosten / jaar weekend]]+Ruimtestaat[[#This Row],[kosten / jaar werkdagen]]</f>
        <v>0</v>
      </c>
    </row>
    <row r="308" spans="1:34" ht="15" customHeight="1">
      <c r="A308" s="256">
        <v>5</v>
      </c>
      <c r="B308" s="171" t="str">
        <f>VLOOKUP(Ruimtestaat[[#This Row],[Code]],Locaties[#All],2,FALSE)</f>
        <v>VSO Het Mozaïek Almelo</v>
      </c>
      <c r="C308" s="258" t="str">
        <f>VLOOKUP(Ruimtestaat[[#This Row],[Code]],Locaties[#All],4,FALSE)</f>
        <v>Cesar Franckstaat 3</v>
      </c>
      <c r="D308" s="258" t="str">
        <f>VLOOKUP(Ruimtestaat[[#This Row],[Code]],Locaties[#All],5,FALSE)</f>
        <v>7604JE</v>
      </c>
      <c r="E308" s="258" t="str">
        <f>VLOOKUP(Ruimtestaat[[#This Row],[Code]],Locaties[#All],6,FALSE)</f>
        <v>Almelo</v>
      </c>
      <c r="F308" s="257" t="s">
        <v>1114</v>
      </c>
      <c r="G308" s="257" t="s">
        <v>563</v>
      </c>
      <c r="H308" s="171"/>
      <c r="I308" s="257" t="s">
        <v>497</v>
      </c>
      <c r="J308" s="259" t="s">
        <v>623</v>
      </c>
      <c r="K308" s="258">
        <v>20</v>
      </c>
      <c r="L308" s="260" t="str">
        <f>VLOOKUP(Ruimtestaat[[#This Row],[Ruimte code]],Ruimtegroepen[#All],2,FALSE)</f>
        <v>Niet in onderhoud</v>
      </c>
      <c r="M308" s="258" t="s">
        <v>598</v>
      </c>
      <c r="N308" s="257" t="s">
        <v>132</v>
      </c>
      <c r="O308" s="261"/>
      <c r="P308" s="183">
        <v>5.2</v>
      </c>
      <c r="Q308" s="212" t="str">
        <f>VLOOKUP(Ruimtestaat[[#This Row],[Ruimte code]],Ruimtegroepen[#All],4,FALSE)</f>
        <v>niet in onderhoud</v>
      </c>
      <c r="R308" s="184"/>
      <c r="S308" s="185"/>
      <c r="T308" s="185" t="s">
        <v>3</v>
      </c>
      <c r="U308" s="185">
        <f>IF(S308&gt;0,IF(RIGHT(Ruimtestaat[[#This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08" s="185">
        <f>IF(U308&gt;0,VLOOKUP($K308,Ruimtegroepen[],3,FALSE)*VLOOKUP($M308,Vloersoorten[],3,FALSE)*VLOOKUP($T308,Frequenties[],3,FALSE)*VLOOKUP($A308,Locaties[],3,FALSE),0)</f>
        <v>0</v>
      </c>
      <c r="W308" s="185">
        <f>Ruimtestaat[[#This Row],[Uitvoeringen werkdagen]]*Ruimtestaat[[#This Row],[Oppervlak (netto)]]</f>
        <v>0</v>
      </c>
      <c r="X308" s="220">
        <f>IF(V308&gt;0,Ruimtestaat[[#This Row],[Prest. (m2 /jaar) werkdagen]]/Ruimtestaat[[#This Row],[Norm (m2/uur) werkdagen]],0)</f>
        <v>0</v>
      </c>
      <c r="Y308" s="221">
        <f>Ruimtestaat[[#This Row],[uren / jaar werkdagen]]*Tariefsopbouw!$D$38</f>
        <v>0</v>
      </c>
      <c r="Z308" s="33"/>
      <c r="AA308" s="33">
        <f>IF(Ruimtestaat[[#This Row],[Frequentie weekend]]&gt;0,VALUE(LEFT(Z308,1))*S308,0)</f>
        <v>0</v>
      </c>
      <c r="AB308" s="33">
        <f>IF($AA308&gt;0,VLOOKUP($K308,Ruimtegroepen[],3,FALSE)*VLOOKUP($M308,Vloersoorten[],3,FALSE)*VLOOKUP($Z308,Frequenties[],3,FALSE)*VLOOKUP(#REF!,Locaties[],3,FALSE),0)</f>
        <v>0</v>
      </c>
      <c r="AC308" s="33"/>
      <c r="AD308" s="33"/>
      <c r="AE308" s="33">
        <f>Ruimtestaat[[#This Row],[uren / jaar weekend]]*Tariefsopbouw!$D$40</f>
        <v>0</v>
      </c>
      <c r="AF308" s="79">
        <f>Ruimtestaat[[#This Row],[Prest. (m2 /jaar) weekend]]+Ruimtestaat[[#This Row],[Prest. (m2 /jaar) werkdagen]]</f>
        <v>0</v>
      </c>
      <c r="AG308" s="79">
        <f>Ruimtestaat[[#This Row],[uren / jaar weekend]]+Ruimtestaat[[#This Row],[uren / jaar werkdagen]]</f>
        <v>0</v>
      </c>
      <c r="AH308" s="80">
        <f>Ruimtestaat[[#This Row],[kosten / jaar weekend]]+Ruimtestaat[[#This Row],[kosten / jaar werkdagen]]</f>
        <v>0</v>
      </c>
    </row>
    <row r="309" spans="1:34" ht="15" customHeight="1">
      <c r="A309" s="256">
        <v>5</v>
      </c>
      <c r="B309" s="171" t="str">
        <f>VLOOKUP(Ruimtestaat[[#This Row],[Code]],Locaties[#All],2,FALSE)</f>
        <v>VSO Het Mozaïek Almelo</v>
      </c>
      <c r="C309" s="258" t="str">
        <f>VLOOKUP(Ruimtestaat[[#This Row],[Code]],Locaties[#All],4,FALSE)</f>
        <v>Cesar Franckstaat 3</v>
      </c>
      <c r="D309" s="258" t="str">
        <f>VLOOKUP(Ruimtestaat[[#This Row],[Code]],Locaties[#All],5,FALSE)</f>
        <v>7604JE</v>
      </c>
      <c r="E309" s="258" t="str">
        <f>VLOOKUP(Ruimtestaat[[#This Row],[Code]],Locaties[#All],6,FALSE)</f>
        <v>Almelo</v>
      </c>
      <c r="F309" s="257" t="s">
        <v>1114</v>
      </c>
      <c r="G309" s="257" t="s">
        <v>563</v>
      </c>
      <c r="H309" s="171"/>
      <c r="I309" s="257" t="s">
        <v>498</v>
      </c>
      <c r="J309" s="259" t="s">
        <v>585</v>
      </c>
      <c r="K309" s="258">
        <v>1</v>
      </c>
      <c r="L309" s="260" t="str">
        <f>VLOOKUP(Ruimtestaat[[#This Row],[Ruimte code]],Ruimtegroepen[#All],2,FALSE)</f>
        <v>Magazijnen/bergingen</v>
      </c>
      <c r="M309" s="258" t="s">
        <v>598</v>
      </c>
      <c r="N309" s="257" t="s">
        <v>132</v>
      </c>
      <c r="O309" s="261">
        <v>10.7</v>
      </c>
      <c r="P309" s="183"/>
      <c r="Q309" s="212" t="str">
        <f>VLOOKUP(Ruimtestaat[[#This Row],[Ruimte code]],Ruimtegroepen[#All],4,FALSE)</f>
        <v>V  (Verkeersruimte)</v>
      </c>
      <c r="R309" s="184"/>
      <c r="S309" s="185">
        <v>40</v>
      </c>
      <c r="T309" s="185" t="s">
        <v>15</v>
      </c>
      <c r="U309" s="185">
        <f>IF(S309&gt;0,IF(RIGHT(Ruimtestaat[[#This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09" s="185">
        <f>IF(U309&gt;0,VLOOKUP($K309,Ruimtegroepen[],3,FALSE)*VLOOKUP($M309,Vloersoorten[],3,FALSE)*VLOOKUP($T309,Frequenties[],3,FALSE)*VLOOKUP($A309,Locaties[],3,FALSE),0)</f>
        <v>0</v>
      </c>
      <c r="W309" s="185">
        <f>Ruimtestaat[[#This Row],[Uitvoeringen werkdagen]]*Ruimtestaat[[#This Row],[Oppervlak (netto)]]</f>
        <v>428</v>
      </c>
      <c r="X309" s="220">
        <f>IF(V309&gt;0,Ruimtestaat[[#This Row],[Prest. (m2 /jaar) werkdagen]]/Ruimtestaat[[#This Row],[Norm (m2/uur) werkdagen]],0)</f>
        <v>0</v>
      </c>
      <c r="Y309" s="221">
        <f>Ruimtestaat[[#This Row],[uren / jaar werkdagen]]*Tariefsopbouw!$D$38</f>
        <v>0</v>
      </c>
      <c r="Z309" s="33"/>
      <c r="AA309" s="33">
        <f>IF(Ruimtestaat[[#This Row],[Frequentie weekend]]&gt;0,VALUE(LEFT(Z309,1))*S309,0)</f>
        <v>0</v>
      </c>
      <c r="AB309" s="33">
        <f>IF($AA309&gt;0,VLOOKUP($K309,Ruimtegroepen[],3,FALSE)*VLOOKUP($M309,Vloersoorten[],3,FALSE)*VLOOKUP($Z309,Frequenties[],3,FALSE)*VLOOKUP(#REF!,Locaties[],3,FALSE),0)</f>
        <v>0</v>
      </c>
      <c r="AC309" s="33"/>
      <c r="AD309" s="33"/>
      <c r="AE309" s="33">
        <f>Ruimtestaat[[#This Row],[uren / jaar weekend]]*Tariefsopbouw!$D$40</f>
        <v>0</v>
      </c>
      <c r="AF309" s="79">
        <f>Ruimtestaat[[#This Row],[Prest. (m2 /jaar) weekend]]+Ruimtestaat[[#This Row],[Prest. (m2 /jaar) werkdagen]]</f>
        <v>428</v>
      </c>
      <c r="AG309" s="79">
        <f>Ruimtestaat[[#This Row],[uren / jaar weekend]]+Ruimtestaat[[#This Row],[uren / jaar werkdagen]]</f>
        <v>0</v>
      </c>
      <c r="AH309" s="80">
        <f>Ruimtestaat[[#This Row],[kosten / jaar weekend]]+Ruimtestaat[[#This Row],[kosten / jaar werkdagen]]</f>
        <v>0</v>
      </c>
    </row>
    <row r="310" spans="1:34" ht="15" customHeight="1">
      <c r="A310" s="256">
        <v>5</v>
      </c>
      <c r="B310" s="171" t="str">
        <f>VLOOKUP(Ruimtestaat[[#This Row],[Code]],Locaties[#All],2,FALSE)</f>
        <v>VSO Het Mozaïek Almelo</v>
      </c>
      <c r="C310" s="258" t="str">
        <f>VLOOKUP(Ruimtestaat[[#This Row],[Code]],Locaties[#All],4,FALSE)</f>
        <v>Cesar Franckstaat 3</v>
      </c>
      <c r="D310" s="258" t="str">
        <f>VLOOKUP(Ruimtestaat[[#This Row],[Code]],Locaties[#All],5,FALSE)</f>
        <v>7604JE</v>
      </c>
      <c r="E310" s="258" t="str">
        <f>VLOOKUP(Ruimtestaat[[#This Row],[Code]],Locaties[#All],6,FALSE)</f>
        <v>Almelo</v>
      </c>
      <c r="F310" s="257" t="s">
        <v>1114</v>
      </c>
      <c r="G310" s="257" t="s">
        <v>563</v>
      </c>
      <c r="H310" s="171"/>
      <c r="I310" s="257" t="s">
        <v>499</v>
      </c>
      <c r="J310" s="259" t="s">
        <v>571</v>
      </c>
      <c r="K310" s="224">
        <v>2</v>
      </c>
      <c r="L310" s="260" t="str">
        <f>VLOOKUP(Ruimtestaat[[#This Row],[Ruimte code]],Ruimtegroepen[#All],2,FALSE)</f>
        <v>Kantoren</v>
      </c>
      <c r="M310" s="258" t="s">
        <v>597</v>
      </c>
      <c r="N310" s="257" t="s">
        <v>38</v>
      </c>
      <c r="O310" s="261">
        <v>10.7</v>
      </c>
      <c r="P310" s="183"/>
      <c r="Q310" s="212" t="str">
        <f>VLOOKUP(Ruimtestaat[[#This Row],[Ruimte code]],Ruimtegroepen[#All],4,FALSE)</f>
        <v>B  (Bureauruimte)</v>
      </c>
      <c r="R310" s="184"/>
      <c r="S310" s="185">
        <v>40</v>
      </c>
      <c r="T310" s="185" t="s">
        <v>17</v>
      </c>
      <c r="U310" s="185">
        <f>IF(S310&gt;0,IF(RIGHT(Ruimtestaat[[#This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0" s="185">
        <f>IF(U310&gt;0,VLOOKUP($K310,Ruimtegroepen[],3,FALSE)*VLOOKUP($M310,Vloersoorten[],3,FALSE)*VLOOKUP($T310,Frequenties[],3,FALSE)*VLOOKUP($A310,Locaties[],3,FALSE),0)</f>
        <v>0</v>
      </c>
      <c r="W310" s="185">
        <f>Ruimtestaat[[#This Row],[Uitvoeringen werkdagen]]*Ruimtestaat[[#This Row],[Oppervlak (netto)]]</f>
        <v>856</v>
      </c>
      <c r="X310" s="220">
        <f>IF(V310&gt;0,Ruimtestaat[[#This Row],[Prest. (m2 /jaar) werkdagen]]/Ruimtestaat[[#This Row],[Norm (m2/uur) werkdagen]],0)</f>
        <v>0</v>
      </c>
      <c r="Y310" s="221">
        <f>Ruimtestaat[[#This Row],[uren / jaar werkdagen]]*Tariefsopbouw!$D$38</f>
        <v>0</v>
      </c>
      <c r="Z310" s="33"/>
      <c r="AA310" s="33">
        <f>IF(Ruimtestaat[[#This Row],[Frequentie weekend]]&gt;0,VALUE(LEFT(Z310,1))*S310,0)</f>
        <v>0</v>
      </c>
      <c r="AB310" s="33">
        <f>IF($AA310&gt;0,VLOOKUP($K310,Ruimtegroepen[],3,FALSE)*VLOOKUP($M310,Vloersoorten[],3,FALSE)*VLOOKUP($Z310,Frequenties[],3,FALSE)*VLOOKUP(#REF!,Locaties[],3,FALSE),0)</f>
        <v>0</v>
      </c>
      <c r="AC310" s="33"/>
      <c r="AD310" s="33"/>
      <c r="AE310" s="33">
        <f>Ruimtestaat[[#This Row],[uren / jaar weekend]]*Tariefsopbouw!$D$40</f>
        <v>0</v>
      </c>
      <c r="AF310" s="79">
        <f>Ruimtestaat[[#This Row],[Prest. (m2 /jaar) weekend]]+Ruimtestaat[[#This Row],[Prest. (m2 /jaar) werkdagen]]</f>
        <v>856</v>
      </c>
      <c r="AG310" s="79">
        <f>Ruimtestaat[[#This Row],[uren / jaar weekend]]+Ruimtestaat[[#This Row],[uren / jaar werkdagen]]</f>
        <v>0</v>
      </c>
      <c r="AH310" s="80">
        <f>Ruimtestaat[[#This Row],[kosten / jaar weekend]]+Ruimtestaat[[#This Row],[kosten / jaar werkdagen]]</f>
        <v>0</v>
      </c>
    </row>
    <row r="311" spans="1:34" ht="15" customHeight="1">
      <c r="A311" s="256">
        <v>5</v>
      </c>
      <c r="B311" s="171" t="str">
        <f>VLOOKUP(Ruimtestaat[[#This Row],[Code]],Locaties[#All],2,FALSE)</f>
        <v>VSO Het Mozaïek Almelo</v>
      </c>
      <c r="C311" s="258" t="str">
        <f>VLOOKUP(Ruimtestaat[[#This Row],[Code]],Locaties[#All],4,FALSE)</f>
        <v>Cesar Franckstaat 3</v>
      </c>
      <c r="D311" s="258" t="str">
        <f>VLOOKUP(Ruimtestaat[[#This Row],[Code]],Locaties[#All],5,FALSE)</f>
        <v>7604JE</v>
      </c>
      <c r="E311" s="258" t="str">
        <f>VLOOKUP(Ruimtestaat[[#This Row],[Code]],Locaties[#All],6,FALSE)</f>
        <v>Almelo</v>
      </c>
      <c r="F311" s="257" t="s">
        <v>1114</v>
      </c>
      <c r="G311" s="257" t="s">
        <v>563</v>
      </c>
      <c r="H311" s="171"/>
      <c r="I311" s="257" t="s">
        <v>500</v>
      </c>
      <c r="J311" s="259" t="s">
        <v>571</v>
      </c>
      <c r="K311" s="258">
        <v>2</v>
      </c>
      <c r="L311" s="260" t="str">
        <f>VLOOKUP(Ruimtestaat[[#This Row],[Ruimte code]],Ruimtegroepen[#All],2,FALSE)</f>
        <v>Kantoren</v>
      </c>
      <c r="M311" s="258" t="s">
        <v>597</v>
      </c>
      <c r="N311" s="257" t="s">
        <v>38</v>
      </c>
      <c r="O311" s="261">
        <v>21.8</v>
      </c>
      <c r="P311" s="183"/>
      <c r="Q311" s="212" t="str">
        <f>VLOOKUP(Ruimtestaat[[#This Row],[Ruimte code]],Ruimtegroepen[#All],4,FALSE)</f>
        <v>B  (Bureauruimte)</v>
      </c>
      <c r="R311" s="184"/>
      <c r="S311" s="185">
        <v>40</v>
      </c>
      <c r="T311" s="185" t="s">
        <v>17</v>
      </c>
      <c r="U311" s="185">
        <f>IF(S311&gt;0,IF(RIGHT(Ruimtestaat[[#This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1" s="185">
        <f>IF(U311&gt;0,VLOOKUP($K311,Ruimtegroepen[],3,FALSE)*VLOOKUP($M311,Vloersoorten[],3,FALSE)*VLOOKUP($T311,Frequenties[],3,FALSE)*VLOOKUP($A311,Locaties[],3,FALSE),0)</f>
        <v>0</v>
      </c>
      <c r="W311" s="185">
        <f>Ruimtestaat[[#This Row],[Uitvoeringen werkdagen]]*Ruimtestaat[[#This Row],[Oppervlak (netto)]]</f>
        <v>1744</v>
      </c>
      <c r="X311" s="220">
        <f>IF(V311&gt;0,Ruimtestaat[[#This Row],[Prest. (m2 /jaar) werkdagen]]/Ruimtestaat[[#This Row],[Norm (m2/uur) werkdagen]],0)</f>
        <v>0</v>
      </c>
      <c r="Y311" s="221">
        <f>Ruimtestaat[[#This Row],[uren / jaar werkdagen]]*Tariefsopbouw!$D$38</f>
        <v>0</v>
      </c>
      <c r="Z311" s="33"/>
      <c r="AA311" s="33">
        <f>IF(Ruimtestaat[[#This Row],[Frequentie weekend]]&gt;0,VALUE(LEFT(Z311,1))*S311,0)</f>
        <v>0</v>
      </c>
      <c r="AB311" s="33">
        <f>IF($AA311&gt;0,VLOOKUP($K311,Ruimtegroepen[],3,FALSE)*VLOOKUP($M311,Vloersoorten[],3,FALSE)*VLOOKUP($Z311,Frequenties[],3,FALSE)*VLOOKUP(#REF!,Locaties[],3,FALSE),0)</f>
        <v>0</v>
      </c>
      <c r="AC311" s="33"/>
      <c r="AD311" s="33"/>
      <c r="AE311" s="33">
        <f>Ruimtestaat[[#This Row],[uren / jaar weekend]]*Tariefsopbouw!$D$40</f>
        <v>0</v>
      </c>
      <c r="AF311" s="79">
        <f>Ruimtestaat[[#This Row],[Prest. (m2 /jaar) weekend]]+Ruimtestaat[[#This Row],[Prest. (m2 /jaar) werkdagen]]</f>
        <v>1744</v>
      </c>
      <c r="AG311" s="79">
        <f>Ruimtestaat[[#This Row],[uren / jaar weekend]]+Ruimtestaat[[#This Row],[uren / jaar werkdagen]]</f>
        <v>0</v>
      </c>
      <c r="AH311" s="80">
        <f>Ruimtestaat[[#This Row],[kosten / jaar weekend]]+Ruimtestaat[[#This Row],[kosten / jaar werkdagen]]</f>
        <v>0</v>
      </c>
    </row>
    <row r="312" spans="1:34" ht="15" customHeight="1">
      <c r="A312" s="256">
        <v>5</v>
      </c>
      <c r="B312" s="171" t="str">
        <f>VLOOKUP(Ruimtestaat[[#This Row],[Code]],Locaties[#All],2,FALSE)</f>
        <v>VSO Het Mozaïek Almelo</v>
      </c>
      <c r="C312" s="258" t="str">
        <f>VLOOKUP(Ruimtestaat[[#This Row],[Code]],Locaties[#All],4,FALSE)</f>
        <v>Cesar Franckstaat 3</v>
      </c>
      <c r="D312" s="258" t="str">
        <f>VLOOKUP(Ruimtestaat[[#This Row],[Code]],Locaties[#All],5,FALSE)</f>
        <v>7604JE</v>
      </c>
      <c r="E312" s="258" t="str">
        <f>VLOOKUP(Ruimtestaat[[#This Row],[Code]],Locaties[#All],6,FALSE)</f>
        <v>Almelo</v>
      </c>
      <c r="F312" s="257" t="s">
        <v>1114</v>
      </c>
      <c r="G312" s="257" t="s">
        <v>563</v>
      </c>
      <c r="H312" s="171"/>
      <c r="I312" s="257" t="s">
        <v>501</v>
      </c>
      <c r="J312" s="259" t="s">
        <v>574</v>
      </c>
      <c r="K312" s="258">
        <v>6</v>
      </c>
      <c r="L312" s="260" t="str">
        <f>VLOOKUP(Ruimtestaat[[#This Row],[Ruimte code]],Ruimtegroepen[#All],2,FALSE)</f>
        <v>Gangen/hallen</v>
      </c>
      <c r="M312" s="258" t="s">
        <v>597</v>
      </c>
      <c r="N312" s="257" t="s">
        <v>38</v>
      </c>
      <c r="O312" s="261">
        <v>16.3</v>
      </c>
      <c r="P312" s="183"/>
      <c r="Q312" s="212" t="str">
        <f>VLOOKUP(Ruimtestaat[[#This Row],[Ruimte code]],Ruimtegroepen[#All],4,FALSE)</f>
        <v>V  (Verkeersruimte)</v>
      </c>
      <c r="R312" s="184"/>
      <c r="S312" s="185">
        <v>40</v>
      </c>
      <c r="T312" s="185" t="s">
        <v>2</v>
      </c>
      <c r="U312" s="185">
        <f>IF(S312&gt;0,IF(RIGHT(Ruimtestaat[[#This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2" s="185">
        <f>IF(U312&gt;0,VLOOKUP($K312,Ruimtegroepen[],3,FALSE)*VLOOKUP($M312,Vloersoorten[],3,FALSE)*VLOOKUP($T312,Frequenties[],3,FALSE)*VLOOKUP($A312,Locaties[],3,FALSE),0)</f>
        <v>0</v>
      </c>
      <c r="W312" s="185">
        <f>Ruimtestaat[[#This Row],[Uitvoeringen werkdagen]]*Ruimtestaat[[#This Row],[Oppervlak (netto)]]</f>
        <v>3260</v>
      </c>
      <c r="X312" s="220">
        <f>IF(V312&gt;0,Ruimtestaat[[#This Row],[Prest. (m2 /jaar) werkdagen]]/Ruimtestaat[[#This Row],[Norm (m2/uur) werkdagen]],0)</f>
        <v>0</v>
      </c>
      <c r="Y312" s="221">
        <f>Ruimtestaat[[#This Row],[uren / jaar werkdagen]]*Tariefsopbouw!$D$38</f>
        <v>0</v>
      </c>
      <c r="Z312" s="33"/>
      <c r="AA312" s="33">
        <f>IF(Ruimtestaat[[#This Row],[Frequentie weekend]]&gt;0,VALUE(LEFT(Z312,1))*S312,0)</f>
        <v>0</v>
      </c>
      <c r="AB312" s="33">
        <f>IF($AA312&gt;0,VLOOKUP($K312,Ruimtegroepen[],3,FALSE)*VLOOKUP($M312,Vloersoorten[],3,FALSE)*VLOOKUP($Z312,Frequenties[],3,FALSE)*VLOOKUP(#REF!,Locaties[],3,FALSE),0)</f>
        <v>0</v>
      </c>
      <c r="AC312" s="33"/>
      <c r="AD312" s="33"/>
      <c r="AE312" s="33">
        <f>Ruimtestaat[[#This Row],[uren / jaar weekend]]*Tariefsopbouw!$D$40</f>
        <v>0</v>
      </c>
      <c r="AF312" s="79">
        <f>Ruimtestaat[[#This Row],[Prest. (m2 /jaar) weekend]]+Ruimtestaat[[#This Row],[Prest. (m2 /jaar) werkdagen]]</f>
        <v>3260</v>
      </c>
      <c r="AG312" s="79">
        <f>Ruimtestaat[[#This Row],[uren / jaar weekend]]+Ruimtestaat[[#This Row],[uren / jaar werkdagen]]</f>
        <v>0</v>
      </c>
      <c r="AH312" s="80">
        <f>Ruimtestaat[[#This Row],[kosten / jaar weekend]]+Ruimtestaat[[#This Row],[kosten / jaar werkdagen]]</f>
        <v>0</v>
      </c>
    </row>
    <row r="313" spans="1:34" ht="15" customHeight="1">
      <c r="A313" s="256">
        <v>5</v>
      </c>
      <c r="B313" s="171" t="str">
        <f>VLOOKUP(Ruimtestaat[[#This Row],[Code]],Locaties[#All],2,FALSE)</f>
        <v>VSO Het Mozaïek Almelo</v>
      </c>
      <c r="C313" s="258" t="str">
        <f>VLOOKUP(Ruimtestaat[[#This Row],[Code]],Locaties[#All],4,FALSE)</f>
        <v>Cesar Franckstaat 3</v>
      </c>
      <c r="D313" s="258" t="str">
        <f>VLOOKUP(Ruimtestaat[[#This Row],[Code]],Locaties[#All],5,FALSE)</f>
        <v>7604JE</v>
      </c>
      <c r="E313" s="258" t="str">
        <f>VLOOKUP(Ruimtestaat[[#This Row],[Code]],Locaties[#All],6,FALSE)</f>
        <v>Almelo</v>
      </c>
      <c r="F313" s="257" t="s">
        <v>1114</v>
      </c>
      <c r="G313" s="257" t="s">
        <v>563</v>
      </c>
      <c r="H313" s="171"/>
      <c r="I313" s="257" t="s">
        <v>502</v>
      </c>
      <c r="J313" s="259" t="s">
        <v>571</v>
      </c>
      <c r="K313" s="171">
        <v>2</v>
      </c>
      <c r="L313" s="260" t="str">
        <f>VLOOKUP(Ruimtestaat[[#This Row],[Ruimte code]],Ruimtegroepen[#All],2,FALSE)</f>
        <v>Kantoren</v>
      </c>
      <c r="M313" s="258" t="s">
        <v>597</v>
      </c>
      <c r="N313" s="257" t="s">
        <v>38</v>
      </c>
      <c r="O313" s="261">
        <v>33.200000000000003</v>
      </c>
      <c r="P313" s="183"/>
      <c r="Q313" s="212" t="str">
        <f>VLOOKUP(Ruimtestaat[[#This Row],[Ruimte code]],Ruimtegroepen[#All],4,FALSE)</f>
        <v>B  (Bureauruimte)</v>
      </c>
      <c r="R313" s="184"/>
      <c r="S313" s="185">
        <v>40</v>
      </c>
      <c r="T313" s="185" t="s">
        <v>17</v>
      </c>
      <c r="U313" s="185">
        <f>IF(S313&gt;0,IF(RIGHT(Ruimtestaat[[#This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3" s="185">
        <f>IF(U313&gt;0,VLOOKUP($K313,Ruimtegroepen[],3,FALSE)*VLOOKUP($M313,Vloersoorten[],3,FALSE)*VLOOKUP($T313,Frequenties[],3,FALSE)*VLOOKUP($A313,Locaties[],3,FALSE),0)</f>
        <v>0</v>
      </c>
      <c r="W313" s="185">
        <f>Ruimtestaat[[#This Row],[Uitvoeringen werkdagen]]*Ruimtestaat[[#This Row],[Oppervlak (netto)]]</f>
        <v>2656</v>
      </c>
      <c r="X313" s="220">
        <f>IF(V313&gt;0,Ruimtestaat[[#This Row],[Prest. (m2 /jaar) werkdagen]]/Ruimtestaat[[#This Row],[Norm (m2/uur) werkdagen]],0)</f>
        <v>0</v>
      </c>
      <c r="Y313" s="221">
        <f>Ruimtestaat[[#This Row],[uren / jaar werkdagen]]*Tariefsopbouw!$D$38</f>
        <v>0</v>
      </c>
      <c r="Z313" s="33"/>
      <c r="AA313" s="33">
        <f>IF(Ruimtestaat[[#This Row],[Frequentie weekend]]&gt;0,VALUE(LEFT(Z313,1))*S313,0)</f>
        <v>0</v>
      </c>
      <c r="AB313" s="33">
        <f>IF($AA313&gt;0,VLOOKUP($K313,Ruimtegroepen[],3,FALSE)*VLOOKUP($M313,Vloersoorten[],3,FALSE)*VLOOKUP($Z313,Frequenties[],3,FALSE)*VLOOKUP(#REF!,Locaties[],3,FALSE),0)</f>
        <v>0</v>
      </c>
      <c r="AC313" s="33"/>
      <c r="AD313" s="33"/>
      <c r="AE313" s="33">
        <f>Ruimtestaat[[#This Row],[uren / jaar weekend]]*Tariefsopbouw!$D$40</f>
        <v>0</v>
      </c>
      <c r="AF313" s="79">
        <f>Ruimtestaat[[#This Row],[Prest. (m2 /jaar) weekend]]+Ruimtestaat[[#This Row],[Prest. (m2 /jaar) werkdagen]]</f>
        <v>2656</v>
      </c>
      <c r="AG313" s="79">
        <f>Ruimtestaat[[#This Row],[uren / jaar weekend]]+Ruimtestaat[[#This Row],[uren / jaar werkdagen]]</f>
        <v>0</v>
      </c>
      <c r="AH313" s="80">
        <f>Ruimtestaat[[#This Row],[kosten / jaar weekend]]+Ruimtestaat[[#This Row],[kosten / jaar werkdagen]]</f>
        <v>0</v>
      </c>
    </row>
    <row r="314" spans="1:34" ht="15" customHeight="1">
      <c r="A314" s="256">
        <v>5</v>
      </c>
      <c r="B314" s="171" t="str">
        <f>VLOOKUP(Ruimtestaat[[#This Row],[Code]],Locaties[#All],2,FALSE)</f>
        <v>VSO Het Mozaïek Almelo</v>
      </c>
      <c r="C314" s="258" t="str">
        <f>VLOOKUP(Ruimtestaat[[#This Row],[Code]],Locaties[#All],4,FALSE)</f>
        <v>Cesar Franckstaat 3</v>
      </c>
      <c r="D314" s="258" t="str">
        <f>VLOOKUP(Ruimtestaat[[#This Row],[Code]],Locaties[#All],5,FALSE)</f>
        <v>7604JE</v>
      </c>
      <c r="E314" s="258" t="str">
        <f>VLOOKUP(Ruimtestaat[[#This Row],[Code]],Locaties[#All],6,FALSE)</f>
        <v>Almelo</v>
      </c>
      <c r="F314" s="257" t="s">
        <v>1114</v>
      </c>
      <c r="G314" s="257" t="s">
        <v>563</v>
      </c>
      <c r="H314" s="171"/>
      <c r="I314" s="257" t="s">
        <v>503</v>
      </c>
      <c r="J314" s="259" t="s">
        <v>783</v>
      </c>
      <c r="K314" s="171">
        <v>10</v>
      </c>
      <c r="L314" s="260" t="str">
        <f>VLOOKUP(Ruimtestaat[[#This Row],[Ruimte code]],Ruimtegroepen[#All],2,FALSE)</f>
        <v>Trappenhuizen/lift</v>
      </c>
      <c r="M314" s="258" t="s">
        <v>597</v>
      </c>
      <c r="N314" s="257" t="s">
        <v>38</v>
      </c>
      <c r="O314" s="261">
        <v>17.100000000000001</v>
      </c>
      <c r="P314" s="183"/>
      <c r="Q314" s="212" t="str">
        <f>VLOOKUP(Ruimtestaat[[#This Row],[Ruimte code]],Ruimtegroepen[#All],4,FALSE)</f>
        <v>V  (Verkeersruimte)</v>
      </c>
      <c r="R314" s="184"/>
      <c r="S314" s="185">
        <v>40</v>
      </c>
      <c r="T314" s="185" t="s">
        <v>2</v>
      </c>
      <c r="U314" s="185">
        <f>IF(S314&gt;0,IF(RIGHT(Ruimtestaat[[#This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4" s="185">
        <f>IF(U314&gt;0,VLOOKUP($K314,Ruimtegroepen[],3,FALSE)*VLOOKUP($M314,Vloersoorten[],3,FALSE)*VLOOKUP($T314,Frequenties[],3,FALSE)*VLOOKUP($A314,Locaties[],3,FALSE),0)</f>
        <v>0</v>
      </c>
      <c r="W314" s="185">
        <f>Ruimtestaat[[#This Row],[Uitvoeringen werkdagen]]*Ruimtestaat[[#This Row],[Oppervlak (netto)]]</f>
        <v>3420.0000000000005</v>
      </c>
      <c r="X314" s="220">
        <f>IF(V314&gt;0,Ruimtestaat[[#This Row],[Prest. (m2 /jaar) werkdagen]]/Ruimtestaat[[#This Row],[Norm (m2/uur) werkdagen]],0)</f>
        <v>0</v>
      </c>
      <c r="Y314" s="221">
        <f>Ruimtestaat[[#This Row],[uren / jaar werkdagen]]*Tariefsopbouw!$D$38</f>
        <v>0</v>
      </c>
      <c r="Z314" s="33"/>
      <c r="AA314" s="33">
        <f>IF(Ruimtestaat[[#This Row],[Frequentie weekend]]&gt;0,VALUE(LEFT(Z314,1))*S314,0)</f>
        <v>0</v>
      </c>
      <c r="AB314" s="33">
        <f>IF($AA314&gt;0,VLOOKUP($K314,Ruimtegroepen[],3,FALSE)*VLOOKUP($M314,Vloersoorten[],3,FALSE)*VLOOKUP($Z314,Frequenties[],3,FALSE)*VLOOKUP(#REF!,Locaties[],3,FALSE),0)</f>
        <v>0</v>
      </c>
      <c r="AC314" s="33"/>
      <c r="AD314" s="33"/>
      <c r="AE314" s="33">
        <f>Ruimtestaat[[#This Row],[uren / jaar weekend]]*Tariefsopbouw!$D$40</f>
        <v>0</v>
      </c>
      <c r="AF314" s="79">
        <f>Ruimtestaat[[#This Row],[Prest. (m2 /jaar) weekend]]+Ruimtestaat[[#This Row],[Prest. (m2 /jaar) werkdagen]]</f>
        <v>3420.0000000000005</v>
      </c>
      <c r="AG314" s="79">
        <f>Ruimtestaat[[#This Row],[uren / jaar weekend]]+Ruimtestaat[[#This Row],[uren / jaar werkdagen]]</f>
        <v>0</v>
      </c>
      <c r="AH314" s="80">
        <f>Ruimtestaat[[#This Row],[kosten / jaar weekend]]+Ruimtestaat[[#This Row],[kosten / jaar werkdagen]]</f>
        <v>0</v>
      </c>
    </row>
    <row r="315" spans="1:34" ht="15" customHeight="1">
      <c r="A315" s="256">
        <v>5</v>
      </c>
      <c r="B315" s="171" t="str">
        <f>VLOOKUP(Ruimtestaat[[#This Row],[Code]],Locaties[#All],2,FALSE)</f>
        <v>VSO Het Mozaïek Almelo</v>
      </c>
      <c r="C315" s="258" t="str">
        <f>VLOOKUP(Ruimtestaat[[#This Row],[Code]],Locaties[#All],4,FALSE)</f>
        <v>Cesar Franckstaat 3</v>
      </c>
      <c r="D315" s="258" t="str">
        <f>VLOOKUP(Ruimtestaat[[#This Row],[Code]],Locaties[#All],5,FALSE)</f>
        <v>7604JE</v>
      </c>
      <c r="E315" s="258" t="str">
        <f>VLOOKUP(Ruimtestaat[[#This Row],[Code]],Locaties[#All],6,FALSE)</f>
        <v>Almelo</v>
      </c>
      <c r="F315" s="257" t="s">
        <v>1114</v>
      </c>
      <c r="G315" s="257" t="s">
        <v>564</v>
      </c>
      <c r="H315" s="171"/>
      <c r="I315" s="257" t="s">
        <v>512</v>
      </c>
      <c r="J315" s="259" t="s">
        <v>585</v>
      </c>
      <c r="K315" s="171">
        <v>1</v>
      </c>
      <c r="L315" s="260" t="str">
        <f>VLOOKUP(Ruimtestaat[[#This Row],[Ruimte code]],Ruimtegroepen[#All],2,FALSE)</f>
        <v>Magazijnen/bergingen</v>
      </c>
      <c r="M315" s="258" t="s">
        <v>598</v>
      </c>
      <c r="N315" s="257" t="s">
        <v>132</v>
      </c>
      <c r="O315" s="261">
        <v>11</v>
      </c>
      <c r="P315" s="183"/>
      <c r="Q315" s="212" t="str">
        <f>VLOOKUP(Ruimtestaat[[#This Row],[Ruimte code]],Ruimtegroepen[#All],4,FALSE)</f>
        <v>V  (Verkeersruimte)</v>
      </c>
      <c r="R315" s="184"/>
      <c r="S315" s="185">
        <v>40</v>
      </c>
      <c r="T315" s="185" t="s">
        <v>15</v>
      </c>
      <c r="U315" s="185">
        <f>IF(S315&gt;0,IF(RIGHT(Ruimtestaat[[#This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15" s="185">
        <f>IF(U315&gt;0,VLOOKUP($K315,Ruimtegroepen[],3,FALSE)*VLOOKUP($M315,Vloersoorten[],3,FALSE)*VLOOKUP($T315,Frequenties[],3,FALSE)*VLOOKUP($A315,Locaties[],3,FALSE),0)</f>
        <v>0</v>
      </c>
      <c r="W315" s="185">
        <f>Ruimtestaat[[#This Row],[Uitvoeringen werkdagen]]*Ruimtestaat[[#This Row],[Oppervlak (netto)]]</f>
        <v>440</v>
      </c>
      <c r="X315" s="220">
        <f>IF(V315&gt;0,Ruimtestaat[[#This Row],[Prest. (m2 /jaar) werkdagen]]/Ruimtestaat[[#This Row],[Norm (m2/uur) werkdagen]],0)</f>
        <v>0</v>
      </c>
      <c r="Y315" s="221">
        <f>Ruimtestaat[[#This Row],[uren / jaar werkdagen]]*Tariefsopbouw!$D$38</f>
        <v>0</v>
      </c>
      <c r="Z315" s="33"/>
      <c r="AA315" s="33">
        <f>IF(Ruimtestaat[[#This Row],[Frequentie weekend]]&gt;0,VALUE(LEFT(Z315,1))*S315,0)</f>
        <v>0</v>
      </c>
      <c r="AB315" s="33">
        <f>IF($AA315&gt;0,VLOOKUP($K315,Ruimtegroepen[],3,FALSE)*VLOOKUP($M315,Vloersoorten[],3,FALSE)*VLOOKUP($Z315,Frequenties[],3,FALSE)*VLOOKUP(#REF!,Locaties[],3,FALSE),0)</f>
        <v>0</v>
      </c>
      <c r="AC315" s="33"/>
      <c r="AD315" s="33"/>
      <c r="AE315" s="33">
        <f>Ruimtestaat[[#This Row],[uren / jaar weekend]]*Tariefsopbouw!$D$40</f>
        <v>0</v>
      </c>
      <c r="AF315" s="79">
        <f>Ruimtestaat[[#This Row],[Prest. (m2 /jaar) weekend]]+Ruimtestaat[[#This Row],[Prest. (m2 /jaar) werkdagen]]</f>
        <v>440</v>
      </c>
      <c r="AG315" s="79">
        <f>Ruimtestaat[[#This Row],[uren / jaar weekend]]+Ruimtestaat[[#This Row],[uren / jaar werkdagen]]</f>
        <v>0</v>
      </c>
      <c r="AH315" s="80">
        <f>Ruimtestaat[[#This Row],[kosten / jaar weekend]]+Ruimtestaat[[#This Row],[kosten / jaar werkdagen]]</f>
        <v>0</v>
      </c>
    </row>
    <row r="316" spans="1:34" ht="15" customHeight="1">
      <c r="A316" s="256">
        <v>5</v>
      </c>
      <c r="B316" s="171" t="str">
        <f>VLOOKUP(Ruimtestaat[[#This Row],[Code]],Locaties[#All],2,FALSE)</f>
        <v>VSO Het Mozaïek Almelo</v>
      </c>
      <c r="C316" s="258" t="str">
        <f>VLOOKUP(Ruimtestaat[[#This Row],[Code]],Locaties[#All],4,FALSE)</f>
        <v>Cesar Franckstaat 3</v>
      </c>
      <c r="D316" s="258" t="str">
        <f>VLOOKUP(Ruimtestaat[[#This Row],[Code]],Locaties[#All],5,FALSE)</f>
        <v>7604JE</v>
      </c>
      <c r="E316" s="258" t="str">
        <f>VLOOKUP(Ruimtestaat[[#This Row],[Code]],Locaties[#All],6,FALSE)</f>
        <v>Almelo</v>
      </c>
      <c r="F316" s="257" t="s">
        <v>1114</v>
      </c>
      <c r="G316" s="257" t="s">
        <v>564</v>
      </c>
      <c r="H316" s="171"/>
      <c r="I316" s="257" t="s">
        <v>513</v>
      </c>
      <c r="J316" s="259" t="s">
        <v>576</v>
      </c>
      <c r="K316" s="171">
        <v>16</v>
      </c>
      <c r="L316" s="260" t="str">
        <f>VLOOKUP(Ruimtestaat[[#This Row],[Ruimte code]],Ruimtegroepen[#All],2,FALSE)</f>
        <v>Leslokalen</v>
      </c>
      <c r="M316" s="258" t="s">
        <v>598</v>
      </c>
      <c r="N316" s="257" t="s">
        <v>132</v>
      </c>
      <c r="O316" s="261">
        <v>50.2</v>
      </c>
      <c r="P316" s="183"/>
      <c r="Q316" s="212" t="str">
        <f>VLOOKUP(Ruimtestaat[[#This Row],[Ruimte code]],Ruimtegroepen[#All],4,FALSE)</f>
        <v>L  (Lesruimte)</v>
      </c>
      <c r="R316" s="184"/>
      <c r="S316" s="185">
        <v>40</v>
      </c>
      <c r="T316" s="185" t="s">
        <v>2</v>
      </c>
      <c r="U316" s="185">
        <f>IF(S316&gt;0,IF(RIGHT(Ruimtestaat[[#This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6" s="185">
        <f>IF(U316&gt;0,VLOOKUP($K316,Ruimtegroepen[],3,FALSE)*VLOOKUP($M316,Vloersoorten[],3,FALSE)*VLOOKUP($T316,Frequenties[],3,FALSE)*VLOOKUP($A316,Locaties[],3,FALSE),0)</f>
        <v>0</v>
      </c>
      <c r="W316" s="185">
        <f>Ruimtestaat[[#This Row],[Uitvoeringen werkdagen]]*Ruimtestaat[[#This Row],[Oppervlak (netto)]]</f>
        <v>10040</v>
      </c>
      <c r="X316" s="220">
        <f>IF(V316&gt;0,Ruimtestaat[[#This Row],[Prest. (m2 /jaar) werkdagen]]/Ruimtestaat[[#This Row],[Norm (m2/uur) werkdagen]],0)</f>
        <v>0</v>
      </c>
      <c r="Y316" s="221">
        <f>Ruimtestaat[[#This Row],[uren / jaar werkdagen]]*Tariefsopbouw!$D$38</f>
        <v>0</v>
      </c>
      <c r="Z316" s="33"/>
      <c r="AA316" s="33">
        <f>IF(Ruimtestaat[[#This Row],[Frequentie weekend]]&gt;0,VALUE(LEFT(Z316,1))*S316,0)</f>
        <v>0</v>
      </c>
      <c r="AB316" s="33">
        <f>IF($AA316&gt;0,VLOOKUP($K316,Ruimtegroepen[],3,FALSE)*VLOOKUP($M316,Vloersoorten[],3,FALSE)*VLOOKUP($Z316,Frequenties[],3,FALSE)*VLOOKUP(#REF!,Locaties[],3,FALSE),0)</f>
        <v>0</v>
      </c>
      <c r="AC316" s="33"/>
      <c r="AD316" s="33"/>
      <c r="AE316" s="33">
        <f>Ruimtestaat[[#This Row],[uren / jaar weekend]]*Tariefsopbouw!$D$40</f>
        <v>0</v>
      </c>
      <c r="AF316" s="79">
        <f>Ruimtestaat[[#This Row],[Prest. (m2 /jaar) weekend]]+Ruimtestaat[[#This Row],[Prest. (m2 /jaar) werkdagen]]</f>
        <v>10040</v>
      </c>
      <c r="AG316" s="79">
        <f>Ruimtestaat[[#This Row],[uren / jaar weekend]]+Ruimtestaat[[#This Row],[uren / jaar werkdagen]]</f>
        <v>0</v>
      </c>
      <c r="AH316" s="80">
        <f>Ruimtestaat[[#This Row],[kosten / jaar weekend]]+Ruimtestaat[[#This Row],[kosten / jaar werkdagen]]</f>
        <v>0</v>
      </c>
    </row>
    <row r="317" spans="1:34" ht="15" customHeight="1">
      <c r="A317" s="256">
        <v>5</v>
      </c>
      <c r="B317" s="171" t="str">
        <f>VLOOKUP(Ruimtestaat[[#This Row],[Code]],Locaties[#All],2,FALSE)</f>
        <v>VSO Het Mozaïek Almelo</v>
      </c>
      <c r="C317" s="258" t="str">
        <f>VLOOKUP(Ruimtestaat[[#This Row],[Code]],Locaties[#All],4,FALSE)</f>
        <v>Cesar Franckstaat 3</v>
      </c>
      <c r="D317" s="258" t="str">
        <f>VLOOKUP(Ruimtestaat[[#This Row],[Code]],Locaties[#All],5,FALSE)</f>
        <v>7604JE</v>
      </c>
      <c r="E317" s="258" t="str">
        <f>VLOOKUP(Ruimtestaat[[#This Row],[Code]],Locaties[#All],6,FALSE)</f>
        <v>Almelo</v>
      </c>
      <c r="F317" s="257" t="s">
        <v>1114</v>
      </c>
      <c r="G317" s="257" t="s">
        <v>564</v>
      </c>
      <c r="H317" s="171"/>
      <c r="I317" s="257" t="s">
        <v>514</v>
      </c>
      <c r="J317" s="259" t="s">
        <v>576</v>
      </c>
      <c r="K317" s="185">
        <v>16</v>
      </c>
      <c r="L317" s="260" t="str">
        <f>VLOOKUP(Ruimtestaat[[#This Row],[Ruimte code]],Ruimtegroepen[#All],2,FALSE)</f>
        <v>Leslokalen</v>
      </c>
      <c r="M317" s="258" t="s">
        <v>598</v>
      </c>
      <c r="N317" s="257" t="s">
        <v>132</v>
      </c>
      <c r="O317" s="261">
        <v>50.2</v>
      </c>
      <c r="P317" s="183"/>
      <c r="Q317" s="212" t="str">
        <f>VLOOKUP(Ruimtestaat[[#This Row],[Ruimte code]],Ruimtegroepen[#All],4,FALSE)</f>
        <v>L  (Lesruimte)</v>
      </c>
      <c r="R317" s="184"/>
      <c r="S317" s="185">
        <v>40</v>
      </c>
      <c r="T317" s="185" t="s">
        <v>2</v>
      </c>
      <c r="U317" s="185">
        <f>IF(S317&gt;0,IF(RIGHT(Ruimtestaat[[#This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7" s="185">
        <f>IF(U317&gt;0,VLOOKUP($K317,Ruimtegroepen[],3,FALSE)*VLOOKUP($M317,Vloersoorten[],3,FALSE)*VLOOKUP($T317,Frequenties[],3,FALSE)*VLOOKUP($A317,Locaties[],3,FALSE),0)</f>
        <v>0</v>
      </c>
      <c r="W317" s="185">
        <f>Ruimtestaat[[#This Row],[Uitvoeringen werkdagen]]*Ruimtestaat[[#This Row],[Oppervlak (netto)]]</f>
        <v>10040</v>
      </c>
      <c r="X317" s="220">
        <f>IF(V317&gt;0,Ruimtestaat[[#This Row],[Prest. (m2 /jaar) werkdagen]]/Ruimtestaat[[#This Row],[Norm (m2/uur) werkdagen]],0)</f>
        <v>0</v>
      </c>
      <c r="Y317" s="221">
        <f>Ruimtestaat[[#This Row],[uren / jaar werkdagen]]*Tariefsopbouw!$D$38</f>
        <v>0</v>
      </c>
      <c r="Z317" s="33"/>
      <c r="AA317" s="33">
        <f>IF(Ruimtestaat[[#This Row],[Frequentie weekend]]&gt;0,VALUE(LEFT(Z317,1))*S317,0)</f>
        <v>0</v>
      </c>
      <c r="AB317" s="33">
        <f>IF($AA317&gt;0,VLOOKUP($K317,Ruimtegroepen[],3,FALSE)*VLOOKUP($M317,Vloersoorten[],3,FALSE)*VLOOKUP($Z317,Frequenties[],3,FALSE)*VLOOKUP(#REF!,Locaties[],3,FALSE),0)</f>
        <v>0</v>
      </c>
      <c r="AC317" s="33"/>
      <c r="AD317" s="33"/>
      <c r="AE317" s="33">
        <f>Ruimtestaat[[#This Row],[uren / jaar weekend]]*Tariefsopbouw!$D$40</f>
        <v>0</v>
      </c>
      <c r="AF317" s="79">
        <f>Ruimtestaat[[#This Row],[Prest. (m2 /jaar) weekend]]+Ruimtestaat[[#This Row],[Prest. (m2 /jaar) werkdagen]]</f>
        <v>10040</v>
      </c>
      <c r="AG317" s="79">
        <f>Ruimtestaat[[#This Row],[uren / jaar weekend]]+Ruimtestaat[[#This Row],[uren / jaar werkdagen]]</f>
        <v>0</v>
      </c>
      <c r="AH317" s="80">
        <f>Ruimtestaat[[#This Row],[kosten / jaar weekend]]+Ruimtestaat[[#This Row],[kosten / jaar werkdagen]]</f>
        <v>0</v>
      </c>
    </row>
    <row r="318" spans="1:34" ht="15" customHeight="1">
      <c r="A318" s="256">
        <v>5</v>
      </c>
      <c r="B318" s="171" t="str">
        <f>VLOOKUP(Ruimtestaat[[#This Row],[Code]],Locaties[#All],2,FALSE)</f>
        <v>VSO Het Mozaïek Almelo</v>
      </c>
      <c r="C318" s="258" t="str">
        <f>VLOOKUP(Ruimtestaat[[#This Row],[Code]],Locaties[#All],4,FALSE)</f>
        <v>Cesar Franckstaat 3</v>
      </c>
      <c r="D318" s="258" t="str">
        <f>VLOOKUP(Ruimtestaat[[#This Row],[Code]],Locaties[#All],5,FALSE)</f>
        <v>7604JE</v>
      </c>
      <c r="E318" s="258" t="str">
        <f>VLOOKUP(Ruimtestaat[[#This Row],[Code]],Locaties[#All],6,FALSE)</f>
        <v>Almelo</v>
      </c>
      <c r="F318" s="257" t="s">
        <v>1114</v>
      </c>
      <c r="G318" s="257" t="s">
        <v>564</v>
      </c>
      <c r="H318" s="171"/>
      <c r="I318" s="257" t="s">
        <v>515</v>
      </c>
      <c r="J318" s="259" t="s">
        <v>683</v>
      </c>
      <c r="K318" s="185">
        <v>5</v>
      </c>
      <c r="L318" s="260" t="str">
        <f>VLOOKUP(Ruimtestaat[[#This Row],[Ruimte code]],Ruimtegroepen[#All],2,FALSE)</f>
        <v>Sanitair</v>
      </c>
      <c r="M318" s="212" t="s">
        <v>111</v>
      </c>
      <c r="N318" s="257" t="s">
        <v>606</v>
      </c>
      <c r="O318" s="261">
        <v>10.8</v>
      </c>
      <c r="P318" s="183"/>
      <c r="Q318" s="212" t="str">
        <f>VLOOKUP(Ruimtestaat[[#This Row],[Ruimte code]],Ruimtegroepen[#All],4,FALSE)</f>
        <v>S  (Sanitair)</v>
      </c>
      <c r="R318" s="184"/>
      <c r="S318" s="185">
        <v>40</v>
      </c>
      <c r="T318" s="185" t="s">
        <v>2</v>
      </c>
      <c r="U318" s="185">
        <f>IF(S318&gt;0,IF(RIGHT(Ruimtestaat[[#This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8" s="185">
        <f>IF(U318&gt;0,VLOOKUP($K318,Ruimtegroepen[],3,FALSE)*VLOOKUP($M318,Vloersoorten[],3,FALSE)*VLOOKUP($T318,Frequenties[],3,FALSE)*VLOOKUP($A318,Locaties[],3,FALSE),0)</f>
        <v>0</v>
      </c>
      <c r="W318" s="185">
        <f>Ruimtestaat[[#This Row],[Uitvoeringen werkdagen]]*Ruimtestaat[[#This Row],[Oppervlak (netto)]]</f>
        <v>2160</v>
      </c>
      <c r="X318" s="220">
        <f>IF(V318&gt;0,Ruimtestaat[[#This Row],[Prest. (m2 /jaar) werkdagen]]/Ruimtestaat[[#This Row],[Norm (m2/uur) werkdagen]],0)</f>
        <v>0</v>
      </c>
      <c r="Y318" s="221">
        <f>Ruimtestaat[[#This Row],[uren / jaar werkdagen]]*Tariefsopbouw!$D$38</f>
        <v>0</v>
      </c>
      <c r="Z318" s="33"/>
      <c r="AA318" s="33">
        <f>IF(Ruimtestaat[[#This Row],[Frequentie weekend]]&gt;0,VALUE(LEFT(Z318,1))*S318,0)</f>
        <v>0</v>
      </c>
      <c r="AB318" s="33">
        <f>IF($AA318&gt;0,VLOOKUP($K318,Ruimtegroepen[],3,FALSE)*VLOOKUP($M318,Vloersoorten[],3,FALSE)*VLOOKUP($Z318,Frequenties[],3,FALSE)*VLOOKUP(#REF!,Locaties[],3,FALSE),0)</f>
        <v>0</v>
      </c>
      <c r="AC318" s="33"/>
      <c r="AD318" s="33"/>
      <c r="AE318" s="33">
        <f>Ruimtestaat[[#This Row],[uren / jaar weekend]]*Tariefsopbouw!$D$40</f>
        <v>0</v>
      </c>
      <c r="AF318" s="79">
        <f>Ruimtestaat[[#This Row],[Prest. (m2 /jaar) weekend]]+Ruimtestaat[[#This Row],[Prest. (m2 /jaar) werkdagen]]</f>
        <v>2160</v>
      </c>
      <c r="AG318" s="79">
        <f>Ruimtestaat[[#This Row],[uren / jaar weekend]]+Ruimtestaat[[#This Row],[uren / jaar werkdagen]]</f>
        <v>0</v>
      </c>
      <c r="AH318" s="80">
        <f>Ruimtestaat[[#This Row],[kosten / jaar weekend]]+Ruimtestaat[[#This Row],[kosten / jaar werkdagen]]</f>
        <v>0</v>
      </c>
    </row>
    <row r="319" spans="1:34" ht="15" customHeight="1">
      <c r="A319" s="256">
        <v>5</v>
      </c>
      <c r="B319" s="171" t="str">
        <f>VLOOKUP(Ruimtestaat[[#This Row],[Code]],Locaties[#All],2,FALSE)</f>
        <v>VSO Het Mozaïek Almelo</v>
      </c>
      <c r="C319" s="258" t="str">
        <f>VLOOKUP(Ruimtestaat[[#This Row],[Code]],Locaties[#All],4,FALSE)</f>
        <v>Cesar Franckstaat 3</v>
      </c>
      <c r="D319" s="258" t="str">
        <f>VLOOKUP(Ruimtestaat[[#This Row],[Code]],Locaties[#All],5,FALSE)</f>
        <v>7604JE</v>
      </c>
      <c r="E319" s="258" t="str">
        <f>VLOOKUP(Ruimtestaat[[#This Row],[Code]],Locaties[#All],6,FALSE)</f>
        <v>Almelo</v>
      </c>
      <c r="F319" s="257" t="s">
        <v>1114</v>
      </c>
      <c r="G319" s="257" t="s">
        <v>564</v>
      </c>
      <c r="H319" s="171"/>
      <c r="I319" s="257" t="s">
        <v>516</v>
      </c>
      <c r="J319" s="259" t="s">
        <v>576</v>
      </c>
      <c r="K319" s="171">
        <v>16</v>
      </c>
      <c r="L319" s="260" t="str">
        <f>VLOOKUP(Ruimtestaat[[#This Row],[Ruimte code]],Ruimtegroepen[#All],2,FALSE)</f>
        <v>Leslokalen</v>
      </c>
      <c r="M319" s="258" t="s">
        <v>598</v>
      </c>
      <c r="N319" s="257" t="s">
        <v>132</v>
      </c>
      <c r="O319" s="261">
        <v>50.2</v>
      </c>
      <c r="P319" s="183"/>
      <c r="Q319" s="212" t="str">
        <f>VLOOKUP(Ruimtestaat[[#This Row],[Ruimte code]],Ruimtegroepen[#All],4,FALSE)</f>
        <v>L  (Lesruimte)</v>
      </c>
      <c r="R319" s="184"/>
      <c r="S319" s="185">
        <v>40</v>
      </c>
      <c r="T319" s="185" t="s">
        <v>2</v>
      </c>
      <c r="U319" s="185">
        <f>IF(S319&gt;0,IF(RIGHT(Ruimtestaat[[#This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9" s="185">
        <f>IF(U319&gt;0,VLOOKUP($K319,Ruimtegroepen[],3,FALSE)*VLOOKUP($M319,Vloersoorten[],3,FALSE)*VLOOKUP($T319,Frequenties[],3,FALSE)*VLOOKUP($A319,Locaties[],3,FALSE),0)</f>
        <v>0</v>
      </c>
      <c r="W319" s="185">
        <f>Ruimtestaat[[#This Row],[Uitvoeringen werkdagen]]*Ruimtestaat[[#This Row],[Oppervlak (netto)]]</f>
        <v>10040</v>
      </c>
      <c r="X319" s="220">
        <f>IF(V319&gt;0,Ruimtestaat[[#This Row],[Prest. (m2 /jaar) werkdagen]]/Ruimtestaat[[#This Row],[Norm (m2/uur) werkdagen]],0)</f>
        <v>0</v>
      </c>
      <c r="Y319" s="221">
        <f>Ruimtestaat[[#This Row],[uren / jaar werkdagen]]*Tariefsopbouw!$D$38</f>
        <v>0</v>
      </c>
      <c r="Z319" s="33"/>
      <c r="AA319" s="33">
        <f>IF(Ruimtestaat[[#This Row],[Frequentie weekend]]&gt;0,VALUE(LEFT(Z319,1))*S319,0)</f>
        <v>0</v>
      </c>
      <c r="AB319" s="33">
        <f>IF($AA319&gt;0,VLOOKUP($K319,Ruimtegroepen[],3,FALSE)*VLOOKUP($M319,Vloersoorten[],3,FALSE)*VLOOKUP($Z319,Frequenties[],3,FALSE)*VLOOKUP(#REF!,Locaties[],3,FALSE),0)</f>
        <v>0</v>
      </c>
      <c r="AC319" s="33"/>
      <c r="AD319" s="33"/>
      <c r="AE319" s="33">
        <f>Ruimtestaat[[#This Row],[uren / jaar weekend]]*Tariefsopbouw!$D$40</f>
        <v>0</v>
      </c>
      <c r="AF319" s="79">
        <f>Ruimtestaat[[#This Row],[Prest. (m2 /jaar) weekend]]+Ruimtestaat[[#This Row],[Prest. (m2 /jaar) werkdagen]]</f>
        <v>10040</v>
      </c>
      <c r="AG319" s="79">
        <f>Ruimtestaat[[#This Row],[uren / jaar weekend]]+Ruimtestaat[[#This Row],[uren / jaar werkdagen]]</f>
        <v>0</v>
      </c>
      <c r="AH319" s="80">
        <f>Ruimtestaat[[#This Row],[kosten / jaar weekend]]+Ruimtestaat[[#This Row],[kosten / jaar werkdagen]]</f>
        <v>0</v>
      </c>
    </row>
    <row r="320" spans="1:34" ht="15" customHeight="1">
      <c r="A320" s="256">
        <v>5</v>
      </c>
      <c r="B320" s="171" t="str">
        <f>VLOOKUP(Ruimtestaat[[#This Row],[Code]],Locaties[#All],2,FALSE)</f>
        <v>VSO Het Mozaïek Almelo</v>
      </c>
      <c r="C320" s="258" t="str">
        <f>VLOOKUP(Ruimtestaat[[#This Row],[Code]],Locaties[#All],4,FALSE)</f>
        <v>Cesar Franckstaat 3</v>
      </c>
      <c r="D320" s="258" t="str">
        <f>VLOOKUP(Ruimtestaat[[#This Row],[Code]],Locaties[#All],5,FALSE)</f>
        <v>7604JE</v>
      </c>
      <c r="E320" s="258" t="str">
        <f>VLOOKUP(Ruimtestaat[[#This Row],[Code]],Locaties[#All],6,FALSE)</f>
        <v>Almelo</v>
      </c>
      <c r="F320" s="257" t="s">
        <v>1114</v>
      </c>
      <c r="G320" s="257" t="s">
        <v>564</v>
      </c>
      <c r="H320" s="171"/>
      <c r="I320" s="257" t="s">
        <v>517</v>
      </c>
      <c r="J320" s="259" t="s">
        <v>585</v>
      </c>
      <c r="K320" s="258">
        <v>1</v>
      </c>
      <c r="L320" s="260" t="str">
        <f>VLOOKUP(Ruimtestaat[[#This Row],[Ruimte code]],Ruimtegroepen[#All],2,FALSE)</f>
        <v>Magazijnen/bergingen</v>
      </c>
      <c r="M320" s="185" t="s">
        <v>598</v>
      </c>
      <c r="N320" s="257" t="s">
        <v>132</v>
      </c>
      <c r="O320" s="261">
        <v>5.4</v>
      </c>
      <c r="P320" s="183"/>
      <c r="Q320" s="212" t="str">
        <f>VLOOKUP(Ruimtestaat[[#This Row],[Ruimte code]],Ruimtegroepen[#All],4,FALSE)</f>
        <v>V  (Verkeersruimte)</v>
      </c>
      <c r="R320" s="184"/>
      <c r="S320" s="185">
        <v>40</v>
      </c>
      <c r="T320" s="185" t="s">
        <v>15</v>
      </c>
      <c r="U320" s="185">
        <f>IF(S320&gt;0,IF(RIGHT(Ruimtestaat[[#This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20" s="185">
        <f>IF(U320&gt;0,VLOOKUP($K320,Ruimtegroepen[],3,FALSE)*VLOOKUP($M320,Vloersoorten[],3,FALSE)*VLOOKUP($T320,Frequenties[],3,FALSE)*VLOOKUP($A320,Locaties[],3,FALSE),0)</f>
        <v>0</v>
      </c>
      <c r="W320" s="185">
        <f>Ruimtestaat[[#This Row],[Uitvoeringen werkdagen]]*Ruimtestaat[[#This Row],[Oppervlak (netto)]]</f>
        <v>216</v>
      </c>
      <c r="X320" s="220">
        <f>IF(V320&gt;0,Ruimtestaat[[#This Row],[Prest. (m2 /jaar) werkdagen]]/Ruimtestaat[[#This Row],[Norm (m2/uur) werkdagen]],0)</f>
        <v>0</v>
      </c>
      <c r="Y320" s="221">
        <f>Ruimtestaat[[#This Row],[uren / jaar werkdagen]]*Tariefsopbouw!$D$38</f>
        <v>0</v>
      </c>
      <c r="Z320" s="33"/>
      <c r="AA320" s="33">
        <f>IF(Ruimtestaat[[#This Row],[Frequentie weekend]]&gt;0,VALUE(LEFT(Z320,1))*S320,0)</f>
        <v>0</v>
      </c>
      <c r="AB320" s="33">
        <f>IF($AA320&gt;0,VLOOKUP($K320,Ruimtegroepen[],3,FALSE)*VLOOKUP($M320,Vloersoorten[],3,FALSE)*VLOOKUP($Z320,Frequenties[],3,FALSE)*VLOOKUP(#REF!,Locaties[],3,FALSE),0)</f>
        <v>0</v>
      </c>
      <c r="AC320" s="33"/>
      <c r="AD320" s="33"/>
      <c r="AE320" s="33">
        <f>Ruimtestaat[[#This Row],[uren / jaar weekend]]*Tariefsopbouw!$D$40</f>
        <v>0</v>
      </c>
      <c r="AF320" s="79">
        <f>Ruimtestaat[[#This Row],[Prest. (m2 /jaar) weekend]]+Ruimtestaat[[#This Row],[Prest. (m2 /jaar) werkdagen]]</f>
        <v>216</v>
      </c>
      <c r="AG320" s="79">
        <f>Ruimtestaat[[#This Row],[uren / jaar weekend]]+Ruimtestaat[[#This Row],[uren / jaar werkdagen]]</f>
        <v>0</v>
      </c>
      <c r="AH320" s="80">
        <f>Ruimtestaat[[#This Row],[kosten / jaar weekend]]+Ruimtestaat[[#This Row],[kosten / jaar werkdagen]]</f>
        <v>0</v>
      </c>
    </row>
    <row r="321" spans="1:34" ht="15" customHeight="1">
      <c r="A321" s="256">
        <v>5</v>
      </c>
      <c r="B321" s="171" t="str">
        <f>VLOOKUP(Ruimtestaat[[#This Row],[Code]],Locaties[#All],2,FALSE)</f>
        <v>VSO Het Mozaïek Almelo</v>
      </c>
      <c r="C321" s="258" t="str">
        <f>VLOOKUP(Ruimtestaat[[#This Row],[Code]],Locaties[#All],4,FALSE)</f>
        <v>Cesar Franckstaat 3</v>
      </c>
      <c r="D321" s="258" t="str">
        <f>VLOOKUP(Ruimtestaat[[#This Row],[Code]],Locaties[#All],5,FALSE)</f>
        <v>7604JE</v>
      </c>
      <c r="E321" s="258" t="str">
        <f>VLOOKUP(Ruimtestaat[[#This Row],[Code]],Locaties[#All],6,FALSE)</f>
        <v>Almelo</v>
      </c>
      <c r="F321" s="257" t="s">
        <v>1114</v>
      </c>
      <c r="G321" s="257" t="s">
        <v>564</v>
      </c>
      <c r="H321" s="171"/>
      <c r="I321" s="257" t="s">
        <v>518</v>
      </c>
      <c r="J321" s="259" t="s">
        <v>576</v>
      </c>
      <c r="K321" s="258">
        <v>16</v>
      </c>
      <c r="L321" s="260" t="str">
        <f>VLOOKUP(Ruimtestaat[[#This Row],[Ruimte code]],Ruimtegroepen[#All],2,FALSE)</f>
        <v>Leslokalen</v>
      </c>
      <c r="M321" s="258" t="s">
        <v>598</v>
      </c>
      <c r="N321" s="257" t="s">
        <v>132</v>
      </c>
      <c r="O321" s="261">
        <v>65.400000000000006</v>
      </c>
      <c r="P321" s="183"/>
      <c r="Q321" s="212" t="str">
        <f>VLOOKUP(Ruimtestaat[[#This Row],[Ruimte code]],Ruimtegroepen[#All],4,FALSE)</f>
        <v>L  (Lesruimte)</v>
      </c>
      <c r="R321" s="184"/>
      <c r="S321" s="185">
        <v>40</v>
      </c>
      <c r="T321" s="185" t="s">
        <v>2</v>
      </c>
      <c r="U321" s="185">
        <f>IF(S321&gt;0,IF(RIGHT(Ruimtestaat[[#This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1" s="185">
        <f>IF(U321&gt;0,VLOOKUP($K321,Ruimtegroepen[],3,FALSE)*VLOOKUP($M321,Vloersoorten[],3,FALSE)*VLOOKUP($T321,Frequenties[],3,FALSE)*VLOOKUP($A321,Locaties[],3,FALSE),0)</f>
        <v>0</v>
      </c>
      <c r="W321" s="185">
        <f>Ruimtestaat[[#This Row],[Uitvoeringen werkdagen]]*Ruimtestaat[[#This Row],[Oppervlak (netto)]]</f>
        <v>13080.000000000002</v>
      </c>
      <c r="X321" s="220">
        <f>IF(V321&gt;0,Ruimtestaat[[#This Row],[Prest. (m2 /jaar) werkdagen]]/Ruimtestaat[[#This Row],[Norm (m2/uur) werkdagen]],0)</f>
        <v>0</v>
      </c>
      <c r="Y321" s="221">
        <f>Ruimtestaat[[#This Row],[uren / jaar werkdagen]]*Tariefsopbouw!$D$38</f>
        <v>0</v>
      </c>
      <c r="Z321" s="33"/>
      <c r="AA321" s="33">
        <f>IF(Ruimtestaat[[#This Row],[Frequentie weekend]]&gt;0,VALUE(LEFT(Z321,1))*S321,0)</f>
        <v>0</v>
      </c>
      <c r="AB321" s="33">
        <f>IF($AA321&gt;0,VLOOKUP($K321,Ruimtegroepen[],3,FALSE)*VLOOKUP($M321,Vloersoorten[],3,FALSE)*VLOOKUP($Z321,Frequenties[],3,FALSE)*VLOOKUP(#REF!,Locaties[],3,FALSE),0)</f>
        <v>0</v>
      </c>
      <c r="AC321" s="33"/>
      <c r="AD321" s="33"/>
      <c r="AE321" s="33">
        <f>Ruimtestaat[[#This Row],[uren / jaar weekend]]*Tariefsopbouw!$D$40</f>
        <v>0</v>
      </c>
      <c r="AF321" s="79">
        <f>Ruimtestaat[[#This Row],[Prest. (m2 /jaar) weekend]]+Ruimtestaat[[#This Row],[Prest. (m2 /jaar) werkdagen]]</f>
        <v>13080.000000000002</v>
      </c>
      <c r="AG321" s="79">
        <f>Ruimtestaat[[#This Row],[uren / jaar weekend]]+Ruimtestaat[[#This Row],[uren / jaar werkdagen]]</f>
        <v>0</v>
      </c>
      <c r="AH321" s="80">
        <f>Ruimtestaat[[#This Row],[kosten / jaar weekend]]+Ruimtestaat[[#This Row],[kosten / jaar werkdagen]]</f>
        <v>0</v>
      </c>
    </row>
    <row r="322" spans="1:34" ht="15" customHeight="1">
      <c r="A322" s="256">
        <v>5</v>
      </c>
      <c r="B322" s="171" t="str">
        <f>VLOOKUP(Ruimtestaat[[#This Row],[Code]],Locaties[#All],2,FALSE)</f>
        <v>VSO Het Mozaïek Almelo</v>
      </c>
      <c r="C322" s="258" t="str">
        <f>VLOOKUP(Ruimtestaat[[#This Row],[Code]],Locaties[#All],4,FALSE)</f>
        <v>Cesar Franckstaat 3</v>
      </c>
      <c r="D322" s="258" t="str">
        <f>VLOOKUP(Ruimtestaat[[#This Row],[Code]],Locaties[#All],5,FALSE)</f>
        <v>7604JE</v>
      </c>
      <c r="E322" s="258" t="str">
        <f>VLOOKUP(Ruimtestaat[[#This Row],[Code]],Locaties[#All],6,FALSE)</f>
        <v>Almelo</v>
      </c>
      <c r="F322" s="257" t="s">
        <v>1114</v>
      </c>
      <c r="G322" s="257" t="s">
        <v>564</v>
      </c>
      <c r="H322" s="171"/>
      <c r="I322" s="257" t="s">
        <v>519</v>
      </c>
      <c r="J322" s="259" t="s">
        <v>783</v>
      </c>
      <c r="K322" s="258">
        <v>10</v>
      </c>
      <c r="L322" s="260" t="str">
        <f>VLOOKUP(Ruimtestaat[[#This Row],[Ruimte code]],Ruimtegroepen[#All],2,FALSE)</f>
        <v>Trappenhuizen/lift</v>
      </c>
      <c r="M322" s="258" t="s">
        <v>598</v>
      </c>
      <c r="N322" s="257" t="s">
        <v>132</v>
      </c>
      <c r="O322" s="261">
        <v>16.600000000000001</v>
      </c>
      <c r="P322" s="183"/>
      <c r="Q322" s="212" t="str">
        <f>VLOOKUP(Ruimtestaat[[#This Row],[Ruimte code]],Ruimtegroepen[#All],4,FALSE)</f>
        <v>V  (Verkeersruimte)</v>
      </c>
      <c r="R322" s="184"/>
      <c r="S322" s="185">
        <v>40</v>
      </c>
      <c r="T322" s="185" t="s">
        <v>2</v>
      </c>
      <c r="U322" s="185">
        <f>IF(S322&gt;0,IF(RIGHT(Ruimtestaat[[#This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2" s="185">
        <f>IF(U322&gt;0,VLOOKUP($K322,Ruimtegroepen[],3,FALSE)*VLOOKUP($M322,Vloersoorten[],3,FALSE)*VLOOKUP($T322,Frequenties[],3,FALSE)*VLOOKUP($A322,Locaties[],3,FALSE),0)</f>
        <v>0</v>
      </c>
      <c r="W322" s="185">
        <f>Ruimtestaat[[#This Row],[Uitvoeringen werkdagen]]*Ruimtestaat[[#This Row],[Oppervlak (netto)]]</f>
        <v>3320.0000000000005</v>
      </c>
      <c r="X322" s="220">
        <f>IF(V322&gt;0,Ruimtestaat[[#This Row],[Prest. (m2 /jaar) werkdagen]]/Ruimtestaat[[#This Row],[Norm (m2/uur) werkdagen]],0)</f>
        <v>0</v>
      </c>
      <c r="Y322" s="221">
        <f>Ruimtestaat[[#This Row],[uren / jaar werkdagen]]*Tariefsopbouw!$D$38</f>
        <v>0</v>
      </c>
      <c r="Z322" s="33"/>
      <c r="AA322" s="33">
        <f>IF(Ruimtestaat[[#This Row],[Frequentie weekend]]&gt;0,VALUE(LEFT(Z322,1))*S322,0)</f>
        <v>0</v>
      </c>
      <c r="AB322" s="33">
        <f>IF($AA322&gt;0,VLOOKUP($K322,Ruimtegroepen[],3,FALSE)*VLOOKUP($M322,Vloersoorten[],3,FALSE)*VLOOKUP($Z322,Frequenties[],3,FALSE)*VLOOKUP(#REF!,Locaties[],3,FALSE),0)</f>
        <v>0</v>
      </c>
      <c r="AC322" s="33"/>
      <c r="AD322" s="33"/>
      <c r="AE322" s="33">
        <f>Ruimtestaat[[#This Row],[uren / jaar weekend]]*Tariefsopbouw!$D$40</f>
        <v>0</v>
      </c>
      <c r="AF322" s="79">
        <f>Ruimtestaat[[#This Row],[Prest. (m2 /jaar) weekend]]+Ruimtestaat[[#This Row],[Prest. (m2 /jaar) werkdagen]]</f>
        <v>3320.0000000000005</v>
      </c>
      <c r="AG322" s="79">
        <f>Ruimtestaat[[#This Row],[uren / jaar weekend]]+Ruimtestaat[[#This Row],[uren / jaar werkdagen]]</f>
        <v>0</v>
      </c>
      <c r="AH322" s="80">
        <f>Ruimtestaat[[#This Row],[kosten / jaar weekend]]+Ruimtestaat[[#This Row],[kosten / jaar werkdagen]]</f>
        <v>0</v>
      </c>
    </row>
    <row r="323" spans="1:34" ht="15" customHeight="1">
      <c r="A323" s="256">
        <v>5</v>
      </c>
      <c r="B323" s="171" t="str">
        <f>VLOOKUP(Ruimtestaat[[#This Row],[Code]],Locaties[#All],2,FALSE)</f>
        <v>VSO Het Mozaïek Almelo</v>
      </c>
      <c r="C323" s="258" t="str">
        <f>VLOOKUP(Ruimtestaat[[#This Row],[Code]],Locaties[#All],4,FALSE)</f>
        <v>Cesar Franckstaat 3</v>
      </c>
      <c r="D323" s="258" t="str">
        <f>VLOOKUP(Ruimtestaat[[#This Row],[Code]],Locaties[#All],5,FALSE)</f>
        <v>7604JE</v>
      </c>
      <c r="E323" s="258" t="str">
        <f>VLOOKUP(Ruimtestaat[[#This Row],[Code]],Locaties[#All],6,FALSE)</f>
        <v>Almelo</v>
      </c>
      <c r="F323" s="257" t="s">
        <v>1114</v>
      </c>
      <c r="G323" s="257" t="s">
        <v>564</v>
      </c>
      <c r="H323" s="171"/>
      <c r="I323" s="257" t="s">
        <v>780</v>
      </c>
      <c r="J323" s="259" t="s">
        <v>567</v>
      </c>
      <c r="K323" s="258">
        <v>9</v>
      </c>
      <c r="L323" s="260" t="str">
        <f>VLOOKUP(Ruimtestaat[[#This Row],[Ruimte code]],Ruimtegroepen[#All],2,FALSE)</f>
        <v>Time-out ruimte</v>
      </c>
      <c r="M323" s="258" t="s">
        <v>597</v>
      </c>
      <c r="N323" s="257" t="s">
        <v>38</v>
      </c>
      <c r="O323" s="261">
        <v>5.4</v>
      </c>
      <c r="P323" s="183"/>
      <c r="Q323" s="212" t="str">
        <f>VLOOKUP(Ruimtestaat[[#This Row],[Ruimte code]],Ruimtegroepen[#All],4,FALSE)</f>
        <v>V  (Verkeersruimte)</v>
      </c>
      <c r="R323" s="184"/>
      <c r="S323" s="185">
        <v>40</v>
      </c>
      <c r="T323" s="185" t="s">
        <v>17</v>
      </c>
      <c r="U323" s="185">
        <f>IF(S323&gt;0,IF(RIGHT(Ruimtestaat[[#This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23" s="185">
        <f>IF(U323&gt;0,VLOOKUP($K323,Ruimtegroepen[],3,FALSE)*VLOOKUP($M323,Vloersoorten[],3,FALSE)*VLOOKUP($T323,Frequenties[],3,FALSE)*VLOOKUP($A323,Locaties[],3,FALSE),0)</f>
        <v>0</v>
      </c>
      <c r="W323" s="185">
        <f>Ruimtestaat[[#This Row],[Uitvoeringen werkdagen]]*Ruimtestaat[[#This Row],[Oppervlak (netto)]]</f>
        <v>432</v>
      </c>
      <c r="X323" s="220">
        <f>IF(V323&gt;0,Ruimtestaat[[#This Row],[Prest. (m2 /jaar) werkdagen]]/Ruimtestaat[[#This Row],[Norm (m2/uur) werkdagen]],0)</f>
        <v>0</v>
      </c>
      <c r="Y323" s="221">
        <f>Ruimtestaat[[#This Row],[uren / jaar werkdagen]]*Tariefsopbouw!$D$38</f>
        <v>0</v>
      </c>
      <c r="Z323" s="33"/>
      <c r="AA323" s="33">
        <f>IF(Ruimtestaat[[#This Row],[Frequentie weekend]]&gt;0,VALUE(LEFT(Z323,1))*S323,0)</f>
        <v>0</v>
      </c>
      <c r="AB323" s="33">
        <f>IF($AA323&gt;0,VLOOKUP($K323,Ruimtegroepen[],3,FALSE)*VLOOKUP($M323,Vloersoorten[],3,FALSE)*VLOOKUP($Z323,Frequenties[],3,FALSE)*VLOOKUP(#REF!,Locaties[],3,FALSE),0)</f>
        <v>0</v>
      </c>
      <c r="AC323" s="33"/>
      <c r="AD323" s="33"/>
      <c r="AE323" s="33">
        <f>Ruimtestaat[[#This Row],[uren / jaar weekend]]*Tariefsopbouw!$D$40</f>
        <v>0</v>
      </c>
      <c r="AF323" s="79">
        <f>Ruimtestaat[[#This Row],[Prest. (m2 /jaar) weekend]]+Ruimtestaat[[#This Row],[Prest. (m2 /jaar) werkdagen]]</f>
        <v>432</v>
      </c>
      <c r="AG323" s="79">
        <f>Ruimtestaat[[#This Row],[uren / jaar weekend]]+Ruimtestaat[[#This Row],[uren / jaar werkdagen]]</f>
        <v>0</v>
      </c>
      <c r="AH323" s="80">
        <f>Ruimtestaat[[#This Row],[kosten / jaar weekend]]+Ruimtestaat[[#This Row],[kosten / jaar werkdagen]]</f>
        <v>0</v>
      </c>
    </row>
    <row r="324" spans="1:34" ht="15" customHeight="1">
      <c r="A324" s="256">
        <v>5</v>
      </c>
      <c r="B324" s="171" t="str">
        <f>VLOOKUP(Ruimtestaat[[#This Row],[Code]],Locaties[#All],2,FALSE)</f>
        <v>VSO Het Mozaïek Almelo</v>
      </c>
      <c r="C324" s="258" t="str">
        <f>VLOOKUP(Ruimtestaat[[#This Row],[Code]],Locaties[#All],4,FALSE)</f>
        <v>Cesar Franckstaat 3</v>
      </c>
      <c r="D324" s="258" t="str">
        <f>VLOOKUP(Ruimtestaat[[#This Row],[Code]],Locaties[#All],5,FALSE)</f>
        <v>7604JE</v>
      </c>
      <c r="E324" s="258" t="str">
        <f>VLOOKUP(Ruimtestaat[[#This Row],[Code]],Locaties[#All],6,FALSE)</f>
        <v>Almelo</v>
      </c>
      <c r="F324" s="257" t="s">
        <v>1114</v>
      </c>
      <c r="G324" s="257" t="s">
        <v>564</v>
      </c>
      <c r="H324" s="171"/>
      <c r="I324" s="257" t="s">
        <v>520</v>
      </c>
      <c r="J324" s="259" t="s">
        <v>585</v>
      </c>
      <c r="K324" s="171">
        <v>1</v>
      </c>
      <c r="L324" s="260" t="str">
        <f>VLOOKUP(Ruimtestaat[[#This Row],[Ruimte code]],Ruimtegroepen[#All],2,FALSE)</f>
        <v>Magazijnen/bergingen</v>
      </c>
      <c r="M324" s="258" t="s">
        <v>598</v>
      </c>
      <c r="N324" s="257" t="s">
        <v>132</v>
      </c>
      <c r="O324" s="261">
        <v>12.8</v>
      </c>
      <c r="P324" s="183"/>
      <c r="Q324" s="212" t="str">
        <f>VLOOKUP(Ruimtestaat[[#This Row],[Ruimte code]],Ruimtegroepen[#All],4,FALSE)</f>
        <v>V  (Verkeersruimte)</v>
      </c>
      <c r="R324" s="184"/>
      <c r="S324" s="185">
        <v>40</v>
      </c>
      <c r="T324" s="185" t="s">
        <v>15</v>
      </c>
      <c r="U324" s="185">
        <f>IF(S324&gt;0,IF(RIGHT(Ruimtestaat[[#This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24" s="185">
        <f>IF(U324&gt;0,VLOOKUP($K324,Ruimtegroepen[],3,FALSE)*VLOOKUP($M324,Vloersoorten[],3,FALSE)*VLOOKUP($T324,Frequenties[],3,FALSE)*VLOOKUP($A324,Locaties[],3,FALSE),0)</f>
        <v>0</v>
      </c>
      <c r="W324" s="185">
        <f>Ruimtestaat[[#This Row],[Uitvoeringen werkdagen]]*Ruimtestaat[[#This Row],[Oppervlak (netto)]]</f>
        <v>512</v>
      </c>
      <c r="X324" s="220">
        <f>IF(V324&gt;0,Ruimtestaat[[#This Row],[Prest. (m2 /jaar) werkdagen]]/Ruimtestaat[[#This Row],[Norm (m2/uur) werkdagen]],0)</f>
        <v>0</v>
      </c>
      <c r="Y324" s="221">
        <f>Ruimtestaat[[#This Row],[uren / jaar werkdagen]]*Tariefsopbouw!$D$38</f>
        <v>0</v>
      </c>
      <c r="Z324" s="33"/>
      <c r="AA324" s="33">
        <f>IF(Ruimtestaat[[#This Row],[Frequentie weekend]]&gt;0,VALUE(LEFT(Z324,1))*S324,0)</f>
        <v>0</v>
      </c>
      <c r="AB324" s="33">
        <f>IF($AA324&gt;0,VLOOKUP($K324,Ruimtegroepen[],3,FALSE)*VLOOKUP($M324,Vloersoorten[],3,FALSE)*VLOOKUP($Z324,Frequenties[],3,FALSE)*VLOOKUP(#REF!,Locaties[],3,FALSE),0)</f>
        <v>0</v>
      </c>
      <c r="AC324" s="33"/>
      <c r="AD324" s="33"/>
      <c r="AE324" s="33">
        <f>Ruimtestaat[[#This Row],[uren / jaar weekend]]*Tariefsopbouw!$D$40</f>
        <v>0</v>
      </c>
      <c r="AF324" s="79">
        <f>Ruimtestaat[[#This Row],[Prest. (m2 /jaar) weekend]]+Ruimtestaat[[#This Row],[Prest. (m2 /jaar) werkdagen]]</f>
        <v>512</v>
      </c>
      <c r="AG324" s="79">
        <f>Ruimtestaat[[#This Row],[uren / jaar weekend]]+Ruimtestaat[[#This Row],[uren / jaar werkdagen]]</f>
        <v>0</v>
      </c>
      <c r="AH324" s="80">
        <f>Ruimtestaat[[#This Row],[kosten / jaar weekend]]+Ruimtestaat[[#This Row],[kosten / jaar werkdagen]]</f>
        <v>0</v>
      </c>
    </row>
    <row r="325" spans="1:34" ht="15" customHeight="1">
      <c r="A325" s="256">
        <v>5</v>
      </c>
      <c r="B325" s="171" t="str">
        <f>VLOOKUP(Ruimtestaat[[#This Row],[Code]],Locaties[#All],2,FALSE)</f>
        <v>VSO Het Mozaïek Almelo</v>
      </c>
      <c r="C325" s="258" t="str">
        <f>VLOOKUP(Ruimtestaat[[#This Row],[Code]],Locaties[#All],4,FALSE)</f>
        <v>Cesar Franckstaat 3</v>
      </c>
      <c r="D325" s="258" t="str">
        <f>VLOOKUP(Ruimtestaat[[#This Row],[Code]],Locaties[#All],5,FALSE)</f>
        <v>7604JE</v>
      </c>
      <c r="E325" s="258" t="str">
        <f>VLOOKUP(Ruimtestaat[[#This Row],[Code]],Locaties[#All],6,FALSE)</f>
        <v>Almelo</v>
      </c>
      <c r="F325" s="257" t="s">
        <v>1114</v>
      </c>
      <c r="G325" s="257" t="s">
        <v>564</v>
      </c>
      <c r="H325" s="171"/>
      <c r="I325" s="257" t="s">
        <v>521</v>
      </c>
      <c r="J325" s="259" t="s">
        <v>576</v>
      </c>
      <c r="K325" s="171">
        <v>16</v>
      </c>
      <c r="L325" s="260" t="str">
        <f>VLOOKUP(Ruimtestaat[[#This Row],[Ruimte code]],Ruimtegroepen[#All],2,FALSE)</f>
        <v>Leslokalen</v>
      </c>
      <c r="M325" s="258" t="s">
        <v>598</v>
      </c>
      <c r="N325" s="257" t="s">
        <v>132</v>
      </c>
      <c r="O325" s="261">
        <v>48.8</v>
      </c>
      <c r="P325" s="183"/>
      <c r="Q325" s="212" t="str">
        <f>VLOOKUP(Ruimtestaat[[#This Row],[Ruimte code]],Ruimtegroepen[#All],4,FALSE)</f>
        <v>L  (Lesruimte)</v>
      </c>
      <c r="R325" s="184"/>
      <c r="S325" s="185">
        <v>40</v>
      </c>
      <c r="T325" s="185" t="s">
        <v>2</v>
      </c>
      <c r="U325" s="185">
        <f>IF(S325&gt;0,IF(RIGHT(Ruimtestaat[[#This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5" s="185">
        <f>IF(U325&gt;0,VLOOKUP($K325,Ruimtegroepen[],3,FALSE)*VLOOKUP($M325,Vloersoorten[],3,FALSE)*VLOOKUP($T325,Frequenties[],3,FALSE)*VLOOKUP($A325,Locaties[],3,FALSE),0)</f>
        <v>0</v>
      </c>
      <c r="W325" s="185">
        <f>Ruimtestaat[[#This Row],[Uitvoeringen werkdagen]]*Ruimtestaat[[#This Row],[Oppervlak (netto)]]</f>
        <v>9760</v>
      </c>
      <c r="X325" s="220">
        <f>IF(V325&gt;0,Ruimtestaat[[#This Row],[Prest. (m2 /jaar) werkdagen]]/Ruimtestaat[[#This Row],[Norm (m2/uur) werkdagen]],0)</f>
        <v>0</v>
      </c>
      <c r="Y325" s="221">
        <f>Ruimtestaat[[#This Row],[uren / jaar werkdagen]]*Tariefsopbouw!$D$38</f>
        <v>0</v>
      </c>
      <c r="Z325" s="33"/>
      <c r="AA325" s="33">
        <f>IF(Ruimtestaat[[#This Row],[Frequentie weekend]]&gt;0,VALUE(LEFT(Z325,1))*S325,0)</f>
        <v>0</v>
      </c>
      <c r="AB325" s="33">
        <f>IF($AA325&gt;0,VLOOKUP($K325,Ruimtegroepen[],3,FALSE)*VLOOKUP($M325,Vloersoorten[],3,FALSE)*VLOOKUP($Z325,Frequenties[],3,FALSE)*VLOOKUP(#REF!,Locaties[],3,FALSE),0)</f>
        <v>0</v>
      </c>
      <c r="AC325" s="33"/>
      <c r="AD325" s="33"/>
      <c r="AE325" s="33">
        <f>Ruimtestaat[[#This Row],[uren / jaar weekend]]*Tariefsopbouw!$D$40</f>
        <v>0</v>
      </c>
      <c r="AF325" s="79">
        <f>Ruimtestaat[[#This Row],[Prest. (m2 /jaar) weekend]]+Ruimtestaat[[#This Row],[Prest. (m2 /jaar) werkdagen]]</f>
        <v>9760</v>
      </c>
      <c r="AG325" s="79">
        <f>Ruimtestaat[[#This Row],[uren / jaar weekend]]+Ruimtestaat[[#This Row],[uren / jaar werkdagen]]</f>
        <v>0</v>
      </c>
      <c r="AH325" s="80">
        <f>Ruimtestaat[[#This Row],[kosten / jaar weekend]]+Ruimtestaat[[#This Row],[kosten / jaar werkdagen]]</f>
        <v>0</v>
      </c>
    </row>
    <row r="326" spans="1:34" ht="15" customHeight="1">
      <c r="A326" s="256">
        <v>5</v>
      </c>
      <c r="B326" s="171" t="str">
        <f>VLOOKUP(Ruimtestaat[[#This Row],[Code]],Locaties[#All],2,FALSE)</f>
        <v>VSO Het Mozaïek Almelo</v>
      </c>
      <c r="C326" s="258" t="str">
        <f>VLOOKUP(Ruimtestaat[[#This Row],[Code]],Locaties[#All],4,FALSE)</f>
        <v>Cesar Franckstaat 3</v>
      </c>
      <c r="D326" s="258" t="str">
        <f>VLOOKUP(Ruimtestaat[[#This Row],[Code]],Locaties[#All],5,FALSE)</f>
        <v>7604JE</v>
      </c>
      <c r="E326" s="258" t="str">
        <f>VLOOKUP(Ruimtestaat[[#This Row],[Code]],Locaties[#All],6,FALSE)</f>
        <v>Almelo</v>
      </c>
      <c r="F326" s="257" t="s">
        <v>1114</v>
      </c>
      <c r="G326" s="257" t="s">
        <v>564</v>
      </c>
      <c r="H326" s="171"/>
      <c r="I326" s="257" t="s">
        <v>522</v>
      </c>
      <c r="J326" s="259" t="s">
        <v>576</v>
      </c>
      <c r="K326" s="171">
        <v>16</v>
      </c>
      <c r="L326" s="260" t="str">
        <f>VLOOKUP(Ruimtestaat[[#This Row],[Ruimte code]],Ruimtegroepen[#All],2,FALSE)</f>
        <v>Leslokalen</v>
      </c>
      <c r="M326" s="258" t="s">
        <v>598</v>
      </c>
      <c r="N326" s="257" t="s">
        <v>132</v>
      </c>
      <c r="O326" s="261">
        <v>50.2</v>
      </c>
      <c r="P326" s="183"/>
      <c r="Q326" s="212" t="str">
        <f>VLOOKUP(Ruimtestaat[[#This Row],[Ruimte code]],Ruimtegroepen[#All],4,FALSE)</f>
        <v>L  (Lesruimte)</v>
      </c>
      <c r="R326" s="184"/>
      <c r="S326" s="185">
        <v>40</v>
      </c>
      <c r="T326" s="185" t="s">
        <v>2</v>
      </c>
      <c r="U326" s="185">
        <f>IF(S326&gt;0,IF(RIGHT(Ruimtestaat[[#This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6" s="185">
        <f>IF(U326&gt;0,VLOOKUP($K326,Ruimtegroepen[],3,FALSE)*VLOOKUP($M326,Vloersoorten[],3,FALSE)*VLOOKUP($T326,Frequenties[],3,FALSE)*VLOOKUP($A326,Locaties[],3,FALSE),0)</f>
        <v>0</v>
      </c>
      <c r="W326" s="185">
        <f>Ruimtestaat[[#This Row],[Uitvoeringen werkdagen]]*Ruimtestaat[[#This Row],[Oppervlak (netto)]]</f>
        <v>10040</v>
      </c>
      <c r="X326" s="220">
        <f>IF(V326&gt;0,Ruimtestaat[[#This Row],[Prest. (m2 /jaar) werkdagen]]/Ruimtestaat[[#This Row],[Norm (m2/uur) werkdagen]],0)</f>
        <v>0</v>
      </c>
      <c r="Y326" s="221">
        <f>Ruimtestaat[[#This Row],[uren / jaar werkdagen]]*Tariefsopbouw!$D$38</f>
        <v>0</v>
      </c>
      <c r="Z326" s="33"/>
      <c r="AA326" s="33">
        <f>IF(Ruimtestaat[[#This Row],[Frequentie weekend]]&gt;0,VALUE(LEFT(Z326,1))*S326,0)</f>
        <v>0</v>
      </c>
      <c r="AB326" s="33">
        <f>IF($AA326&gt;0,VLOOKUP($K326,Ruimtegroepen[],3,FALSE)*VLOOKUP($M326,Vloersoorten[],3,FALSE)*VLOOKUP($Z326,Frequenties[],3,FALSE)*VLOOKUP(#REF!,Locaties[],3,FALSE),0)</f>
        <v>0</v>
      </c>
      <c r="AC326" s="33"/>
      <c r="AD326" s="33"/>
      <c r="AE326" s="33">
        <f>Ruimtestaat[[#This Row],[uren / jaar weekend]]*Tariefsopbouw!$D$40</f>
        <v>0</v>
      </c>
      <c r="AF326" s="79">
        <f>Ruimtestaat[[#This Row],[Prest. (m2 /jaar) weekend]]+Ruimtestaat[[#This Row],[Prest. (m2 /jaar) werkdagen]]</f>
        <v>10040</v>
      </c>
      <c r="AG326" s="79">
        <f>Ruimtestaat[[#This Row],[uren / jaar weekend]]+Ruimtestaat[[#This Row],[uren / jaar werkdagen]]</f>
        <v>0</v>
      </c>
      <c r="AH326" s="80">
        <f>Ruimtestaat[[#This Row],[kosten / jaar weekend]]+Ruimtestaat[[#This Row],[kosten / jaar werkdagen]]</f>
        <v>0</v>
      </c>
    </row>
    <row r="327" spans="1:34" ht="15" customHeight="1">
      <c r="A327" s="256">
        <v>5</v>
      </c>
      <c r="B327" s="171" t="str">
        <f>VLOOKUP(Ruimtestaat[[#This Row],[Code]],Locaties[#All],2,FALSE)</f>
        <v>VSO Het Mozaïek Almelo</v>
      </c>
      <c r="C327" s="258" t="str">
        <f>VLOOKUP(Ruimtestaat[[#This Row],[Code]],Locaties[#All],4,FALSE)</f>
        <v>Cesar Franckstaat 3</v>
      </c>
      <c r="D327" s="258" t="str">
        <f>VLOOKUP(Ruimtestaat[[#This Row],[Code]],Locaties[#All],5,FALSE)</f>
        <v>7604JE</v>
      </c>
      <c r="E327" s="258" t="str">
        <f>VLOOKUP(Ruimtestaat[[#This Row],[Code]],Locaties[#All],6,FALSE)</f>
        <v>Almelo</v>
      </c>
      <c r="F327" s="257" t="s">
        <v>1114</v>
      </c>
      <c r="G327" s="257" t="s">
        <v>564</v>
      </c>
      <c r="H327" s="171"/>
      <c r="I327" s="257" t="s">
        <v>524</v>
      </c>
      <c r="J327" s="259" t="s">
        <v>670</v>
      </c>
      <c r="K327" s="171">
        <v>20</v>
      </c>
      <c r="L327" s="260" t="str">
        <f>VLOOKUP(Ruimtestaat[[#This Row],[Ruimte code]],Ruimtegroepen[#All],2,FALSE)</f>
        <v>Niet in onderhoud</v>
      </c>
      <c r="M327" s="258" t="s">
        <v>598</v>
      </c>
      <c r="N327" s="257" t="s">
        <v>132</v>
      </c>
      <c r="O327" s="261"/>
      <c r="P327" s="183">
        <v>2.75</v>
      </c>
      <c r="Q327" s="212" t="str">
        <f>VLOOKUP(Ruimtestaat[[#This Row],[Ruimte code]],Ruimtegroepen[#All],4,FALSE)</f>
        <v>niet in onderhoud</v>
      </c>
      <c r="R327" s="184"/>
      <c r="S327" s="185"/>
      <c r="T327" s="185" t="s">
        <v>3</v>
      </c>
      <c r="U327" s="185">
        <f>IF(S327&gt;0,IF(RIGHT(Ruimtestaat[[#This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27" s="185">
        <f>IF(U327&gt;0,VLOOKUP($K327,Ruimtegroepen[],3,FALSE)*VLOOKUP($M327,Vloersoorten[],3,FALSE)*VLOOKUP($T327,Frequenties[],3,FALSE)*VLOOKUP($A327,Locaties[],3,FALSE),0)</f>
        <v>0</v>
      </c>
      <c r="W327" s="185">
        <f>Ruimtestaat[[#This Row],[Uitvoeringen werkdagen]]*Ruimtestaat[[#This Row],[Oppervlak (netto)]]</f>
        <v>0</v>
      </c>
      <c r="X327" s="220">
        <f>IF(V327&gt;0,Ruimtestaat[[#This Row],[Prest. (m2 /jaar) werkdagen]]/Ruimtestaat[[#This Row],[Norm (m2/uur) werkdagen]],0)</f>
        <v>0</v>
      </c>
      <c r="Y327" s="221">
        <f>Ruimtestaat[[#This Row],[uren / jaar werkdagen]]*Tariefsopbouw!$D$38</f>
        <v>0</v>
      </c>
      <c r="Z327" s="33"/>
      <c r="AA327" s="33">
        <f>IF(Ruimtestaat[[#This Row],[Frequentie weekend]]&gt;0,VALUE(LEFT(Z327,1))*S327,0)</f>
        <v>0</v>
      </c>
      <c r="AB327" s="33">
        <f>IF($AA327&gt;0,VLOOKUP($K327,Ruimtegroepen[],3,FALSE)*VLOOKUP($M327,Vloersoorten[],3,FALSE)*VLOOKUP($Z327,Frequenties[],3,FALSE)*VLOOKUP(#REF!,Locaties[],3,FALSE),0)</f>
        <v>0</v>
      </c>
      <c r="AC327" s="33"/>
      <c r="AD327" s="33"/>
      <c r="AE327" s="33">
        <f>Ruimtestaat[[#This Row],[uren / jaar weekend]]*Tariefsopbouw!$D$40</f>
        <v>0</v>
      </c>
      <c r="AF327" s="79">
        <f>Ruimtestaat[[#This Row],[Prest. (m2 /jaar) weekend]]+Ruimtestaat[[#This Row],[Prest. (m2 /jaar) werkdagen]]</f>
        <v>0</v>
      </c>
      <c r="AG327" s="79">
        <f>Ruimtestaat[[#This Row],[uren / jaar weekend]]+Ruimtestaat[[#This Row],[uren / jaar werkdagen]]</f>
        <v>0</v>
      </c>
      <c r="AH327" s="80">
        <f>Ruimtestaat[[#This Row],[kosten / jaar weekend]]+Ruimtestaat[[#This Row],[kosten / jaar werkdagen]]</f>
        <v>0</v>
      </c>
    </row>
    <row r="328" spans="1:34" ht="15" customHeight="1">
      <c r="A328" s="256">
        <v>5</v>
      </c>
      <c r="B328" s="171" t="str">
        <f>VLOOKUP(Ruimtestaat[[#This Row],[Code]],Locaties[#All],2,FALSE)</f>
        <v>VSO Het Mozaïek Almelo</v>
      </c>
      <c r="C328" s="258" t="str">
        <f>VLOOKUP(Ruimtestaat[[#This Row],[Code]],Locaties[#All],4,FALSE)</f>
        <v>Cesar Franckstaat 3</v>
      </c>
      <c r="D328" s="258" t="str">
        <f>VLOOKUP(Ruimtestaat[[#This Row],[Code]],Locaties[#All],5,FALSE)</f>
        <v>7604JE</v>
      </c>
      <c r="E328" s="258" t="str">
        <f>VLOOKUP(Ruimtestaat[[#This Row],[Code]],Locaties[#All],6,FALSE)</f>
        <v>Almelo</v>
      </c>
      <c r="F328" s="257" t="s">
        <v>1114</v>
      </c>
      <c r="G328" s="257" t="s">
        <v>564</v>
      </c>
      <c r="H328" s="171"/>
      <c r="I328" s="257" t="s">
        <v>525</v>
      </c>
      <c r="J328" s="259" t="s">
        <v>683</v>
      </c>
      <c r="K328" s="258">
        <v>5</v>
      </c>
      <c r="L328" s="260" t="str">
        <f>VLOOKUP(Ruimtestaat[[#This Row],[Ruimte code]],Ruimtegroepen[#All],2,FALSE)</f>
        <v>Sanitair</v>
      </c>
      <c r="M328" s="212" t="s">
        <v>111</v>
      </c>
      <c r="N328" s="257" t="s">
        <v>606</v>
      </c>
      <c r="O328" s="261">
        <v>3.68</v>
      </c>
      <c r="P328" s="183"/>
      <c r="Q328" s="212" t="str">
        <f>VLOOKUP(Ruimtestaat[[#This Row],[Ruimte code]],Ruimtegroepen[#All],4,FALSE)</f>
        <v>S  (Sanitair)</v>
      </c>
      <c r="R328" s="184"/>
      <c r="S328" s="185">
        <v>40</v>
      </c>
      <c r="T328" s="185" t="s">
        <v>2</v>
      </c>
      <c r="U328" s="185">
        <f>IF(S328&gt;0,IF(RIGHT(Ruimtestaat[[#This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8" s="185">
        <f>IF(U328&gt;0,VLOOKUP($K328,Ruimtegroepen[],3,FALSE)*VLOOKUP($M328,Vloersoorten[],3,FALSE)*VLOOKUP($T328,Frequenties[],3,FALSE)*VLOOKUP($A328,Locaties[],3,FALSE),0)</f>
        <v>0</v>
      </c>
      <c r="W328" s="185">
        <f>Ruimtestaat[[#This Row],[Uitvoeringen werkdagen]]*Ruimtestaat[[#This Row],[Oppervlak (netto)]]</f>
        <v>736</v>
      </c>
      <c r="X328" s="220">
        <f>IF(V328&gt;0,Ruimtestaat[[#This Row],[Prest. (m2 /jaar) werkdagen]]/Ruimtestaat[[#This Row],[Norm (m2/uur) werkdagen]],0)</f>
        <v>0</v>
      </c>
      <c r="Y328" s="221">
        <f>Ruimtestaat[[#This Row],[uren / jaar werkdagen]]*Tariefsopbouw!$D$38</f>
        <v>0</v>
      </c>
      <c r="Z328" s="33"/>
      <c r="AA328" s="33">
        <f>IF(Ruimtestaat[[#This Row],[Frequentie weekend]]&gt;0,VALUE(LEFT(Z328,1))*S328,0)</f>
        <v>0</v>
      </c>
      <c r="AB328" s="33">
        <f>IF($AA328&gt;0,VLOOKUP($K328,Ruimtegroepen[],3,FALSE)*VLOOKUP($M328,Vloersoorten[],3,FALSE)*VLOOKUP($Z328,Frequenties[],3,FALSE)*VLOOKUP(#REF!,Locaties[],3,FALSE),0)</f>
        <v>0</v>
      </c>
      <c r="AC328" s="33"/>
      <c r="AD328" s="33"/>
      <c r="AE328" s="33">
        <f>Ruimtestaat[[#This Row],[uren / jaar weekend]]*Tariefsopbouw!$D$40</f>
        <v>0</v>
      </c>
      <c r="AF328" s="79">
        <f>Ruimtestaat[[#This Row],[Prest. (m2 /jaar) weekend]]+Ruimtestaat[[#This Row],[Prest. (m2 /jaar) werkdagen]]</f>
        <v>736</v>
      </c>
      <c r="AG328" s="79">
        <f>Ruimtestaat[[#This Row],[uren / jaar weekend]]+Ruimtestaat[[#This Row],[uren / jaar werkdagen]]</f>
        <v>0</v>
      </c>
      <c r="AH328" s="80">
        <f>Ruimtestaat[[#This Row],[kosten / jaar weekend]]+Ruimtestaat[[#This Row],[kosten / jaar werkdagen]]</f>
        <v>0</v>
      </c>
    </row>
    <row r="329" spans="1:34" ht="15" customHeight="1">
      <c r="A329" s="256">
        <v>5</v>
      </c>
      <c r="B329" s="171" t="str">
        <f>VLOOKUP(Ruimtestaat[[#This Row],[Code]],Locaties[#All],2,FALSE)</f>
        <v>VSO Het Mozaïek Almelo</v>
      </c>
      <c r="C329" s="258" t="str">
        <f>VLOOKUP(Ruimtestaat[[#This Row],[Code]],Locaties[#All],4,FALSE)</f>
        <v>Cesar Franckstaat 3</v>
      </c>
      <c r="D329" s="258" t="str">
        <f>VLOOKUP(Ruimtestaat[[#This Row],[Code]],Locaties[#All],5,FALSE)</f>
        <v>7604JE</v>
      </c>
      <c r="E329" s="258" t="str">
        <f>VLOOKUP(Ruimtestaat[[#This Row],[Code]],Locaties[#All],6,FALSE)</f>
        <v>Almelo</v>
      </c>
      <c r="F329" s="257" t="s">
        <v>1114</v>
      </c>
      <c r="G329" s="257" t="s">
        <v>564</v>
      </c>
      <c r="H329" s="171"/>
      <c r="I329" s="257" t="s">
        <v>526</v>
      </c>
      <c r="J329" s="259" t="s">
        <v>574</v>
      </c>
      <c r="K329" s="258">
        <v>6</v>
      </c>
      <c r="L329" s="260" t="str">
        <f>VLOOKUP(Ruimtestaat[[#This Row],[Ruimte code]],Ruimtegroepen[#All],2,FALSE)</f>
        <v>Gangen/hallen</v>
      </c>
      <c r="M329" s="185" t="s">
        <v>598</v>
      </c>
      <c r="N329" s="257" t="s">
        <v>132</v>
      </c>
      <c r="O329" s="261">
        <v>77.2</v>
      </c>
      <c r="P329" s="183"/>
      <c r="Q329" s="212" t="str">
        <f>VLOOKUP(Ruimtestaat[[#This Row],[Ruimte code]],Ruimtegroepen[#All],4,FALSE)</f>
        <v>V  (Verkeersruimte)</v>
      </c>
      <c r="R329" s="184"/>
      <c r="S329" s="185">
        <v>40</v>
      </c>
      <c r="T329" s="185" t="s">
        <v>2</v>
      </c>
      <c r="U329" s="185">
        <f>IF(S329&gt;0,IF(RIGHT(Ruimtestaat[[#This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9" s="185">
        <f>IF(U329&gt;0,VLOOKUP($K329,Ruimtegroepen[],3,FALSE)*VLOOKUP($M329,Vloersoorten[],3,FALSE)*VLOOKUP($T329,Frequenties[],3,FALSE)*VLOOKUP($A329,Locaties[],3,FALSE),0)</f>
        <v>0</v>
      </c>
      <c r="W329" s="185">
        <f>Ruimtestaat[[#This Row],[Uitvoeringen werkdagen]]*Ruimtestaat[[#This Row],[Oppervlak (netto)]]</f>
        <v>15440</v>
      </c>
      <c r="X329" s="220">
        <f>IF(V329&gt;0,Ruimtestaat[[#This Row],[Prest. (m2 /jaar) werkdagen]]/Ruimtestaat[[#This Row],[Norm (m2/uur) werkdagen]],0)</f>
        <v>0</v>
      </c>
      <c r="Y329" s="221">
        <f>Ruimtestaat[[#This Row],[uren / jaar werkdagen]]*Tariefsopbouw!$D$38</f>
        <v>0</v>
      </c>
      <c r="Z329" s="33"/>
      <c r="AA329" s="33">
        <f>IF(Ruimtestaat[[#This Row],[Frequentie weekend]]&gt;0,VALUE(LEFT(Z329,1))*S329,0)</f>
        <v>0</v>
      </c>
      <c r="AB329" s="33">
        <f>IF($AA329&gt;0,VLOOKUP($K329,Ruimtegroepen[],3,FALSE)*VLOOKUP($M329,Vloersoorten[],3,FALSE)*VLOOKUP($Z329,Frequenties[],3,FALSE)*VLOOKUP(#REF!,Locaties[],3,FALSE),0)</f>
        <v>0</v>
      </c>
      <c r="AC329" s="33"/>
      <c r="AD329" s="33"/>
      <c r="AE329" s="33">
        <f>Ruimtestaat[[#This Row],[uren / jaar weekend]]*Tariefsopbouw!$D$40</f>
        <v>0</v>
      </c>
      <c r="AF329" s="79">
        <f>Ruimtestaat[[#This Row],[Prest. (m2 /jaar) weekend]]+Ruimtestaat[[#This Row],[Prest. (m2 /jaar) werkdagen]]</f>
        <v>15440</v>
      </c>
      <c r="AG329" s="79">
        <f>Ruimtestaat[[#This Row],[uren / jaar weekend]]+Ruimtestaat[[#This Row],[uren / jaar werkdagen]]</f>
        <v>0</v>
      </c>
      <c r="AH329" s="80">
        <f>Ruimtestaat[[#This Row],[kosten / jaar weekend]]+Ruimtestaat[[#This Row],[kosten / jaar werkdagen]]</f>
        <v>0</v>
      </c>
    </row>
    <row r="330" spans="1:34" ht="15" customHeight="1">
      <c r="A330" s="256">
        <v>5</v>
      </c>
      <c r="B330" s="171" t="str">
        <f>VLOOKUP(Ruimtestaat[[#This Row],[Code]],Locaties[#All],2,FALSE)</f>
        <v>VSO Het Mozaïek Almelo</v>
      </c>
      <c r="C330" s="258" t="str">
        <f>VLOOKUP(Ruimtestaat[[#This Row],[Code]],Locaties[#All],4,FALSE)</f>
        <v>Cesar Franckstaat 3</v>
      </c>
      <c r="D330" s="258" t="str">
        <f>VLOOKUP(Ruimtestaat[[#This Row],[Code]],Locaties[#All],5,FALSE)</f>
        <v>7604JE</v>
      </c>
      <c r="E330" s="258" t="str">
        <f>VLOOKUP(Ruimtestaat[[#This Row],[Code]],Locaties[#All],6,FALSE)</f>
        <v>Almelo</v>
      </c>
      <c r="F330" s="257" t="s">
        <v>1114</v>
      </c>
      <c r="G330" s="257" t="s">
        <v>564</v>
      </c>
      <c r="H330" s="171"/>
      <c r="I330" s="257" t="s">
        <v>527</v>
      </c>
      <c r="J330" s="259" t="s">
        <v>576</v>
      </c>
      <c r="K330" s="258">
        <v>16</v>
      </c>
      <c r="L330" s="260" t="str">
        <f>VLOOKUP(Ruimtestaat[[#This Row],[Ruimte code]],Ruimtegroepen[#All],2,FALSE)</f>
        <v>Leslokalen</v>
      </c>
      <c r="M330" s="185" t="s">
        <v>598</v>
      </c>
      <c r="N330" s="257" t="s">
        <v>132</v>
      </c>
      <c r="O330" s="261">
        <v>50.2</v>
      </c>
      <c r="P330" s="183"/>
      <c r="Q330" s="212" t="str">
        <f>VLOOKUP(Ruimtestaat[[#This Row],[Ruimte code]],Ruimtegroepen[#All],4,FALSE)</f>
        <v>L  (Lesruimte)</v>
      </c>
      <c r="R330" s="184"/>
      <c r="S330" s="185">
        <v>40</v>
      </c>
      <c r="T330" s="185" t="s">
        <v>2</v>
      </c>
      <c r="U330" s="185">
        <f>IF(S330&gt;0,IF(RIGHT(Ruimtestaat[[#This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0" s="185">
        <f>IF(U330&gt;0,VLOOKUP($K330,Ruimtegroepen[],3,FALSE)*VLOOKUP($M330,Vloersoorten[],3,FALSE)*VLOOKUP($T330,Frequenties[],3,FALSE)*VLOOKUP($A330,Locaties[],3,FALSE),0)</f>
        <v>0</v>
      </c>
      <c r="W330" s="185">
        <f>Ruimtestaat[[#This Row],[Uitvoeringen werkdagen]]*Ruimtestaat[[#This Row],[Oppervlak (netto)]]</f>
        <v>10040</v>
      </c>
      <c r="X330" s="220">
        <f>IF(V330&gt;0,Ruimtestaat[[#This Row],[Prest. (m2 /jaar) werkdagen]]/Ruimtestaat[[#This Row],[Norm (m2/uur) werkdagen]],0)</f>
        <v>0</v>
      </c>
      <c r="Y330" s="221">
        <f>Ruimtestaat[[#This Row],[uren / jaar werkdagen]]*Tariefsopbouw!$D$38</f>
        <v>0</v>
      </c>
      <c r="Z330" s="33"/>
      <c r="AA330" s="33">
        <f>IF(Ruimtestaat[[#This Row],[Frequentie weekend]]&gt;0,VALUE(LEFT(Z330,1))*S330,0)</f>
        <v>0</v>
      </c>
      <c r="AB330" s="33">
        <f>IF($AA330&gt;0,VLOOKUP($K330,Ruimtegroepen[],3,FALSE)*VLOOKUP($M330,Vloersoorten[],3,FALSE)*VLOOKUP($Z330,Frequenties[],3,FALSE)*VLOOKUP(#REF!,Locaties[],3,FALSE),0)</f>
        <v>0</v>
      </c>
      <c r="AC330" s="33"/>
      <c r="AD330" s="33"/>
      <c r="AE330" s="33">
        <f>Ruimtestaat[[#This Row],[uren / jaar weekend]]*Tariefsopbouw!$D$40</f>
        <v>0</v>
      </c>
      <c r="AF330" s="79">
        <f>Ruimtestaat[[#This Row],[Prest. (m2 /jaar) weekend]]+Ruimtestaat[[#This Row],[Prest. (m2 /jaar) werkdagen]]</f>
        <v>10040</v>
      </c>
      <c r="AG330" s="79">
        <f>Ruimtestaat[[#This Row],[uren / jaar weekend]]+Ruimtestaat[[#This Row],[uren / jaar werkdagen]]</f>
        <v>0</v>
      </c>
      <c r="AH330" s="80">
        <f>Ruimtestaat[[#This Row],[kosten / jaar weekend]]+Ruimtestaat[[#This Row],[kosten / jaar werkdagen]]</f>
        <v>0</v>
      </c>
    </row>
    <row r="331" spans="1:34" ht="15" customHeight="1">
      <c r="A331" s="256">
        <v>5</v>
      </c>
      <c r="B331" s="171" t="str">
        <f>VLOOKUP(Ruimtestaat[[#This Row],[Code]],Locaties[#All],2,FALSE)</f>
        <v>VSO Het Mozaïek Almelo</v>
      </c>
      <c r="C331" s="258" t="str">
        <f>VLOOKUP(Ruimtestaat[[#This Row],[Code]],Locaties[#All],4,FALSE)</f>
        <v>Cesar Franckstaat 3</v>
      </c>
      <c r="D331" s="258" t="str">
        <f>VLOOKUP(Ruimtestaat[[#This Row],[Code]],Locaties[#All],5,FALSE)</f>
        <v>7604JE</v>
      </c>
      <c r="E331" s="258" t="str">
        <f>VLOOKUP(Ruimtestaat[[#This Row],[Code]],Locaties[#All],6,FALSE)</f>
        <v>Almelo</v>
      </c>
      <c r="F331" s="257" t="s">
        <v>1114</v>
      </c>
      <c r="G331" s="257" t="s">
        <v>564</v>
      </c>
      <c r="H331" s="171"/>
      <c r="I331" s="257" t="s">
        <v>528</v>
      </c>
      <c r="J331" s="259" t="s">
        <v>576</v>
      </c>
      <c r="K331" s="185">
        <v>16</v>
      </c>
      <c r="L331" s="260" t="str">
        <f>VLOOKUP(Ruimtestaat[[#This Row],[Ruimte code]],Ruimtegroepen[#All],2,FALSE)</f>
        <v>Leslokalen</v>
      </c>
      <c r="M331" s="258" t="s">
        <v>598</v>
      </c>
      <c r="N331" s="257" t="s">
        <v>132</v>
      </c>
      <c r="O331" s="261">
        <v>50.2</v>
      </c>
      <c r="P331" s="183"/>
      <c r="Q331" s="212" t="str">
        <f>VLOOKUP(Ruimtestaat[[#This Row],[Ruimte code]],Ruimtegroepen[#All],4,FALSE)</f>
        <v>L  (Lesruimte)</v>
      </c>
      <c r="R331" s="184"/>
      <c r="S331" s="185">
        <v>40</v>
      </c>
      <c r="T331" s="185" t="s">
        <v>2</v>
      </c>
      <c r="U331" s="185">
        <f>IF(S331&gt;0,IF(RIGHT(Ruimtestaat[[#This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1" s="185">
        <f>IF(U331&gt;0,VLOOKUP($K331,Ruimtegroepen[],3,FALSE)*VLOOKUP($M331,Vloersoorten[],3,FALSE)*VLOOKUP($T331,Frequenties[],3,FALSE)*VLOOKUP($A331,Locaties[],3,FALSE),0)</f>
        <v>0</v>
      </c>
      <c r="W331" s="185">
        <f>Ruimtestaat[[#This Row],[Uitvoeringen werkdagen]]*Ruimtestaat[[#This Row],[Oppervlak (netto)]]</f>
        <v>10040</v>
      </c>
      <c r="X331" s="220">
        <f>IF(V331&gt;0,Ruimtestaat[[#This Row],[Prest. (m2 /jaar) werkdagen]]/Ruimtestaat[[#This Row],[Norm (m2/uur) werkdagen]],0)</f>
        <v>0</v>
      </c>
      <c r="Y331" s="221">
        <f>Ruimtestaat[[#This Row],[uren / jaar werkdagen]]*Tariefsopbouw!$D$38</f>
        <v>0</v>
      </c>
      <c r="Z331" s="33"/>
      <c r="AA331" s="33">
        <f>IF(Ruimtestaat[[#This Row],[Frequentie weekend]]&gt;0,VALUE(LEFT(Z331,1))*S331,0)</f>
        <v>0</v>
      </c>
      <c r="AB331" s="33">
        <f>IF($AA331&gt;0,VLOOKUP($K331,Ruimtegroepen[],3,FALSE)*VLOOKUP($M331,Vloersoorten[],3,FALSE)*VLOOKUP($Z331,Frequenties[],3,FALSE)*VLOOKUP(#REF!,Locaties[],3,FALSE),0)</f>
        <v>0</v>
      </c>
      <c r="AC331" s="33"/>
      <c r="AD331" s="33"/>
      <c r="AE331" s="33">
        <f>Ruimtestaat[[#This Row],[uren / jaar weekend]]*Tariefsopbouw!$D$40</f>
        <v>0</v>
      </c>
      <c r="AF331" s="79">
        <f>Ruimtestaat[[#This Row],[Prest. (m2 /jaar) weekend]]+Ruimtestaat[[#This Row],[Prest. (m2 /jaar) werkdagen]]</f>
        <v>10040</v>
      </c>
      <c r="AG331" s="79">
        <f>Ruimtestaat[[#This Row],[uren / jaar weekend]]+Ruimtestaat[[#This Row],[uren / jaar werkdagen]]</f>
        <v>0</v>
      </c>
      <c r="AH331" s="80">
        <f>Ruimtestaat[[#This Row],[kosten / jaar weekend]]+Ruimtestaat[[#This Row],[kosten / jaar werkdagen]]</f>
        <v>0</v>
      </c>
    </row>
    <row r="332" spans="1:34" ht="15" customHeight="1">
      <c r="A332" s="256">
        <v>5</v>
      </c>
      <c r="B332" s="171" t="str">
        <f>VLOOKUP(Ruimtestaat[[#This Row],[Code]],Locaties[#All],2,FALSE)</f>
        <v>VSO Het Mozaïek Almelo</v>
      </c>
      <c r="C332" s="258" t="str">
        <f>VLOOKUP(Ruimtestaat[[#This Row],[Code]],Locaties[#All],4,FALSE)</f>
        <v>Cesar Franckstaat 3</v>
      </c>
      <c r="D332" s="258" t="str">
        <f>VLOOKUP(Ruimtestaat[[#This Row],[Code]],Locaties[#All],5,FALSE)</f>
        <v>7604JE</v>
      </c>
      <c r="E332" s="258" t="str">
        <f>VLOOKUP(Ruimtestaat[[#This Row],[Code]],Locaties[#All],6,FALSE)</f>
        <v>Almelo</v>
      </c>
      <c r="F332" s="257" t="s">
        <v>1114</v>
      </c>
      <c r="G332" s="257" t="s">
        <v>564</v>
      </c>
      <c r="H332" s="171"/>
      <c r="I332" s="257" t="s">
        <v>529</v>
      </c>
      <c r="J332" s="259" t="s">
        <v>783</v>
      </c>
      <c r="K332" s="185">
        <v>10</v>
      </c>
      <c r="L332" s="260" t="str">
        <f>VLOOKUP(Ruimtestaat[[#This Row],[Ruimte code]],Ruimtegroepen[#All],2,FALSE)</f>
        <v>Trappenhuizen/lift</v>
      </c>
      <c r="M332" s="258" t="s">
        <v>598</v>
      </c>
      <c r="N332" s="257" t="s">
        <v>132</v>
      </c>
      <c r="O332" s="261">
        <v>13.8</v>
      </c>
      <c r="P332" s="183"/>
      <c r="Q332" s="212" t="str">
        <f>VLOOKUP(Ruimtestaat[[#This Row],[Ruimte code]],Ruimtegroepen[#All],4,FALSE)</f>
        <v>V  (Verkeersruimte)</v>
      </c>
      <c r="R332" s="184"/>
      <c r="S332" s="185">
        <v>40</v>
      </c>
      <c r="T332" s="185" t="s">
        <v>2</v>
      </c>
      <c r="U332" s="185">
        <f>IF(S332&gt;0,IF(RIGHT(Ruimtestaat[[#This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2" s="185">
        <f>IF(U332&gt;0,VLOOKUP($K332,Ruimtegroepen[],3,FALSE)*VLOOKUP($M332,Vloersoorten[],3,FALSE)*VLOOKUP($T332,Frequenties[],3,FALSE)*VLOOKUP($A332,Locaties[],3,FALSE),0)</f>
        <v>0</v>
      </c>
      <c r="W332" s="185">
        <f>Ruimtestaat[[#This Row],[Uitvoeringen werkdagen]]*Ruimtestaat[[#This Row],[Oppervlak (netto)]]</f>
        <v>2760</v>
      </c>
      <c r="X332" s="220">
        <f>IF(V332&gt;0,Ruimtestaat[[#This Row],[Prest. (m2 /jaar) werkdagen]]/Ruimtestaat[[#This Row],[Norm (m2/uur) werkdagen]],0)</f>
        <v>0</v>
      </c>
      <c r="Y332" s="221">
        <f>Ruimtestaat[[#This Row],[uren / jaar werkdagen]]*Tariefsopbouw!$D$38</f>
        <v>0</v>
      </c>
      <c r="Z332" s="33"/>
      <c r="AA332" s="33">
        <f>IF(Ruimtestaat[[#This Row],[Frequentie weekend]]&gt;0,VALUE(LEFT(Z332,1))*S332,0)</f>
        <v>0</v>
      </c>
      <c r="AB332" s="33">
        <f>IF($AA332&gt;0,VLOOKUP($K332,Ruimtegroepen[],3,FALSE)*VLOOKUP($M332,Vloersoorten[],3,FALSE)*VLOOKUP($Z332,Frequenties[],3,FALSE)*VLOOKUP(#REF!,Locaties[],3,FALSE),0)</f>
        <v>0</v>
      </c>
      <c r="AC332" s="33"/>
      <c r="AD332" s="33"/>
      <c r="AE332" s="33">
        <f>Ruimtestaat[[#This Row],[uren / jaar weekend]]*Tariefsopbouw!$D$40</f>
        <v>0</v>
      </c>
      <c r="AF332" s="79">
        <f>Ruimtestaat[[#This Row],[Prest. (m2 /jaar) weekend]]+Ruimtestaat[[#This Row],[Prest. (m2 /jaar) werkdagen]]</f>
        <v>2760</v>
      </c>
      <c r="AG332" s="79">
        <f>Ruimtestaat[[#This Row],[uren / jaar weekend]]+Ruimtestaat[[#This Row],[uren / jaar werkdagen]]</f>
        <v>0</v>
      </c>
      <c r="AH332" s="80">
        <f>Ruimtestaat[[#This Row],[kosten / jaar weekend]]+Ruimtestaat[[#This Row],[kosten / jaar werkdagen]]</f>
        <v>0</v>
      </c>
    </row>
    <row r="333" spans="1:34" ht="15" customHeight="1">
      <c r="A333" s="256">
        <v>5</v>
      </c>
      <c r="B333" s="171" t="str">
        <f>VLOOKUP(Ruimtestaat[[#This Row],[Code]],Locaties[#All],2,FALSE)</f>
        <v>VSO Het Mozaïek Almelo</v>
      </c>
      <c r="C333" s="258" t="str">
        <f>VLOOKUP(Ruimtestaat[[#This Row],[Code]],Locaties[#All],4,FALSE)</f>
        <v>Cesar Franckstaat 3</v>
      </c>
      <c r="D333" s="258" t="str">
        <f>VLOOKUP(Ruimtestaat[[#This Row],[Code]],Locaties[#All],5,FALSE)</f>
        <v>7604JE</v>
      </c>
      <c r="E333" s="258" t="str">
        <f>VLOOKUP(Ruimtestaat[[#This Row],[Code]],Locaties[#All],6,FALSE)</f>
        <v>Almelo</v>
      </c>
      <c r="F333" s="257" t="s">
        <v>1114</v>
      </c>
      <c r="G333" s="257" t="s">
        <v>563</v>
      </c>
      <c r="H333" s="171"/>
      <c r="I333" s="257" t="s">
        <v>481</v>
      </c>
      <c r="J333" s="259" t="s">
        <v>576</v>
      </c>
      <c r="K333" s="258">
        <v>16</v>
      </c>
      <c r="L333" s="260" t="str">
        <f>VLOOKUP(Ruimtestaat[[#This Row],[Ruimte code]],Ruimtegroepen[#All],2,FALSE)</f>
        <v>Leslokalen</v>
      </c>
      <c r="M333" s="258" t="s">
        <v>598</v>
      </c>
      <c r="N333" s="257" t="s">
        <v>132</v>
      </c>
      <c r="O333" s="261">
        <v>17.7</v>
      </c>
      <c r="P333" s="183"/>
      <c r="Q333" s="212" t="str">
        <f>VLOOKUP(Ruimtestaat[[#This Row],[Ruimte code]],Ruimtegroepen[#All],4,FALSE)</f>
        <v>L  (Lesruimte)</v>
      </c>
      <c r="R333" s="184"/>
      <c r="S333" s="185">
        <v>40</v>
      </c>
      <c r="T333" s="185" t="s">
        <v>2</v>
      </c>
      <c r="U333" s="185">
        <f>IF(S333&gt;0,IF(RIGHT(Ruimtestaat[[#This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3" s="185">
        <f>IF(U333&gt;0,VLOOKUP($K333,Ruimtegroepen[],3,FALSE)*VLOOKUP($M333,Vloersoorten[],3,FALSE)*VLOOKUP($T333,Frequenties[],3,FALSE)*VLOOKUP($A333,Locaties[],3,FALSE),0)</f>
        <v>0</v>
      </c>
      <c r="W333" s="185">
        <f>Ruimtestaat[[#This Row],[Uitvoeringen werkdagen]]*Ruimtestaat[[#This Row],[Oppervlak (netto)]]</f>
        <v>3540</v>
      </c>
      <c r="X333" s="220">
        <f>IF(V333&gt;0,Ruimtestaat[[#This Row],[Prest. (m2 /jaar) werkdagen]]/Ruimtestaat[[#This Row],[Norm (m2/uur) werkdagen]],0)</f>
        <v>0</v>
      </c>
      <c r="Y333" s="221">
        <f>Ruimtestaat[[#This Row],[uren / jaar werkdagen]]*Tariefsopbouw!$D$38</f>
        <v>0</v>
      </c>
      <c r="Z333" s="33"/>
      <c r="AA333" s="33">
        <f>IF(Ruimtestaat[[#This Row],[Frequentie weekend]]&gt;0,VALUE(LEFT(Z333,1))*S333,0)</f>
        <v>0</v>
      </c>
      <c r="AB333" s="33">
        <f>IF($AA333&gt;0,VLOOKUP($K333,Ruimtegroepen[],3,FALSE)*VLOOKUP($M333,Vloersoorten[],3,FALSE)*VLOOKUP($Z333,Frequenties[],3,FALSE)*VLOOKUP(#REF!,Locaties[],3,FALSE),0)</f>
        <v>0</v>
      </c>
      <c r="AC333" s="33"/>
      <c r="AD333" s="33"/>
      <c r="AE333" s="33">
        <f>Ruimtestaat[[#This Row],[uren / jaar weekend]]*Tariefsopbouw!$D$40</f>
        <v>0</v>
      </c>
      <c r="AF333" s="79">
        <f>Ruimtestaat[[#This Row],[Prest. (m2 /jaar) weekend]]+Ruimtestaat[[#This Row],[Prest. (m2 /jaar) werkdagen]]</f>
        <v>3540</v>
      </c>
      <c r="AG333" s="79">
        <f>Ruimtestaat[[#This Row],[uren / jaar weekend]]+Ruimtestaat[[#This Row],[uren / jaar werkdagen]]</f>
        <v>0</v>
      </c>
      <c r="AH333" s="80">
        <f>Ruimtestaat[[#This Row],[kosten / jaar weekend]]+Ruimtestaat[[#This Row],[kosten / jaar werkdagen]]</f>
        <v>0</v>
      </c>
    </row>
    <row r="334" spans="1:34" ht="15" customHeight="1">
      <c r="A334" s="256">
        <v>5</v>
      </c>
      <c r="B334" s="171" t="str">
        <f>VLOOKUP(Ruimtestaat[[#This Row],[Code]],Locaties[#All],2,FALSE)</f>
        <v>VSO Het Mozaïek Almelo</v>
      </c>
      <c r="C334" s="258" t="str">
        <f>VLOOKUP(Ruimtestaat[[#This Row],[Code]],Locaties[#All],4,FALSE)</f>
        <v>Cesar Franckstaat 3</v>
      </c>
      <c r="D334" s="258" t="str">
        <f>VLOOKUP(Ruimtestaat[[#This Row],[Code]],Locaties[#All],5,FALSE)</f>
        <v>7604JE</v>
      </c>
      <c r="E334" s="258" t="str">
        <f>VLOOKUP(Ruimtestaat[[#This Row],[Code]],Locaties[#All],6,FALSE)</f>
        <v>Almelo</v>
      </c>
      <c r="F334" s="257" t="s">
        <v>1114</v>
      </c>
      <c r="G334" s="257" t="s">
        <v>563</v>
      </c>
      <c r="H334" s="171"/>
      <c r="I334" s="257" t="s">
        <v>482</v>
      </c>
      <c r="J334" s="259" t="s">
        <v>728</v>
      </c>
      <c r="K334" s="258">
        <v>20</v>
      </c>
      <c r="L334" s="260" t="str">
        <f>VLOOKUP(Ruimtestaat[[#This Row],[Ruimte code]],Ruimtegroepen[#All],2,FALSE)</f>
        <v>Niet in onderhoud</v>
      </c>
      <c r="M334" s="258" t="s">
        <v>598</v>
      </c>
      <c r="N334" s="257" t="s">
        <v>132</v>
      </c>
      <c r="O334" s="261"/>
      <c r="P334" s="183">
        <v>15.9</v>
      </c>
      <c r="Q334" s="212" t="str">
        <f>VLOOKUP(Ruimtestaat[[#This Row],[Ruimte code]],Ruimtegroepen[#All],4,FALSE)</f>
        <v>niet in onderhoud</v>
      </c>
      <c r="R334" s="184"/>
      <c r="S334" s="185"/>
      <c r="T334" s="185" t="s">
        <v>3</v>
      </c>
      <c r="U334" s="185">
        <f>IF(S334&gt;0,IF(RIGHT(Ruimtestaat[[#This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34" s="185">
        <f>IF(U334&gt;0,VLOOKUP($K334,Ruimtegroepen[],3,FALSE)*VLOOKUP($M334,Vloersoorten[],3,FALSE)*VLOOKUP($T334,Frequenties[],3,FALSE)*VLOOKUP($A334,Locaties[],3,FALSE),0)</f>
        <v>0</v>
      </c>
      <c r="W334" s="185">
        <f>Ruimtestaat[[#This Row],[Uitvoeringen werkdagen]]*Ruimtestaat[[#This Row],[Oppervlak (netto)]]</f>
        <v>0</v>
      </c>
      <c r="X334" s="220">
        <f>IF(V334&gt;0,Ruimtestaat[[#This Row],[Prest. (m2 /jaar) werkdagen]]/Ruimtestaat[[#This Row],[Norm (m2/uur) werkdagen]],0)</f>
        <v>0</v>
      </c>
      <c r="Y334" s="221">
        <f>Ruimtestaat[[#This Row],[uren / jaar werkdagen]]*Tariefsopbouw!$D$38</f>
        <v>0</v>
      </c>
      <c r="Z334" s="33"/>
      <c r="AA334" s="33">
        <f>IF(Ruimtestaat[[#This Row],[Frequentie weekend]]&gt;0,VALUE(LEFT(Z334,1))*S334,0)</f>
        <v>0</v>
      </c>
      <c r="AB334" s="33">
        <f>IF($AA334&gt;0,VLOOKUP($K334,Ruimtegroepen[],3,FALSE)*VLOOKUP($M334,Vloersoorten[],3,FALSE)*VLOOKUP($Z334,Frequenties[],3,FALSE)*VLOOKUP(#REF!,Locaties[],3,FALSE),0)</f>
        <v>0</v>
      </c>
      <c r="AC334" s="33"/>
      <c r="AD334" s="33"/>
      <c r="AE334" s="33">
        <f>Ruimtestaat[[#This Row],[uren / jaar weekend]]*Tariefsopbouw!$D$40</f>
        <v>0</v>
      </c>
      <c r="AF334" s="79">
        <f>Ruimtestaat[[#This Row],[Prest. (m2 /jaar) weekend]]+Ruimtestaat[[#This Row],[Prest. (m2 /jaar) werkdagen]]</f>
        <v>0</v>
      </c>
      <c r="AG334" s="79">
        <f>Ruimtestaat[[#This Row],[uren / jaar weekend]]+Ruimtestaat[[#This Row],[uren / jaar werkdagen]]</f>
        <v>0</v>
      </c>
      <c r="AH334" s="80">
        <f>Ruimtestaat[[#This Row],[kosten / jaar weekend]]+Ruimtestaat[[#This Row],[kosten / jaar werkdagen]]</f>
        <v>0</v>
      </c>
    </row>
    <row r="335" spans="1:34" ht="15" customHeight="1">
      <c r="A335" s="256">
        <v>5</v>
      </c>
      <c r="B335" s="171" t="str">
        <f>VLOOKUP(Ruimtestaat[[#This Row],[Code]],Locaties[#All],2,FALSE)</f>
        <v>VSO Het Mozaïek Almelo</v>
      </c>
      <c r="C335" s="258" t="str">
        <f>VLOOKUP(Ruimtestaat[[#This Row],[Code]],Locaties[#All],4,FALSE)</f>
        <v>Cesar Franckstaat 3</v>
      </c>
      <c r="D335" s="258" t="str">
        <f>VLOOKUP(Ruimtestaat[[#This Row],[Code]],Locaties[#All],5,FALSE)</f>
        <v>7604JE</v>
      </c>
      <c r="E335" s="258" t="str">
        <f>VLOOKUP(Ruimtestaat[[#This Row],[Code]],Locaties[#All],6,FALSE)</f>
        <v>Almelo</v>
      </c>
      <c r="F335" s="257" t="s">
        <v>1114</v>
      </c>
      <c r="G335" s="257" t="s">
        <v>563</v>
      </c>
      <c r="H335" s="171"/>
      <c r="I335" s="257" t="s">
        <v>483</v>
      </c>
      <c r="J335" s="259" t="s">
        <v>576</v>
      </c>
      <c r="K335" s="258">
        <v>16</v>
      </c>
      <c r="L335" s="260" t="str">
        <f>VLOOKUP(Ruimtestaat[[#This Row],[Ruimte code]],Ruimtegroepen[#All],2,FALSE)</f>
        <v>Leslokalen</v>
      </c>
      <c r="M335" s="185" t="s">
        <v>598</v>
      </c>
      <c r="N335" s="257" t="s">
        <v>132</v>
      </c>
      <c r="O335" s="261">
        <v>13</v>
      </c>
      <c r="P335" s="183"/>
      <c r="Q335" s="212" t="str">
        <f>VLOOKUP(Ruimtestaat[[#This Row],[Ruimte code]],Ruimtegroepen[#All],4,FALSE)</f>
        <v>L  (Lesruimte)</v>
      </c>
      <c r="R335" s="184"/>
      <c r="S335" s="185">
        <v>40</v>
      </c>
      <c r="T335" s="185" t="s">
        <v>2</v>
      </c>
      <c r="U335" s="185">
        <f>IF(S335&gt;0,IF(RIGHT(Ruimtestaat[[#This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5" s="185">
        <f>IF(U335&gt;0,VLOOKUP($K335,Ruimtegroepen[],3,FALSE)*VLOOKUP($M335,Vloersoorten[],3,FALSE)*VLOOKUP($T335,Frequenties[],3,FALSE)*VLOOKUP($A335,Locaties[],3,FALSE),0)</f>
        <v>0</v>
      </c>
      <c r="W335" s="185">
        <f>Ruimtestaat[[#This Row],[Uitvoeringen werkdagen]]*Ruimtestaat[[#This Row],[Oppervlak (netto)]]</f>
        <v>2600</v>
      </c>
      <c r="X335" s="220">
        <f>IF(V335&gt;0,Ruimtestaat[[#This Row],[Prest. (m2 /jaar) werkdagen]]/Ruimtestaat[[#This Row],[Norm (m2/uur) werkdagen]],0)</f>
        <v>0</v>
      </c>
      <c r="Y335" s="221">
        <f>Ruimtestaat[[#This Row],[uren / jaar werkdagen]]*Tariefsopbouw!$D$38</f>
        <v>0</v>
      </c>
      <c r="Z335" s="33"/>
      <c r="AA335" s="33">
        <f>IF(Ruimtestaat[[#This Row],[Frequentie weekend]]&gt;0,VALUE(LEFT(Z335,1))*S335,0)</f>
        <v>0</v>
      </c>
      <c r="AB335" s="33">
        <f>IF($AA335&gt;0,VLOOKUP($K335,Ruimtegroepen[],3,FALSE)*VLOOKUP($M335,Vloersoorten[],3,FALSE)*VLOOKUP($Z335,Frequenties[],3,FALSE)*VLOOKUP(#REF!,Locaties[],3,FALSE),0)</f>
        <v>0</v>
      </c>
      <c r="AC335" s="33"/>
      <c r="AD335" s="33"/>
      <c r="AE335" s="33">
        <f>Ruimtestaat[[#This Row],[uren / jaar weekend]]*Tariefsopbouw!$D$40</f>
        <v>0</v>
      </c>
      <c r="AF335" s="79">
        <f>Ruimtestaat[[#This Row],[Prest. (m2 /jaar) weekend]]+Ruimtestaat[[#This Row],[Prest. (m2 /jaar) werkdagen]]</f>
        <v>2600</v>
      </c>
      <c r="AG335" s="79">
        <f>Ruimtestaat[[#This Row],[uren / jaar weekend]]+Ruimtestaat[[#This Row],[uren / jaar werkdagen]]</f>
        <v>0</v>
      </c>
      <c r="AH335" s="80">
        <f>Ruimtestaat[[#This Row],[kosten / jaar weekend]]+Ruimtestaat[[#This Row],[kosten / jaar werkdagen]]</f>
        <v>0</v>
      </c>
    </row>
    <row r="336" spans="1:34" ht="15" customHeight="1">
      <c r="A336" s="256">
        <v>5</v>
      </c>
      <c r="B336" s="171" t="str">
        <f>VLOOKUP(Ruimtestaat[[#This Row],[Code]],Locaties[#All],2,FALSE)</f>
        <v>VSO Het Mozaïek Almelo</v>
      </c>
      <c r="C336" s="258" t="str">
        <f>VLOOKUP(Ruimtestaat[[#This Row],[Code]],Locaties[#All],4,FALSE)</f>
        <v>Cesar Franckstaat 3</v>
      </c>
      <c r="D336" s="258" t="str">
        <f>VLOOKUP(Ruimtestaat[[#This Row],[Code]],Locaties[#All],5,FALSE)</f>
        <v>7604JE</v>
      </c>
      <c r="E336" s="258" t="str">
        <f>VLOOKUP(Ruimtestaat[[#This Row],[Code]],Locaties[#All],6,FALSE)</f>
        <v>Almelo</v>
      </c>
      <c r="F336" s="257" t="s">
        <v>1114</v>
      </c>
      <c r="G336" s="257" t="s">
        <v>563</v>
      </c>
      <c r="H336" s="171"/>
      <c r="I336" s="257" t="s">
        <v>484</v>
      </c>
      <c r="J336" s="259" t="s">
        <v>576</v>
      </c>
      <c r="K336" s="171">
        <v>16</v>
      </c>
      <c r="L336" s="260" t="str">
        <f>VLOOKUP(Ruimtestaat[[#This Row],[Ruimte code]],Ruimtegroepen[#All],2,FALSE)</f>
        <v>Leslokalen</v>
      </c>
      <c r="M336" s="258" t="s">
        <v>598</v>
      </c>
      <c r="N336" s="257" t="s">
        <v>132</v>
      </c>
      <c r="O336" s="261">
        <v>54.8</v>
      </c>
      <c r="P336" s="183"/>
      <c r="Q336" s="212" t="str">
        <f>VLOOKUP(Ruimtestaat[[#This Row],[Ruimte code]],Ruimtegroepen[#All],4,FALSE)</f>
        <v>L  (Lesruimte)</v>
      </c>
      <c r="R336" s="184"/>
      <c r="S336" s="185">
        <v>40</v>
      </c>
      <c r="T336" s="185" t="s">
        <v>2</v>
      </c>
      <c r="U336" s="185">
        <f>IF(S336&gt;0,IF(RIGHT(Ruimtestaat[[#This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6" s="185">
        <f>IF(U336&gt;0,VLOOKUP($K336,Ruimtegroepen[],3,FALSE)*VLOOKUP($M336,Vloersoorten[],3,FALSE)*VLOOKUP($T336,Frequenties[],3,FALSE)*VLOOKUP($A336,Locaties[],3,FALSE),0)</f>
        <v>0</v>
      </c>
      <c r="W336" s="185">
        <f>Ruimtestaat[[#This Row],[Uitvoeringen werkdagen]]*Ruimtestaat[[#This Row],[Oppervlak (netto)]]</f>
        <v>10960</v>
      </c>
      <c r="X336" s="220">
        <f>IF(V336&gt;0,Ruimtestaat[[#This Row],[Prest. (m2 /jaar) werkdagen]]/Ruimtestaat[[#This Row],[Norm (m2/uur) werkdagen]],0)</f>
        <v>0</v>
      </c>
      <c r="Y336" s="221">
        <f>Ruimtestaat[[#This Row],[uren / jaar werkdagen]]*Tariefsopbouw!$D$38</f>
        <v>0</v>
      </c>
      <c r="Z336" s="33"/>
      <c r="AA336" s="33">
        <f>IF(Ruimtestaat[[#This Row],[Frequentie weekend]]&gt;0,VALUE(LEFT(Z336,1))*S336,0)</f>
        <v>0</v>
      </c>
      <c r="AB336" s="33">
        <f>IF($AA336&gt;0,VLOOKUP($K336,Ruimtegroepen[],3,FALSE)*VLOOKUP($M336,Vloersoorten[],3,FALSE)*VLOOKUP($Z336,Frequenties[],3,FALSE)*VLOOKUP(#REF!,Locaties[],3,FALSE),0)</f>
        <v>0</v>
      </c>
      <c r="AC336" s="33"/>
      <c r="AD336" s="33"/>
      <c r="AE336" s="33">
        <f>Ruimtestaat[[#This Row],[uren / jaar weekend]]*Tariefsopbouw!$D$40</f>
        <v>0</v>
      </c>
      <c r="AF336" s="79">
        <f>Ruimtestaat[[#This Row],[Prest. (m2 /jaar) weekend]]+Ruimtestaat[[#This Row],[Prest. (m2 /jaar) werkdagen]]</f>
        <v>10960</v>
      </c>
      <c r="AG336" s="79">
        <f>Ruimtestaat[[#This Row],[uren / jaar weekend]]+Ruimtestaat[[#This Row],[uren / jaar werkdagen]]</f>
        <v>0</v>
      </c>
      <c r="AH336" s="80">
        <f>Ruimtestaat[[#This Row],[kosten / jaar weekend]]+Ruimtestaat[[#This Row],[kosten / jaar werkdagen]]</f>
        <v>0</v>
      </c>
    </row>
    <row r="337" spans="1:34" ht="15" customHeight="1">
      <c r="A337" s="256">
        <v>5</v>
      </c>
      <c r="B337" s="171" t="str">
        <f>VLOOKUP(Ruimtestaat[[#This Row],[Code]],Locaties[#All],2,FALSE)</f>
        <v>VSO Het Mozaïek Almelo</v>
      </c>
      <c r="C337" s="258" t="str">
        <f>VLOOKUP(Ruimtestaat[[#This Row],[Code]],Locaties[#All],4,FALSE)</f>
        <v>Cesar Franckstaat 3</v>
      </c>
      <c r="D337" s="258" t="str">
        <f>VLOOKUP(Ruimtestaat[[#This Row],[Code]],Locaties[#All],5,FALSE)</f>
        <v>7604JE</v>
      </c>
      <c r="E337" s="258" t="str">
        <f>VLOOKUP(Ruimtestaat[[#This Row],[Code]],Locaties[#All],6,FALSE)</f>
        <v>Almelo</v>
      </c>
      <c r="F337" s="257" t="s">
        <v>1114</v>
      </c>
      <c r="G337" s="257" t="s">
        <v>563</v>
      </c>
      <c r="H337" s="171"/>
      <c r="I337" s="257" t="s">
        <v>688</v>
      </c>
      <c r="J337" s="259" t="s">
        <v>574</v>
      </c>
      <c r="K337" s="171">
        <v>6</v>
      </c>
      <c r="L337" s="260" t="str">
        <f>VLOOKUP(Ruimtestaat[[#This Row],[Ruimte code]],Ruimtegroepen[#All],2,FALSE)</f>
        <v>Gangen/hallen</v>
      </c>
      <c r="M337" s="258" t="s">
        <v>597</v>
      </c>
      <c r="N337" s="257" t="s">
        <v>38</v>
      </c>
      <c r="O337" s="261">
        <v>25</v>
      </c>
      <c r="P337" s="183"/>
      <c r="Q337" s="212" t="str">
        <f>VLOOKUP(Ruimtestaat[[#This Row],[Ruimte code]],Ruimtegroepen[#All],4,FALSE)</f>
        <v>V  (Verkeersruimte)</v>
      </c>
      <c r="R337" s="184"/>
      <c r="S337" s="185">
        <v>40</v>
      </c>
      <c r="T337" s="185" t="s">
        <v>2</v>
      </c>
      <c r="U337" s="185">
        <f>IF(S337&gt;0,IF(RIGHT(Ruimtestaat[[#This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7" s="185">
        <f>IF(U337&gt;0,VLOOKUP($K337,Ruimtegroepen[],3,FALSE)*VLOOKUP($M337,Vloersoorten[],3,FALSE)*VLOOKUP($T337,Frequenties[],3,FALSE)*VLOOKUP($A337,Locaties[],3,FALSE),0)</f>
        <v>0</v>
      </c>
      <c r="W337" s="185">
        <f>Ruimtestaat[[#This Row],[Uitvoeringen werkdagen]]*Ruimtestaat[[#This Row],[Oppervlak (netto)]]</f>
        <v>5000</v>
      </c>
      <c r="X337" s="220">
        <f>IF(V337&gt;0,Ruimtestaat[[#This Row],[Prest. (m2 /jaar) werkdagen]]/Ruimtestaat[[#This Row],[Norm (m2/uur) werkdagen]],0)</f>
        <v>0</v>
      </c>
      <c r="Y337" s="221">
        <f>Ruimtestaat[[#This Row],[uren / jaar werkdagen]]*Tariefsopbouw!$D$38</f>
        <v>0</v>
      </c>
      <c r="Z337" s="33"/>
      <c r="AA337" s="33">
        <f>IF(Ruimtestaat[[#This Row],[Frequentie weekend]]&gt;0,VALUE(LEFT(Z337,1))*S337,0)</f>
        <v>0</v>
      </c>
      <c r="AB337" s="33">
        <f>IF($AA337&gt;0,VLOOKUP($K337,Ruimtegroepen[],3,FALSE)*VLOOKUP($M337,Vloersoorten[],3,FALSE)*VLOOKUP($Z337,Frequenties[],3,FALSE)*VLOOKUP(#REF!,Locaties[],3,FALSE),0)</f>
        <v>0</v>
      </c>
      <c r="AC337" s="33"/>
      <c r="AD337" s="33"/>
      <c r="AE337" s="33">
        <f>Ruimtestaat[[#This Row],[uren / jaar weekend]]*Tariefsopbouw!$D$40</f>
        <v>0</v>
      </c>
      <c r="AF337" s="79">
        <f>Ruimtestaat[[#This Row],[Prest. (m2 /jaar) weekend]]+Ruimtestaat[[#This Row],[Prest. (m2 /jaar) werkdagen]]</f>
        <v>5000</v>
      </c>
      <c r="AG337" s="79">
        <f>Ruimtestaat[[#This Row],[uren / jaar weekend]]+Ruimtestaat[[#This Row],[uren / jaar werkdagen]]</f>
        <v>0</v>
      </c>
      <c r="AH337" s="80">
        <f>Ruimtestaat[[#This Row],[kosten / jaar weekend]]+Ruimtestaat[[#This Row],[kosten / jaar werkdagen]]</f>
        <v>0</v>
      </c>
    </row>
    <row r="338" spans="1:34" ht="15" customHeight="1">
      <c r="A338" s="256">
        <v>6</v>
      </c>
      <c r="B338" s="171" t="str">
        <f>VLOOKUP(Ruimtestaat[[#This Row],[Code]],Locaties[#All],2,FALSE)</f>
        <v>Het Reliëf</v>
      </c>
      <c r="C338" s="258" t="str">
        <f>VLOOKUP(Ruimtestaat[[#This Row],[Code]],Locaties[#All],4,FALSE)</f>
        <v>Floraparkstraat 390</v>
      </c>
      <c r="D338" s="258" t="str">
        <f>VLOOKUP(Ruimtestaat[[#This Row],[Code]],Locaties[#All],5,FALSE)</f>
        <v>7531HX</v>
      </c>
      <c r="E338" s="258" t="str">
        <f>VLOOKUP(Ruimtestaat[[#This Row],[Code]],Locaties[#All],6,FALSE)</f>
        <v>Enschede</v>
      </c>
      <c r="F338" s="257"/>
      <c r="G338" s="257">
        <v>1</v>
      </c>
      <c r="H338" s="171"/>
      <c r="I338" s="257" t="s">
        <v>814</v>
      </c>
      <c r="J338" s="259" t="s">
        <v>40</v>
      </c>
      <c r="K338" s="185">
        <v>7</v>
      </c>
      <c r="L338" s="260" t="str">
        <f>VLOOKUP(Ruimtestaat[[#This Row],[Ruimte code]],Ruimtegroepen[#All],2,FALSE)</f>
        <v>Entree</v>
      </c>
      <c r="M338" s="258" t="s">
        <v>110</v>
      </c>
      <c r="N338" s="257" t="s">
        <v>265</v>
      </c>
      <c r="O338" s="261">
        <v>23.5</v>
      </c>
      <c r="P338" s="183"/>
      <c r="Q338" s="212" t="str">
        <f>VLOOKUP(Ruimtestaat[[#This Row],[Ruimte code]],Ruimtegroepen[#All],4,FALSE)</f>
        <v>V  (Verkeersruimte)</v>
      </c>
      <c r="R338" s="184"/>
      <c r="S338" s="185">
        <v>40</v>
      </c>
      <c r="T338" s="185" t="s">
        <v>2</v>
      </c>
      <c r="U338" s="185">
        <f>IF(S338&gt;0,IF(RIGHT(Ruimtestaat[[#This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8" s="185">
        <f>IF(U338&gt;0,VLOOKUP($K338,Ruimtegroepen[],3,FALSE)*VLOOKUP($M338,Vloersoorten[],3,FALSE)*VLOOKUP($T338,Frequenties[],3,FALSE)*VLOOKUP($A338,Locaties[],3,FALSE),0)</f>
        <v>0</v>
      </c>
      <c r="W338" s="185">
        <f>Ruimtestaat[[#This Row],[Uitvoeringen werkdagen]]*Ruimtestaat[[#This Row],[Oppervlak (netto)]]</f>
        <v>4700</v>
      </c>
      <c r="X338" s="220">
        <f>IF(V338&gt;0,Ruimtestaat[[#This Row],[Prest. (m2 /jaar) werkdagen]]/Ruimtestaat[[#This Row],[Norm (m2/uur) werkdagen]],0)</f>
        <v>0</v>
      </c>
      <c r="Y338" s="221">
        <f>Ruimtestaat[[#This Row],[uren / jaar werkdagen]]*Tariefsopbouw!$D$38</f>
        <v>0</v>
      </c>
      <c r="Z338" s="33"/>
      <c r="AA338" s="33">
        <f>IF(Ruimtestaat[[#This Row],[Frequentie weekend]]&gt;0,VALUE(LEFT(Z338,1))*S338,0)</f>
        <v>0</v>
      </c>
      <c r="AB338" s="33">
        <f>IF($AA338&gt;0,VLOOKUP($K338,Ruimtegroepen[],3,FALSE)*VLOOKUP($M338,Vloersoorten[],3,FALSE)*VLOOKUP($Z338,Frequenties[],3,FALSE)*VLOOKUP(#REF!,Locaties[],3,FALSE),0)</f>
        <v>0</v>
      </c>
      <c r="AC338" s="33"/>
      <c r="AD338" s="33"/>
      <c r="AE338" s="33">
        <f>Ruimtestaat[[#This Row],[uren / jaar weekend]]*Tariefsopbouw!$D$40</f>
        <v>0</v>
      </c>
      <c r="AF338" s="79">
        <f>Ruimtestaat[[#This Row],[Prest. (m2 /jaar) weekend]]+Ruimtestaat[[#This Row],[Prest. (m2 /jaar) werkdagen]]</f>
        <v>4700</v>
      </c>
      <c r="AG338" s="79">
        <f>Ruimtestaat[[#This Row],[uren / jaar weekend]]+Ruimtestaat[[#This Row],[uren / jaar werkdagen]]</f>
        <v>0</v>
      </c>
      <c r="AH338" s="80">
        <f>Ruimtestaat[[#This Row],[kosten / jaar weekend]]+Ruimtestaat[[#This Row],[kosten / jaar werkdagen]]</f>
        <v>0</v>
      </c>
    </row>
    <row r="339" spans="1:34" ht="15" customHeight="1">
      <c r="A339" s="256">
        <v>6</v>
      </c>
      <c r="B339" s="171" t="str">
        <f>VLOOKUP(Ruimtestaat[[#This Row],[Code]],Locaties[#All],2,FALSE)</f>
        <v>Het Reliëf</v>
      </c>
      <c r="C339" s="258" t="str">
        <f>VLOOKUP(Ruimtestaat[[#This Row],[Code]],Locaties[#All],4,FALSE)</f>
        <v>Floraparkstraat 390</v>
      </c>
      <c r="D339" s="258" t="str">
        <f>VLOOKUP(Ruimtestaat[[#This Row],[Code]],Locaties[#All],5,FALSE)</f>
        <v>7531HX</v>
      </c>
      <c r="E339" s="258" t="str">
        <f>VLOOKUP(Ruimtestaat[[#This Row],[Code]],Locaties[#All],6,FALSE)</f>
        <v>Enschede</v>
      </c>
      <c r="F339" s="257"/>
      <c r="G339" s="257">
        <v>1</v>
      </c>
      <c r="H339" s="171"/>
      <c r="I339" s="257" t="s">
        <v>512</v>
      </c>
      <c r="J339" s="259" t="s">
        <v>22</v>
      </c>
      <c r="K339" s="171">
        <v>5</v>
      </c>
      <c r="L339" s="260" t="str">
        <f>VLOOKUP(Ruimtestaat[[#This Row],[Ruimte code]],Ruimtegroepen[#All],2,FALSE)</f>
        <v>Sanitair</v>
      </c>
      <c r="M339" s="212" t="s">
        <v>111</v>
      </c>
      <c r="N339" s="257" t="s">
        <v>605</v>
      </c>
      <c r="O339" s="261">
        <v>3.8</v>
      </c>
      <c r="P339" s="183"/>
      <c r="Q339" s="212" t="str">
        <f>VLOOKUP(Ruimtestaat[[#This Row],[Ruimte code]],Ruimtegroepen[#All],4,FALSE)</f>
        <v>S  (Sanitair)</v>
      </c>
      <c r="R339" s="184"/>
      <c r="S339" s="185">
        <v>40</v>
      </c>
      <c r="T339" s="185" t="s">
        <v>2</v>
      </c>
      <c r="U339" s="185">
        <f>IF(S339&gt;0,IF(RIGHT(Ruimtestaat[[#This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9" s="185">
        <f>IF(U339&gt;0,VLOOKUP($K339,Ruimtegroepen[],3,FALSE)*VLOOKUP($M339,Vloersoorten[],3,FALSE)*VLOOKUP($T339,Frequenties[],3,FALSE)*VLOOKUP($A339,Locaties[],3,FALSE),0)</f>
        <v>0</v>
      </c>
      <c r="W339" s="185">
        <f>Ruimtestaat[[#This Row],[Uitvoeringen werkdagen]]*Ruimtestaat[[#This Row],[Oppervlak (netto)]]</f>
        <v>760</v>
      </c>
      <c r="X339" s="220">
        <f>IF(V339&gt;0,Ruimtestaat[[#This Row],[Prest. (m2 /jaar) werkdagen]]/Ruimtestaat[[#This Row],[Norm (m2/uur) werkdagen]],0)</f>
        <v>0</v>
      </c>
      <c r="Y339" s="221">
        <f>Ruimtestaat[[#This Row],[uren / jaar werkdagen]]*Tariefsopbouw!$D$38</f>
        <v>0</v>
      </c>
      <c r="Z339" s="33"/>
      <c r="AA339" s="33">
        <f>IF(Ruimtestaat[[#This Row],[Frequentie weekend]]&gt;0,VALUE(LEFT(Z339,1))*S339,0)</f>
        <v>0</v>
      </c>
      <c r="AB339" s="33">
        <f>IF($AA339&gt;0,VLOOKUP($K339,Ruimtegroepen[],3,FALSE)*VLOOKUP($M339,Vloersoorten[],3,FALSE)*VLOOKUP($Z339,Frequenties[],3,FALSE)*VLOOKUP(#REF!,Locaties[],3,FALSE),0)</f>
        <v>0</v>
      </c>
      <c r="AC339" s="33"/>
      <c r="AD339" s="33"/>
      <c r="AE339" s="33">
        <f>Ruimtestaat[[#This Row],[uren / jaar weekend]]*Tariefsopbouw!$D$40</f>
        <v>0</v>
      </c>
      <c r="AF339" s="79">
        <f>Ruimtestaat[[#This Row],[Prest. (m2 /jaar) weekend]]+Ruimtestaat[[#This Row],[Prest. (m2 /jaar) werkdagen]]</f>
        <v>760</v>
      </c>
      <c r="AG339" s="79">
        <f>Ruimtestaat[[#This Row],[uren / jaar weekend]]+Ruimtestaat[[#This Row],[uren / jaar werkdagen]]</f>
        <v>0</v>
      </c>
      <c r="AH339" s="80">
        <f>Ruimtestaat[[#This Row],[kosten / jaar weekend]]+Ruimtestaat[[#This Row],[kosten / jaar werkdagen]]</f>
        <v>0</v>
      </c>
    </row>
    <row r="340" spans="1:34" ht="15" customHeight="1">
      <c r="A340" s="256">
        <v>6</v>
      </c>
      <c r="B340" s="171" t="str">
        <f>VLOOKUP(Ruimtestaat[[#This Row],[Code]],Locaties[#All],2,FALSE)</f>
        <v>Het Reliëf</v>
      </c>
      <c r="C340" s="258" t="str">
        <f>VLOOKUP(Ruimtestaat[[#This Row],[Code]],Locaties[#All],4,FALSE)</f>
        <v>Floraparkstraat 390</v>
      </c>
      <c r="D340" s="258" t="str">
        <f>VLOOKUP(Ruimtestaat[[#This Row],[Code]],Locaties[#All],5,FALSE)</f>
        <v>7531HX</v>
      </c>
      <c r="E340" s="258" t="str">
        <f>VLOOKUP(Ruimtestaat[[#This Row],[Code]],Locaties[#All],6,FALSE)</f>
        <v>Enschede</v>
      </c>
      <c r="F340" s="257"/>
      <c r="G340" s="257">
        <v>1</v>
      </c>
      <c r="H340" s="171"/>
      <c r="I340" s="257" t="s">
        <v>815</v>
      </c>
      <c r="J340" s="259" t="s">
        <v>695</v>
      </c>
      <c r="K340" s="258">
        <v>10</v>
      </c>
      <c r="L340" s="260" t="str">
        <f>VLOOKUP(Ruimtestaat[[#This Row],[Ruimte code]],Ruimtegroepen[#All],2,FALSE)</f>
        <v>Trappenhuizen/lift</v>
      </c>
      <c r="M340" s="258" t="s">
        <v>597</v>
      </c>
      <c r="N340" s="257" t="s">
        <v>38</v>
      </c>
      <c r="O340" s="261">
        <v>10</v>
      </c>
      <c r="P340" s="183"/>
      <c r="Q340" s="212" t="str">
        <f>VLOOKUP(Ruimtestaat[[#This Row],[Ruimte code]],Ruimtegroepen[#All],4,FALSE)</f>
        <v>V  (Verkeersruimte)</v>
      </c>
      <c r="R340" s="184"/>
      <c r="S340" s="185">
        <v>40</v>
      </c>
      <c r="T340" s="185" t="s">
        <v>2</v>
      </c>
      <c r="U340" s="185">
        <f>IF(S340&gt;0,IF(RIGHT(Ruimtestaat[[#This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0" s="185">
        <f>IF(U340&gt;0,VLOOKUP($K340,Ruimtegroepen[],3,FALSE)*VLOOKUP($M340,Vloersoorten[],3,FALSE)*VLOOKUP($T340,Frequenties[],3,FALSE)*VLOOKUP($A340,Locaties[],3,FALSE),0)</f>
        <v>0</v>
      </c>
      <c r="W340" s="185">
        <f>Ruimtestaat[[#This Row],[Uitvoeringen werkdagen]]*Ruimtestaat[[#This Row],[Oppervlak (netto)]]</f>
        <v>2000</v>
      </c>
      <c r="X340" s="220">
        <f>IF(V340&gt;0,Ruimtestaat[[#This Row],[Prest. (m2 /jaar) werkdagen]]/Ruimtestaat[[#This Row],[Norm (m2/uur) werkdagen]],0)</f>
        <v>0</v>
      </c>
      <c r="Y340" s="221">
        <f>Ruimtestaat[[#This Row],[uren / jaar werkdagen]]*Tariefsopbouw!$D$38</f>
        <v>0</v>
      </c>
      <c r="Z340" s="33"/>
      <c r="AA340" s="33">
        <f>IF(Ruimtestaat[[#This Row],[Frequentie weekend]]&gt;0,VALUE(LEFT(Z340,1))*S340,0)</f>
        <v>0</v>
      </c>
      <c r="AB340" s="33">
        <f>IF($AA340&gt;0,VLOOKUP($K340,Ruimtegroepen[],3,FALSE)*VLOOKUP($M340,Vloersoorten[],3,FALSE)*VLOOKUP($Z340,Frequenties[],3,FALSE)*VLOOKUP(#REF!,Locaties[],3,FALSE),0)</f>
        <v>0</v>
      </c>
      <c r="AC340" s="33"/>
      <c r="AD340" s="33"/>
      <c r="AE340" s="33">
        <f>Ruimtestaat[[#This Row],[uren / jaar weekend]]*Tariefsopbouw!$D$40</f>
        <v>0</v>
      </c>
      <c r="AF340" s="79">
        <f>Ruimtestaat[[#This Row],[Prest. (m2 /jaar) weekend]]+Ruimtestaat[[#This Row],[Prest. (m2 /jaar) werkdagen]]</f>
        <v>2000</v>
      </c>
      <c r="AG340" s="79">
        <f>Ruimtestaat[[#This Row],[uren / jaar weekend]]+Ruimtestaat[[#This Row],[uren / jaar werkdagen]]</f>
        <v>0</v>
      </c>
      <c r="AH340" s="80">
        <f>Ruimtestaat[[#This Row],[kosten / jaar weekend]]+Ruimtestaat[[#This Row],[kosten / jaar werkdagen]]</f>
        <v>0</v>
      </c>
    </row>
    <row r="341" spans="1:34" ht="15" customHeight="1">
      <c r="A341" s="256">
        <v>6</v>
      </c>
      <c r="B341" s="171" t="str">
        <f>VLOOKUP(Ruimtestaat[[#This Row],[Code]],Locaties[#All],2,FALSE)</f>
        <v>Het Reliëf</v>
      </c>
      <c r="C341" s="258" t="str">
        <f>VLOOKUP(Ruimtestaat[[#This Row],[Code]],Locaties[#All],4,FALSE)</f>
        <v>Floraparkstraat 390</v>
      </c>
      <c r="D341" s="258" t="str">
        <f>VLOOKUP(Ruimtestaat[[#This Row],[Code]],Locaties[#All],5,FALSE)</f>
        <v>7531HX</v>
      </c>
      <c r="E341" s="258" t="str">
        <f>VLOOKUP(Ruimtestaat[[#This Row],[Code]],Locaties[#All],6,FALSE)</f>
        <v>Enschede</v>
      </c>
      <c r="F341" s="257"/>
      <c r="G341" s="257">
        <v>1</v>
      </c>
      <c r="H341" s="171"/>
      <c r="I341" s="257" t="s">
        <v>513</v>
      </c>
      <c r="J341" s="259" t="s">
        <v>130</v>
      </c>
      <c r="K341" s="258">
        <v>15</v>
      </c>
      <c r="L341" s="260" t="str">
        <f>VLOOKUP(Ruimtestaat[[#This Row],[Ruimte code]],Ruimtegroepen[#All],2,FALSE)</f>
        <v>Keuken/pantry</v>
      </c>
      <c r="M341" s="185" t="s">
        <v>110</v>
      </c>
      <c r="N341" s="257" t="s">
        <v>265</v>
      </c>
      <c r="O341" s="261">
        <v>1.3</v>
      </c>
      <c r="P341" s="183"/>
      <c r="Q341" s="212" t="str">
        <f>VLOOKUP(Ruimtestaat[[#This Row],[Ruimte code]],Ruimtegroepen[#All],4,FALSE)</f>
        <v>V  (Verkeersruimte)</v>
      </c>
      <c r="R341" s="184"/>
      <c r="S341" s="185">
        <v>40</v>
      </c>
      <c r="T341" s="185" t="s">
        <v>2</v>
      </c>
      <c r="U341" s="185">
        <f>IF(S341&gt;0,IF(RIGHT(Ruimtestaat[[#This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1" s="185">
        <f>IF(U341&gt;0,VLOOKUP($K341,Ruimtegroepen[],3,FALSE)*VLOOKUP($M341,Vloersoorten[],3,FALSE)*VLOOKUP($T341,Frequenties[],3,FALSE)*VLOOKUP($A341,Locaties[],3,FALSE),0)</f>
        <v>0</v>
      </c>
      <c r="W341" s="185">
        <f>Ruimtestaat[[#This Row],[Uitvoeringen werkdagen]]*Ruimtestaat[[#This Row],[Oppervlak (netto)]]</f>
        <v>260</v>
      </c>
      <c r="X341" s="220">
        <f>IF(V341&gt;0,Ruimtestaat[[#This Row],[Prest. (m2 /jaar) werkdagen]]/Ruimtestaat[[#This Row],[Norm (m2/uur) werkdagen]],0)</f>
        <v>0</v>
      </c>
      <c r="Y341" s="221">
        <f>Ruimtestaat[[#This Row],[uren / jaar werkdagen]]*Tariefsopbouw!$D$38</f>
        <v>0</v>
      </c>
      <c r="Z341" s="33"/>
      <c r="AA341" s="33">
        <f>IF(Ruimtestaat[[#This Row],[Frequentie weekend]]&gt;0,VALUE(LEFT(Z341,1))*S341,0)</f>
        <v>0</v>
      </c>
      <c r="AB341" s="33">
        <f>IF($AA341&gt;0,VLOOKUP($K341,Ruimtegroepen[],3,FALSE)*VLOOKUP($M341,Vloersoorten[],3,FALSE)*VLOOKUP($Z341,Frequenties[],3,FALSE)*VLOOKUP(#REF!,Locaties[],3,FALSE),0)</f>
        <v>0</v>
      </c>
      <c r="AC341" s="33"/>
      <c r="AD341" s="33"/>
      <c r="AE341" s="33">
        <f>Ruimtestaat[[#This Row],[uren / jaar weekend]]*Tariefsopbouw!$D$40</f>
        <v>0</v>
      </c>
      <c r="AF341" s="79">
        <f>Ruimtestaat[[#This Row],[Prest. (m2 /jaar) weekend]]+Ruimtestaat[[#This Row],[Prest. (m2 /jaar) werkdagen]]</f>
        <v>260</v>
      </c>
      <c r="AG341" s="79">
        <f>Ruimtestaat[[#This Row],[uren / jaar weekend]]+Ruimtestaat[[#This Row],[uren / jaar werkdagen]]</f>
        <v>0</v>
      </c>
      <c r="AH341" s="80">
        <f>Ruimtestaat[[#This Row],[kosten / jaar weekend]]+Ruimtestaat[[#This Row],[kosten / jaar werkdagen]]</f>
        <v>0</v>
      </c>
    </row>
    <row r="342" spans="1:34" ht="15" customHeight="1">
      <c r="A342" s="256">
        <v>6</v>
      </c>
      <c r="B342" s="171" t="str">
        <f>VLOOKUP(Ruimtestaat[[#This Row],[Code]],Locaties[#All],2,FALSE)</f>
        <v>Het Reliëf</v>
      </c>
      <c r="C342" s="258" t="str">
        <f>VLOOKUP(Ruimtestaat[[#This Row],[Code]],Locaties[#All],4,FALSE)</f>
        <v>Floraparkstraat 390</v>
      </c>
      <c r="D342" s="258" t="str">
        <f>VLOOKUP(Ruimtestaat[[#This Row],[Code]],Locaties[#All],5,FALSE)</f>
        <v>7531HX</v>
      </c>
      <c r="E342" s="258" t="str">
        <f>VLOOKUP(Ruimtestaat[[#This Row],[Code]],Locaties[#All],6,FALSE)</f>
        <v>Enschede</v>
      </c>
      <c r="F342" s="257"/>
      <c r="G342" s="257">
        <v>1</v>
      </c>
      <c r="H342" s="171"/>
      <c r="I342" s="257" t="s">
        <v>514</v>
      </c>
      <c r="J342" s="259" t="s">
        <v>816</v>
      </c>
      <c r="K342" s="224">
        <v>13</v>
      </c>
      <c r="L342" s="260" t="str">
        <f>VLOOKUP(Ruimtestaat[[#This Row],[Ruimte code]],Ruimtegroepen[#All],2,FALSE)</f>
        <v>Behandelkamer</v>
      </c>
      <c r="M342" s="258" t="s">
        <v>110</v>
      </c>
      <c r="N342" s="257" t="s">
        <v>265</v>
      </c>
      <c r="O342" s="261">
        <v>23.7</v>
      </c>
      <c r="P342" s="183"/>
      <c r="Q342" s="212" t="str">
        <f>VLOOKUP(Ruimtestaat[[#This Row],[Ruimte code]],Ruimtegroepen[#All],4,FALSE)</f>
        <v>B  (Bureauruimte)</v>
      </c>
      <c r="R342" s="184"/>
      <c r="S342" s="185">
        <v>40</v>
      </c>
      <c r="T342" s="185" t="s">
        <v>2</v>
      </c>
      <c r="U342" s="185">
        <f>IF(S342&gt;0,IF(RIGHT(Ruimtestaat[[#This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2" s="185">
        <f>IF(U342&gt;0,VLOOKUP($K342,Ruimtegroepen[],3,FALSE)*VLOOKUP($M342,Vloersoorten[],3,FALSE)*VLOOKUP($T342,Frequenties[],3,FALSE)*VLOOKUP($A342,Locaties[],3,FALSE),0)</f>
        <v>0</v>
      </c>
      <c r="W342" s="185">
        <f>Ruimtestaat[[#This Row],[Uitvoeringen werkdagen]]*Ruimtestaat[[#This Row],[Oppervlak (netto)]]</f>
        <v>4740</v>
      </c>
      <c r="X342" s="220">
        <f>IF(V342&gt;0,Ruimtestaat[[#This Row],[Prest. (m2 /jaar) werkdagen]]/Ruimtestaat[[#This Row],[Norm (m2/uur) werkdagen]],0)</f>
        <v>0</v>
      </c>
      <c r="Y342" s="221">
        <f>Ruimtestaat[[#This Row],[uren / jaar werkdagen]]*Tariefsopbouw!$D$38</f>
        <v>0</v>
      </c>
      <c r="Z342" s="33"/>
      <c r="AA342" s="33">
        <f>IF(Ruimtestaat[[#This Row],[Frequentie weekend]]&gt;0,VALUE(LEFT(Z342,1))*S342,0)</f>
        <v>0</v>
      </c>
      <c r="AB342" s="33">
        <f>IF($AA342&gt;0,VLOOKUP($K342,Ruimtegroepen[],3,FALSE)*VLOOKUP($M342,Vloersoorten[],3,FALSE)*VLOOKUP($Z342,Frequenties[],3,FALSE)*VLOOKUP(#REF!,Locaties[],3,FALSE),0)</f>
        <v>0</v>
      </c>
      <c r="AC342" s="33"/>
      <c r="AD342" s="33"/>
      <c r="AE342" s="33">
        <f>Ruimtestaat[[#This Row],[uren / jaar weekend]]*Tariefsopbouw!$D$40</f>
        <v>0</v>
      </c>
      <c r="AF342" s="79">
        <f>Ruimtestaat[[#This Row],[Prest. (m2 /jaar) weekend]]+Ruimtestaat[[#This Row],[Prest. (m2 /jaar) werkdagen]]</f>
        <v>4740</v>
      </c>
      <c r="AG342" s="79">
        <f>Ruimtestaat[[#This Row],[uren / jaar weekend]]+Ruimtestaat[[#This Row],[uren / jaar werkdagen]]</f>
        <v>0</v>
      </c>
      <c r="AH342" s="80">
        <f>Ruimtestaat[[#This Row],[kosten / jaar weekend]]+Ruimtestaat[[#This Row],[kosten / jaar werkdagen]]</f>
        <v>0</v>
      </c>
    </row>
    <row r="343" spans="1:34" ht="15" customHeight="1">
      <c r="A343" s="256">
        <v>6</v>
      </c>
      <c r="B343" s="171" t="str">
        <f>VLOOKUP(Ruimtestaat[[#This Row],[Code]],Locaties[#All],2,FALSE)</f>
        <v>Het Reliëf</v>
      </c>
      <c r="C343" s="258" t="str">
        <f>VLOOKUP(Ruimtestaat[[#This Row],[Code]],Locaties[#All],4,FALSE)</f>
        <v>Floraparkstraat 390</v>
      </c>
      <c r="D343" s="258" t="str">
        <f>VLOOKUP(Ruimtestaat[[#This Row],[Code]],Locaties[#All],5,FALSE)</f>
        <v>7531HX</v>
      </c>
      <c r="E343" s="258" t="str">
        <f>VLOOKUP(Ruimtestaat[[#This Row],[Code]],Locaties[#All],6,FALSE)</f>
        <v>Enschede</v>
      </c>
      <c r="F343" s="257"/>
      <c r="G343" s="257">
        <v>1</v>
      </c>
      <c r="H343" s="171"/>
      <c r="I343" s="257" t="s">
        <v>515</v>
      </c>
      <c r="J343" s="259" t="s">
        <v>816</v>
      </c>
      <c r="K343" s="171">
        <v>13</v>
      </c>
      <c r="L343" s="260" t="str">
        <f>VLOOKUP(Ruimtestaat[[#This Row],[Ruimte code]],Ruimtegroepen[#All],2,FALSE)</f>
        <v>Behandelkamer</v>
      </c>
      <c r="M343" s="212" t="s">
        <v>597</v>
      </c>
      <c r="N343" s="257" t="s">
        <v>38</v>
      </c>
      <c r="O343" s="261">
        <v>11</v>
      </c>
      <c r="P343" s="183"/>
      <c r="Q343" s="212" t="str">
        <f>VLOOKUP(Ruimtestaat[[#This Row],[Ruimte code]],Ruimtegroepen[#All],4,FALSE)</f>
        <v>B  (Bureauruimte)</v>
      </c>
      <c r="R343" s="184"/>
      <c r="S343" s="185">
        <v>40</v>
      </c>
      <c r="T343" s="185" t="s">
        <v>2</v>
      </c>
      <c r="U343" s="185">
        <f>IF(S343&gt;0,IF(RIGHT(Ruimtestaat[[#This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3" s="185">
        <f>IF(U343&gt;0,VLOOKUP($K343,Ruimtegroepen[],3,FALSE)*VLOOKUP($M343,Vloersoorten[],3,FALSE)*VLOOKUP($T343,Frequenties[],3,FALSE)*VLOOKUP($A343,Locaties[],3,FALSE),0)</f>
        <v>0</v>
      </c>
      <c r="W343" s="185">
        <f>Ruimtestaat[[#This Row],[Uitvoeringen werkdagen]]*Ruimtestaat[[#This Row],[Oppervlak (netto)]]</f>
        <v>2200</v>
      </c>
      <c r="X343" s="220">
        <f>IF(V343&gt;0,Ruimtestaat[[#This Row],[Prest. (m2 /jaar) werkdagen]]/Ruimtestaat[[#This Row],[Norm (m2/uur) werkdagen]],0)</f>
        <v>0</v>
      </c>
      <c r="Y343" s="221">
        <f>Ruimtestaat[[#This Row],[uren / jaar werkdagen]]*Tariefsopbouw!$D$38</f>
        <v>0</v>
      </c>
      <c r="Z343" s="33"/>
      <c r="AA343" s="33">
        <f>IF(Ruimtestaat[[#This Row],[Frequentie weekend]]&gt;0,VALUE(LEFT(Z343,1))*S343,0)</f>
        <v>0</v>
      </c>
      <c r="AB343" s="33">
        <f>IF($AA343&gt;0,VLOOKUP($K343,Ruimtegroepen[],3,FALSE)*VLOOKUP($M343,Vloersoorten[],3,FALSE)*VLOOKUP($Z343,Frequenties[],3,FALSE)*VLOOKUP(#REF!,Locaties[],3,FALSE),0)</f>
        <v>0</v>
      </c>
      <c r="AC343" s="33"/>
      <c r="AD343" s="33"/>
      <c r="AE343" s="33">
        <f>Ruimtestaat[[#This Row],[uren / jaar weekend]]*Tariefsopbouw!$D$40</f>
        <v>0</v>
      </c>
      <c r="AF343" s="79">
        <f>Ruimtestaat[[#This Row],[Prest. (m2 /jaar) weekend]]+Ruimtestaat[[#This Row],[Prest. (m2 /jaar) werkdagen]]</f>
        <v>2200</v>
      </c>
      <c r="AG343" s="79">
        <f>Ruimtestaat[[#This Row],[uren / jaar weekend]]+Ruimtestaat[[#This Row],[uren / jaar werkdagen]]</f>
        <v>0</v>
      </c>
      <c r="AH343" s="80">
        <f>Ruimtestaat[[#This Row],[kosten / jaar weekend]]+Ruimtestaat[[#This Row],[kosten / jaar werkdagen]]</f>
        <v>0</v>
      </c>
    </row>
    <row r="344" spans="1:34" ht="15" customHeight="1">
      <c r="A344" s="256">
        <v>6</v>
      </c>
      <c r="B344" s="171" t="str">
        <f>VLOOKUP(Ruimtestaat[[#This Row],[Code]],Locaties[#All],2,FALSE)</f>
        <v>Het Reliëf</v>
      </c>
      <c r="C344" s="258" t="str">
        <f>VLOOKUP(Ruimtestaat[[#This Row],[Code]],Locaties[#All],4,FALSE)</f>
        <v>Floraparkstraat 390</v>
      </c>
      <c r="D344" s="258" t="str">
        <f>VLOOKUP(Ruimtestaat[[#This Row],[Code]],Locaties[#All],5,FALSE)</f>
        <v>7531HX</v>
      </c>
      <c r="E344" s="258" t="str">
        <f>VLOOKUP(Ruimtestaat[[#This Row],[Code]],Locaties[#All],6,FALSE)</f>
        <v>Enschede</v>
      </c>
      <c r="F344" s="257"/>
      <c r="G344" s="257">
        <v>1</v>
      </c>
      <c r="H344" s="171"/>
      <c r="I344" s="257" t="s">
        <v>516</v>
      </c>
      <c r="J344" s="259" t="s">
        <v>571</v>
      </c>
      <c r="K344" s="258">
        <v>2</v>
      </c>
      <c r="L344" s="260" t="str">
        <f>VLOOKUP(Ruimtestaat[[#This Row],[Ruimte code]],Ruimtegroepen[#All],2,FALSE)</f>
        <v>Kantoren</v>
      </c>
      <c r="M344" s="185" t="s">
        <v>597</v>
      </c>
      <c r="N344" s="257" t="s">
        <v>38</v>
      </c>
      <c r="O344" s="261">
        <v>14.7</v>
      </c>
      <c r="P344" s="183"/>
      <c r="Q344" s="212" t="str">
        <f>VLOOKUP(Ruimtestaat[[#This Row],[Ruimte code]],Ruimtegroepen[#All],4,FALSE)</f>
        <v>B  (Bureauruimte)</v>
      </c>
      <c r="R344" s="184"/>
      <c r="S344" s="185">
        <v>40</v>
      </c>
      <c r="T344" s="185" t="s">
        <v>15</v>
      </c>
      <c r="U344" s="185">
        <f>IF(S344&gt;0,IF(RIGHT(Ruimtestaat[[#This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4" s="185">
        <f>IF(U344&gt;0,VLOOKUP($K344,Ruimtegroepen[],3,FALSE)*VLOOKUP($M344,Vloersoorten[],3,FALSE)*VLOOKUP($T344,Frequenties[],3,FALSE)*VLOOKUP($A344,Locaties[],3,FALSE),0)</f>
        <v>0</v>
      </c>
      <c r="W344" s="185">
        <f>Ruimtestaat[[#This Row],[Uitvoeringen werkdagen]]*Ruimtestaat[[#This Row],[Oppervlak (netto)]]</f>
        <v>588</v>
      </c>
      <c r="X344" s="220">
        <f>IF(V344&gt;0,Ruimtestaat[[#This Row],[Prest. (m2 /jaar) werkdagen]]/Ruimtestaat[[#This Row],[Norm (m2/uur) werkdagen]],0)</f>
        <v>0</v>
      </c>
      <c r="Y344" s="221">
        <f>Ruimtestaat[[#This Row],[uren / jaar werkdagen]]*Tariefsopbouw!$D$38</f>
        <v>0</v>
      </c>
      <c r="Z344" s="33"/>
      <c r="AA344" s="33">
        <f>IF(Ruimtestaat[[#This Row],[Frequentie weekend]]&gt;0,VALUE(LEFT(Z344,1))*S344,0)</f>
        <v>0</v>
      </c>
      <c r="AB344" s="33">
        <f>IF($AA344&gt;0,VLOOKUP($K344,Ruimtegroepen[],3,FALSE)*VLOOKUP($M344,Vloersoorten[],3,FALSE)*VLOOKUP($Z344,Frequenties[],3,FALSE)*VLOOKUP(#REF!,Locaties[],3,FALSE),0)</f>
        <v>0</v>
      </c>
      <c r="AC344" s="33"/>
      <c r="AD344" s="33"/>
      <c r="AE344" s="33">
        <f>Ruimtestaat[[#This Row],[uren / jaar weekend]]*Tariefsopbouw!$D$40</f>
        <v>0</v>
      </c>
      <c r="AF344" s="79">
        <f>Ruimtestaat[[#This Row],[Prest. (m2 /jaar) weekend]]+Ruimtestaat[[#This Row],[Prest. (m2 /jaar) werkdagen]]</f>
        <v>588</v>
      </c>
      <c r="AG344" s="79">
        <f>Ruimtestaat[[#This Row],[uren / jaar weekend]]+Ruimtestaat[[#This Row],[uren / jaar werkdagen]]</f>
        <v>0</v>
      </c>
      <c r="AH344" s="80">
        <f>Ruimtestaat[[#This Row],[kosten / jaar weekend]]+Ruimtestaat[[#This Row],[kosten / jaar werkdagen]]</f>
        <v>0</v>
      </c>
    </row>
    <row r="345" spans="1:34" ht="15" customHeight="1">
      <c r="A345" s="256">
        <v>6</v>
      </c>
      <c r="B345" s="171" t="str">
        <f>VLOOKUP(Ruimtestaat[[#This Row],[Code]],Locaties[#All],2,FALSE)</f>
        <v>Het Reliëf</v>
      </c>
      <c r="C345" s="258" t="str">
        <f>VLOOKUP(Ruimtestaat[[#This Row],[Code]],Locaties[#All],4,FALSE)</f>
        <v>Floraparkstraat 390</v>
      </c>
      <c r="D345" s="258" t="str">
        <f>VLOOKUP(Ruimtestaat[[#This Row],[Code]],Locaties[#All],5,FALSE)</f>
        <v>7531HX</v>
      </c>
      <c r="E345" s="258" t="str">
        <f>VLOOKUP(Ruimtestaat[[#This Row],[Code]],Locaties[#All],6,FALSE)</f>
        <v>Enschede</v>
      </c>
      <c r="F345" s="257"/>
      <c r="G345" s="257">
        <v>1</v>
      </c>
      <c r="H345" s="171"/>
      <c r="I345" s="257" t="s">
        <v>517</v>
      </c>
      <c r="J345" s="259" t="s">
        <v>373</v>
      </c>
      <c r="K345" s="171">
        <v>6</v>
      </c>
      <c r="L345" s="260" t="str">
        <f>VLOOKUP(Ruimtestaat[[#This Row],[Ruimte code]],Ruimtegroepen[#All],2,FALSE)</f>
        <v>Gangen/hallen</v>
      </c>
      <c r="M345" s="185" t="s">
        <v>597</v>
      </c>
      <c r="N345" s="257" t="s">
        <v>38</v>
      </c>
      <c r="O345" s="261">
        <v>13</v>
      </c>
      <c r="P345" s="183"/>
      <c r="Q345" s="212" t="str">
        <f>VLOOKUP(Ruimtestaat[[#This Row],[Ruimte code]],Ruimtegroepen[#All],4,FALSE)</f>
        <v>V  (Verkeersruimte)</v>
      </c>
      <c r="R345" s="184"/>
      <c r="S345" s="185">
        <v>40</v>
      </c>
      <c r="T345" s="185" t="s">
        <v>2</v>
      </c>
      <c r="U345" s="185">
        <f>IF(S345&gt;0,IF(RIGHT(Ruimtestaat[[#This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5" s="185">
        <f>IF(U345&gt;0,VLOOKUP($K345,Ruimtegroepen[],3,FALSE)*VLOOKUP($M345,Vloersoorten[],3,FALSE)*VLOOKUP($T345,Frequenties[],3,FALSE)*VLOOKUP($A345,Locaties[],3,FALSE),0)</f>
        <v>0</v>
      </c>
      <c r="W345" s="185">
        <f>Ruimtestaat[[#This Row],[Uitvoeringen werkdagen]]*Ruimtestaat[[#This Row],[Oppervlak (netto)]]</f>
        <v>2600</v>
      </c>
      <c r="X345" s="220">
        <f>IF(V345&gt;0,Ruimtestaat[[#This Row],[Prest. (m2 /jaar) werkdagen]]/Ruimtestaat[[#This Row],[Norm (m2/uur) werkdagen]],0)</f>
        <v>0</v>
      </c>
      <c r="Y345" s="221">
        <f>Ruimtestaat[[#This Row],[uren / jaar werkdagen]]*Tariefsopbouw!$D$38</f>
        <v>0</v>
      </c>
      <c r="Z345" s="33"/>
      <c r="AA345" s="33">
        <f>IF(Ruimtestaat[[#This Row],[Frequentie weekend]]&gt;0,VALUE(LEFT(Z345,1))*S345,0)</f>
        <v>0</v>
      </c>
      <c r="AB345" s="33">
        <f>IF($AA345&gt;0,VLOOKUP($K345,Ruimtegroepen[],3,FALSE)*VLOOKUP($M345,Vloersoorten[],3,FALSE)*VLOOKUP($Z345,Frequenties[],3,FALSE)*VLOOKUP(#REF!,Locaties[],3,FALSE),0)</f>
        <v>0</v>
      </c>
      <c r="AC345" s="33"/>
      <c r="AD345" s="33"/>
      <c r="AE345" s="33">
        <f>Ruimtestaat[[#This Row],[uren / jaar weekend]]*Tariefsopbouw!$D$40</f>
        <v>0</v>
      </c>
      <c r="AF345" s="79">
        <f>Ruimtestaat[[#This Row],[Prest. (m2 /jaar) weekend]]+Ruimtestaat[[#This Row],[Prest. (m2 /jaar) werkdagen]]</f>
        <v>2600</v>
      </c>
      <c r="AG345" s="79">
        <f>Ruimtestaat[[#This Row],[uren / jaar weekend]]+Ruimtestaat[[#This Row],[uren / jaar werkdagen]]</f>
        <v>0</v>
      </c>
      <c r="AH345" s="80">
        <f>Ruimtestaat[[#This Row],[kosten / jaar weekend]]+Ruimtestaat[[#This Row],[kosten / jaar werkdagen]]</f>
        <v>0</v>
      </c>
    </row>
    <row r="346" spans="1:34" ht="15" customHeight="1">
      <c r="A346" s="256">
        <v>6</v>
      </c>
      <c r="B346" s="171" t="str">
        <f>VLOOKUP(Ruimtestaat[[#This Row],[Code]],Locaties[#All],2,FALSE)</f>
        <v>Het Reliëf</v>
      </c>
      <c r="C346" s="258" t="str">
        <f>VLOOKUP(Ruimtestaat[[#This Row],[Code]],Locaties[#All],4,FALSE)</f>
        <v>Floraparkstraat 390</v>
      </c>
      <c r="D346" s="258" t="str">
        <f>VLOOKUP(Ruimtestaat[[#This Row],[Code]],Locaties[#All],5,FALSE)</f>
        <v>7531HX</v>
      </c>
      <c r="E346" s="258" t="str">
        <f>VLOOKUP(Ruimtestaat[[#This Row],[Code]],Locaties[#All],6,FALSE)</f>
        <v>Enschede</v>
      </c>
      <c r="F346" s="257"/>
      <c r="G346" s="257">
        <v>1</v>
      </c>
      <c r="H346" s="171"/>
      <c r="I346" s="257" t="s">
        <v>519</v>
      </c>
      <c r="J346" s="259" t="s">
        <v>571</v>
      </c>
      <c r="K346" s="171">
        <v>2</v>
      </c>
      <c r="L346" s="260" t="str">
        <f>VLOOKUP(Ruimtestaat[[#This Row],[Ruimte code]],Ruimtegroepen[#All],2,FALSE)</f>
        <v>Kantoren</v>
      </c>
      <c r="M346" s="258" t="s">
        <v>597</v>
      </c>
      <c r="N346" s="257" t="s">
        <v>38</v>
      </c>
      <c r="O346" s="261">
        <v>18</v>
      </c>
      <c r="P346" s="183"/>
      <c r="Q346" s="212" t="str">
        <f>VLOOKUP(Ruimtestaat[[#This Row],[Ruimte code]],Ruimtegroepen[#All],4,FALSE)</f>
        <v>B  (Bureauruimte)</v>
      </c>
      <c r="R346" s="184"/>
      <c r="S346" s="185">
        <v>40</v>
      </c>
      <c r="T346" s="185" t="s">
        <v>15</v>
      </c>
      <c r="U346" s="185">
        <f>IF(S346&gt;0,IF(RIGHT(Ruimtestaat[[#This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6" s="185">
        <f>IF(U346&gt;0,VLOOKUP($K346,Ruimtegroepen[],3,FALSE)*VLOOKUP($M346,Vloersoorten[],3,FALSE)*VLOOKUP($T346,Frequenties[],3,FALSE)*VLOOKUP($A346,Locaties[],3,FALSE),0)</f>
        <v>0</v>
      </c>
      <c r="W346" s="185">
        <f>Ruimtestaat[[#This Row],[Uitvoeringen werkdagen]]*Ruimtestaat[[#This Row],[Oppervlak (netto)]]</f>
        <v>720</v>
      </c>
      <c r="X346" s="220">
        <f>IF(V346&gt;0,Ruimtestaat[[#This Row],[Prest. (m2 /jaar) werkdagen]]/Ruimtestaat[[#This Row],[Norm (m2/uur) werkdagen]],0)</f>
        <v>0</v>
      </c>
      <c r="Y346" s="221">
        <f>Ruimtestaat[[#This Row],[uren / jaar werkdagen]]*Tariefsopbouw!$D$38</f>
        <v>0</v>
      </c>
      <c r="Z346" s="33"/>
      <c r="AA346" s="33">
        <f>IF(Ruimtestaat[[#This Row],[Frequentie weekend]]&gt;0,VALUE(LEFT(Z346,1))*S346,0)</f>
        <v>0</v>
      </c>
      <c r="AB346" s="33">
        <f>IF($AA346&gt;0,VLOOKUP($K346,Ruimtegroepen[],3,FALSE)*VLOOKUP($M346,Vloersoorten[],3,FALSE)*VLOOKUP($Z346,Frequenties[],3,FALSE)*VLOOKUP(#REF!,Locaties[],3,FALSE),0)</f>
        <v>0</v>
      </c>
      <c r="AC346" s="33"/>
      <c r="AD346" s="33"/>
      <c r="AE346" s="33">
        <f>Ruimtestaat[[#This Row],[uren / jaar weekend]]*Tariefsopbouw!$D$40</f>
        <v>0</v>
      </c>
      <c r="AF346" s="79">
        <f>Ruimtestaat[[#This Row],[Prest. (m2 /jaar) weekend]]+Ruimtestaat[[#This Row],[Prest. (m2 /jaar) werkdagen]]</f>
        <v>720</v>
      </c>
      <c r="AG346" s="79">
        <f>Ruimtestaat[[#This Row],[uren / jaar weekend]]+Ruimtestaat[[#This Row],[uren / jaar werkdagen]]</f>
        <v>0</v>
      </c>
      <c r="AH346" s="80">
        <f>Ruimtestaat[[#This Row],[kosten / jaar weekend]]+Ruimtestaat[[#This Row],[kosten / jaar werkdagen]]</f>
        <v>0</v>
      </c>
    </row>
    <row r="347" spans="1:34" ht="15" customHeight="1">
      <c r="A347" s="256">
        <v>6</v>
      </c>
      <c r="B347" s="171" t="str">
        <f>VLOOKUP(Ruimtestaat[[#This Row],[Code]],Locaties[#All],2,FALSE)</f>
        <v>Het Reliëf</v>
      </c>
      <c r="C347" s="258" t="str">
        <f>VLOOKUP(Ruimtestaat[[#This Row],[Code]],Locaties[#All],4,FALSE)</f>
        <v>Floraparkstraat 390</v>
      </c>
      <c r="D347" s="258" t="str">
        <f>VLOOKUP(Ruimtestaat[[#This Row],[Code]],Locaties[#All],5,FALSE)</f>
        <v>7531HX</v>
      </c>
      <c r="E347" s="258" t="str">
        <f>VLOOKUP(Ruimtestaat[[#This Row],[Code]],Locaties[#All],6,FALSE)</f>
        <v>Enschede</v>
      </c>
      <c r="F347" s="257"/>
      <c r="G347" s="257">
        <v>1</v>
      </c>
      <c r="H347" s="171"/>
      <c r="I347" s="257" t="s">
        <v>518</v>
      </c>
      <c r="J347" s="259" t="s">
        <v>571</v>
      </c>
      <c r="K347" s="258">
        <v>2</v>
      </c>
      <c r="L347" s="260" t="str">
        <f>VLOOKUP(Ruimtestaat[[#This Row],[Ruimte code]],Ruimtegroepen[#All],2,FALSE)</f>
        <v>Kantoren</v>
      </c>
      <c r="M347" s="212" t="s">
        <v>597</v>
      </c>
      <c r="N347" s="257" t="s">
        <v>38</v>
      </c>
      <c r="O347" s="261">
        <v>9</v>
      </c>
      <c r="P347" s="183"/>
      <c r="Q347" s="212" t="str">
        <f>VLOOKUP(Ruimtestaat[[#This Row],[Ruimte code]],Ruimtegroepen[#All],4,FALSE)</f>
        <v>B  (Bureauruimte)</v>
      </c>
      <c r="R347" s="184"/>
      <c r="S347" s="185">
        <v>40</v>
      </c>
      <c r="T347" s="185" t="s">
        <v>15</v>
      </c>
      <c r="U347" s="185">
        <f>IF(S347&gt;0,IF(RIGHT(Ruimtestaat[[#This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7" s="185">
        <f>IF(U347&gt;0,VLOOKUP($K347,Ruimtegroepen[],3,FALSE)*VLOOKUP($M347,Vloersoorten[],3,FALSE)*VLOOKUP($T347,Frequenties[],3,FALSE)*VLOOKUP($A347,Locaties[],3,FALSE),0)</f>
        <v>0</v>
      </c>
      <c r="W347" s="185">
        <f>Ruimtestaat[[#This Row],[Uitvoeringen werkdagen]]*Ruimtestaat[[#This Row],[Oppervlak (netto)]]</f>
        <v>360</v>
      </c>
      <c r="X347" s="220">
        <f>IF(V347&gt;0,Ruimtestaat[[#This Row],[Prest. (m2 /jaar) werkdagen]]/Ruimtestaat[[#This Row],[Norm (m2/uur) werkdagen]],0)</f>
        <v>0</v>
      </c>
      <c r="Y347" s="221">
        <f>Ruimtestaat[[#This Row],[uren / jaar werkdagen]]*Tariefsopbouw!$D$38</f>
        <v>0</v>
      </c>
      <c r="Z347" s="33"/>
      <c r="AA347" s="33">
        <f>IF(Ruimtestaat[[#This Row],[Frequentie weekend]]&gt;0,VALUE(LEFT(Z347,1))*S347,0)</f>
        <v>0</v>
      </c>
      <c r="AB347" s="33">
        <f>IF($AA347&gt;0,VLOOKUP($K347,Ruimtegroepen[],3,FALSE)*VLOOKUP($M347,Vloersoorten[],3,FALSE)*VLOOKUP($Z347,Frequenties[],3,FALSE)*VLOOKUP(#REF!,Locaties[],3,FALSE),0)</f>
        <v>0</v>
      </c>
      <c r="AC347" s="33"/>
      <c r="AD347" s="33"/>
      <c r="AE347" s="33">
        <f>Ruimtestaat[[#This Row],[uren / jaar weekend]]*Tariefsopbouw!$D$40</f>
        <v>0</v>
      </c>
      <c r="AF347" s="79">
        <f>Ruimtestaat[[#This Row],[Prest. (m2 /jaar) weekend]]+Ruimtestaat[[#This Row],[Prest. (m2 /jaar) werkdagen]]</f>
        <v>360</v>
      </c>
      <c r="AG347" s="79">
        <f>Ruimtestaat[[#This Row],[uren / jaar weekend]]+Ruimtestaat[[#This Row],[uren / jaar werkdagen]]</f>
        <v>0</v>
      </c>
      <c r="AH347" s="80">
        <f>Ruimtestaat[[#This Row],[kosten / jaar weekend]]+Ruimtestaat[[#This Row],[kosten / jaar werkdagen]]</f>
        <v>0</v>
      </c>
    </row>
    <row r="348" spans="1:34" ht="15" customHeight="1">
      <c r="A348" s="256">
        <v>6</v>
      </c>
      <c r="B348" s="171" t="str">
        <f>VLOOKUP(Ruimtestaat[[#This Row],[Code]],Locaties[#All],2,FALSE)</f>
        <v>Het Reliëf</v>
      </c>
      <c r="C348" s="258" t="str">
        <f>VLOOKUP(Ruimtestaat[[#This Row],[Code]],Locaties[#All],4,FALSE)</f>
        <v>Floraparkstraat 390</v>
      </c>
      <c r="D348" s="258" t="str">
        <f>VLOOKUP(Ruimtestaat[[#This Row],[Code]],Locaties[#All],5,FALSE)</f>
        <v>7531HX</v>
      </c>
      <c r="E348" s="258" t="str">
        <f>VLOOKUP(Ruimtestaat[[#This Row],[Code]],Locaties[#All],6,FALSE)</f>
        <v>Enschede</v>
      </c>
      <c r="F348" s="257"/>
      <c r="G348" s="257">
        <v>1</v>
      </c>
      <c r="H348" s="171"/>
      <c r="I348" s="257" t="s">
        <v>520</v>
      </c>
      <c r="J348" s="259" t="s">
        <v>571</v>
      </c>
      <c r="K348" s="258">
        <v>2</v>
      </c>
      <c r="L348" s="260" t="str">
        <f>VLOOKUP(Ruimtestaat[[#This Row],[Ruimte code]],Ruimtegroepen[#All],2,FALSE)</f>
        <v>Kantoren</v>
      </c>
      <c r="M348" s="212" t="s">
        <v>597</v>
      </c>
      <c r="N348" s="257" t="s">
        <v>38</v>
      </c>
      <c r="O348" s="261">
        <v>14</v>
      </c>
      <c r="P348" s="183"/>
      <c r="Q348" s="212" t="str">
        <f>VLOOKUP(Ruimtestaat[[#This Row],[Ruimte code]],Ruimtegroepen[#All],4,FALSE)</f>
        <v>B  (Bureauruimte)</v>
      </c>
      <c r="R348" s="184"/>
      <c r="S348" s="185">
        <v>40</v>
      </c>
      <c r="T348" s="185" t="s">
        <v>15</v>
      </c>
      <c r="U348" s="185">
        <f>IF(S348&gt;0,IF(RIGHT(Ruimtestaat[[#This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8" s="185">
        <f>IF(U348&gt;0,VLOOKUP($K348,Ruimtegroepen[],3,FALSE)*VLOOKUP($M348,Vloersoorten[],3,FALSE)*VLOOKUP($T348,Frequenties[],3,FALSE)*VLOOKUP($A348,Locaties[],3,FALSE),0)</f>
        <v>0</v>
      </c>
      <c r="W348" s="185">
        <f>Ruimtestaat[[#This Row],[Uitvoeringen werkdagen]]*Ruimtestaat[[#This Row],[Oppervlak (netto)]]</f>
        <v>560</v>
      </c>
      <c r="X348" s="220">
        <f>IF(V348&gt;0,Ruimtestaat[[#This Row],[Prest. (m2 /jaar) werkdagen]]/Ruimtestaat[[#This Row],[Norm (m2/uur) werkdagen]],0)</f>
        <v>0</v>
      </c>
      <c r="Y348" s="221">
        <f>Ruimtestaat[[#This Row],[uren / jaar werkdagen]]*Tariefsopbouw!$D$38</f>
        <v>0</v>
      </c>
      <c r="Z348" s="33"/>
      <c r="AA348" s="33">
        <f>IF(Ruimtestaat[[#This Row],[Frequentie weekend]]&gt;0,VALUE(LEFT(Z348,1))*S348,0)</f>
        <v>0</v>
      </c>
      <c r="AB348" s="33">
        <f>IF($AA348&gt;0,VLOOKUP($K348,Ruimtegroepen[],3,FALSE)*VLOOKUP($M348,Vloersoorten[],3,FALSE)*VLOOKUP($Z348,Frequenties[],3,FALSE)*VLOOKUP(#REF!,Locaties[],3,FALSE),0)</f>
        <v>0</v>
      </c>
      <c r="AC348" s="33"/>
      <c r="AD348" s="33"/>
      <c r="AE348" s="33">
        <f>Ruimtestaat[[#This Row],[uren / jaar weekend]]*Tariefsopbouw!$D$40</f>
        <v>0</v>
      </c>
      <c r="AF348" s="79">
        <f>Ruimtestaat[[#This Row],[Prest. (m2 /jaar) weekend]]+Ruimtestaat[[#This Row],[Prest. (m2 /jaar) werkdagen]]</f>
        <v>560</v>
      </c>
      <c r="AG348" s="79">
        <f>Ruimtestaat[[#This Row],[uren / jaar weekend]]+Ruimtestaat[[#This Row],[uren / jaar werkdagen]]</f>
        <v>0</v>
      </c>
      <c r="AH348" s="80">
        <f>Ruimtestaat[[#This Row],[kosten / jaar weekend]]+Ruimtestaat[[#This Row],[kosten / jaar werkdagen]]</f>
        <v>0</v>
      </c>
    </row>
    <row r="349" spans="1:34" ht="15" customHeight="1">
      <c r="A349" s="256">
        <v>6</v>
      </c>
      <c r="B349" s="171" t="str">
        <f>VLOOKUP(Ruimtestaat[[#This Row],[Code]],Locaties[#All],2,FALSE)</f>
        <v>Het Reliëf</v>
      </c>
      <c r="C349" s="258" t="str">
        <f>VLOOKUP(Ruimtestaat[[#This Row],[Code]],Locaties[#All],4,FALSE)</f>
        <v>Floraparkstraat 390</v>
      </c>
      <c r="D349" s="258" t="str">
        <f>VLOOKUP(Ruimtestaat[[#This Row],[Code]],Locaties[#All],5,FALSE)</f>
        <v>7531HX</v>
      </c>
      <c r="E349" s="258" t="str">
        <f>VLOOKUP(Ruimtestaat[[#This Row],[Code]],Locaties[#All],6,FALSE)</f>
        <v>Enschede</v>
      </c>
      <c r="F349" s="257"/>
      <c r="G349" s="257">
        <v>1</v>
      </c>
      <c r="H349" s="171"/>
      <c r="I349" s="257" t="s">
        <v>521</v>
      </c>
      <c r="J349" s="259" t="s">
        <v>571</v>
      </c>
      <c r="K349" s="258">
        <v>2</v>
      </c>
      <c r="L349" s="260" t="str">
        <f>VLOOKUP(Ruimtestaat[[#This Row],[Ruimte code]],Ruimtegroepen[#All],2,FALSE)</f>
        <v>Kantoren</v>
      </c>
      <c r="M349" s="212" t="s">
        <v>597</v>
      </c>
      <c r="N349" s="257" t="s">
        <v>38</v>
      </c>
      <c r="O349" s="261">
        <v>14</v>
      </c>
      <c r="P349" s="183"/>
      <c r="Q349" s="212" t="str">
        <f>VLOOKUP(Ruimtestaat[[#This Row],[Ruimte code]],Ruimtegroepen[#All],4,FALSE)</f>
        <v>B  (Bureauruimte)</v>
      </c>
      <c r="R349" s="184"/>
      <c r="S349" s="185">
        <v>40</v>
      </c>
      <c r="T349" s="185" t="s">
        <v>15</v>
      </c>
      <c r="U349" s="185">
        <f>IF(S349&gt;0,IF(RIGHT(Ruimtestaat[[#This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9" s="185">
        <f>IF(U349&gt;0,VLOOKUP($K349,Ruimtegroepen[],3,FALSE)*VLOOKUP($M349,Vloersoorten[],3,FALSE)*VLOOKUP($T349,Frequenties[],3,FALSE)*VLOOKUP($A349,Locaties[],3,FALSE),0)</f>
        <v>0</v>
      </c>
      <c r="W349" s="185">
        <f>Ruimtestaat[[#This Row],[Uitvoeringen werkdagen]]*Ruimtestaat[[#This Row],[Oppervlak (netto)]]</f>
        <v>560</v>
      </c>
      <c r="X349" s="220">
        <f>IF(V349&gt;0,Ruimtestaat[[#This Row],[Prest. (m2 /jaar) werkdagen]]/Ruimtestaat[[#This Row],[Norm (m2/uur) werkdagen]],0)</f>
        <v>0</v>
      </c>
      <c r="Y349" s="221">
        <f>Ruimtestaat[[#This Row],[uren / jaar werkdagen]]*Tariefsopbouw!$D$38</f>
        <v>0</v>
      </c>
      <c r="Z349" s="33"/>
      <c r="AA349" s="33">
        <f>IF(Ruimtestaat[[#This Row],[Frequentie weekend]]&gt;0,VALUE(LEFT(Z349,1))*S349,0)</f>
        <v>0</v>
      </c>
      <c r="AB349" s="33">
        <f>IF($AA349&gt;0,VLOOKUP($K349,Ruimtegroepen[],3,FALSE)*VLOOKUP($M349,Vloersoorten[],3,FALSE)*VLOOKUP($Z349,Frequenties[],3,FALSE)*VLOOKUP(#REF!,Locaties[],3,FALSE),0)</f>
        <v>0</v>
      </c>
      <c r="AC349" s="33"/>
      <c r="AD349" s="33"/>
      <c r="AE349" s="33">
        <f>Ruimtestaat[[#This Row],[uren / jaar weekend]]*Tariefsopbouw!$D$40</f>
        <v>0</v>
      </c>
      <c r="AF349" s="79">
        <f>Ruimtestaat[[#This Row],[Prest. (m2 /jaar) weekend]]+Ruimtestaat[[#This Row],[Prest. (m2 /jaar) werkdagen]]</f>
        <v>560</v>
      </c>
      <c r="AG349" s="79">
        <f>Ruimtestaat[[#This Row],[uren / jaar weekend]]+Ruimtestaat[[#This Row],[uren / jaar werkdagen]]</f>
        <v>0</v>
      </c>
      <c r="AH349" s="80">
        <f>Ruimtestaat[[#This Row],[kosten / jaar weekend]]+Ruimtestaat[[#This Row],[kosten / jaar werkdagen]]</f>
        <v>0</v>
      </c>
    </row>
    <row r="350" spans="1:34" ht="15" customHeight="1">
      <c r="A350" s="256">
        <v>6</v>
      </c>
      <c r="B350" s="171" t="str">
        <f>VLOOKUP(Ruimtestaat[[#This Row],[Code]],Locaties[#All],2,FALSE)</f>
        <v>Het Reliëf</v>
      </c>
      <c r="C350" s="258" t="str">
        <f>VLOOKUP(Ruimtestaat[[#This Row],[Code]],Locaties[#All],4,FALSE)</f>
        <v>Floraparkstraat 390</v>
      </c>
      <c r="D350" s="258" t="str">
        <f>VLOOKUP(Ruimtestaat[[#This Row],[Code]],Locaties[#All],5,FALSE)</f>
        <v>7531HX</v>
      </c>
      <c r="E350" s="258" t="str">
        <f>VLOOKUP(Ruimtestaat[[#This Row],[Code]],Locaties[#All],6,FALSE)</f>
        <v>Enschede</v>
      </c>
      <c r="F350" s="257"/>
      <c r="G350" s="257" t="s">
        <v>563</v>
      </c>
      <c r="H350" s="171"/>
      <c r="I350" s="257" t="s">
        <v>817</v>
      </c>
      <c r="J350" s="259" t="s">
        <v>40</v>
      </c>
      <c r="K350" s="258">
        <v>7</v>
      </c>
      <c r="L350" s="260" t="str">
        <f>VLOOKUP(Ruimtestaat[[#This Row],[Ruimte code]],Ruimtegroepen[#All],2,FALSE)</f>
        <v>Entree</v>
      </c>
      <c r="M350" s="258" t="s">
        <v>597</v>
      </c>
      <c r="N350" s="257" t="s">
        <v>38</v>
      </c>
      <c r="O350" s="261">
        <v>7.5</v>
      </c>
      <c r="P350" s="183"/>
      <c r="Q350" s="212" t="str">
        <f>VLOOKUP(Ruimtestaat[[#This Row],[Ruimte code]],Ruimtegroepen[#All],4,FALSE)</f>
        <v>V  (Verkeersruimte)</v>
      </c>
      <c r="R350" s="184"/>
      <c r="S350" s="185">
        <v>40</v>
      </c>
      <c r="T350" s="185" t="s">
        <v>2</v>
      </c>
      <c r="U350" s="185">
        <f>IF(S350&gt;0,IF(RIGHT(Ruimtestaat[[#This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0" s="185">
        <f>IF(U350&gt;0,VLOOKUP($K350,Ruimtegroepen[],3,FALSE)*VLOOKUP($M350,Vloersoorten[],3,FALSE)*VLOOKUP($T350,Frequenties[],3,FALSE)*VLOOKUP($A350,Locaties[],3,FALSE),0)</f>
        <v>0</v>
      </c>
      <c r="W350" s="185">
        <f>Ruimtestaat[[#This Row],[Uitvoeringen werkdagen]]*Ruimtestaat[[#This Row],[Oppervlak (netto)]]</f>
        <v>1500</v>
      </c>
      <c r="X350" s="220">
        <f>IF(V350&gt;0,Ruimtestaat[[#This Row],[Prest. (m2 /jaar) werkdagen]]/Ruimtestaat[[#This Row],[Norm (m2/uur) werkdagen]],0)</f>
        <v>0</v>
      </c>
      <c r="Y350" s="221">
        <f>Ruimtestaat[[#This Row],[uren / jaar werkdagen]]*Tariefsopbouw!$D$38</f>
        <v>0</v>
      </c>
      <c r="Z350" s="33"/>
      <c r="AA350" s="33">
        <f>IF(Ruimtestaat[[#This Row],[Frequentie weekend]]&gt;0,VALUE(LEFT(Z350,1))*S350,0)</f>
        <v>0</v>
      </c>
      <c r="AB350" s="33">
        <f>IF($AA350&gt;0,VLOOKUP($K350,Ruimtegroepen[],3,FALSE)*VLOOKUP($M350,Vloersoorten[],3,FALSE)*VLOOKUP($Z350,Frequenties[],3,FALSE)*VLOOKUP(#REF!,Locaties[],3,FALSE),0)</f>
        <v>0</v>
      </c>
      <c r="AC350" s="33"/>
      <c r="AD350" s="33"/>
      <c r="AE350" s="33">
        <f>Ruimtestaat[[#This Row],[uren / jaar weekend]]*Tariefsopbouw!$D$40</f>
        <v>0</v>
      </c>
      <c r="AF350" s="79">
        <f>Ruimtestaat[[#This Row],[Prest. (m2 /jaar) weekend]]+Ruimtestaat[[#This Row],[Prest. (m2 /jaar) werkdagen]]</f>
        <v>1500</v>
      </c>
      <c r="AG350" s="79">
        <f>Ruimtestaat[[#This Row],[uren / jaar weekend]]+Ruimtestaat[[#This Row],[uren / jaar werkdagen]]</f>
        <v>0</v>
      </c>
      <c r="AH350" s="80">
        <f>Ruimtestaat[[#This Row],[kosten / jaar weekend]]+Ruimtestaat[[#This Row],[kosten / jaar werkdagen]]</f>
        <v>0</v>
      </c>
    </row>
    <row r="351" spans="1:34" ht="15" customHeight="1">
      <c r="A351" s="256">
        <v>6</v>
      </c>
      <c r="B351" s="171" t="str">
        <f>VLOOKUP(Ruimtestaat[[#This Row],[Code]],Locaties[#All],2,FALSE)</f>
        <v>Het Reliëf</v>
      </c>
      <c r="C351" s="258" t="str">
        <f>VLOOKUP(Ruimtestaat[[#This Row],[Code]],Locaties[#All],4,FALSE)</f>
        <v>Floraparkstraat 390</v>
      </c>
      <c r="D351" s="258" t="str">
        <f>VLOOKUP(Ruimtestaat[[#This Row],[Code]],Locaties[#All],5,FALSE)</f>
        <v>7531HX</v>
      </c>
      <c r="E351" s="258" t="str">
        <f>VLOOKUP(Ruimtestaat[[#This Row],[Code]],Locaties[#All],6,FALSE)</f>
        <v>Enschede</v>
      </c>
      <c r="F351" s="257"/>
      <c r="G351" s="257" t="s">
        <v>563</v>
      </c>
      <c r="H351" s="171"/>
      <c r="I351" s="257" t="s">
        <v>446</v>
      </c>
      <c r="J351" s="259" t="s">
        <v>571</v>
      </c>
      <c r="K351" s="258">
        <v>2</v>
      </c>
      <c r="L351" s="260" t="str">
        <f>VLOOKUP(Ruimtestaat[[#This Row],[Ruimte code]],Ruimtegroepen[#All],2,FALSE)</f>
        <v>Kantoren</v>
      </c>
      <c r="M351" s="258" t="s">
        <v>597</v>
      </c>
      <c r="N351" s="257" t="s">
        <v>38</v>
      </c>
      <c r="O351" s="261">
        <v>17</v>
      </c>
      <c r="P351" s="183"/>
      <c r="Q351" s="212" t="str">
        <f>VLOOKUP(Ruimtestaat[[#This Row],[Ruimte code]],Ruimtegroepen[#All],4,FALSE)</f>
        <v>B  (Bureauruimte)</v>
      </c>
      <c r="R351" s="184"/>
      <c r="S351" s="185">
        <v>40</v>
      </c>
      <c r="T351" s="185" t="s">
        <v>15</v>
      </c>
      <c r="U351" s="185">
        <f>IF(S351&gt;0,IF(RIGHT(Ruimtestaat[[#This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51" s="185">
        <f>IF(U351&gt;0,VLOOKUP($K351,Ruimtegroepen[],3,FALSE)*VLOOKUP($M351,Vloersoorten[],3,FALSE)*VLOOKUP($T351,Frequenties[],3,FALSE)*VLOOKUP($A351,Locaties[],3,FALSE),0)</f>
        <v>0</v>
      </c>
      <c r="W351" s="185">
        <f>Ruimtestaat[[#This Row],[Uitvoeringen werkdagen]]*Ruimtestaat[[#This Row],[Oppervlak (netto)]]</f>
        <v>680</v>
      </c>
      <c r="X351" s="220">
        <f>IF(V351&gt;0,Ruimtestaat[[#This Row],[Prest. (m2 /jaar) werkdagen]]/Ruimtestaat[[#This Row],[Norm (m2/uur) werkdagen]],0)</f>
        <v>0</v>
      </c>
      <c r="Y351" s="221">
        <f>Ruimtestaat[[#This Row],[uren / jaar werkdagen]]*Tariefsopbouw!$D$38</f>
        <v>0</v>
      </c>
      <c r="Z351" s="33"/>
      <c r="AA351" s="33">
        <f>IF(Ruimtestaat[[#This Row],[Frequentie weekend]]&gt;0,VALUE(LEFT(Z351,1))*S351,0)</f>
        <v>0</v>
      </c>
      <c r="AB351" s="33">
        <f>IF($AA351&gt;0,VLOOKUP($K351,Ruimtegroepen[],3,FALSE)*VLOOKUP($M351,Vloersoorten[],3,FALSE)*VLOOKUP($Z351,Frequenties[],3,FALSE)*VLOOKUP(#REF!,Locaties[],3,FALSE),0)</f>
        <v>0</v>
      </c>
      <c r="AC351" s="33"/>
      <c r="AD351" s="33"/>
      <c r="AE351" s="33">
        <f>Ruimtestaat[[#This Row],[uren / jaar weekend]]*Tariefsopbouw!$D$40</f>
        <v>0</v>
      </c>
      <c r="AF351" s="79">
        <f>Ruimtestaat[[#This Row],[Prest. (m2 /jaar) weekend]]+Ruimtestaat[[#This Row],[Prest. (m2 /jaar) werkdagen]]</f>
        <v>680</v>
      </c>
      <c r="AG351" s="79">
        <f>Ruimtestaat[[#This Row],[uren / jaar weekend]]+Ruimtestaat[[#This Row],[uren / jaar werkdagen]]</f>
        <v>0</v>
      </c>
      <c r="AH351" s="80">
        <f>Ruimtestaat[[#This Row],[kosten / jaar weekend]]+Ruimtestaat[[#This Row],[kosten / jaar werkdagen]]</f>
        <v>0</v>
      </c>
    </row>
    <row r="352" spans="1:34" ht="15" customHeight="1">
      <c r="A352" s="256">
        <v>6</v>
      </c>
      <c r="B352" s="171" t="str">
        <f>VLOOKUP(Ruimtestaat[[#This Row],[Code]],Locaties[#All],2,FALSE)</f>
        <v>Het Reliëf</v>
      </c>
      <c r="C352" s="258" t="str">
        <f>VLOOKUP(Ruimtestaat[[#This Row],[Code]],Locaties[#All],4,FALSE)</f>
        <v>Floraparkstraat 390</v>
      </c>
      <c r="D352" s="258" t="str">
        <f>VLOOKUP(Ruimtestaat[[#This Row],[Code]],Locaties[#All],5,FALSE)</f>
        <v>7531HX</v>
      </c>
      <c r="E352" s="258" t="str">
        <f>VLOOKUP(Ruimtestaat[[#This Row],[Code]],Locaties[#All],6,FALSE)</f>
        <v>Enschede</v>
      </c>
      <c r="F352" s="257"/>
      <c r="G352" s="257" t="s">
        <v>563</v>
      </c>
      <c r="H352" s="171"/>
      <c r="I352" s="257" t="s">
        <v>447</v>
      </c>
      <c r="J352" s="259" t="s">
        <v>571</v>
      </c>
      <c r="K352" s="185">
        <v>2</v>
      </c>
      <c r="L352" s="260" t="str">
        <f>VLOOKUP(Ruimtestaat[[#This Row],[Ruimte code]],Ruimtegroepen[#All],2,FALSE)</f>
        <v>Kantoren</v>
      </c>
      <c r="M352" s="212" t="s">
        <v>597</v>
      </c>
      <c r="N352" s="257" t="s">
        <v>38</v>
      </c>
      <c r="O352" s="261">
        <v>18.5</v>
      </c>
      <c r="P352" s="183"/>
      <c r="Q352" s="212" t="str">
        <f>VLOOKUP(Ruimtestaat[[#This Row],[Ruimte code]],Ruimtegroepen[#All],4,FALSE)</f>
        <v>B  (Bureauruimte)</v>
      </c>
      <c r="R352" s="184"/>
      <c r="S352" s="185">
        <v>40</v>
      </c>
      <c r="T352" s="185" t="s">
        <v>15</v>
      </c>
      <c r="U352" s="185">
        <f>IF(S352&gt;0,IF(RIGHT(Ruimtestaat[[#This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52" s="185">
        <f>IF(U352&gt;0,VLOOKUP($K352,Ruimtegroepen[],3,FALSE)*VLOOKUP($M352,Vloersoorten[],3,FALSE)*VLOOKUP($T352,Frequenties[],3,FALSE)*VLOOKUP($A352,Locaties[],3,FALSE),0)</f>
        <v>0</v>
      </c>
      <c r="W352" s="185">
        <f>Ruimtestaat[[#This Row],[Uitvoeringen werkdagen]]*Ruimtestaat[[#This Row],[Oppervlak (netto)]]</f>
        <v>740</v>
      </c>
      <c r="X352" s="220">
        <f>IF(V352&gt;0,Ruimtestaat[[#This Row],[Prest. (m2 /jaar) werkdagen]]/Ruimtestaat[[#This Row],[Norm (m2/uur) werkdagen]],0)</f>
        <v>0</v>
      </c>
      <c r="Y352" s="221">
        <f>Ruimtestaat[[#This Row],[uren / jaar werkdagen]]*Tariefsopbouw!$D$38</f>
        <v>0</v>
      </c>
      <c r="Z352" s="33"/>
      <c r="AA352" s="33">
        <f>IF(Ruimtestaat[[#This Row],[Frequentie weekend]]&gt;0,VALUE(LEFT(Z352,1))*S352,0)</f>
        <v>0</v>
      </c>
      <c r="AB352" s="33">
        <f>IF($AA352&gt;0,VLOOKUP($K352,Ruimtegroepen[],3,FALSE)*VLOOKUP($M352,Vloersoorten[],3,FALSE)*VLOOKUP($Z352,Frequenties[],3,FALSE)*VLOOKUP(#REF!,Locaties[],3,FALSE),0)</f>
        <v>0</v>
      </c>
      <c r="AC352" s="33"/>
      <c r="AD352" s="33"/>
      <c r="AE352" s="33">
        <f>Ruimtestaat[[#This Row],[uren / jaar weekend]]*Tariefsopbouw!$D$40</f>
        <v>0</v>
      </c>
      <c r="AF352" s="79">
        <f>Ruimtestaat[[#This Row],[Prest. (m2 /jaar) weekend]]+Ruimtestaat[[#This Row],[Prest. (m2 /jaar) werkdagen]]</f>
        <v>740</v>
      </c>
      <c r="AG352" s="79">
        <f>Ruimtestaat[[#This Row],[uren / jaar weekend]]+Ruimtestaat[[#This Row],[uren / jaar werkdagen]]</f>
        <v>0</v>
      </c>
      <c r="AH352" s="80">
        <f>Ruimtestaat[[#This Row],[kosten / jaar weekend]]+Ruimtestaat[[#This Row],[kosten / jaar werkdagen]]</f>
        <v>0</v>
      </c>
    </row>
    <row r="353" spans="1:34" ht="15" customHeight="1">
      <c r="A353" s="256">
        <v>6</v>
      </c>
      <c r="B353" s="171" t="str">
        <f>VLOOKUP(Ruimtestaat[[#This Row],[Code]],Locaties[#All],2,FALSE)</f>
        <v>Het Reliëf</v>
      </c>
      <c r="C353" s="258" t="str">
        <f>VLOOKUP(Ruimtestaat[[#This Row],[Code]],Locaties[#All],4,FALSE)</f>
        <v>Floraparkstraat 390</v>
      </c>
      <c r="D353" s="258" t="str">
        <f>VLOOKUP(Ruimtestaat[[#This Row],[Code]],Locaties[#All],5,FALSE)</f>
        <v>7531HX</v>
      </c>
      <c r="E353" s="258" t="str">
        <f>VLOOKUP(Ruimtestaat[[#This Row],[Code]],Locaties[#All],6,FALSE)</f>
        <v>Enschede</v>
      </c>
      <c r="F353" s="257"/>
      <c r="G353" s="257" t="s">
        <v>563</v>
      </c>
      <c r="H353" s="171"/>
      <c r="I353" s="257" t="s">
        <v>818</v>
      </c>
      <c r="J353" s="259" t="s">
        <v>373</v>
      </c>
      <c r="K353" s="171">
        <v>6</v>
      </c>
      <c r="L353" s="260" t="str">
        <f>VLOOKUP(Ruimtestaat[[#This Row],[Ruimte code]],Ruimtegroepen[#All],2,FALSE)</f>
        <v>Gangen/hallen</v>
      </c>
      <c r="M353" s="212" t="s">
        <v>111</v>
      </c>
      <c r="N353" s="257" t="s">
        <v>605</v>
      </c>
      <c r="O353" s="261">
        <v>26</v>
      </c>
      <c r="P353" s="183"/>
      <c r="Q353" s="212" t="str">
        <f>VLOOKUP(Ruimtestaat[[#This Row],[Ruimte code]],Ruimtegroepen[#All],4,FALSE)</f>
        <v>V  (Verkeersruimte)</v>
      </c>
      <c r="R353" s="184"/>
      <c r="S353" s="185">
        <v>40</v>
      </c>
      <c r="T353" s="185" t="s">
        <v>2</v>
      </c>
      <c r="U353" s="185">
        <f>IF(S353&gt;0,IF(RIGHT(Ruimtestaat[[#This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3" s="185">
        <f>IF(U353&gt;0,VLOOKUP($K353,Ruimtegroepen[],3,FALSE)*VLOOKUP($M353,Vloersoorten[],3,FALSE)*VLOOKUP($T353,Frequenties[],3,FALSE)*VLOOKUP($A353,Locaties[],3,FALSE),0)</f>
        <v>0</v>
      </c>
      <c r="W353" s="185">
        <f>Ruimtestaat[[#This Row],[Uitvoeringen werkdagen]]*Ruimtestaat[[#This Row],[Oppervlak (netto)]]</f>
        <v>5200</v>
      </c>
      <c r="X353" s="220">
        <f>IF(V353&gt;0,Ruimtestaat[[#This Row],[Prest. (m2 /jaar) werkdagen]]/Ruimtestaat[[#This Row],[Norm (m2/uur) werkdagen]],0)</f>
        <v>0</v>
      </c>
      <c r="Y353" s="221">
        <f>Ruimtestaat[[#This Row],[uren / jaar werkdagen]]*Tariefsopbouw!$D$38</f>
        <v>0</v>
      </c>
      <c r="Z353" s="33"/>
      <c r="AA353" s="33">
        <f>IF(Ruimtestaat[[#This Row],[Frequentie weekend]]&gt;0,VALUE(LEFT(Z353,1))*S353,0)</f>
        <v>0</v>
      </c>
      <c r="AB353" s="33">
        <f>IF($AA353&gt;0,VLOOKUP($K353,Ruimtegroepen[],3,FALSE)*VLOOKUP($M353,Vloersoorten[],3,FALSE)*VLOOKUP($Z353,Frequenties[],3,FALSE)*VLOOKUP(#REF!,Locaties[],3,FALSE),0)</f>
        <v>0</v>
      </c>
      <c r="AC353" s="33"/>
      <c r="AD353" s="33"/>
      <c r="AE353" s="33">
        <f>Ruimtestaat[[#This Row],[uren / jaar weekend]]*Tariefsopbouw!$D$40</f>
        <v>0</v>
      </c>
      <c r="AF353" s="79">
        <f>Ruimtestaat[[#This Row],[Prest. (m2 /jaar) weekend]]+Ruimtestaat[[#This Row],[Prest. (m2 /jaar) werkdagen]]</f>
        <v>5200</v>
      </c>
      <c r="AG353" s="79">
        <f>Ruimtestaat[[#This Row],[uren / jaar weekend]]+Ruimtestaat[[#This Row],[uren / jaar werkdagen]]</f>
        <v>0</v>
      </c>
      <c r="AH353" s="80">
        <f>Ruimtestaat[[#This Row],[kosten / jaar weekend]]+Ruimtestaat[[#This Row],[kosten / jaar werkdagen]]</f>
        <v>0</v>
      </c>
    </row>
    <row r="354" spans="1:34" ht="15" customHeight="1">
      <c r="A354" s="256">
        <v>6</v>
      </c>
      <c r="B354" s="171" t="str">
        <f>VLOOKUP(Ruimtestaat[[#This Row],[Code]],Locaties[#All],2,FALSE)</f>
        <v>Het Reliëf</v>
      </c>
      <c r="C354" s="258" t="str">
        <f>VLOOKUP(Ruimtestaat[[#This Row],[Code]],Locaties[#All],4,FALSE)</f>
        <v>Floraparkstraat 390</v>
      </c>
      <c r="D354" s="258" t="str">
        <f>VLOOKUP(Ruimtestaat[[#This Row],[Code]],Locaties[#All],5,FALSE)</f>
        <v>7531HX</v>
      </c>
      <c r="E354" s="258" t="str">
        <f>VLOOKUP(Ruimtestaat[[#This Row],[Code]],Locaties[#All],6,FALSE)</f>
        <v>Enschede</v>
      </c>
      <c r="F354" s="257"/>
      <c r="G354" s="257" t="s">
        <v>563</v>
      </c>
      <c r="H354" s="171"/>
      <c r="I354" s="257" t="s">
        <v>819</v>
      </c>
      <c r="J354" s="259" t="s">
        <v>40</v>
      </c>
      <c r="K354" s="224">
        <v>7</v>
      </c>
      <c r="L354" s="260" t="str">
        <f>VLOOKUP(Ruimtestaat[[#This Row],[Ruimte code]],Ruimtegroepen[#All],2,FALSE)</f>
        <v>Entree</v>
      </c>
      <c r="M354" s="212" t="s">
        <v>597</v>
      </c>
      <c r="N354" s="257" t="s">
        <v>604</v>
      </c>
      <c r="O354" s="261">
        <v>12</v>
      </c>
      <c r="P354" s="183"/>
      <c r="Q354" s="212" t="str">
        <f>VLOOKUP(Ruimtestaat[[#This Row],[Ruimte code]],Ruimtegroepen[#All],4,FALSE)</f>
        <v>V  (Verkeersruimte)</v>
      </c>
      <c r="R354" s="184"/>
      <c r="S354" s="185">
        <v>40</v>
      </c>
      <c r="T354" s="185" t="s">
        <v>2</v>
      </c>
      <c r="U354" s="185">
        <f>IF(S354&gt;0,IF(RIGHT(Ruimtestaat[[#This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4" s="185">
        <f>IF(U354&gt;0,VLOOKUP($K354,Ruimtegroepen[],3,FALSE)*VLOOKUP($M354,Vloersoorten[],3,FALSE)*VLOOKUP($T354,Frequenties[],3,FALSE)*VLOOKUP($A354,Locaties[],3,FALSE),0)</f>
        <v>0</v>
      </c>
      <c r="W354" s="185">
        <f>Ruimtestaat[[#This Row],[Uitvoeringen werkdagen]]*Ruimtestaat[[#This Row],[Oppervlak (netto)]]</f>
        <v>2400</v>
      </c>
      <c r="X354" s="220">
        <f>IF(V354&gt;0,Ruimtestaat[[#This Row],[Prest. (m2 /jaar) werkdagen]]/Ruimtestaat[[#This Row],[Norm (m2/uur) werkdagen]],0)</f>
        <v>0</v>
      </c>
      <c r="Y354" s="221">
        <f>Ruimtestaat[[#This Row],[uren / jaar werkdagen]]*Tariefsopbouw!$D$38</f>
        <v>0</v>
      </c>
      <c r="Z354" s="33"/>
      <c r="AA354" s="33">
        <f>IF(Ruimtestaat[[#This Row],[Frequentie weekend]]&gt;0,VALUE(LEFT(Z354,1))*S354,0)</f>
        <v>0</v>
      </c>
      <c r="AB354" s="33">
        <f>IF($AA354&gt;0,VLOOKUP($K354,Ruimtegroepen[],3,FALSE)*VLOOKUP($M354,Vloersoorten[],3,FALSE)*VLOOKUP($Z354,Frequenties[],3,FALSE)*VLOOKUP(#REF!,Locaties[],3,FALSE),0)</f>
        <v>0</v>
      </c>
      <c r="AC354" s="33"/>
      <c r="AD354" s="33"/>
      <c r="AE354" s="33">
        <f>Ruimtestaat[[#This Row],[uren / jaar weekend]]*Tariefsopbouw!$D$40</f>
        <v>0</v>
      </c>
      <c r="AF354" s="79">
        <f>Ruimtestaat[[#This Row],[Prest. (m2 /jaar) weekend]]+Ruimtestaat[[#This Row],[Prest. (m2 /jaar) werkdagen]]</f>
        <v>2400</v>
      </c>
      <c r="AG354" s="79">
        <f>Ruimtestaat[[#This Row],[uren / jaar weekend]]+Ruimtestaat[[#This Row],[uren / jaar werkdagen]]</f>
        <v>0</v>
      </c>
      <c r="AH354" s="80">
        <f>Ruimtestaat[[#This Row],[kosten / jaar weekend]]+Ruimtestaat[[#This Row],[kosten / jaar werkdagen]]</f>
        <v>0</v>
      </c>
    </row>
    <row r="355" spans="1:34" ht="15" customHeight="1">
      <c r="A355" s="256">
        <v>6</v>
      </c>
      <c r="B355" s="171" t="str">
        <f>VLOOKUP(Ruimtestaat[[#This Row],[Code]],Locaties[#All],2,FALSE)</f>
        <v>Het Reliëf</v>
      </c>
      <c r="C355" s="258" t="str">
        <f>VLOOKUP(Ruimtestaat[[#This Row],[Code]],Locaties[#All],4,FALSE)</f>
        <v>Floraparkstraat 390</v>
      </c>
      <c r="D355" s="258" t="str">
        <f>VLOOKUP(Ruimtestaat[[#This Row],[Code]],Locaties[#All],5,FALSE)</f>
        <v>7531HX</v>
      </c>
      <c r="E355" s="258" t="str">
        <f>VLOOKUP(Ruimtestaat[[#This Row],[Code]],Locaties[#All],6,FALSE)</f>
        <v>Enschede</v>
      </c>
      <c r="F355" s="257"/>
      <c r="G355" s="257" t="s">
        <v>563</v>
      </c>
      <c r="H355" s="171"/>
      <c r="I355" s="257" t="s">
        <v>820</v>
      </c>
      <c r="J355" s="259" t="s">
        <v>373</v>
      </c>
      <c r="K355" s="258">
        <v>6</v>
      </c>
      <c r="L355" s="260" t="str">
        <f>VLOOKUP(Ruimtestaat[[#This Row],[Ruimte code]],Ruimtegroepen[#All],2,FALSE)</f>
        <v>Gangen/hallen</v>
      </c>
      <c r="M355" s="212" t="s">
        <v>111</v>
      </c>
      <c r="N355" s="257" t="s">
        <v>605</v>
      </c>
      <c r="O355" s="261">
        <v>33</v>
      </c>
      <c r="P355" s="183"/>
      <c r="Q355" s="212" t="str">
        <f>VLOOKUP(Ruimtestaat[[#This Row],[Ruimte code]],Ruimtegroepen[#All],4,FALSE)</f>
        <v>V  (Verkeersruimte)</v>
      </c>
      <c r="R355" s="184"/>
      <c r="S355" s="185">
        <v>40</v>
      </c>
      <c r="T355" s="185" t="s">
        <v>2</v>
      </c>
      <c r="U355" s="185">
        <f>IF(S355&gt;0,IF(RIGHT(Ruimtestaat[[#This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5" s="185">
        <f>IF(U355&gt;0,VLOOKUP($K355,Ruimtegroepen[],3,FALSE)*VLOOKUP($M355,Vloersoorten[],3,FALSE)*VLOOKUP($T355,Frequenties[],3,FALSE)*VLOOKUP($A355,Locaties[],3,FALSE),0)</f>
        <v>0</v>
      </c>
      <c r="W355" s="185">
        <f>Ruimtestaat[[#This Row],[Uitvoeringen werkdagen]]*Ruimtestaat[[#This Row],[Oppervlak (netto)]]</f>
        <v>6600</v>
      </c>
      <c r="X355" s="220">
        <f>IF(V355&gt;0,Ruimtestaat[[#This Row],[Prest. (m2 /jaar) werkdagen]]/Ruimtestaat[[#This Row],[Norm (m2/uur) werkdagen]],0)</f>
        <v>0</v>
      </c>
      <c r="Y355" s="221">
        <f>Ruimtestaat[[#This Row],[uren / jaar werkdagen]]*Tariefsopbouw!$D$38</f>
        <v>0</v>
      </c>
      <c r="Z355" s="33"/>
      <c r="AA355" s="33">
        <f>IF(Ruimtestaat[[#This Row],[Frequentie weekend]]&gt;0,VALUE(LEFT(Z355,1))*S355,0)</f>
        <v>0</v>
      </c>
      <c r="AB355" s="33">
        <f>IF($AA355&gt;0,VLOOKUP($K355,Ruimtegroepen[],3,FALSE)*VLOOKUP($M355,Vloersoorten[],3,FALSE)*VLOOKUP($Z355,Frequenties[],3,FALSE)*VLOOKUP(#REF!,Locaties[],3,FALSE),0)</f>
        <v>0</v>
      </c>
      <c r="AC355" s="33"/>
      <c r="AD355" s="33"/>
      <c r="AE355" s="33">
        <f>Ruimtestaat[[#This Row],[uren / jaar weekend]]*Tariefsopbouw!$D$40</f>
        <v>0</v>
      </c>
      <c r="AF355" s="79">
        <f>Ruimtestaat[[#This Row],[Prest. (m2 /jaar) weekend]]+Ruimtestaat[[#This Row],[Prest. (m2 /jaar) werkdagen]]</f>
        <v>6600</v>
      </c>
      <c r="AG355" s="79">
        <f>Ruimtestaat[[#This Row],[uren / jaar weekend]]+Ruimtestaat[[#This Row],[uren / jaar werkdagen]]</f>
        <v>0</v>
      </c>
      <c r="AH355" s="80">
        <f>Ruimtestaat[[#This Row],[kosten / jaar weekend]]+Ruimtestaat[[#This Row],[kosten / jaar werkdagen]]</f>
        <v>0</v>
      </c>
    </row>
    <row r="356" spans="1:34" ht="15" customHeight="1">
      <c r="A356" s="256">
        <v>6</v>
      </c>
      <c r="B356" s="171" t="str">
        <f>VLOOKUP(Ruimtestaat[[#This Row],[Code]],Locaties[#All],2,FALSE)</f>
        <v>Het Reliëf</v>
      </c>
      <c r="C356" s="258" t="str">
        <f>VLOOKUP(Ruimtestaat[[#This Row],[Code]],Locaties[#All],4,FALSE)</f>
        <v>Floraparkstraat 390</v>
      </c>
      <c r="D356" s="258" t="str">
        <f>VLOOKUP(Ruimtestaat[[#This Row],[Code]],Locaties[#All],5,FALSE)</f>
        <v>7531HX</v>
      </c>
      <c r="E356" s="258" t="str">
        <f>VLOOKUP(Ruimtestaat[[#This Row],[Code]],Locaties[#All],6,FALSE)</f>
        <v>Enschede</v>
      </c>
      <c r="F356" s="257"/>
      <c r="G356" s="257" t="s">
        <v>563</v>
      </c>
      <c r="H356" s="171"/>
      <c r="I356" s="257" t="s">
        <v>448</v>
      </c>
      <c r="J356" s="259" t="s">
        <v>22</v>
      </c>
      <c r="K356" s="258">
        <v>5</v>
      </c>
      <c r="L356" s="260" t="str">
        <f>VLOOKUP(Ruimtestaat[[#This Row],[Ruimte code]],Ruimtegroepen[#All],2,FALSE)</f>
        <v>Sanitair</v>
      </c>
      <c r="M356" s="212" t="s">
        <v>111</v>
      </c>
      <c r="N356" s="257" t="s">
        <v>605</v>
      </c>
      <c r="O356" s="261">
        <v>5</v>
      </c>
      <c r="P356" s="183"/>
      <c r="Q356" s="212" t="str">
        <f>VLOOKUP(Ruimtestaat[[#This Row],[Ruimte code]],Ruimtegroepen[#All],4,FALSE)</f>
        <v>S  (Sanitair)</v>
      </c>
      <c r="R356" s="184"/>
      <c r="S356" s="185">
        <v>40</v>
      </c>
      <c r="T356" s="185" t="s">
        <v>2</v>
      </c>
      <c r="U356" s="185">
        <f>IF(S356&gt;0,IF(RIGHT(Ruimtestaat[[#This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6" s="185">
        <f>IF(U356&gt;0,VLOOKUP($K356,Ruimtegroepen[],3,FALSE)*VLOOKUP($M356,Vloersoorten[],3,FALSE)*VLOOKUP($T356,Frequenties[],3,FALSE)*VLOOKUP($A356,Locaties[],3,FALSE),0)</f>
        <v>0</v>
      </c>
      <c r="W356" s="185">
        <f>Ruimtestaat[[#This Row],[Uitvoeringen werkdagen]]*Ruimtestaat[[#This Row],[Oppervlak (netto)]]</f>
        <v>1000</v>
      </c>
      <c r="X356" s="220">
        <f>IF(V356&gt;0,Ruimtestaat[[#This Row],[Prest. (m2 /jaar) werkdagen]]/Ruimtestaat[[#This Row],[Norm (m2/uur) werkdagen]],0)</f>
        <v>0</v>
      </c>
      <c r="Y356" s="221">
        <f>Ruimtestaat[[#This Row],[uren / jaar werkdagen]]*Tariefsopbouw!$D$38</f>
        <v>0</v>
      </c>
      <c r="Z356" s="33"/>
      <c r="AA356" s="33">
        <f>IF(Ruimtestaat[[#This Row],[Frequentie weekend]]&gt;0,VALUE(LEFT(Z356,1))*S356,0)</f>
        <v>0</v>
      </c>
      <c r="AB356" s="33">
        <f>IF($AA356&gt;0,VLOOKUP($K356,Ruimtegroepen[],3,FALSE)*VLOOKUP($M356,Vloersoorten[],3,FALSE)*VLOOKUP($Z356,Frequenties[],3,FALSE)*VLOOKUP(#REF!,Locaties[],3,FALSE),0)</f>
        <v>0</v>
      </c>
      <c r="AC356" s="33"/>
      <c r="AD356" s="33"/>
      <c r="AE356" s="33">
        <f>Ruimtestaat[[#This Row],[uren / jaar weekend]]*Tariefsopbouw!$D$40</f>
        <v>0</v>
      </c>
      <c r="AF356" s="79">
        <f>Ruimtestaat[[#This Row],[Prest. (m2 /jaar) weekend]]+Ruimtestaat[[#This Row],[Prest. (m2 /jaar) werkdagen]]</f>
        <v>1000</v>
      </c>
      <c r="AG356" s="79">
        <f>Ruimtestaat[[#This Row],[uren / jaar weekend]]+Ruimtestaat[[#This Row],[uren / jaar werkdagen]]</f>
        <v>0</v>
      </c>
      <c r="AH356" s="80">
        <f>Ruimtestaat[[#This Row],[kosten / jaar weekend]]+Ruimtestaat[[#This Row],[kosten / jaar werkdagen]]</f>
        <v>0</v>
      </c>
    </row>
    <row r="357" spans="1:34" ht="15" customHeight="1">
      <c r="A357" s="256">
        <v>6</v>
      </c>
      <c r="B357" s="171" t="str">
        <f>VLOOKUP(Ruimtestaat[[#This Row],[Code]],Locaties[#All],2,FALSE)</f>
        <v>Het Reliëf</v>
      </c>
      <c r="C357" s="258" t="str">
        <f>VLOOKUP(Ruimtestaat[[#This Row],[Code]],Locaties[#All],4,FALSE)</f>
        <v>Floraparkstraat 390</v>
      </c>
      <c r="D357" s="258" t="str">
        <f>VLOOKUP(Ruimtestaat[[#This Row],[Code]],Locaties[#All],5,FALSE)</f>
        <v>7531HX</v>
      </c>
      <c r="E357" s="258" t="str">
        <f>VLOOKUP(Ruimtestaat[[#This Row],[Code]],Locaties[#All],6,FALSE)</f>
        <v>Enschede</v>
      </c>
      <c r="F357" s="257"/>
      <c r="G357" s="257" t="s">
        <v>563</v>
      </c>
      <c r="H357" s="171"/>
      <c r="I357" s="257" t="s">
        <v>449</v>
      </c>
      <c r="J357" s="259" t="s">
        <v>821</v>
      </c>
      <c r="K357" s="171">
        <v>20</v>
      </c>
      <c r="L357" s="260" t="str">
        <f>VLOOKUP(Ruimtestaat[[#This Row],[Ruimte code]],Ruimtegroepen[#All],2,FALSE)</f>
        <v>Niet in onderhoud</v>
      </c>
      <c r="M357" s="258"/>
      <c r="N357" s="257"/>
      <c r="O357" s="261"/>
      <c r="P357" s="183"/>
      <c r="Q357" s="212" t="str">
        <f>VLOOKUP(Ruimtestaat[[#This Row],[Ruimte code]],Ruimtegroepen[#All],4,FALSE)</f>
        <v>niet in onderhoud</v>
      </c>
      <c r="R357" s="184"/>
      <c r="S357" s="185"/>
      <c r="T357" s="185"/>
      <c r="U357" s="185">
        <f>IF(S357&gt;0,IF(RIGHT(Ruimtestaat[[#This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57" s="185">
        <f>IF(U357&gt;0,VLOOKUP($K357,Ruimtegroepen[],3,FALSE)*VLOOKUP($M357,Vloersoorten[],3,FALSE)*VLOOKUP($T357,Frequenties[],3,FALSE)*VLOOKUP($A357,Locaties[],3,FALSE),0)</f>
        <v>0</v>
      </c>
      <c r="W357" s="185">
        <f>Ruimtestaat[[#This Row],[Uitvoeringen werkdagen]]*Ruimtestaat[[#This Row],[Oppervlak (netto)]]</f>
        <v>0</v>
      </c>
      <c r="X357" s="220">
        <f>IF(V357&gt;0,Ruimtestaat[[#This Row],[Prest. (m2 /jaar) werkdagen]]/Ruimtestaat[[#This Row],[Norm (m2/uur) werkdagen]],0)</f>
        <v>0</v>
      </c>
      <c r="Y357" s="221">
        <f>Ruimtestaat[[#This Row],[uren / jaar werkdagen]]*Tariefsopbouw!$D$38</f>
        <v>0</v>
      </c>
      <c r="Z357" s="33"/>
      <c r="AA357" s="33">
        <f>IF(Ruimtestaat[[#This Row],[Frequentie weekend]]&gt;0,VALUE(LEFT(Z357,1))*S357,0)</f>
        <v>0</v>
      </c>
      <c r="AB357" s="33">
        <f>IF($AA357&gt;0,VLOOKUP($K357,Ruimtegroepen[],3,FALSE)*VLOOKUP($M357,Vloersoorten[],3,FALSE)*VLOOKUP($Z357,Frequenties[],3,FALSE)*VLOOKUP(#REF!,Locaties[],3,FALSE),0)</f>
        <v>0</v>
      </c>
      <c r="AC357" s="33"/>
      <c r="AD357" s="33"/>
      <c r="AE357" s="33">
        <f>Ruimtestaat[[#This Row],[uren / jaar weekend]]*Tariefsopbouw!$D$40</f>
        <v>0</v>
      </c>
      <c r="AF357" s="79">
        <f>Ruimtestaat[[#This Row],[Prest. (m2 /jaar) weekend]]+Ruimtestaat[[#This Row],[Prest. (m2 /jaar) werkdagen]]</f>
        <v>0</v>
      </c>
      <c r="AG357" s="79">
        <f>Ruimtestaat[[#This Row],[uren / jaar weekend]]+Ruimtestaat[[#This Row],[uren / jaar werkdagen]]</f>
        <v>0</v>
      </c>
      <c r="AH357" s="80">
        <f>Ruimtestaat[[#This Row],[kosten / jaar weekend]]+Ruimtestaat[[#This Row],[kosten / jaar werkdagen]]</f>
        <v>0</v>
      </c>
    </row>
    <row r="358" spans="1:34" ht="15" customHeight="1">
      <c r="A358" s="256">
        <v>6</v>
      </c>
      <c r="B358" s="171" t="str">
        <f>VLOOKUP(Ruimtestaat[[#This Row],[Code]],Locaties[#All],2,FALSE)</f>
        <v>Het Reliëf</v>
      </c>
      <c r="C358" s="258" t="str">
        <f>VLOOKUP(Ruimtestaat[[#This Row],[Code]],Locaties[#All],4,FALSE)</f>
        <v>Floraparkstraat 390</v>
      </c>
      <c r="D358" s="258" t="str">
        <f>VLOOKUP(Ruimtestaat[[#This Row],[Code]],Locaties[#All],5,FALSE)</f>
        <v>7531HX</v>
      </c>
      <c r="E358" s="258" t="str">
        <f>VLOOKUP(Ruimtestaat[[#This Row],[Code]],Locaties[#All],6,FALSE)</f>
        <v>Enschede</v>
      </c>
      <c r="F358" s="257"/>
      <c r="G358" s="257" t="s">
        <v>563</v>
      </c>
      <c r="H358" s="171"/>
      <c r="I358" s="257" t="s">
        <v>450</v>
      </c>
      <c r="J358" s="259" t="s">
        <v>22</v>
      </c>
      <c r="K358" s="171">
        <v>5</v>
      </c>
      <c r="L358" s="260" t="str">
        <f>VLOOKUP(Ruimtestaat[[#This Row],[Ruimte code]],Ruimtegroepen[#All],2,FALSE)</f>
        <v>Sanitair</v>
      </c>
      <c r="M358" s="212" t="s">
        <v>111</v>
      </c>
      <c r="N358" s="257" t="s">
        <v>605</v>
      </c>
      <c r="O358" s="261">
        <v>3.6</v>
      </c>
      <c r="P358" s="183"/>
      <c r="Q358" s="212" t="str">
        <f>VLOOKUP(Ruimtestaat[[#This Row],[Ruimte code]],Ruimtegroepen[#All],4,FALSE)</f>
        <v>S  (Sanitair)</v>
      </c>
      <c r="R358" s="184"/>
      <c r="S358" s="185">
        <v>40</v>
      </c>
      <c r="T358" s="185" t="s">
        <v>2</v>
      </c>
      <c r="U358" s="185">
        <f>IF(S358&gt;0,IF(RIGHT(Ruimtestaat[[#This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8" s="185">
        <f>IF(U358&gt;0,VLOOKUP($K358,Ruimtegroepen[],3,FALSE)*VLOOKUP($M358,Vloersoorten[],3,FALSE)*VLOOKUP($T358,Frequenties[],3,FALSE)*VLOOKUP($A358,Locaties[],3,FALSE),0)</f>
        <v>0</v>
      </c>
      <c r="W358" s="185">
        <f>Ruimtestaat[[#This Row],[Uitvoeringen werkdagen]]*Ruimtestaat[[#This Row],[Oppervlak (netto)]]</f>
        <v>720</v>
      </c>
      <c r="X358" s="220">
        <f>IF(V358&gt;0,Ruimtestaat[[#This Row],[Prest. (m2 /jaar) werkdagen]]/Ruimtestaat[[#This Row],[Norm (m2/uur) werkdagen]],0)</f>
        <v>0</v>
      </c>
      <c r="Y358" s="221">
        <f>Ruimtestaat[[#This Row],[uren / jaar werkdagen]]*Tariefsopbouw!$D$38</f>
        <v>0</v>
      </c>
      <c r="Z358" s="33"/>
      <c r="AA358" s="33">
        <f>IF(Ruimtestaat[[#This Row],[Frequentie weekend]]&gt;0,VALUE(LEFT(Z358,1))*S358,0)</f>
        <v>0</v>
      </c>
      <c r="AB358" s="33">
        <f>IF($AA358&gt;0,VLOOKUP($K358,Ruimtegroepen[],3,FALSE)*VLOOKUP($M358,Vloersoorten[],3,FALSE)*VLOOKUP($Z358,Frequenties[],3,FALSE)*VLOOKUP(#REF!,Locaties[],3,FALSE),0)</f>
        <v>0</v>
      </c>
      <c r="AC358" s="33"/>
      <c r="AD358" s="33"/>
      <c r="AE358" s="33">
        <f>Ruimtestaat[[#This Row],[uren / jaar weekend]]*Tariefsopbouw!$D$40</f>
        <v>0</v>
      </c>
      <c r="AF358" s="79">
        <f>Ruimtestaat[[#This Row],[Prest. (m2 /jaar) weekend]]+Ruimtestaat[[#This Row],[Prest. (m2 /jaar) werkdagen]]</f>
        <v>720</v>
      </c>
      <c r="AG358" s="79">
        <f>Ruimtestaat[[#This Row],[uren / jaar weekend]]+Ruimtestaat[[#This Row],[uren / jaar werkdagen]]</f>
        <v>0</v>
      </c>
      <c r="AH358" s="80">
        <f>Ruimtestaat[[#This Row],[kosten / jaar weekend]]+Ruimtestaat[[#This Row],[kosten / jaar werkdagen]]</f>
        <v>0</v>
      </c>
    </row>
    <row r="359" spans="1:34" ht="15" customHeight="1">
      <c r="A359" s="256">
        <v>6</v>
      </c>
      <c r="B359" s="171" t="str">
        <f>VLOOKUP(Ruimtestaat[[#This Row],[Code]],Locaties[#All],2,FALSE)</f>
        <v>Het Reliëf</v>
      </c>
      <c r="C359" s="258" t="str">
        <f>VLOOKUP(Ruimtestaat[[#This Row],[Code]],Locaties[#All],4,FALSE)</f>
        <v>Floraparkstraat 390</v>
      </c>
      <c r="D359" s="258" t="str">
        <f>VLOOKUP(Ruimtestaat[[#This Row],[Code]],Locaties[#All],5,FALSE)</f>
        <v>7531HX</v>
      </c>
      <c r="E359" s="258" t="str">
        <f>VLOOKUP(Ruimtestaat[[#This Row],[Code]],Locaties[#All],6,FALSE)</f>
        <v>Enschede</v>
      </c>
      <c r="F359" s="257"/>
      <c r="G359" s="257" t="s">
        <v>563</v>
      </c>
      <c r="H359" s="171"/>
      <c r="I359" s="257" t="s">
        <v>453</v>
      </c>
      <c r="J359" s="259" t="s">
        <v>571</v>
      </c>
      <c r="K359" s="171">
        <v>2</v>
      </c>
      <c r="L359" s="260" t="str">
        <f>VLOOKUP(Ruimtestaat[[#This Row],[Ruimte code]],Ruimtegroepen[#All],2,FALSE)</f>
        <v>Kantoren</v>
      </c>
      <c r="M359" s="258" t="s">
        <v>597</v>
      </c>
      <c r="N359" s="257" t="s">
        <v>38</v>
      </c>
      <c r="O359" s="261">
        <v>24</v>
      </c>
      <c r="P359" s="183"/>
      <c r="Q359" s="212" t="str">
        <f>VLOOKUP(Ruimtestaat[[#This Row],[Ruimte code]],Ruimtegroepen[#All],4,FALSE)</f>
        <v>B  (Bureauruimte)</v>
      </c>
      <c r="R359" s="184"/>
      <c r="S359" s="185">
        <v>40</v>
      </c>
      <c r="T359" s="185" t="s">
        <v>15</v>
      </c>
      <c r="U359" s="185">
        <f>IF(S359&gt;0,IF(RIGHT(Ruimtestaat[[#This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59" s="185">
        <f>IF(U359&gt;0,VLOOKUP($K359,Ruimtegroepen[],3,FALSE)*VLOOKUP($M359,Vloersoorten[],3,FALSE)*VLOOKUP($T359,Frequenties[],3,FALSE)*VLOOKUP($A359,Locaties[],3,FALSE),0)</f>
        <v>0</v>
      </c>
      <c r="W359" s="185">
        <f>Ruimtestaat[[#This Row],[Uitvoeringen werkdagen]]*Ruimtestaat[[#This Row],[Oppervlak (netto)]]</f>
        <v>960</v>
      </c>
      <c r="X359" s="220">
        <f>IF(V359&gt;0,Ruimtestaat[[#This Row],[Prest. (m2 /jaar) werkdagen]]/Ruimtestaat[[#This Row],[Norm (m2/uur) werkdagen]],0)</f>
        <v>0</v>
      </c>
      <c r="Y359" s="221">
        <f>Ruimtestaat[[#This Row],[uren / jaar werkdagen]]*Tariefsopbouw!$D$38</f>
        <v>0</v>
      </c>
      <c r="Z359" s="33"/>
      <c r="AA359" s="33">
        <f>IF(Ruimtestaat[[#This Row],[Frequentie weekend]]&gt;0,VALUE(LEFT(Z359,1))*S359,0)</f>
        <v>0</v>
      </c>
      <c r="AB359" s="33">
        <f>IF($AA359&gt;0,VLOOKUP($K359,Ruimtegroepen[],3,FALSE)*VLOOKUP($M359,Vloersoorten[],3,FALSE)*VLOOKUP($Z359,Frequenties[],3,FALSE)*VLOOKUP(#REF!,Locaties[],3,FALSE),0)</f>
        <v>0</v>
      </c>
      <c r="AC359" s="33"/>
      <c r="AD359" s="33"/>
      <c r="AE359" s="33">
        <f>Ruimtestaat[[#This Row],[uren / jaar weekend]]*Tariefsopbouw!$D$40</f>
        <v>0</v>
      </c>
      <c r="AF359" s="79">
        <f>Ruimtestaat[[#This Row],[Prest. (m2 /jaar) weekend]]+Ruimtestaat[[#This Row],[Prest. (m2 /jaar) werkdagen]]</f>
        <v>960</v>
      </c>
      <c r="AG359" s="79">
        <f>Ruimtestaat[[#This Row],[uren / jaar weekend]]+Ruimtestaat[[#This Row],[uren / jaar werkdagen]]</f>
        <v>0</v>
      </c>
      <c r="AH359" s="80">
        <f>Ruimtestaat[[#This Row],[kosten / jaar weekend]]+Ruimtestaat[[#This Row],[kosten / jaar werkdagen]]</f>
        <v>0</v>
      </c>
    </row>
    <row r="360" spans="1:34" ht="15" customHeight="1">
      <c r="A360" s="256">
        <v>6</v>
      </c>
      <c r="B360" s="171" t="str">
        <f>VLOOKUP(Ruimtestaat[[#This Row],[Code]],Locaties[#All],2,FALSE)</f>
        <v>Het Reliëf</v>
      </c>
      <c r="C360" s="258" t="str">
        <f>VLOOKUP(Ruimtestaat[[#This Row],[Code]],Locaties[#All],4,FALSE)</f>
        <v>Floraparkstraat 390</v>
      </c>
      <c r="D360" s="258" t="str">
        <f>VLOOKUP(Ruimtestaat[[#This Row],[Code]],Locaties[#All],5,FALSE)</f>
        <v>7531HX</v>
      </c>
      <c r="E360" s="258" t="str">
        <f>VLOOKUP(Ruimtestaat[[#This Row],[Code]],Locaties[#All],6,FALSE)</f>
        <v>Enschede</v>
      </c>
      <c r="F360" s="257"/>
      <c r="G360" s="257" t="s">
        <v>563</v>
      </c>
      <c r="H360" s="171"/>
      <c r="I360" s="257" t="s">
        <v>452</v>
      </c>
      <c r="J360" s="259" t="s">
        <v>22</v>
      </c>
      <c r="K360" s="171">
        <v>5</v>
      </c>
      <c r="L360" s="260" t="str">
        <f>VLOOKUP(Ruimtestaat[[#This Row],[Ruimte code]],Ruimtegroepen[#All],2,FALSE)</f>
        <v>Sanitair</v>
      </c>
      <c r="M360" s="212" t="s">
        <v>111</v>
      </c>
      <c r="N360" s="257" t="s">
        <v>605</v>
      </c>
      <c r="O360" s="261">
        <v>8</v>
      </c>
      <c r="P360" s="183"/>
      <c r="Q360" s="212" t="str">
        <f>VLOOKUP(Ruimtestaat[[#This Row],[Ruimte code]],Ruimtegroepen[#All],4,FALSE)</f>
        <v>S  (Sanitair)</v>
      </c>
      <c r="R360" s="184"/>
      <c r="S360" s="185">
        <v>40</v>
      </c>
      <c r="T360" s="185" t="s">
        <v>2</v>
      </c>
      <c r="U360" s="185">
        <f>IF(S360&gt;0,IF(RIGHT(Ruimtestaat[[#This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0" s="185">
        <f>IF(U360&gt;0,VLOOKUP($K360,Ruimtegroepen[],3,FALSE)*VLOOKUP($M360,Vloersoorten[],3,FALSE)*VLOOKUP($T360,Frequenties[],3,FALSE)*VLOOKUP($A360,Locaties[],3,FALSE),0)</f>
        <v>0</v>
      </c>
      <c r="W360" s="185">
        <f>Ruimtestaat[[#This Row],[Uitvoeringen werkdagen]]*Ruimtestaat[[#This Row],[Oppervlak (netto)]]</f>
        <v>1600</v>
      </c>
      <c r="X360" s="220">
        <f>IF(V360&gt;0,Ruimtestaat[[#This Row],[Prest. (m2 /jaar) werkdagen]]/Ruimtestaat[[#This Row],[Norm (m2/uur) werkdagen]],0)</f>
        <v>0</v>
      </c>
      <c r="Y360" s="221">
        <f>Ruimtestaat[[#This Row],[uren / jaar werkdagen]]*Tariefsopbouw!$D$38</f>
        <v>0</v>
      </c>
      <c r="Z360" s="33"/>
      <c r="AA360" s="33">
        <f>IF(Ruimtestaat[[#This Row],[Frequentie weekend]]&gt;0,VALUE(LEFT(Z360,1))*S360,0)</f>
        <v>0</v>
      </c>
      <c r="AB360" s="33">
        <f>IF($AA360&gt;0,VLOOKUP($K360,Ruimtegroepen[],3,FALSE)*VLOOKUP($M360,Vloersoorten[],3,FALSE)*VLOOKUP($Z360,Frequenties[],3,FALSE)*VLOOKUP(#REF!,Locaties[],3,FALSE),0)</f>
        <v>0</v>
      </c>
      <c r="AC360" s="33"/>
      <c r="AD360" s="33"/>
      <c r="AE360" s="33">
        <f>Ruimtestaat[[#This Row],[uren / jaar weekend]]*Tariefsopbouw!$D$40</f>
        <v>0</v>
      </c>
      <c r="AF360" s="79">
        <f>Ruimtestaat[[#This Row],[Prest. (m2 /jaar) weekend]]+Ruimtestaat[[#This Row],[Prest. (m2 /jaar) werkdagen]]</f>
        <v>1600</v>
      </c>
      <c r="AG360" s="79">
        <f>Ruimtestaat[[#This Row],[uren / jaar weekend]]+Ruimtestaat[[#This Row],[uren / jaar werkdagen]]</f>
        <v>0</v>
      </c>
      <c r="AH360" s="80">
        <f>Ruimtestaat[[#This Row],[kosten / jaar weekend]]+Ruimtestaat[[#This Row],[kosten / jaar werkdagen]]</f>
        <v>0</v>
      </c>
    </row>
    <row r="361" spans="1:34" ht="15" customHeight="1">
      <c r="A361" s="256">
        <v>6</v>
      </c>
      <c r="B361" s="171" t="str">
        <f>VLOOKUP(Ruimtestaat[[#This Row],[Code]],Locaties[#All],2,FALSE)</f>
        <v>Het Reliëf</v>
      </c>
      <c r="C361" s="258" t="str">
        <f>VLOOKUP(Ruimtestaat[[#This Row],[Code]],Locaties[#All],4,FALSE)</f>
        <v>Floraparkstraat 390</v>
      </c>
      <c r="D361" s="258" t="str">
        <f>VLOOKUP(Ruimtestaat[[#This Row],[Code]],Locaties[#All],5,FALSE)</f>
        <v>7531HX</v>
      </c>
      <c r="E361" s="258" t="str">
        <f>VLOOKUP(Ruimtestaat[[#This Row],[Code]],Locaties[#All],6,FALSE)</f>
        <v>Enschede</v>
      </c>
      <c r="F361" s="257"/>
      <c r="G361" s="257" t="s">
        <v>563</v>
      </c>
      <c r="H361" s="171"/>
      <c r="I361" s="257" t="s">
        <v>451</v>
      </c>
      <c r="J361" s="259" t="s">
        <v>822</v>
      </c>
      <c r="K361" s="185">
        <v>20</v>
      </c>
      <c r="L361" s="260" t="str">
        <f>VLOOKUP(Ruimtestaat[[#This Row],[Ruimte code]],Ruimtegroepen[#All],2,FALSE)</f>
        <v>Niet in onderhoud</v>
      </c>
      <c r="M361" s="258"/>
      <c r="N361" s="257"/>
      <c r="O361" s="261"/>
      <c r="P361" s="183"/>
      <c r="Q361" s="212" t="str">
        <f>VLOOKUP(Ruimtestaat[[#This Row],[Ruimte code]],Ruimtegroepen[#All],4,FALSE)</f>
        <v>niet in onderhoud</v>
      </c>
      <c r="R361" s="184"/>
      <c r="S361" s="185"/>
      <c r="T361" s="185"/>
      <c r="U361" s="185">
        <f>IF(S361&gt;0,IF(RIGHT(Ruimtestaat[[#This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61" s="185">
        <f>IF(U361&gt;0,VLOOKUP($K361,Ruimtegroepen[],3,FALSE)*VLOOKUP($M361,Vloersoorten[],3,FALSE)*VLOOKUP($T361,Frequenties[],3,FALSE)*VLOOKUP($A361,Locaties[],3,FALSE),0)</f>
        <v>0</v>
      </c>
      <c r="W361" s="185">
        <f>Ruimtestaat[[#This Row],[Uitvoeringen werkdagen]]*Ruimtestaat[[#This Row],[Oppervlak (netto)]]</f>
        <v>0</v>
      </c>
      <c r="X361" s="220">
        <f>IF(V361&gt;0,Ruimtestaat[[#This Row],[Prest. (m2 /jaar) werkdagen]]/Ruimtestaat[[#This Row],[Norm (m2/uur) werkdagen]],0)</f>
        <v>0</v>
      </c>
      <c r="Y361" s="221">
        <f>Ruimtestaat[[#This Row],[uren / jaar werkdagen]]*Tariefsopbouw!$D$38</f>
        <v>0</v>
      </c>
      <c r="Z361" s="33"/>
      <c r="AA361" s="33">
        <f>IF(Ruimtestaat[[#This Row],[Frequentie weekend]]&gt;0,VALUE(LEFT(Z361,1))*S361,0)</f>
        <v>0</v>
      </c>
      <c r="AB361" s="33">
        <f>IF($AA361&gt;0,VLOOKUP($K361,Ruimtegroepen[],3,FALSE)*VLOOKUP($M361,Vloersoorten[],3,FALSE)*VLOOKUP($Z361,Frequenties[],3,FALSE)*VLOOKUP(#REF!,Locaties[],3,FALSE),0)</f>
        <v>0</v>
      </c>
      <c r="AC361" s="33"/>
      <c r="AD361" s="33"/>
      <c r="AE361" s="33">
        <f>Ruimtestaat[[#This Row],[uren / jaar weekend]]*Tariefsopbouw!$D$40</f>
        <v>0</v>
      </c>
      <c r="AF361" s="79">
        <f>Ruimtestaat[[#This Row],[Prest. (m2 /jaar) weekend]]+Ruimtestaat[[#This Row],[Prest. (m2 /jaar) werkdagen]]</f>
        <v>0</v>
      </c>
      <c r="AG361" s="79">
        <f>Ruimtestaat[[#This Row],[uren / jaar weekend]]+Ruimtestaat[[#This Row],[uren / jaar werkdagen]]</f>
        <v>0</v>
      </c>
      <c r="AH361" s="80">
        <f>Ruimtestaat[[#This Row],[kosten / jaar weekend]]+Ruimtestaat[[#This Row],[kosten / jaar werkdagen]]</f>
        <v>0</v>
      </c>
    </row>
    <row r="362" spans="1:34" ht="15" customHeight="1">
      <c r="A362" s="256">
        <v>6</v>
      </c>
      <c r="B362" s="171" t="str">
        <f>VLOOKUP(Ruimtestaat[[#This Row],[Code]],Locaties[#All],2,FALSE)</f>
        <v>Het Reliëf</v>
      </c>
      <c r="C362" s="258" t="str">
        <f>VLOOKUP(Ruimtestaat[[#This Row],[Code]],Locaties[#All],4,FALSE)</f>
        <v>Floraparkstraat 390</v>
      </c>
      <c r="D362" s="258" t="str">
        <f>VLOOKUP(Ruimtestaat[[#This Row],[Code]],Locaties[#All],5,FALSE)</f>
        <v>7531HX</v>
      </c>
      <c r="E362" s="258" t="str">
        <f>VLOOKUP(Ruimtestaat[[#This Row],[Code]],Locaties[#All],6,FALSE)</f>
        <v>Enschede</v>
      </c>
      <c r="F362" s="257"/>
      <c r="G362" s="257" t="s">
        <v>563</v>
      </c>
      <c r="H362" s="171"/>
      <c r="I362" s="257" t="s">
        <v>454</v>
      </c>
      <c r="J362" s="259" t="s">
        <v>385</v>
      </c>
      <c r="K362" s="185">
        <v>16</v>
      </c>
      <c r="L362" s="260" t="str">
        <f>VLOOKUP(Ruimtestaat[[#This Row],[Ruimte code]],Ruimtegroepen[#All],2,FALSE)</f>
        <v>Leslokalen</v>
      </c>
      <c r="M362" s="258" t="s">
        <v>110</v>
      </c>
      <c r="N362" s="257" t="s">
        <v>265</v>
      </c>
      <c r="O362" s="261">
        <v>61</v>
      </c>
      <c r="P362" s="183"/>
      <c r="Q362" s="212" t="str">
        <f>VLOOKUP(Ruimtestaat[[#This Row],[Ruimte code]],Ruimtegroepen[#All],4,FALSE)</f>
        <v>L  (Lesruimte)</v>
      </c>
      <c r="R362" s="184"/>
      <c r="S362" s="185">
        <v>40</v>
      </c>
      <c r="T362" s="185" t="s">
        <v>2</v>
      </c>
      <c r="U362" s="185">
        <f>IF(S362&gt;0,IF(RIGHT(Ruimtestaat[[#This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2" s="185">
        <f>IF(U362&gt;0,VLOOKUP($K362,Ruimtegroepen[],3,FALSE)*VLOOKUP($M362,Vloersoorten[],3,FALSE)*VLOOKUP($T362,Frequenties[],3,FALSE)*VLOOKUP($A362,Locaties[],3,FALSE),0)</f>
        <v>0</v>
      </c>
      <c r="W362" s="185">
        <f>Ruimtestaat[[#This Row],[Uitvoeringen werkdagen]]*Ruimtestaat[[#This Row],[Oppervlak (netto)]]</f>
        <v>12200</v>
      </c>
      <c r="X362" s="220">
        <f>IF(V362&gt;0,Ruimtestaat[[#This Row],[Prest. (m2 /jaar) werkdagen]]/Ruimtestaat[[#This Row],[Norm (m2/uur) werkdagen]],0)</f>
        <v>0</v>
      </c>
      <c r="Y362" s="221">
        <f>Ruimtestaat[[#This Row],[uren / jaar werkdagen]]*Tariefsopbouw!$D$38</f>
        <v>0</v>
      </c>
      <c r="Z362" s="33"/>
      <c r="AA362" s="33">
        <f>IF(Ruimtestaat[[#This Row],[Frequentie weekend]]&gt;0,VALUE(LEFT(Z362,1))*S362,0)</f>
        <v>0</v>
      </c>
      <c r="AB362" s="33">
        <f>IF($AA362&gt;0,VLOOKUP($K362,Ruimtegroepen[],3,FALSE)*VLOOKUP($M362,Vloersoorten[],3,FALSE)*VLOOKUP($Z362,Frequenties[],3,FALSE)*VLOOKUP(#REF!,Locaties[],3,FALSE),0)</f>
        <v>0</v>
      </c>
      <c r="AC362" s="33"/>
      <c r="AD362" s="33"/>
      <c r="AE362" s="33">
        <f>Ruimtestaat[[#This Row],[uren / jaar weekend]]*Tariefsopbouw!$D$40</f>
        <v>0</v>
      </c>
      <c r="AF362" s="79">
        <f>Ruimtestaat[[#This Row],[Prest. (m2 /jaar) weekend]]+Ruimtestaat[[#This Row],[Prest. (m2 /jaar) werkdagen]]</f>
        <v>12200</v>
      </c>
      <c r="AG362" s="79">
        <f>Ruimtestaat[[#This Row],[uren / jaar weekend]]+Ruimtestaat[[#This Row],[uren / jaar werkdagen]]</f>
        <v>0</v>
      </c>
      <c r="AH362" s="80">
        <f>Ruimtestaat[[#This Row],[kosten / jaar weekend]]+Ruimtestaat[[#This Row],[kosten / jaar werkdagen]]</f>
        <v>0</v>
      </c>
    </row>
    <row r="363" spans="1:34" ht="15" customHeight="1">
      <c r="A363" s="256">
        <v>6</v>
      </c>
      <c r="B363" s="171" t="str">
        <f>VLOOKUP(Ruimtestaat[[#This Row],[Code]],Locaties[#All],2,FALSE)</f>
        <v>Het Reliëf</v>
      </c>
      <c r="C363" s="258" t="str">
        <f>VLOOKUP(Ruimtestaat[[#This Row],[Code]],Locaties[#All],4,FALSE)</f>
        <v>Floraparkstraat 390</v>
      </c>
      <c r="D363" s="258" t="str">
        <f>VLOOKUP(Ruimtestaat[[#This Row],[Code]],Locaties[#All],5,FALSE)</f>
        <v>7531HX</v>
      </c>
      <c r="E363" s="258" t="str">
        <f>VLOOKUP(Ruimtestaat[[#This Row],[Code]],Locaties[#All],6,FALSE)</f>
        <v>Enschede</v>
      </c>
      <c r="F363" s="257"/>
      <c r="G363" s="257" t="s">
        <v>563</v>
      </c>
      <c r="H363" s="171"/>
      <c r="I363" s="257" t="s">
        <v>455</v>
      </c>
      <c r="J363" s="259" t="s">
        <v>385</v>
      </c>
      <c r="K363" s="258">
        <v>16</v>
      </c>
      <c r="L363" s="260" t="str">
        <f>VLOOKUP(Ruimtestaat[[#This Row],[Ruimte code]],Ruimtegroepen[#All],2,FALSE)</f>
        <v>Leslokalen</v>
      </c>
      <c r="M363" s="258" t="s">
        <v>110</v>
      </c>
      <c r="N363" s="257" t="s">
        <v>265</v>
      </c>
      <c r="O363" s="261">
        <v>62</v>
      </c>
      <c r="P363" s="183"/>
      <c r="Q363" s="212" t="str">
        <f>VLOOKUP(Ruimtestaat[[#This Row],[Ruimte code]],Ruimtegroepen[#All],4,FALSE)</f>
        <v>L  (Lesruimte)</v>
      </c>
      <c r="R363" s="184"/>
      <c r="S363" s="185">
        <v>40</v>
      </c>
      <c r="T363" s="185" t="s">
        <v>2</v>
      </c>
      <c r="U363" s="185">
        <f>IF(S363&gt;0,IF(RIGHT(Ruimtestaat[[#This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3" s="185">
        <f>IF(U363&gt;0,VLOOKUP($K363,Ruimtegroepen[],3,FALSE)*VLOOKUP($M363,Vloersoorten[],3,FALSE)*VLOOKUP($T363,Frequenties[],3,FALSE)*VLOOKUP($A363,Locaties[],3,FALSE),0)</f>
        <v>0</v>
      </c>
      <c r="W363" s="185">
        <f>Ruimtestaat[[#This Row],[Uitvoeringen werkdagen]]*Ruimtestaat[[#This Row],[Oppervlak (netto)]]</f>
        <v>12400</v>
      </c>
      <c r="X363" s="220">
        <f>IF(V363&gt;0,Ruimtestaat[[#This Row],[Prest. (m2 /jaar) werkdagen]]/Ruimtestaat[[#This Row],[Norm (m2/uur) werkdagen]],0)</f>
        <v>0</v>
      </c>
      <c r="Y363" s="221">
        <f>Ruimtestaat[[#This Row],[uren / jaar werkdagen]]*Tariefsopbouw!$D$38</f>
        <v>0</v>
      </c>
      <c r="Z363" s="33"/>
      <c r="AA363" s="33">
        <f>IF(Ruimtestaat[[#This Row],[Frequentie weekend]]&gt;0,VALUE(LEFT(Z363,1))*S363,0)</f>
        <v>0</v>
      </c>
      <c r="AB363" s="33">
        <f>IF($AA363&gt;0,VLOOKUP($K363,Ruimtegroepen[],3,FALSE)*VLOOKUP($M363,Vloersoorten[],3,FALSE)*VLOOKUP($Z363,Frequenties[],3,FALSE)*VLOOKUP(#REF!,Locaties[],3,FALSE),0)</f>
        <v>0</v>
      </c>
      <c r="AC363" s="33"/>
      <c r="AD363" s="33"/>
      <c r="AE363" s="33">
        <f>Ruimtestaat[[#This Row],[uren / jaar weekend]]*Tariefsopbouw!$D$40</f>
        <v>0</v>
      </c>
      <c r="AF363" s="79">
        <f>Ruimtestaat[[#This Row],[Prest. (m2 /jaar) weekend]]+Ruimtestaat[[#This Row],[Prest. (m2 /jaar) werkdagen]]</f>
        <v>12400</v>
      </c>
      <c r="AG363" s="79">
        <f>Ruimtestaat[[#This Row],[uren / jaar weekend]]+Ruimtestaat[[#This Row],[uren / jaar werkdagen]]</f>
        <v>0</v>
      </c>
      <c r="AH363" s="80">
        <f>Ruimtestaat[[#This Row],[kosten / jaar weekend]]+Ruimtestaat[[#This Row],[kosten / jaar werkdagen]]</f>
        <v>0</v>
      </c>
    </row>
    <row r="364" spans="1:34" ht="15" customHeight="1">
      <c r="A364" s="256">
        <v>6</v>
      </c>
      <c r="B364" s="171" t="str">
        <f>VLOOKUP(Ruimtestaat[[#This Row],[Code]],Locaties[#All],2,FALSE)</f>
        <v>Het Reliëf</v>
      </c>
      <c r="C364" s="258" t="str">
        <f>VLOOKUP(Ruimtestaat[[#This Row],[Code]],Locaties[#All],4,FALSE)</f>
        <v>Floraparkstraat 390</v>
      </c>
      <c r="D364" s="258" t="str">
        <f>VLOOKUP(Ruimtestaat[[#This Row],[Code]],Locaties[#All],5,FALSE)</f>
        <v>7531HX</v>
      </c>
      <c r="E364" s="258" t="str">
        <f>VLOOKUP(Ruimtestaat[[#This Row],[Code]],Locaties[#All],6,FALSE)</f>
        <v>Enschede</v>
      </c>
      <c r="F364" s="257"/>
      <c r="G364" s="257" t="s">
        <v>563</v>
      </c>
      <c r="H364" s="171"/>
      <c r="I364" s="257" t="s">
        <v>456</v>
      </c>
      <c r="J364" s="259" t="s">
        <v>585</v>
      </c>
      <c r="K364" s="171">
        <v>20</v>
      </c>
      <c r="L364" s="260" t="str">
        <f>VLOOKUP(Ruimtestaat[[#This Row],[Ruimte code]],Ruimtegroepen[#All],2,FALSE)</f>
        <v>Niet in onderhoud</v>
      </c>
      <c r="M364" s="258" t="s">
        <v>110</v>
      </c>
      <c r="N364" s="257" t="s">
        <v>265</v>
      </c>
      <c r="O364" s="261"/>
      <c r="P364" s="183">
        <v>12</v>
      </c>
      <c r="Q364" s="212" t="str">
        <f>VLOOKUP(Ruimtestaat[[#This Row],[Ruimte code]],Ruimtegroepen[#All],4,FALSE)</f>
        <v>niet in onderhoud</v>
      </c>
      <c r="R364" s="184"/>
      <c r="S364" s="185"/>
      <c r="T364" s="185"/>
      <c r="U364" s="185">
        <f>IF(S364&gt;0,IF(RIGHT(Ruimtestaat[[#This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64" s="185">
        <f>IF(U364&gt;0,VLOOKUP($K364,Ruimtegroepen[],3,FALSE)*VLOOKUP($M364,Vloersoorten[],3,FALSE)*VLOOKUP($T364,Frequenties[],3,FALSE)*VLOOKUP($A364,Locaties[],3,FALSE),0)</f>
        <v>0</v>
      </c>
      <c r="W364" s="185">
        <f>Ruimtestaat[[#This Row],[Uitvoeringen werkdagen]]*Ruimtestaat[[#This Row],[Oppervlak (netto)]]</f>
        <v>0</v>
      </c>
      <c r="X364" s="220">
        <f>IF(V364&gt;0,Ruimtestaat[[#This Row],[Prest. (m2 /jaar) werkdagen]]/Ruimtestaat[[#This Row],[Norm (m2/uur) werkdagen]],0)</f>
        <v>0</v>
      </c>
      <c r="Y364" s="221">
        <f>Ruimtestaat[[#This Row],[uren / jaar werkdagen]]*Tariefsopbouw!$D$38</f>
        <v>0</v>
      </c>
      <c r="Z364" s="33"/>
      <c r="AA364" s="33">
        <f>IF(Ruimtestaat[[#This Row],[Frequentie weekend]]&gt;0,VALUE(LEFT(Z364,1))*S364,0)</f>
        <v>0</v>
      </c>
      <c r="AB364" s="33">
        <f>IF($AA364&gt;0,VLOOKUP($K364,Ruimtegroepen[],3,FALSE)*VLOOKUP($M364,Vloersoorten[],3,FALSE)*VLOOKUP($Z364,Frequenties[],3,FALSE)*VLOOKUP(#REF!,Locaties[],3,FALSE),0)</f>
        <v>0</v>
      </c>
      <c r="AC364" s="33"/>
      <c r="AD364" s="33"/>
      <c r="AE364" s="33">
        <f>Ruimtestaat[[#This Row],[uren / jaar weekend]]*Tariefsopbouw!$D$40</f>
        <v>0</v>
      </c>
      <c r="AF364" s="79">
        <f>Ruimtestaat[[#This Row],[Prest. (m2 /jaar) weekend]]+Ruimtestaat[[#This Row],[Prest. (m2 /jaar) werkdagen]]</f>
        <v>0</v>
      </c>
      <c r="AG364" s="79">
        <f>Ruimtestaat[[#This Row],[uren / jaar weekend]]+Ruimtestaat[[#This Row],[uren / jaar werkdagen]]</f>
        <v>0</v>
      </c>
      <c r="AH364" s="80">
        <f>Ruimtestaat[[#This Row],[kosten / jaar weekend]]+Ruimtestaat[[#This Row],[kosten / jaar werkdagen]]</f>
        <v>0</v>
      </c>
    </row>
    <row r="365" spans="1:34" ht="15" customHeight="1">
      <c r="A365" s="256">
        <v>6</v>
      </c>
      <c r="B365" s="171" t="str">
        <f>VLOOKUP(Ruimtestaat[[#This Row],[Code]],Locaties[#All],2,FALSE)</f>
        <v>Het Reliëf</v>
      </c>
      <c r="C365" s="258" t="str">
        <f>VLOOKUP(Ruimtestaat[[#This Row],[Code]],Locaties[#All],4,FALSE)</f>
        <v>Floraparkstraat 390</v>
      </c>
      <c r="D365" s="258" t="str">
        <f>VLOOKUP(Ruimtestaat[[#This Row],[Code]],Locaties[#All],5,FALSE)</f>
        <v>7531HX</v>
      </c>
      <c r="E365" s="258" t="str">
        <f>VLOOKUP(Ruimtestaat[[#This Row],[Code]],Locaties[#All],6,FALSE)</f>
        <v>Enschede</v>
      </c>
      <c r="F365" s="257"/>
      <c r="G365" s="257" t="s">
        <v>563</v>
      </c>
      <c r="H365" s="171"/>
      <c r="I365" s="257" t="s">
        <v>457</v>
      </c>
      <c r="J365" s="259" t="s">
        <v>22</v>
      </c>
      <c r="K365" s="258">
        <v>5</v>
      </c>
      <c r="L365" s="260" t="str">
        <f>VLOOKUP(Ruimtestaat[[#This Row],[Ruimte code]],Ruimtegroepen[#All],2,FALSE)</f>
        <v>Sanitair</v>
      </c>
      <c r="M365" s="212" t="s">
        <v>111</v>
      </c>
      <c r="N365" s="257" t="s">
        <v>605</v>
      </c>
      <c r="O365" s="261">
        <v>11</v>
      </c>
      <c r="P365" s="183"/>
      <c r="Q365" s="212" t="str">
        <f>VLOOKUP(Ruimtestaat[[#This Row],[Ruimte code]],Ruimtegroepen[#All],4,FALSE)</f>
        <v>S  (Sanitair)</v>
      </c>
      <c r="R365" s="184"/>
      <c r="S365" s="185">
        <v>40</v>
      </c>
      <c r="T365" s="185" t="s">
        <v>2</v>
      </c>
      <c r="U365" s="185">
        <f>IF(S365&gt;0,IF(RIGHT(Ruimtestaat[[#This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5" s="185">
        <f>IF(U365&gt;0,VLOOKUP($K365,Ruimtegroepen[],3,FALSE)*VLOOKUP($M365,Vloersoorten[],3,FALSE)*VLOOKUP($T365,Frequenties[],3,FALSE)*VLOOKUP($A365,Locaties[],3,FALSE),0)</f>
        <v>0</v>
      </c>
      <c r="W365" s="185">
        <f>Ruimtestaat[[#This Row],[Uitvoeringen werkdagen]]*Ruimtestaat[[#This Row],[Oppervlak (netto)]]</f>
        <v>2200</v>
      </c>
      <c r="X365" s="220">
        <f>IF(V365&gt;0,Ruimtestaat[[#This Row],[Prest. (m2 /jaar) werkdagen]]/Ruimtestaat[[#This Row],[Norm (m2/uur) werkdagen]],0)</f>
        <v>0</v>
      </c>
      <c r="Y365" s="221">
        <f>Ruimtestaat[[#This Row],[uren / jaar werkdagen]]*Tariefsopbouw!$D$38</f>
        <v>0</v>
      </c>
      <c r="Z365" s="33"/>
      <c r="AA365" s="33">
        <f>IF(Ruimtestaat[[#This Row],[Frequentie weekend]]&gt;0,VALUE(LEFT(Z365,1))*S365,0)</f>
        <v>0</v>
      </c>
      <c r="AB365" s="33">
        <f>IF($AA365&gt;0,VLOOKUP($K365,Ruimtegroepen[],3,FALSE)*VLOOKUP($M365,Vloersoorten[],3,FALSE)*VLOOKUP($Z365,Frequenties[],3,FALSE)*VLOOKUP(#REF!,Locaties[],3,FALSE),0)</f>
        <v>0</v>
      </c>
      <c r="AC365" s="33"/>
      <c r="AD365" s="33"/>
      <c r="AE365" s="33">
        <f>Ruimtestaat[[#This Row],[uren / jaar weekend]]*Tariefsopbouw!$D$40</f>
        <v>0</v>
      </c>
      <c r="AF365" s="79">
        <f>Ruimtestaat[[#This Row],[Prest. (m2 /jaar) weekend]]+Ruimtestaat[[#This Row],[Prest. (m2 /jaar) werkdagen]]</f>
        <v>2200</v>
      </c>
      <c r="AG365" s="79">
        <f>Ruimtestaat[[#This Row],[uren / jaar weekend]]+Ruimtestaat[[#This Row],[uren / jaar werkdagen]]</f>
        <v>0</v>
      </c>
      <c r="AH365" s="80">
        <f>Ruimtestaat[[#This Row],[kosten / jaar weekend]]+Ruimtestaat[[#This Row],[kosten / jaar werkdagen]]</f>
        <v>0</v>
      </c>
    </row>
    <row r="366" spans="1:34" ht="15" customHeight="1">
      <c r="A366" s="256">
        <v>6</v>
      </c>
      <c r="B366" s="171" t="str">
        <f>VLOOKUP(Ruimtestaat[[#This Row],[Code]],Locaties[#All],2,FALSE)</f>
        <v>Het Reliëf</v>
      </c>
      <c r="C366" s="258" t="str">
        <f>VLOOKUP(Ruimtestaat[[#This Row],[Code]],Locaties[#All],4,FALSE)</f>
        <v>Floraparkstraat 390</v>
      </c>
      <c r="D366" s="258" t="str">
        <f>VLOOKUP(Ruimtestaat[[#This Row],[Code]],Locaties[#All],5,FALSE)</f>
        <v>7531HX</v>
      </c>
      <c r="E366" s="258" t="str">
        <f>VLOOKUP(Ruimtestaat[[#This Row],[Code]],Locaties[#All],6,FALSE)</f>
        <v>Enschede</v>
      </c>
      <c r="F366" s="257"/>
      <c r="G366" s="257" t="s">
        <v>563</v>
      </c>
      <c r="H366" s="171"/>
      <c r="I366" s="257" t="s">
        <v>458</v>
      </c>
      <c r="J366" s="259" t="s">
        <v>385</v>
      </c>
      <c r="K366" s="258">
        <v>16</v>
      </c>
      <c r="L366" s="260" t="str">
        <f>VLOOKUP(Ruimtestaat[[#This Row],[Ruimte code]],Ruimtegroepen[#All],2,FALSE)</f>
        <v>Leslokalen</v>
      </c>
      <c r="M366" s="185" t="s">
        <v>110</v>
      </c>
      <c r="N366" s="257" t="s">
        <v>265</v>
      </c>
      <c r="O366" s="261">
        <v>67</v>
      </c>
      <c r="P366" s="183"/>
      <c r="Q366" s="212" t="str">
        <f>VLOOKUP(Ruimtestaat[[#This Row],[Ruimte code]],Ruimtegroepen[#All],4,FALSE)</f>
        <v>L  (Lesruimte)</v>
      </c>
      <c r="R366" s="184"/>
      <c r="S366" s="185">
        <v>40</v>
      </c>
      <c r="T366" s="185" t="s">
        <v>2</v>
      </c>
      <c r="U366" s="185">
        <f>IF(S366&gt;0,IF(RIGHT(Ruimtestaat[[#This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6" s="185">
        <f>IF(U366&gt;0,VLOOKUP($K366,Ruimtegroepen[],3,FALSE)*VLOOKUP($M366,Vloersoorten[],3,FALSE)*VLOOKUP($T366,Frequenties[],3,FALSE)*VLOOKUP($A366,Locaties[],3,FALSE),0)</f>
        <v>0</v>
      </c>
      <c r="W366" s="185">
        <f>Ruimtestaat[[#This Row],[Uitvoeringen werkdagen]]*Ruimtestaat[[#This Row],[Oppervlak (netto)]]</f>
        <v>13400</v>
      </c>
      <c r="X366" s="220">
        <f>IF(V366&gt;0,Ruimtestaat[[#This Row],[Prest. (m2 /jaar) werkdagen]]/Ruimtestaat[[#This Row],[Norm (m2/uur) werkdagen]],0)</f>
        <v>0</v>
      </c>
      <c r="Y366" s="221">
        <f>Ruimtestaat[[#This Row],[uren / jaar werkdagen]]*Tariefsopbouw!$D$38</f>
        <v>0</v>
      </c>
      <c r="Z366" s="33"/>
      <c r="AA366" s="33">
        <f>IF(Ruimtestaat[[#This Row],[Frequentie weekend]]&gt;0,VALUE(LEFT(Z366,1))*S366,0)</f>
        <v>0</v>
      </c>
      <c r="AB366" s="33">
        <f>IF($AA366&gt;0,VLOOKUP($K366,Ruimtegroepen[],3,FALSE)*VLOOKUP($M366,Vloersoorten[],3,FALSE)*VLOOKUP($Z366,Frequenties[],3,FALSE)*VLOOKUP(#REF!,Locaties[],3,FALSE),0)</f>
        <v>0</v>
      </c>
      <c r="AC366" s="33"/>
      <c r="AD366" s="33"/>
      <c r="AE366" s="33">
        <f>Ruimtestaat[[#This Row],[uren / jaar weekend]]*Tariefsopbouw!$D$40</f>
        <v>0</v>
      </c>
      <c r="AF366" s="79">
        <f>Ruimtestaat[[#This Row],[Prest. (m2 /jaar) weekend]]+Ruimtestaat[[#This Row],[Prest. (m2 /jaar) werkdagen]]</f>
        <v>13400</v>
      </c>
      <c r="AG366" s="79">
        <f>Ruimtestaat[[#This Row],[uren / jaar weekend]]+Ruimtestaat[[#This Row],[uren / jaar werkdagen]]</f>
        <v>0</v>
      </c>
      <c r="AH366" s="80">
        <f>Ruimtestaat[[#This Row],[kosten / jaar weekend]]+Ruimtestaat[[#This Row],[kosten / jaar werkdagen]]</f>
        <v>0</v>
      </c>
    </row>
    <row r="367" spans="1:34" ht="15" customHeight="1">
      <c r="A367" s="256">
        <v>6</v>
      </c>
      <c r="B367" s="171" t="str">
        <f>VLOOKUP(Ruimtestaat[[#This Row],[Code]],Locaties[#All],2,FALSE)</f>
        <v>Het Reliëf</v>
      </c>
      <c r="C367" s="258" t="str">
        <f>VLOOKUP(Ruimtestaat[[#This Row],[Code]],Locaties[#All],4,FALSE)</f>
        <v>Floraparkstraat 390</v>
      </c>
      <c r="D367" s="258" t="str">
        <f>VLOOKUP(Ruimtestaat[[#This Row],[Code]],Locaties[#All],5,FALSE)</f>
        <v>7531HX</v>
      </c>
      <c r="E367" s="258" t="str">
        <f>VLOOKUP(Ruimtestaat[[#This Row],[Code]],Locaties[#All],6,FALSE)</f>
        <v>Enschede</v>
      </c>
      <c r="F367" s="257"/>
      <c r="G367" s="257" t="s">
        <v>563</v>
      </c>
      <c r="H367" s="171"/>
      <c r="I367" s="257" t="s">
        <v>823</v>
      </c>
      <c r="J367" s="259" t="s">
        <v>40</v>
      </c>
      <c r="K367" s="258">
        <v>7</v>
      </c>
      <c r="L367" s="260" t="str">
        <f>VLOOKUP(Ruimtestaat[[#This Row],[Ruimte code]],Ruimtegroepen[#All],2,FALSE)</f>
        <v>Entree</v>
      </c>
      <c r="M367" s="212" t="s">
        <v>111</v>
      </c>
      <c r="N367" s="257" t="s">
        <v>605</v>
      </c>
      <c r="O367" s="261">
        <v>32.5</v>
      </c>
      <c r="P367" s="183"/>
      <c r="Q367" s="212" t="str">
        <f>VLOOKUP(Ruimtestaat[[#This Row],[Ruimte code]],Ruimtegroepen[#All],4,FALSE)</f>
        <v>V  (Verkeersruimte)</v>
      </c>
      <c r="R367" s="184"/>
      <c r="S367" s="185">
        <v>40</v>
      </c>
      <c r="T367" s="185" t="s">
        <v>2</v>
      </c>
      <c r="U367" s="185">
        <f>IF(S367&gt;0,IF(RIGHT(Ruimtestaat[[#This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7" s="185">
        <f>IF(U367&gt;0,VLOOKUP($K367,Ruimtegroepen[],3,FALSE)*VLOOKUP($M367,Vloersoorten[],3,FALSE)*VLOOKUP($T367,Frequenties[],3,FALSE)*VLOOKUP($A367,Locaties[],3,FALSE),0)</f>
        <v>0</v>
      </c>
      <c r="W367" s="185">
        <f>Ruimtestaat[[#This Row],[Uitvoeringen werkdagen]]*Ruimtestaat[[#This Row],[Oppervlak (netto)]]</f>
        <v>6500</v>
      </c>
      <c r="X367" s="220">
        <f>IF(V367&gt;0,Ruimtestaat[[#This Row],[Prest. (m2 /jaar) werkdagen]]/Ruimtestaat[[#This Row],[Norm (m2/uur) werkdagen]],0)</f>
        <v>0</v>
      </c>
      <c r="Y367" s="221">
        <f>Ruimtestaat[[#This Row],[uren / jaar werkdagen]]*Tariefsopbouw!$D$38</f>
        <v>0</v>
      </c>
      <c r="Z367" s="33"/>
      <c r="AA367" s="33">
        <f>IF(Ruimtestaat[[#This Row],[Frequentie weekend]]&gt;0,VALUE(LEFT(Z367,1))*S367,0)</f>
        <v>0</v>
      </c>
      <c r="AB367" s="33">
        <f>IF($AA367&gt;0,VLOOKUP($K367,Ruimtegroepen[],3,FALSE)*VLOOKUP($M367,Vloersoorten[],3,FALSE)*VLOOKUP($Z367,Frequenties[],3,FALSE)*VLOOKUP(#REF!,Locaties[],3,FALSE),0)</f>
        <v>0</v>
      </c>
      <c r="AC367" s="33"/>
      <c r="AD367" s="33"/>
      <c r="AE367" s="33">
        <f>Ruimtestaat[[#This Row],[uren / jaar weekend]]*Tariefsopbouw!$D$40</f>
        <v>0</v>
      </c>
      <c r="AF367" s="79">
        <f>Ruimtestaat[[#This Row],[Prest. (m2 /jaar) weekend]]+Ruimtestaat[[#This Row],[Prest. (m2 /jaar) werkdagen]]</f>
        <v>6500</v>
      </c>
      <c r="AG367" s="79">
        <f>Ruimtestaat[[#This Row],[uren / jaar weekend]]+Ruimtestaat[[#This Row],[uren / jaar werkdagen]]</f>
        <v>0</v>
      </c>
      <c r="AH367" s="80">
        <f>Ruimtestaat[[#This Row],[kosten / jaar weekend]]+Ruimtestaat[[#This Row],[kosten / jaar werkdagen]]</f>
        <v>0</v>
      </c>
    </row>
    <row r="368" spans="1:34" ht="15" customHeight="1">
      <c r="A368" s="256">
        <v>6</v>
      </c>
      <c r="B368" s="171" t="str">
        <f>VLOOKUP(Ruimtestaat[[#This Row],[Code]],Locaties[#All],2,FALSE)</f>
        <v>Het Reliëf</v>
      </c>
      <c r="C368" s="258" t="str">
        <f>VLOOKUP(Ruimtestaat[[#This Row],[Code]],Locaties[#All],4,FALSE)</f>
        <v>Floraparkstraat 390</v>
      </c>
      <c r="D368" s="258" t="str">
        <f>VLOOKUP(Ruimtestaat[[#This Row],[Code]],Locaties[#All],5,FALSE)</f>
        <v>7531HX</v>
      </c>
      <c r="E368" s="258" t="str">
        <f>VLOOKUP(Ruimtestaat[[#This Row],[Code]],Locaties[#All],6,FALSE)</f>
        <v>Enschede</v>
      </c>
      <c r="F368" s="257"/>
      <c r="G368" s="257" t="s">
        <v>563</v>
      </c>
      <c r="H368" s="171"/>
      <c r="I368" s="257" t="s">
        <v>459</v>
      </c>
      <c r="J368" s="259" t="s">
        <v>385</v>
      </c>
      <c r="K368" s="258">
        <v>16</v>
      </c>
      <c r="L368" s="260" t="str">
        <f>VLOOKUP(Ruimtestaat[[#This Row],[Ruimte code]],Ruimtegroepen[#All],2,FALSE)</f>
        <v>Leslokalen</v>
      </c>
      <c r="M368" s="258" t="s">
        <v>110</v>
      </c>
      <c r="N368" s="257" t="s">
        <v>265</v>
      </c>
      <c r="O368" s="261">
        <v>66</v>
      </c>
      <c r="P368" s="183"/>
      <c r="Q368" s="212" t="str">
        <f>VLOOKUP(Ruimtestaat[[#This Row],[Ruimte code]],Ruimtegroepen[#All],4,FALSE)</f>
        <v>L  (Lesruimte)</v>
      </c>
      <c r="R368" s="184"/>
      <c r="S368" s="185">
        <v>40</v>
      </c>
      <c r="T368" s="185" t="s">
        <v>2</v>
      </c>
      <c r="U368" s="185">
        <f>IF(S368&gt;0,IF(RIGHT(Ruimtestaat[[#This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8" s="185">
        <f>IF(U368&gt;0,VLOOKUP($K368,Ruimtegroepen[],3,FALSE)*VLOOKUP($M368,Vloersoorten[],3,FALSE)*VLOOKUP($T368,Frequenties[],3,FALSE)*VLOOKUP($A368,Locaties[],3,FALSE),0)</f>
        <v>0</v>
      </c>
      <c r="W368" s="185">
        <f>Ruimtestaat[[#This Row],[Uitvoeringen werkdagen]]*Ruimtestaat[[#This Row],[Oppervlak (netto)]]</f>
        <v>13200</v>
      </c>
      <c r="X368" s="220">
        <f>IF(V368&gt;0,Ruimtestaat[[#This Row],[Prest. (m2 /jaar) werkdagen]]/Ruimtestaat[[#This Row],[Norm (m2/uur) werkdagen]],0)</f>
        <v>0</v>
      </c>
      <c r="Y368" s="221">
        <f>Ruimtestaat[[#This Row],[uren / jaar werkdagen]]*Tariefsopbouw!$D$38</f>
        <v>0</v>
      </c>
      <c r="Z368" s="33"/>
      <c r="AA368" s="33">
        <f>IF(Ruimtestaat[[#This Row],[Frequentie weekend]]&gt;0,VALUE(LEFT(Z368,1))*S368,0)</f>
        <v>0</v>
      </c>
      <c r="AB368" s="33">
        <f>IF($AA368&gt;0,VLOOKUP($K368,Ruimtegroepen[],3,FALSE)*VLOOKUP($M368,Vloersoorten[],3,FALSE)*VLOOKUP($Z368,Frequenties[],3,FALSE)*VLOOKUP(#REF!,Locaties[],3,FALSE),0)</f>
        <v>0</v>
      </c>
      <c r="AC368" s="33"/>
      <c r="AD368" s="33"/>
      <c r="AE368" s="33">
        <f>Ruimtestaat[[#This Row],[uren / jaar weekend]]*Tariefsopbouw!$D$40</f>
        <v>0</v>
      </c>
      <c r="AF368" s="79">
        <f>Ruimtestaat[[#This Row],[Prest. (m2 /jaar) weekend]]+Ruimtestaat[[#This Row],[Prest. (m2 /jaar) werkdagen]]</f>
        <v>13200</v>
      </c>
      <c r="AG368" s="79">
        <f>Ruimtestaat[[#This Row],[uren / jaar weekend]]+Ruimtestaat[[#This Row],[uren / jaar werkdagen]]</f>
        <v>0</v>
      </c>
      <c r="AH368" s="80">
        <f>Ruimtestaat[[#This Row],[kosten / jaar weekend]]+Ruimtestaat[[#This Row],[kosten / jaar werkdagen]]</f>
        <v>0</v>
      </c>
    </row>
    <row r="369" spans="1:34" ht="15" customHeight="1">
      <c r="A369" s="256">
        <v>6</v>
      </c>
      <c r="B369" s="171" t="str">
        <f>VLOOKUP(Ruimtestaat[[#This Row],[Code]],Locaties[#All],2,FALSE)</f>
        <v>Het Reliëf</v>
      </c>
      <c r="C369" s="258" t="str">
        <f>VLOOKUP(Ruimtestaat[[#This Row],[Code]],Locaties[#All],4,FALSE)</f>
        <v>Floraparkstraat 390</v>
      </c>
      <c r="D369" s="258" t="str">
        <f>VLOOKUP(Ruimtestaat[[#This Row],[Code]],Locaties[#All],5,FALSE)</f>
        <v>7531HX</v>
      </c>
      <c r="E369" s="258" t="str">
        <f>VLOOKUP(Ruimtestaat[[#This Row],[Code]],Locaties[#All],6,FALSE)</f>
        <v>Enschede</v>
      </c>
      <c r="F369" s="257"/>
      <c r="G369" s="257" t="s">
        <v>563</v>
      </c>
      <c r="H369" s="171"/>
      <c r="I369" s="257" t="s">
        <v>824</v>
      </c>
      <c r="J369" s="259" t="s">
        <v>385</v>
      </c>
      <c r="K369" s="171">
        <v>16</v>
      </c>
      <c r="L369" s="260" t="str">
        <f>VLOOKUP(Ruimtestaat[[#This Row],[Ruimte code]],Ruimtegroepen[#All],2,FALSE)</f>
        <v>Leslokalen</v>
      </c>
      <c r="M369" s="258" t="s">
        <v>110</v>
      </c>
      <c r="N369" s="257" t="s">
        <v>265</v>
      </c>
      <c r="O369" s="261">
        <v>66</v>
      </c>
      <c r="P369" s="183"/>
      <c r="Q369" s="212" t="str">
        <f>VLOOKUP(Ruimtestaat[[#This Row],[Ruimte code]],Ruimtegroepen[#All],4,FALSE)</f>
        <v>L  (Lesruimte)</v>
      </c>
      <c r="R369" s="184"/>
      <c r="S369" s="185">
        <v>40</v>
      </c>
      <c r="T369" s="185" t="s">
        <v>2</v>
      </c>
      <c r="U369" s="185">
        <f>IF(S369&gt;0,IF(RIGHT(Ruimtestaat[[#This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9" s="185">
        <f>IF(U369&gt;0,VLOOKUP($K369,Ruimtegroepen[],3,FALSE)*VLOOKUP($M369,Vloersoorten[],3,FALSE)*VLOOKUP($T369,Frequenties[],3,FALSE)*VLOOKUP($A369,Locaties[],3,FALSE),0)</f>
        <v>0</v>
      </c>
      <c r="W369" s="185">
        <f>Ruimtestaat[[#This Row],[Uitvoeringen werkdagen]]*Ruimtestaat[[#This Row],[Oppervlak (netto)]]</f>
        <v>13200</v>
      </c>
      <c r="X369" s="220">
        <f>IF(V369&gt;0,Ruimtestaat[[#This Row],[Prest. (m2 /jaar) werkdagen]]/Ruimtestaat[[#This Row],[Norm (m2/uur) werkdagen]],0)</f>
        <v>0</v>
      </c>
      <c r="Y369" s="221">
        <f>Ruimtestaat[[#This Row],[uren / jaar werkdagen]]*Tariefsopbouw!$D$38</f>
        <v>0</v>
      </c>
      <c r="Z369" s="33"/>
      <c r="AA369" s="33">
        <f>IF(Ruimtestaat[[#This Row],[Frequentie weekend]]&gt;0,VALUE(LEFT(Z369,1))*S369,0)</f>
        <v>0</v>
      </c>
      <c r="AB369" s="33">
        <f>IF($AA369&gt;0,VLOOKUP($K369,Ruimtegroepen[],3,FALSE)*VLOOKUP($M369,Vloersoorten[],3,FALSE)*VLOOKUP($Z369,Frequenties[],3,FALSE)*VLOOKUP(#REF!,Locaties[],3,FALSE),0)</f>
        <v>0</v>
      </c>
      <c r="AC369" s="33"/>
      <c r="AD369" s="33"/>
      <c r="AE369" s="33">
        <f>Ruimtestaat[[#This Row],[uren / jaar weekend]]*Tariefsopbouw!$D$40</f>
        <v>0</v>
      </c>
      <c r="AF369" s="79">
        <f>Ruimtestaat[[#This Row],[Prest. (m2 /jaar) weekend]]+Ruimtestaat[[#This Row],[Prest. (m2 /jaar) werkdagen]]</f>
        <v>13200</v>
      </c>
      <c r="AG369" s="79">
        <f>Ruimtestaat[[#This Row],[uren / jaar weekend]]+Ruimtestaat[[#This Row],[uren / jaar werkdagen]]</f>
        <v>0</v>
      </c>
      <c r="AH369" s="80">
        <f>Ruimtestaat[[#This Row],[kosten / jaar weekend]]+Ruimtestaat[[#This Row],[kosten / jaar werkdagen]]</f>
        <v>0</v>
      </c>
    </row>
    <row r="370" spans="1:34" ht="15" customHeight="1">
      <c r="A370" s="256">
        <v>6</v>
      </c>
      <c r="B370" s="171" t="str">
        <f>VLOOKUP(Ruimtestaat[[#This Row],[Code]],Locaties[#All],2,FALSE)</f>
        <v>Het Reliëf</v>
      </c>
      <c r="C370" s="258" t="str">
        <f>VLOOKUP(Ruimtestaat[[#This Row],[Code]],Locaties[#All],4,FALSE)</f>
        <v>Floraparkstraat 390</v>
      </c>
      <c r="D370" s="258" t="str">
        <f>VLOOKUP(Ruimtestaat[[#This Row],[Code]],Locaties[#All],5,FALSE)</f>
        <v>7531HX</v>
      </c>
      <c r="E370" s="258" t="str">
        <f>VLOOKUP(Ruimtestaat[[#This Row],[Code]],Locaties[#All],6,FALSE)</f>
        <v>Enschede</v>
      </c>
      <c r="F370" s="257"/>
      <c r="G370" s="257" t="s">
        <v>563</v>
      </c>
      <c r="H370" s="171"/>
      <c r="I370" s="257" t="s">
        <v>462</v>
      </c>
      <c r="J370" s="259" t="s">
        <v>623</v>
      </c>
      <c r="K370" s="171">
        <v>20</v>
      </c>
      <c r="L370" s="260" t="str">
        <f>VLOOKUP(Ruimtestaat[[#This Row],[Ruimte code]],Ruimtegroepen[#All],2,FALSE)</f>
        <v>Niet in onderhoud</v>
      </c>
      <c r="M370" s="258"/>
      <c r="N370" s="257"/>
      <c r="O370" s="261"/>
      <c r="P370" s="183"/>
      <c r="Q370" s="212" t="str">
        <f>VLOOKUP(Ruimtestaat[[#This Row],[Ruimte code]],Ruimtegroepen[#All],4,FALSE)</f>
        <v>niet in onderhoud</v>
      </c>
      <c r="R370" s="184"/>
      <c r="S370" s="185"/>
      <c r="T370" s="185"/>
      <c r="U370" s="185">
        <f>IF(S370&gt;0,IF(RIGHT(Ruimtestaat[[#This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70" s="185">
        <f>IF(U370&gt;0,VLOOKUP($K370,Ruimtegroepen[],3,FALSE)*VLOOKUP($M370,Vloersoorten[],3,FALSE)*VLOOKUP($T370,Frequenties[],3,FALSE)*VLOOKUP($A370,Locaties[],3,FALSE),0)</f>
        <v>0</v>
      </c>
      <c r="W370" s="185">
        <f>Ruimtestaat[[#This Row],[Uitvoeringen werkdagen]]*Ruimtestaat[[#This Row],[Oppervlak (netto)]]</f>
        <v>0</v>
      </c>
      <c r="X370" s="220">
        <f>IF(V370&gt;0,Ruimtestaat[[#This Row],[Prest. (m2 /jaar) werkdagen]]/Ruimtestaat[[#This Row],[Norm (m2/uur) werkdagen]],0)</f>
        <v>0</v>
      </c>
      <c r="Y370" s="221">
        <f>Ruimtestaat[[#This Row],[uren / jaar werkdagen]]*Tariefsopbouw!$D$38</f>
        <v>0</v>
      </c>
      <c r="Z370" s="33"/>
      <c r="AA370" s="33">
        <f>IF(Ruimtestaat[[#This Row],[Frequentie weekend]]&gt;0,VALUE(LEFT(Z370,1))*S370,0)</f>
        <v>0</v>
      </c>
      <c r="AB370" s="33">
        <f>IF($AA370&gt;0,VLOOKUP($K370,Ruimtegroepen[],3,FALSE)*VLOOKUP($M370,Vloersoorten[],3,FALSE)*VLOOKUP($Z370,Frequenties[],3,FALSE)*VLOOKUP(#REF!,Locaties[],3,FALSE),0)</f>
        <v>0</v>
      </c>
      <c r="AC370" s="33"/>
      <c r="AD370" s="33"/>
      <c r="AE370" s="33">
        <f>Ruimtestaat[[#This Row],[uren / jaar weekend]]*Tariefsopbouw!$D$40</f>
        <v>0</v>
      </c>
      <c r="AF370" s="79">
        <f>Ruimtestaat[[#This Row],[Prest. (m2 /jaar) weekend]]+Ruimtestaat[[#This Row],[Prest. (m2 /jaar) werkdagen]]</f>
        <v>0</v>
      </c>
      <c r="AG370" s="79">
        <f>Ruimtestaat[[#This Row],[uren / jaar weekend]]+Ruimtestaat[[#This Row],[uren / jaar werkdagen]]</f>
        <v>0</v>
      </c>
      <c r="AH370" s="80">
        <f>Ruimtestaat[[#This Row],[kosten / jaar weekend]]+Ruimtestaat[[#This Row],[kosten / jaar werkdagen]]</f>
        <v>0</v>
      </c>
    </row>
    <row r="371" spans="1:34" ht="15" customHeight="1">
      <c r="A371" s="256">
        <v>6</v>
      </c>
      <c r="B371" s="171" t="str">
        <f>VLOOKUP(Ruimtestaat[[#This Row],[Code]],Locaties[#All],2,FALSE)</f>
        <v>Het Reliëf</v>
      </c>
      <c r="C371" s="258" t="str">
        <f>VLOOKUP(Ruimtestaat[[#This Row],[Code]],Locaties[#All],4,FALSE)</f>
        <v>Floraparkstraat 390</v>
      </c>
      <c r="D371" s="258" t="str">
        <f>VLOOKUP(Ruimtestaat[[#This Row],[Code]],Locaties[#All],5,FALSE)</f>
        <v>7531HX</v>
      </c>
      <c r="E371" s="258" t="str">
        <f>VLOOKUP(Ruimtestaat[[#This Row],[Code]],Locaties[#All],6,FALSE)</f>
        <v>Enschede</v>
      </c>
      <c r="F371" s="257"/>
      <c r="G371" s="257" t="s">
        <v>563</v>
      </c>
      <c r="H371" s="171"/>
      <c r="I371" s="257" t="s">
        <v>463</v>
      </c>
      <c r="J371" s="259" t="s">
        <v>22</v>
      </c>
      <c r="K371" s="171">
        <v>5</v>
      </c>
      <c r="L371" s="260" t="str">
        <f>VLOOKUP(Ruimtestaat[[#This Row],[Ruimte code]],Ruimtegroepen[#All],2,FALSE)</f>
        <v>Sanitair</v>
      </c>
      <c r="M371" s="212" t="s">
        <v>111</v>
      </c>
      <c r="N371" s="257" t="s">
        <v>605</v>
      </c>
      <c r="O371" s="261">
        <v>1</v>
      </c>
      <c r="P371" s="183"/>
      <c r="Q371" s="212" t="str">
        <f>VLOOKUP(Ruimtestaat[[#This Row],[Ruimte code]],Ruimtegroepen[#All],4,FALSE)</f>
        <v>S  (Sanitair)</v>
      </c>
      <c r="R371" s="184"/>
      <c r="S371" s="185">
        <v>40</v>
      </c>
      <c r="T371" s="185" t="s">
        <v>2</v>
      </c>
      <c r="U371" s="185">
        <f>IF(S371&gt;0,IF(RIGHT(Ruimtestaat[[#This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1" s="185">
        <f>IF(U371&gt;0,VLOOKUP($K371,Ruimtegroepen[],3,FALSE)*VLOOKUP($M371,Vloersoorten[],3,FALSE)*VLOOKUP($T371,Frequenties[],3,FALSE)*VLOOKUP($A371,Locaties[],3,FALSE),0)</f>
        <v>0</v>
      </c>
      <c r="W371" s="185">
        <f>Ruimtestaat[[#This Row],[Uitvoeringen werkdagen]]*Ruimtestaat[[#This Row],[Oppervlak (netto)]]</f>
        <v>200</v>
      </c>
      <c r="X371" s="220">
        <f>IF(V371&gt;0,Ruimtestaat[[#This Row],[Prest. (m2 /jaar) werkdagen]]/Ruimtestaat[[#This Row],[Norm (m2/uur) werkdagen]],0)</f>
        <v>0</v>
      </c>
      <c r="Y371" s="221">
        <f>Ruimtestaat[[#This Row],[uren / jaar werkdagen]]*Tariefsopbouw!$D$38</f>
        <v>0</v>
      </c>
      <c r="Z371" s="33"/>
      <c r="AA371" s="33">
        <f>IF(Ruimtestaat[[#This Row],[Frequentie weekend]]&gt;0,VALUE(LEFT(Z371,1))*S371,0)</f>
        <v>0</v>
      </c>
      <c r="AB371" s="33">
        <f>IF($AA371&gt;0,VLOOKUP($K371,Ruimtegroepen[],3,FALSE)*VLOOKUP($M371,Vloersoorten[],3,FALSE)*VLOOKUP($Z371,Frequenties[],3,FALSE)*VLOOKUP(#REF!,Locaties[],3,FALSE),0)</f>
        <v>0</v>
      </c>
      <c r="AC371" s="33"/>
      <c r="AD371" s="33"/>
      <c r="AE371" s="33">
        <f>Ruimtestaat[[#This Row],[uren / jaar weekend]]*Tariefsopbouw!$D$40</f>
        <v>0</v>
      </c>
      <c r="AF371" s="79">
        <f>Ruimtestaat[[#This Row],[Prest. (m2 /jaar) weekend]]+Ruimtestaat[[#This Row],[Prest. (m2 /jaar) werkdagen]]</f>
        <v>200</v>
      </c>
      <c r="AG371" s="79">
        <f>Ruimtestaat[[#This Row],[uren / jaar weekend]]+Ruimtestaat[[#This Row],[uren / jaar werkdagen]]</f>
        <v>0</v>
      </c>
      <c r="AH371" s="80">
        <f>Ruimtestaat[[#This Row],[kosten / jaar weekend]]+Ruimtestaat[[#This Row],[kosten / jaar werkdagen]]</f>
        <v>0</v>
      </c>
    </row>
    <row r="372" spans="1:34" ht="15" customHeight="1">
      <c r="A372" s="256">
        <v>6</v>
      </c>
      <c r="B372" s="171" t="str">
        <f>VLOOKUP(Ruimtestaat[[#This Row],[Code]],Locaties[#All],2,FALSE)</f>
        <v>Het Reliëf</v>
      </c>
      <c r="C372" s="258" t="str">
        <f>VLOOKUP(Ruimtestaat[[#This Row],[Code]],Locaties[#All],4,FALSE)</f>
        <v>Floraparkstraat 390</v>
      </c>
      <c r="D372" s="258" t="str">
        <f>VLOOKUP(Ruimtestaat[[#This Row],[Code]],Locaties[#All],5,FALSE)</f>
        <v>7531HX</v>
      </c>
      <c r="E372" s="258" t="str">
        <f>VLOOKUP(Ruimtestaat[[#This Row],[Code]],Locaties[#All],6,FALSE)</f>
        <v>Enschede</v>
      </c>
      <c r="F372" s="257"/>
      <c r="G372" s="257" t="s">
        <v>563</v>
      </c>
      <c r="H372" s="171"/>
      <c r="I372" s="257" t="s">
        <v>464</v>
      </c>
      <c r="J372" s="259" t="s">
        <v>373</v>
      </c>
      <c r="K372" s="171">
        <v>6</v>
      </c>
      <c r="L372" s="260" t="str">
        <f>VLOOKUP(Ruimtestaat[[#This Row],[Ruimte code]],Ruimtegroepen[#All],2,FALSE)</f>
        <v>Gangen/hallen</v>
      </c>
      <c r="M372" s="212" t="s">
        <v>111</v>
      </c>
      <c r="N372" s="257" t="s">
        <v>605</v>
      </c>
      <c r="O372" s="261">
        <v>5.4</v>
      </c>
      <c r="P372" s="183"/>
      <c r="Q372" s="212" t="str">
        <f>VLOOKUP(Ruimtestaat[[#This Row],[Ruimte code]],Ruimtegroepen[#All],4,FALSE)</f>
        <v>V  (Verkeersruimte)</v>
      </c>
      <c r="R372" s="184"/>
      <c r="S372" s="185">
        <v>40</v>
      </c>
      <c r="T372" s="185" t="s">
        <v>2</v>
      </c>
      <c r="U372" s="185">
        <f>IF(S372&gt;0,IF(RIGHT(Ruimtestaat[[#This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2" s="185">
        <f>IF(U372&gt;0,VLOOKUP($K372,Ruimtegroepen[],3,FALSE)*VLOOKUP($M372,Vloersoorten[],3,FALSE)*VLOOKUP($T372,Frequenties[],3,FALSE)*VLOOKUP($A372,Locaties[],3,FALSE),0)</f>
        <v>0</v>
      </c>
      <c r="W372" s="185">
        <f>Ruimtestaat[[#This Row],[Uitvoeringen werkdagen]]*Ruimtestaat[[#This Row],[Oppervlak (netto)]]</f>
        <v>1080</v>
      </c>
      <c r="X372" s="220">
        <f>IF(V372&gt;0,Ruimtestaat[[#This Row],[Prest. (m2 /jaar) werkdagen]]/Ruimtestaat[[#This Row],[Norm (m2/uur) werkdagen]],0)</f>
        <v>0</v>
      </c>
      <c r="Y372" s="221">
        <f>Ruimtestaat[[#This Row],[uren / jaar werkdagen]]*Tariefsopbouw!$D$38</f>
        <v>0</v>
      </c>
      <c r="Z372" s="33"/>
      <c r="AA372" s="33">
        <f>IF(Ruimtestaat[[#This Row],[Frequentie weekend]]&gt;0,VALUE(LEFT(Z372,1))*S372,0)</f>
        <v>0</v>
      </c>
      <c r="AB372" s="33">
        <f>IF($AA372&gt;0,VLOOKUP($K372,Ruimtegroepen[],3,FALSE)*VLOOKUP($M372,Vloersoorten[],3,FALSE)*VLOOKUP($Z372,Frequenties[],3,FALSE)*VLOOKUP(#REF!,Locaties[],3,FALSE),0)</f>
        <v>0</v>
      </c>
      <c r="AC372" s="33"/>
      <c r="AD372" s="33"/>
      <c r="AE372" s="33">
        <f>Ruimtestaat[[#This Row],[uren / jaar weekend]]*Tariefsopbouw!$D$40</f>
        <v>0</v>
      </c>
      <c r="AF372" s="79">
        <f>Ruimtestaat[[#This Row],[Prest. (m2 /jaar) weekend]]+Ruimtestaat[[#This Row],[Prest. (m2 /jaar) werkdagen]]</f>
        <v>1080</v>
      </c>
      <c r="AG372" s="79">
        <f>Ruimtestaat[[#This Row],[uren / jaar weekend]]+Ruimtestaat[[#This Row],[uren / jaar werkdagen]]</f>
        <v>0</v>
      </c>
      <c r="AH372" s="80">
        <f>Ruimtestaat[[#This Row],[kosten / jaar weekend]]+Ruimtestaat[[#This Row],[kosten / jaar werkdagen]]</f>
        <v>0</v>
      </c>
    </row>
    <row r="373" spans="1:34" ht="15" customHeight="1">
      <c r="A373" s="256">
        <v>6</v>
      </c>
      <c r="B373" s="171" t="str">
        <f>VLOOKUP(Ruimtestaat[[#This Row],[Code]],Locaties[#All],2,FALSE)</f>
        <v>Het Reliëf</v>
      </c>
      <c r="C373" s="258" t="str">
        <f>VLOOKUP(Ruimtestaat[[#This Row],[Code]],Locaties[#All],4,FALSE)</f>
        <v>Floraparkstraat 390</v>
      </c>
      <c r="D373" s="258" t="str">
        <f>VLOOKUP(Ruimtestaat[[#This Row],[Code]],Locaties[#All],5,FALSE)</f>
        <v>7531HX</v>
      </c>
      <c r="E373" s="258" t="str">
        <f>VLOOKUP(Ruimtestaat[[#This Row],[Code]],Locaties[#All],6,FALSE)</f>
        <v>Enschede</v>
      </c>
      <c r="F373" s="257"/>
      <c r="G373" s="257" t="s">
        <v>563</v>
      </c>
      <c r="H373" s="171"/>
      <c r="I373" s="257" t="s">
        <v>465</v>
      </c>
      <c r="J373" s="259" t="s">
        <v>581</v>
      </c>
      <c r="K373" s="258">
        <v>19</v>
      </c>
      <c r="L373" s="260" t="str">
        <f>VLOOKUP(Ruimtestaat[[#This Row],[Ruimte code]],Ruimtegroepen[#All],2,FALSE)</f>
        <v>Kleedruimten</v>
      </c>
      <c r="M373" s="212" t="s">
        <v>111</v>
      </c>
      <c r="N373" s="257" t="s">
        <v>605</v>
      </c>
      <c r="O373" s="261">
        <v>29.5</v>
      </c>
      <c r="P373" s="183"/>
      <c r="Q373" s="212" t="str">
        <f>VLOOKUP(Ruimtestaat[[#This Row],[Ruimte code]],Ruimtegroepen[#All],4,FALSE)</f>
        <v>V  (Verkeersruimte)</v>
      </c>
      <c r="R373" s="184"/>
      <c r="S373" s="185">
        <v>40</v>
      </c>
      <c r="T373" s="185" t="s">
        <v>2</v>
      </c>
      <c r="U373" s="185">
        <f>IF(S373&gt;0,IF(RIGHT(Ruimtestaat[[#This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3" s="185">
        <f>IF(U373&gt;0,VLOOKUP($K373,Ruimtegroepen[],3,FALSE)*VLOOKUP($M373,Vloersoorten[],3,FALSE)*VLOOKUP($T373,Frequenties[],3,FALSE)*VLOOKUP($A373,Locaties[],3,FALSE),0)</f>
        <v>0</v>
      </c>
      <c r="W373" s="185">
        <f>Ruimtestaat[[#This Row],[Uitvoeringen werkdagen]]*Ruimtestaat[[#This Row],[Oppervlak (netto)]]</f>
        <v>5900</v>
      </c>
      <c r="X373" s="220">
        <f>IF(V373&gt;0,Ruimtestaat[[#This Row],[Prest. (m2 /jaar) werkdagen]]/Ruimtestaat[[#This Row],[Norm (m2/uur) werkdagen]],0)</f>
        <v>0</v>
      </c>
      <c r="Y373" s="221">
        <f>Ruimtestaat[[#This Row],[uren / jaar werkdagen]]*Tariefsopbouw!$D$38</f>
        <v>0</v>
      </c>
      <c r="Z373" s="33"/>
      <c r="AA373" s="33">
        <f>IF(Ruimtestaat[[#This Row],[Frequentie weekend]]&gt;0,VALUE(LEFT(Z373,1))*S373,0)</f>
        <v>0</v>
      </c>
      <c r="AB373" s="33">
        <f>IF($AA373&gt;0,VLOOKUP($K373,Ruimtegroepen[],3,FALSE)*VLOOKUP($M373,Vloersoorten[],3,FALSE)*VLOOKUP($Z373,Frequenties[],3,FALSE)*VLOOKUP(#REF!,Locaties[],3,FALSE),0)</f>
        <v>0</v>
      </c>
      <c r="AC373" s="33"/>
      <c r="AD373" s="33"/>
      <c r="AE373" s="33">
        <f>Ruimtestaat[[#This Row],[uren / jaar weekend]]*Tariefsopbouw!$D$40</f>
        <v>0</v>
      </c>
      <c r="AF373" s="79">
        <f>Ruimtestaat[[#This Row],[Prest. (m2 /jaar) weekend]]+Ruimtestaat[[#This Row],[Prest. (m2 /jaar) werkdagen]]</f>
        <v>5900</v>
      </c>
      <c r="AG373" s="79">
        <f>Ruimtestaat[[#This Row],[uren / jaar weekend]]+Ruimtestaat[[#This Row],[uren / jaar werkdagen]]</f>
        <v>0</v>
      </c>
      <c r="AH373" s="80">
        <f>Ruimtestaat[[#This Row],[kosten / jaar weekend]]+Ruimtestaat[[#This Row],[kosten / jaar werkdagen]]</f>
        <v>0</v>
      </c>
    </row>
    <row r="374" spans="1:34" ht="15" customHeight="1">
      <c r="A374" s="256">
        <v>6</v>
      </c>
      <c r="B374" s="171" t="str">
        <f>VLOOKUP(Ruimtestaat[[#This Row],[Code]],Locaties[#All],2,FALSE)</f>
        <v>Het Reliëf</v>
      </c>
      <c r="C374" s="258" t="str">
        <f>VLOOKUP(Ruimtestaat[[#This Row],[Code]],Locaties[#All],4,FALSE)</f>
        <v>Floraparkstraat 390</v>
      </c>
      <c r="D374" s="258" t="str">
        <f>VLOOKUP(Ruimtestaat[[#This Row],[Code]],Locaties[#All],5,FALSE)</f>
        <v>7531HX</v>
      </c>
      <c r="E374" s="258" t="str">
        <f>VLOOKUP(Ruimtestaat[[#This Row],[Code]],Locaties[#All],6,FALSE)</f>
        <v>Enschede</v>
      </c>
      <c r="F374" s="257"/>
      <c r="G374" s="257" t="s">
        <v>563</v>
      </c>
      <c r="H374" s="171"/>
      <c r="I374" s="257" t="s">
        <v>466</v>
      </c>
      <c r="J374" s="259" t="s">
        <v>825</v>
      </c>
      <c r="K374" s="258">
        <v>20</v>
      </c>
      <c r="L374" s="260" t="str">
        <f>VLOOKUP(Ruimtestaat[[#This Row],[Ruimte code]],Ruimtegroepen[#All],2,FALSE)</f>
        <v>Niet in onderhoud</v>
      </c>
      <c r="M374" s="258"/>
      <c r="N374" s="257"/>
      <c r="O374" s="261"/>
      <c r="P374" s="183"/>
      <c r="Q374" s="212" t="str">
        <f>VLOOKUP(Ruimtestaat[[#This Row],[Ruimte code]],Ruimtegroepen[#All],4,FALSE)</f>
        <v>niet in onderhoud</v>
      </c>
      <c r="R374" s="184"/>
      <c r="S374" s="185"/>
      <c r="T374" s="185"/>
      <c r="U374" s="185">
        <f>IF(S374&gt;0,IF(RIGHT(Ruimtestaat[[#This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74" s="185">
        <f>IF(U374&gt;0,VLOOKUP($K374,Ruimtegroepen[],3,FALSE)*VLOOKUP($M374,Vloersoorten[],3,FALSE)*VLOOKUP($T374,Frequenties[],3,FALSE)*VLOOKUP($A374,Locaties[],3,FALSE),0)</f>
        <v>0</v>
      </c>
      <c r="W374" s="185">
        <f>Ruimtestaat[[#This Row],[Uitvoeringen werkdagen]]*Ruimtestaat[[#This Row],[Oppervlak (netto)]]</f>
        <v>0</v>
      </c>
      <c r="X374" s="220">
        <f>IF(V374&gt;0,Ruimtestaat[[#This Row],[Prest. (m2 /jaar) werkdagen]]/Ruimtestaat[[#This Row],[Norm (m2/uur) werkdagen]],0)</f>
        <v>0</v>
      </c>
      <c r="Y374" s="221">
        <f>Ruimtestaat[[#This Row],[uren / jaar werkdagen]]*Tariefsopbouw!$D$38</f>
        <v>0</v>
      </c>
      <c r="Z374" s="33"/>
      <c r="AA374" s="33">
        <f>IF(Ruimtestaat[[#This Row],[Frequentie weekend]]&gt;0,VALUE(LEFT(Z374,1))*S374,0)</f>
        <v>0</v>
      </c>
      <c r="AB374" s="33">
        <f>IF($AA374&gt;0,VLOOKUP($K374,Ruimtegroepen[],3,FALSE)*VLOOKUP($M374,Vloersoorten[],3,FALSE)*VLOOKUP($Z374,Frequenties[],3,FALSE)*VLOOKUP(#REF!,Locaties[],3,FALSE),0)</f>
        <v>0</v>
      </c>
      <c r="AC374" s="33"/>
      <c r="AD374" s="33"/>
      <c r="AE374" s="33">
        <f>Ruimtestaat[[#This Row],[uren / jaar weekend]]*Tariefsopbouw!$D$40</f>
        <v>0</v>
      </c>
      <c r="AF374" s="79">
        <f>Ruimtestaat[[#This Row],[Prest. (m2 /jaar) weekend]]+Ruimtestaat[[#This Row],[Prest. (m2 /jaar) werkdagen]]</f>
        <v>0</v>
      </c>
      <c r="AG374" s="79">
        <f>Ruimtestaat[[#This Row],[uren / jaar weekend]]+Ruimtestaat[[#This Row],[uren / jaar werkdagen]]</f>
        <v>0</v>
      </c>
      <c r="AH374" s="80">
        <f>Ruimtestaat[[#This Row],[kosten / jaar weekend]]+Ruimtestaat[[#This Row],[kosten / jaar werkdagen]]</f>
        <v>0</v>
      </c>
    </row>
    <row r="375" spans="1:34" ht="15" customHeight="1">
      <c r="A375" s="256">
        <v>6</v>
      </c>
      <c r="B375" s="171" t="str">
        <f>VLOOKUP(Ruimtestaat[[#This Row],[Code]],Locaties[#All],2,FALSE)</f>
        <v>Het Reliëf</v>
      </c>
      <c r="C375" s="258" t="str">
        <f>VLOOKUP(Ruimtestaat[[#This Row],[Code]],Locaties[#All],4,FALSE)</f>
        <v>Floraparkstraat 390</v>
      </c>
      <c r="D375" s="258" t="str">
        <f>VLOOKUP(Ruimtestaat[[#This Row],[Code]],Locaties[#All],5,FALSE)</f>
        <v>7531HX</v>
      </c>
      <c r="E375" s="258" t="str">
        <f>VLOOKUP(Ruimtestaat[[#This Row],[Code]],Locaties[#All],6,FALSE)</f>
        <v>Enschede</v>
      </c>
      <c r="F375" s="257"/>
      <c r="G375" s="257" t="s">
        <v>563</v>
      </c>
      <c r="H375" s="171"/>
      <c r="I375" s="257" t="s">
        <v>467</v>
      </c>
      <c r="J375" s="259" t="s">
        <v>825</v>
      </c>
      <c r="K375" s="171">
        <v>20</v>
      </c>
      <c r="L375" s="260" t="str">
        <f>VLOOKUP(Ruimtestaat[[#This Row],[Ruimte code]],Ruimtegroepen[#All],2,FALSE)</f>
        <v>Niet in onderhoud</v>
      </c>
      <c r="M375" s="258"/>
      <c r="N375" s="257"/>
      <c r="O375" s="261"/>
      <c r="P375" s="183"/>
      <c r="Q375" s="212" t="str">
        <f>VLOOKUP(Ruimtestaat[[#This Row],[Ruimte code]],Ruimtegroepen[#All],4,FALSE)</f>
        <v>niet in onderhoud</v>
      </c>
      <c r="R375" s="184"/>
      <c r="S375" s="185"/>
      <c r="T375" s="185"/>
      <c r="U375" s="185">
        <f>IF(S375&gt;0,IF(RIGHT(Ruimtestaat[[#This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75" s="185">
        <f>IF(U375&gt;0,VLOOKUP($K375,Ruimtegroepen[],3,FALSE)*VLOOKUP($M375,Vloersoorten[],3,FALSE)*VLOOKUP($T375,Frequenties[],3,FALSE)*VLOOKUP($A375,Locaties[],3,FALSE),0)</f>
        <v>0</v>
      </c>
      <c r="W375" s="185">
        <f>Ruimtestaat[[#This Row],[Uitvoeringen werkdagen]]*Ruimtestaat[[#This Row],[Oppervlak (netto)]]</f>
        <v>0</v>
      </c>
      <c r="X375" s="220">
        <f>IF(V375&gt;0,Ruimtestaat[[#This Row],[Prest. (m2 /jaar) werkdagen]]/Ruimtestaat[[#This Row],[Norm (m2/uur) werkdagen]],0)</f>
        <v>0</v>
      </c>
      <c r="Y375" s="221">
        <f>Ruimtestaat[[#This Row],[uren / jaar werkdagen]]*Tariefsopbouw!$D$38</f>
        <v>0</v>
      </c>
      <c r="Z375" s="33"/>
      <c r="AA375" s="33">
        <f>IF(Ruimtestaat[[#This Row],[Frequentie weekend]]&gt;0,VALUE(LEFT(Z375,1))*S375,0)</f>
        <v>0</v>
      </c>
      <c r="AB375" s="33">
        <f>IF($AA375&gt;0,VLOOKUP($K375,Ruimtegroepen[],3,FALSE)*VLOOKUP($M375,Vloersoorten[],3,FALSE)*VLOOKUP($Z375,Frequenties[],3,FALSE)*VLOOKUP(#REF!,Locaties[],3,FALSE),0)</f>
        <v>0</v>
      </c>
      <c r="AC375" s="33"/>
      <c r="AD375" s="33"/>
      <c r="AE375" s="33">
        <f>Ruimtestaat[[#This Row],[uren / jaar weekend]]*Tariefsopbouw!$D$40</f>
        <v>0</v>
      </c>
      <c r="AF375" s="79">
        <f>Ruimtestaat[[#This Row],[Prest. (m2 /jaar) weekend]]+Ruimtestaat[[#This Row],[Prest. (m2 /jaar) werkdagen]]</f>
        <v>0</v>
      </c>
      <c r="AG375" s="79">
        <f>Ruimtestaat[[#This Row],[uren / jaar weekend]]+Ruimtestaat[[#This Row],[uren / jaar werkdagen]]</f>
        <v>0</v>
      </c>
      <c r="AH375" s="80">
        <f>Ruimtestaat[[#This Row],[kosten / jaar weekend]]+Ruimtestaat[[#This Row],[kosten / jaar werkdagen]]</f>
        <v>0</v>
      </c>
    </row>
    <row r="376" spans="1:34" ht="15" customHeight="1">
      <c r="A376" s="256">
        <v>6</v>
      </c>
      <c r="B376" s="171" t="str">
        <f>VLOOKUP(Ruimtestaat[[#This Row],[Code]],Locaties[#All],2,FALSE)</f>
        <v>Het Reliëf</v>
      </c>
      <c r="C376" s="258" t="str">
        <f>VLOOKUP(Ruimtestaat[[#This Row],[Code]],Locaties[#All],4,FALSE)</f>
        <v>Floraparkstraat 390</v>
      </c>
      <c r="D376" s="258" t="str">
        <f>VLOOKUP(Ruimtestaat[[#This Row],[Code]],Locaties[#All],5,FALSE)</f>
        <v>7531HX</v>
      </c>
      <c r="E376" s="258" t="str">
        <f>VLOOKUP(Ruimtestaat[[#This Row],[Code]],Locaties[#All],6,FALSE)</f>
        <v>Enschede</v>
      </c>
      <c r="F376" s="257"/>
      <c r="G376" s="257" t="s">
        <v>563</v>
      </c>
      <c r="H376" s="171"/>
      <c r="I376" s="257" t="s">
        <v>468</v>
      </c>
      <c r="J376" s="259" t="s">
        <v>22</v>
      </c>
      <c r="K376" s="258">
        <v>5</v>
      </c>
      <c r="L376" s="260" t="str">
        <f>VLOOKUP(Ruimtestaat[[#This Row],[Ruimte code]],Ruimtegroepen[#All],2,FALSE)</f>
        <v>Sanitair</v>
      </c>
      <c r="M376" s="212" t="s">
        <v>111</v>
      </c>
      <c r="N376" s="257" t="s">
        <v>605</v>
      </c>
      <c r="O376" s="261">
        <v>1</v>
      </c>
      <c r="P376" s="183"/>
      <c r="Q376" s="212" t="str">
        <f>VLOOKUP(Ruimtestaat[[#This Row],[Ruimte code]],Ruimtegroepen[#All],4,FALSE)</f>
        <v>S  (Sanitair)</v>
      </c>
      <c r="R376" s="184"/>
      <c r="S376" s="185">
        <v>40</v>
      </c>
      <c r="T376" s="185" t="s">
        <v>2</v>
      </c>
      <c r="U376" s="185">
        <f>IF(S376&gt;0,IF(RIGHT(Ruimtestaat[[#This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6" s="185">
        <f>IF(U376&gt;0,VLOOKUP($K376,Ruimtegroepen[],3,FALSE)*VLOOKUP($M376,Vloersoorten[],3,FALSE)*VLOOKUP($T376,Frequenties[],3,FALSE)*VLOOKUP($A376,Locaties[],3,FALSE),0)</f>
        <v>0</v>
      </c>
      <c r="W376" s="185">
        <f>Ruimtestaat[[#This Row],[Uitvoeringen werkdagen]]*Ruimtestaat[[#This Row],[Oppervlak (netto)]]</f>
        <v>200</v>
      </c>
      <c r="X376" s="220">
        <f>IF(V376&gt;0,Ruimtestaat[[#This Row],[Prest. (m2 /jaar) werkdagen]]/Ruimtestaat[[#This Row],[Norm (m2/uur) werkdagen]],0)</f>
        <v>0</v>
      </c>
      <c r="Y376" s="221">
        <f>Ruimtestaat[[#This Row],[uren / jaar werkdagen]]*Tariefsopbouw!$D$38</f>
        <v>0</v>
      </c>
      <c r="Z376" s="33"/>
      <c r="AA376" s="33">
        <f>IF(Ruimtestaat[[#This Row],[Frequentie weekend]]&gt;0,VALUE(LEFT(Z376,1))*S376,0)</f>
        <v>0</v>
      </c>
      <c r="AB376" s="33">
        <f>IF($AA376&gt;0,VLOOKUP($K376,Ruimtegroepen[],3,FALSE)*VLOOKUP($M376,Vloersoorten[],3,FALSE)*VLOOKUP($Z376,Frequenties[],3,FALSE)*VLOOKUP(#REF!,Locaties[],3,FALSE),0)</f>
        <v>0</v>
      </c>
      <c r="AC376" s="33"/>
      <c r="AD376" s="33"/>
      <c r="AE376" s="33">
        <f>Ruimtestaat[[#This Row],[uren / jaar weekend]]*Tariefsopbouw!$D$40</f>
        <v>0</v>
      </c>
      <c r="AF376" s="79">
        <f>Ruimtestaat[[#This Row],[Prest. (m2 /jaar) weekend]]+Ruimtestaat[[#This Row],[Prest. (m2 /jaar) werkdagen]]</f>
        <v>200</v>
      </c>
      <c r="AG376" s="79">
        <f>Ruimtestaat[[#This Row],[uren / jaar weekend]]+Ruimtestaat[[#This Row],[uren / jaar werkdagen]]</f>
        <v>0</v>
      </c>
      <c r="AH376" s="80">
        <f>Ruimtestaat[[#This Row],[kosten / jaar weekend]]+Ruimtestaat[[#This Row],[kosten / jaar werkdagen]]</f>
        <v>0</v>
      </c>
    </row>
    <row r="377" spans="1:34" ht="15" customHeight="1">
      <c r="A377" s="256">
        <v>6</v>
      </c>
      <c r="B377" s="171" t="str">
        <f>VLOOKUP(Ruimtestaat[[#This Row],[Code]],Locaties[#All],2,FALSE)</f>
        <v>Het Reliëf</v>
      </c>
      <c r="C377" s="258" t="str">
        <f>VLOOKUP(Ruimtestaat[[#This Row],[Code]],Locaties[#All],4,FALSE)</f>
        <v>Floraparkstraat 390</v>
      </c>
      <c r="D377" s="258" t="str">
        <f>VLOOKUP(Ruimtestaat[[#This Row],[Code]],Locaties[#All],5,FALSE)</f>
        <v>7531HX</v>
      </c>
      <c r="E377" s="258" t="str">
        <f>VLOOKUP(Ruimtestaat[[#This Row],[Code]],Locaties[#All],6,FALSE)</f>
        <v>Enschede</v>
      </c>
      <c r="F377" s="257"/>
      <c r="G377" s="257" t="s">
        <v>563</v>
      </c>
      <c r="H377" s="171"/>
      <c r="I377" s="257" t="s">
        <v>469</v>
      </c>
      <c r="J377" s="259" t="s">
        <v>581</v>
      </c>
      <c r="K377" s="258">
        <v>19</v>
      </c>
      <c r="L377" s="260" t="str">
        <f>VLOOKUP(Ruimtestaat[[#This Row],[Ruimte code]],Ruimtegroepen[#All],2,FALSE)</f>
        <v>Kleedruimten</v>
      </c>
      <c r="M377" s="212" t="s">
        <v>111</v>
      </c>
      <c r="N377" s="257" t="s">
        <v>605</v>
      </c>
      <c r="O377" s="261">
        <v>23</v>
      </c>
      <c r="P377" s="183"/>
      <c r="Q377" s="212" t="str">
        <f>VLOOKUP(Ruimtestaat[[#This Row],[Ruimte code]],Ruimtegroepen[#All],4,FALSE)</f>
        <v>V  (Verkeersruimte)</v>
      </c>
      <c r="R377" s="184"/>
      <c r="S377" s="185">
        <v>40</v>
      </c>
      <c r="T377" s="185" t="s">
        <v>2</v>
      </c>
      <c r="U377" s="185">
        <f>IF(S377&gt;0,IF(RIGHT(Ruimtestaat[[#This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7" s="185">
        <f>IF(U377&gt;0,VLOOKUP($K377,Ruimtegroepen[],3,FALSE)*VLOOKUP($M377,Vloersoorten[],3,FALSE)*VLOOKUP($T377,Frequenties[],3,FALSE)*VLOOKUP($A377,Locaties[],3,FALSE),0)</f>
        <v>0</v>
      </c>
      <c r="W377" s="185">
        <f>Ruimtestaat[[#This Row],[Uitvoeringen werkdagen]]*Ruimtestaat[[#This Row],[Oppervlak (netto)]]</f>
        <v>4600</v>
      </c>
      <c r="X377" s="220">
        <f>IF(V377&gt;0,Ruimtestaat[[#This Row],[Prest. (m2 /jaar) werkdagen]]/Ruimtestaat[[#This Row],[Norm (m2/uur) werkdagen]],0)</f>
        <v>0</v>
      </c>
      <c r="Y377" s="221">
        <f>Ruimtestaat[[#This Row],[uren / jaar werkdagen]]*Tariefsopbouw!$D$38</f>
        <v>0</v>
      </c>
      <c r="Z377" s="33"/>
      <c r="AA377" s="33">
        <f>IF(Ruimtestaat[[#This Row],[Frequentie weekend]]&gt;0,VALUE(LEFT(Z377,1))*S377,0)</f>
        <v>0</v>
      </c>
      <c r="AB377" s="33">
        <f>IF($AA377&gt;0,VLOOKUP($K377,Ruimtegroepen[],3,FALSE)*VLOOKUP($M377,Vloersoorten[],3,FALSE)*VLOOKUP($Z377,Frequenties[],3,FALSE)*VLOOKUP(#REF!,Locaties[],3,FALSE),0)</f>
        <v>0</v>
      </c>
      <c r="AC377" s="33"/>
      <c r="AD377" s="33"/>
      <c r="AE377" s="33">
        <f>Ruimtestaat[[#This Row],[uren / jaar weekend]]*Tariefsopbouw!$D$40</f>
        <v>0</v>
      </c>
      <c r="AF377" s="79">
        <f>Ruimtestaat[[#This Row],[Prest. (m2 /jaar) weekend]]+Ruimtestaat[[#This Row],[Prest. (m2 /jaar) werkdagen]]</f>
        <v>4600</v>
      </c>
      <c r="AG377" s="79">
        <f>Ruimtestaat[[#This Row],[uren / jaar weekend]]+Ruimtestaat[[#This Row],[uren / jaar werkdagen]]</f>
        <v>0</v>
      </c>
      <c r="AH377" s="80">
        <f>Ruimtestaat[[#This Row],[kosten / jaar weekend]]+Ruimtestaat[[#This Row],[kosten / jaar werkdagen]]</f>
        <v>0</v>
      </c>
    </row>
    <row r="378" spans="1:34" ht="15" customHeight="1">
      <c r="A378" s="256">
        <v>6</v>
      </c>
      <c r="B378" s="171" t="str">
        <f>VLOOKUP(Ruimtestaat[[#This Row],[Code]],Locaties[#All],2,FALSE)</f>
        <v>Het Reliëf</v>
      </c>
      <c r="C378" s="258" t="str">
        <f>VLOOKUP(Ruimtestaat[[#This Row],[Code]],Locaties[#All],4,FALSE)</f>
        <v>Floraparkstraat 390</v>
      </c>
      <c r="D378" s="258" t="str">
        <f>VLOOKUP(Ruimtestaat[[#This Row],[Code]],Locaties[#All],5,FALSE)</f>
        <v>7531HX</v>
      </c>
      <c r="E378" s="258" t="str">
        <f>VLOOKUP(Ruimtestaat[[#This Row],[Code]],Locaties[#All],6,FALSE)</f>
        <v>Enschede</v>
      </c>
      <c r="F378" s="257"/>
      <c r="G378" s="257" t="s">
        <v>563</v>
      </c>
      <c r="H378" s="171"/>
      <c r="I378" s="257" t="s">
        <v>826</v>
      </c>
      <c r="J378" s="259" t="s">
        <v>373</v>
      </c>
      <c r="K378" s="258">
        <v>6</v>
      </c>
      <c r="L378" s="260" t="str">
        <f>VLOOKUP(Ruimtestaat[[#This Row],[Ruimte code]],Ruimtegroepen[#All],2,FALSE)</f>
        <v>Gangen/hallen</v>
      </c>
      <c r="M378" s="212" t="s">
        <v>111</v>
      </c>
      <c r="N378" s="257" t="s">
        <v>605</v>
      </c>
      <c r="O378" s="261">
        <v>80</v>
      </c>
      <c r="P378" s="183"/>
      <c r="Q378" s="212" t="str">
        <f>VLOOKUP(Ruimtestaat[[#This Row],[Ruimte code]],Ruimtegroepen[#All],4,FALSE)</f>
        <v>V  (Verkeersruimte)</v>
      </c>
      <c r="R378" s="184"/>
      <c r="S378" s="185">
        <v>40</v>
      </c>
      <c r="T378" s="185" t="s">
        <v>2</v>
      </c>
      <c r="U378" s="185">
        <f>IF(S378&gt;0,IF(RIGHT(Ruimtestaat[[#This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8" s="185">
        <f>IF(U378&gt;0,VLOOKUP($K378,Ruimtegroepen[],3,FALSE)*VLOOKUP($M378,Vloersoorten[],3,FALSE)*VLOOKUP($T378,Frequenties[],3,FALSE)*VLOOKUP($A378,Locaties[],3,FALSE),0)</f>
        <v>0</v>
      </c>
      <c r="W378" s="185">
        <f>Ruimtestaat[[#This Row],[Uitvoeringen werkdagen]]*Ruimtestaat[[#This Row],[Oppervlak (netto)]]</f>
        <v>16000</v>
      </c>
      <c r="X378" s="220">
        <f>IF(V378&gt;0,Ruimtestaat[[#This Row],[Prest. (m2 /jaar) werkdagen]]/Ruimtestaat[[#This Row],[Norm (m2/uur) werkdagen]],0)</f>
        <v>0</v>
      </c>
      <c r="Y378" s="221">
        <f>Ruimtestaat[[#This Row],[uren / jaar werkdagen]]*Tariefsopbouw!$D$38</f>
        <v>0</v>
      </c>
      <c r="Z378" s="33"/>
      <c r="AA378" s="33">
        <f>IF(Ruimtestaat[[#This Row],[Frequentie weekend]]&gt;0,VALUE(LEFT(Z378,1))*S378,0)</f>
        <v>0</v>
      </c>
      <c r="AB378" s="33">
        <f>IF($AA378&gt;0,VLOOKUP($K378,Ruimtegroepen[],3,FALSE)*VLOOKUP($M378,Vloersoorten[],3,FALSE)*VLOOKUP($Z378,Frequenties[],3,FALSE)*VLOOKUP(#REF!,Locaties[],3,FALSE),0)</f>
        <v>0</v>
      </c>
      <c r="AC378" s="33"/>
      <c r="AD378" s="33"/>
      <c r="AE378" s="33">
        <f>Ruimtestaat[[#This Row],[uren / jaar weekend]]*Tariefsopbouw!$D$40</f>
        <v>0</v>
      </c>
      <c r="AF378" s="79">
        <f>Ruimtestaat[[#This Row],[Prest. (m2 /jaar) weekend]]+Ruimtestaat[[#This Row],[Prest. (m2 /jaar) werkdagen]]</f>
        <v>16000</v>
      </c>
      <c r="AG378" s="79">
        <f>Ruimtestaat[[#This Row],[uren / jaar weekend]]+Ruimtestaat[[#This Row],[uren / jaar werkdagen]]</f>
        <v>0</v>
      </c>
      <c r="AH378" s="80">
        <f>Ruimtestaat[[#This Row],[kosten / jaar weekend]]+Ruimtestaat[[#This Row],[kosten / jaar werkdagen]]</f>
        <v>0</v>
      </c>
    </row>
    <row r="379" spans="1:34" ht="15" customHeight="1">
      <c r="A379" s="256">
        <v>6</v>
      </c>
      <c r="B379" s="171" t="str">
        <f>VLOOKUP(Ruimtestaat[[#This Row],[Code]],Locaties[#All],2,FALSE)</f>
        <v>Het Reliëf</v>
      </c>
      <c r="C379" s="258" t="str">
        <f>VLOOKUP(Ruimtestaat[[#This Row],[Code]],Locaties[#All],4,FALSE)</f>
        <v>Floraparkstraat 390</v>
      </c>
      <c r="D379" s="258" t="str">
        <f>VLOOKUP(Ruimtestaat[[#This Row],[Code]],Locaties[#All],5,FALSE)</f>
        <v>7531HX</v>
      </c>
      <c r="E379" s="258" t="str">
        <f>VLOOKUP(Ruimtestaat[[#This Row],[Code]],Locaties[#All],6,FALSE)</f>
        <v>Enschede</v>
      </c>
      <c r="F379" s="257"/>
      <c r="G379" s="257" t="s">
        <v>563</v>
      </c>
      <c r="H379" s="171"/>
      <c r="I379" s="257" t="s">
        <v>827</v>
      </c>
      <c r="J379" s="259" t="s">
        <v>373</v>
      </c>
      <c r="K379" s="171">
        <v>6</v>
      </c>
      <c r="L379" s="260" t="str">
        <f>VLOOKUP(Ruimtestaat[[#This Row],[Ruimte code]],Ruimtegroepen[#All],2,FALSE)</f>
        <v>Gangen/hallen</v>
      </c>
      <c r="M379" s="212" t="s">
        <v>111</v>
      </c>
      <c r="N379" s="257" t="s">
        <v>605</v>
      </c>
      <c r="O379" s="261">
        <v>75</v>
      </c>
      <c r="P379" s="183"/>
      <c r="Q379" s="212" t="str">
        <f>VLOOKUP(Ruimtestaat[[#This Row],[Ruimte code]],Ruimtegroepen[#All],4,FALSE)</f>
        <v>V  (Verkeersruimte)</v>
      </c>
      <c r="R379" s="184"/>
      <c r="S379" s="185">
        <v>40</v>
      </c>
      <c r="T379" s="185" t="s">
        <v>2</v>
      </c>
      <c r="U379" s="185">
        <f>IF(S379&gt;0,IF(RIGHT(Ruimtestaat[[#This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9" s="185">
        <f>IF(U379&gt;0,VLOOKUP($K379,Ruimtegroepen[],3,FALSE)*VLOOKUP($M379,Vloersoorten[],3,FALSE)*VLOOKUP($T379,Frequenties[],3,FALSE)*VLOOKUP($A379,Locaties[],3,FALSE),0)</f>
        <v>0</v>
      </c>
      <c r="W379" s="185">
        <f>Ruimtestaat[[#This Row],[Uitvoeringen werkdagen]]*Ruimtestaat[[#This Row],[Oppervlak (netto)]]</f>
        <v>15000</v>
      </c>
      <c r="X379" s="220">
        <f>IF(V379&gt;0,Ruimtestaat[[#This Row],[Prest. (m2 /jaar) werkdagen]]/Ruimtestaat[[#This Row],[Norm (m2/uur) werkdagen]],0)</f>
        <v>0</v>
      </c>
      <c r="Y379" s="221">
        <f>Ruimtestaat[[#This Row],[uren / jaar werkdagen]]*Tariefsopbouw!$D$38</f>
        <v>0</v>
      </c>
      <c r="Z379" s="33"/>
      <c r="AA379" s="33">
        <f>IF(Ruimtestaat[[#This Row],[Frequentie weekend]]&gt;0,VALUE(LEFT(Z379,1))*S379,0)</f>
        <v>0</v>
      </c>
      <c r="AB379" s="33">
        <f>IF($AA379&gt;0,VLOOKUP($K379,Ruimtegroepen[],3,FALSE)*VLOOKUP($M379,Vloersoorten[],3,FALSE)*VLOOKUP($Z379,Frequenties[],3,FALSE)*VLOOKUP(#REF!,Locaties[],3,FALSE),0)</f>
        <v>0</v>
      </c>
      <c r="AC379" s="33"/>
      <c r="AD379" s="33"/>
      <c r="AE379" s="33">
        <f>Ruimtestaat[[#This Row],[uren / jaar weekend]]*Tariefsopbouw!$D$40</f>
        <v>0</v>
      </c>
      <c r="AF379" s="79">
        <f>Ruimtestaat[[#This Row],[Prest. (m2 /jaar) weekend]]+Ruimtestaat[[#This Row],[Prest. (m2 /jaar) werkdagen]]</f>
        <v>15000</v>
      </c>
      <c r="AG379" s="79">
        <f>Ruimtestaat[[#This Row],[uren / jaar weekend]]+Ruimtestaat[[#This Row],[uren / jaar werkdagen]]</f>
        <v>0</v>
      </c>
      <c r="AH379" s="80">
        <f>Ruimtestaat[[#This Row],[kosten / jaar weekend]]+Ruimtestaat[[#This Row],[kosten / jaar werkdagen]]</f>
        <v>0</v>
      </c>
    </row>
    <row r="380" spans="1:34" ht="15" customHeight="1">
      <c r="A380" s="256">
        <v>6</v>
      </c>
      <c r="B380" s="171" t="str">
        <f>VLOOKUP(Ruimtestaat[[#This Row],[Code]],Locaties[#All],2,FALSE)</f>
        <v>Het Reliëf</v>
      </c>
      <c r="C380" s="258" t="str">
        <f>VLOOKUP(Ruimtestaat[[#This Row],[Code]],Locaties[#All],4,FALSE)</f>
        <v>Floraparkstraat 390</v>
      </c>
      <c r="D380" s="258" t="str">
        <f>VLOOKUP(Ruimtestaat[[#This Row],[Code]],Locaties[#All],5,FALSE)</f>
        <v>7531HX</v>
      </c>
      <c r="E380" s="258" t="str">
        <f>VLOOKUP(Ruimtestaat[[#This Row],[Code]],Locaties[#All],6,FALSE)</f>
        <v>Enschede</v>
      </c>
      <c r="F380" s="257"/>
      <c r="G380" s="257" t="s">
        <v>563</v>
      </c>
      <c r="H380" s="171"/>
      <c r="I380" s="257" t="s">
        <v>460</v>
      </c>
      <c r="J380" s="259" t="s">
        <v>599</v>
      </c>
      <c r="K380" s="171">
        <v>12</v>
      </c>
      <c r="L380" s="260" t="str">
        <f>VLOOKUP(Ruimtestaat[[#This Row],[Ruimte code]],Ruimtegroepen[#All],2,FALSE)</f>
        <v>Kantine</v>
      </c>
      <c r="M380" s="258" t="s">
        <v>110</v>
      </c>
      <c r="N380" s="257" t="s">
        <v>265</v>
      </c>
      <c r="O380" s="261">
        <v>120</v>
      </c>
      <c r="P380" s="183"/>
      <c r="Q380" s="212" t="str">
        <f>VLOOKUP(Ruimtestaat[[#This Row],[Ruimte code]],Ruimtegroepen[#All],4,FALSE)</f>
        <v>V  (Verkeersruimte)</v>
      </c>
      <c r="R380" s="184"/>
      <c r="S380" s="185">
        <v>40</v>
      </c>
      <c r="T380" s="185" t="s">
        <v>2</v>
      </c>
      <c r="U380" s="185">
        <f>IF(S380&gt;0,IF(RIGHT(Ruimtestaat[[#This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0" s="185">
        <f>IF(U380&gt;0,VLOOKUP($K380,Ruimtegroepen[],3,FALSE)*VLOOKUP($M380,Vloersoorten[],3,FALSE)*VLOOKUP($T380,Frequenties[],3,FALSE)*VLOOKUP($A380,Locaties[],3,FALSE),0)</f>
        <v>0</v>
      </c>
      <c r="W380" s="185">
        <f>Ruimtestaat[[#This Row],[Uitvoeringen werkdagen]]*Ruimtestaat[[#This Row],[Oppervlak (netto)]]</f>
        <v>24000</v>
      </c>
      <c r="X380" s="220">
        <f>IF(V380&gt;0,Ruimtestaat[[#This Row],[Prest. (m2 /jaar) werkdagen]]/Ruimtestaat[[#This Row],[Norm (m2/uur) werkdagen]],0)</f>
        <v>0</v>
      </c>
      <c r="Y380" s="221">
        <f>Ruimtestaat[[#This Row],[uren / jaar werkdagen]]*Tariefsopbouw!$D$38</f>
        <v>0</v>
      </c>
      <c r="Z380" s="33"/>
      <c r="AA380" s="33">
        <f>IF(Ruimtestaat[[#This Row],[Frequentie weekend]]&gt;0,VALUE(LEFT(Z380,1))*S380,0)</f>
        <v>0</v>
      </c>
      <c r="AB380" s="33">
        <f>IF($AA380&gt;0,VLOOKUP($K380,Ruimtegroepen[],3,FALSE)*VLOOKUP($M380,Vloersoorten[],3,FALSE)*VLOOKUP($Z380,Frequenties[],3,FALSE)*VLOOKUP(#REF!,Locaties[],3,FALSE),0)</f>
        <v>0</v>
      </c>
      <c r="AC380" s="33"/>
      <c r="AD380" s="33"/>
      <c r="AE380" s="33">
        <f>Ruimtestaat[[#This Row],[uren / jaar weekend]]*Tariefsopbouw!$D$40</f>
        <v>0</v>
      </c>
      <c r="AF380" s="79">
        <f>Ruimtestaat[[#This Row],[Prest. (m2 /jaar) weekend]]+Ruimtestaat[[#This Row],[Prest. (m2 /jaar) werkdagen]]</f>
        <v>24000</v>
      </c>
      <c r="AG380" s="79">
        <f>Ruimtestaat[[#This Row],[uren / jaar weekend]]+Ruimtestaat[[#This Row],[uren / jaar werkdagen]]</f>
        <v>0</v>
      </c>
      <c r="AH380" s="80">
        <f>Ruimtestaat[[#This Row],[kosten / jaar weekend]]+Ruimtestaat[[#This Row],[kosten / jaar werkdagen]]</f>
        <v>0</v>
      </c>
    </row>
    <row r="381" spans="1:34" ht="15" customHeight="1">
      <c r="A381" s="256">
        <v>6</v>
      </c>
      <c r="B381" s="171" t="str">
        <f>VLOOKUP(Ruimtestaat[[#This Row],[Code]],Locaties[#All],2,FALSE)</f>
        <v>Het Reliëf</v>
      </c>
      <c r="C381" s="258" t="str">
        <f>VLOOKUP(Ruimtestaat[[#This Row],[Code]],Locaties[#All],4,FALSE)</f>
        <v>Floraparkstraat 390</v>
      </c>
      <c r="D381" s="258" t="str">
        <f>VLOOKUP(Ruimtestaat[[#This Row],[Code]],Locaties[#All],5,FALSE)</f>
        <v>7531HX</v>
      </c>
      <c r="E381" s="258" t="str">
        <f>VLOOKUP(Ruimtestaat[[#This Row],[Code]],Locaties[#All],6,FALSE)</f>
        <v>Enschede</v>
      </c>
      <c r="F381" s="257"/>
      <c r="G381" s="257" t="s">
        <v>563</v>
      </c>
      <c r="H381" s="171"/>
      <c r="I381" s="257" t="s">
        <v>461</v>
      </c>
      <c r="J381" s="259" t="s">
        <v>384</v>
      </c>
      <c r="K381" s="171">
        <v>12</v>
      </c>
      <c r="L381" s="260" t="str">
        <f>VLOOKUP(Ruimtestaat[[#This Row],[Ruimte code]],Ruimtegroepen[#All],2,FALSE)</f>
        <v>Kantine</v>
      </c>
      <c r="M381" s="258" t="s">
        <v>110</v>
      </c>
      <c r="N381" s="257" t="s">
        <v>265</v>
      </c>
      <c r="O381" s="261">
        <v>50.5</v>
      </c>
      <c r="P381" s="183"/>
      <c r="Q381" s="212" t="str">
        <f>VLOOKUP(Ruimtestaat[[#This Row],[Ruimte code]],Ruimtegroepen[#All],4,FALSE)</f>
        <v>V  (Verkeersruimte)</v>
      </c>
      <c r="R381" s="184"/>
      <c r="S381" s="185">
        <v>40</v>
      </c>
      <c r="T381" s="185" t="s">
        <v>2</v>
      </c>
      <c r="U381" s="185">
        <f>IF(S381&gt;0,IF(RIGHT(Ruimtestaat[[#This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1" s="185">
        <f>IF(U381&gt;0,VLOOKUP($K381,Ruimtegroepen[],3,FALSE)*VLOOKUP($M381,Vloersoorten[],3,FALSE)*VLOOKUP($T381,Frequenties[],3,FALSE)*VLOOKUP($A381,Locaties[],3,FALSE),0)</f>
        <v>0</v>
      </c>
      <c r="W381" s="185">
        <f>Ruimtestaat[[#This Row],[Uitvoeringen werkdagen]]*Ruimtestaat[[#This Row],[Oppervlak (netto)]]</f>
        <v>10100</v>
      </c>
      <c r="X381" s="220">
        <f>IF(V381&gt;0,Ruimtestaat[[#This Row],[Prest. (m2 /jaar) werkdagen]]/Ruimtestaat[[#This Row],[Norm (m2/uur) werkdagen]],0)</f>
        <v>0</v>
      </c>
      <c r="Y381" s="221">
        <f>Ruimtestaat[[#This Row],[uren / jaar werkdagen]]*Tariefsopbouw!$D$38</f>
        <v>0</v>
      </c>
      <c r="Z381" s="33"/>
      <c r="AA381" s="33">
        <f>IF(Ruimtestaat[[#This Row],[Frequentie weekend]]&gt;0,VALUE(LEFT(Z381,1))*S381,0)</f>
        <v>0</v>
      </c>
      <c r="AB381" s="33">
        <f>IF($AA381&gt;0,VLOOKUP($K381,Ruimtegroepen[],3,FALSE)*VLOOKUP($M381,Vloersoorten[],3,FALSE)*VLOOKUP($Z381,Frequenties[],3,FALSE)*VLOOKUP(#REF!,Locaties[],3,FALSE),0)</f>
        <v>0</v>
      </c>
      <c r="AC381" s="33"/>
      <c r="AD381" s="33"/>
      <c r="AE381" s="33">
        <f>Ruimtestaat[[#This Row],[uren / jaar weekend]]*Tariefsopbouw!$D$40</f>
        <v>0</v>
      </c>
      <c r="AF381" s="79">
        <f>Ruimtestaat[[#This Row],[Prest. (m2 /jaar) weekend]]+Ruimtestaat[[#This Row],[Prest. (m2 /jaar) werkdagen]]</f>
        <v>10100</v>
      </c>
      <c r="AG381" s="79">
        <f>Ruimtestaat[[#This Row],[uren / jaar weekend]]+Ruimtestaat[[#This Row],[uren / jaar werkdagen]]</f>
        <v>0</v>
      </c>
      <c r="AH381" s="80">
        <f>Ruimtestaat[[#This Row],[kosten / jaar weekend]]+Ruimtestaat[[#This Row],[kosten / jaar werkdagen]]</f>
        <v>0</v>
      </c>
    </row>
    <row r="382" spans="1:34" ht="15" customHeight="1">
      <c r="A382" s="256">
        <v>6</v>
      </c>
      <c r="B382" s="171" t="str">
        <f>VLOOKUP(Ruimtestaat[[#This Row],[Code]],Locaties[#All],2,FALSE)</f>
        <v>Het Reliëf</v>
      </c>
      <c r="C382" s="258" t="str">
        <f>VLOOKUP(Ruimtestaat[[#This Row],[Code]],Locaties[#All],4,FALSE)</f>
        <v>Floraparkstraat 390</v>
      </c>
      <c r="D382" s="258" t="str">
        <f>VLOOKUP(Ruimtestaat[[#This Row],[Code]],Locaties[#All],5,FALSE)</f>
        <v>7531HX</v>
      </c>
      <c r="E382" s="258" t="str">
        <f>VLOOKUP(Ruimtestaat[[#This Row],[Code]],Locaties[#All],6,FALSE)</f>
        <v>Enschede</v>
      </c>
      <c r="F382" s="257"/>
      <c r="G382" s="257" t="s">
        <v>563</v>
      </c>
      <c r="H382" s="171"/>
      <c r="I382" s="257" t="s">
        <v>828</v>
      </c>
      <c r="J382" s="259" t="s">
        <v>373</v>
      </c>
      <c r="K382" s="258">
        <v>6</v>
      </c>
      <c r="L382" s="260" t="str">
        <f>VLOOKUP(Ruimtestaat[[#This Row],[Ruimte code]],Ruimtegroepen[#All],2,FALSE)</f>
        <v>Gangen/hallen</v>
      </c>
      <c r="M382" s="212" t="s">
        <v>111</v>
      </c>
      <c r="N382" s="257" t="s">
        <v>605</v>
      </c>
      <c r="O382" s="261">
        <v>46.4</v>
      </c>
      <c r="P382" s="183"/>
      <c r="Q382" s="212" t="str">
        <f>VLOOKUP(Ruimtestaat[[#This Row],[Ruimte code]],Ruimtegroepen[#All],4,FALSE)</f>
        <v>V  (Verkeersruimte)</v>
      </c>
      <c r="R382" s="184"/>
      <c r="S382" s="185">
        <v>40</v>
      </c>
      <c r="T382" s="185" t="s">
        <v>2</v>
      </c>
      <c r="U382" s="185">
        <f>IF(S382&gt;0,IF(RIGHT(Ruimtestaat[[#This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2" s="185">
        <f>IF(U382&gt;0,VLOOKUP($K382,Ruimtegroepen[],3,FALSE)*VLOOKUP($M382,Vloersoorten[],3,FALSE)*VLOOKUP($T382,Frequenties[],3,FALSE)*VLOOKUP($A382,Locaties[],3,FALSE),0)</f>
        <v>0</v>
      </c>
      <c r="W382" s="185">
        <f>Ruimtestaat[[#This Row],[Uitvoeringen werkdagen]]*Ruimtestaat[[#This Row],[Oppervlak (netto)]]</f>
        <v>9280</v>
      </c>
      <c r="X382" s="220">
        <f>IF(V382&gt;0,Ruimtestaat[[#This Row],[Prest. (m2 /jaar) werkdagen]]/Ruimtestaat[[#This Row],[Norm (m2/uur) werkdagen]],0)</f>
        <v>0</v>
      </c>
      <c r="Y382" s="221">
        <f>Ruimtestaat[[#This Row],[uren / jaar werkdagen]]*Tariefsopbouw!$D$38</f>
        <v>0</v>
      </c>
      <c r="Z382" s="33"/>
      <c r="AA382" s="33">
        <f>IF(Ruimtestaat[[#This Row],[Frequentie weekend]]&gt;0,VALUE(LEFT(Z382,1))*S382,0)</f>
        <v>0</v>
      </c>
      <c r="AB382" s="33">
        <f>IF($AA382&gt;0,VLOOKUP($K382,Ruimtegroepen[],3,FALSE)*VLOOKUP($M382,Vloersoorten[],3,FALSE)*VLOOKUP($Z382,Frequenties[],3,FALSE)*VLOOKUP(#REF!,Locaties[],3,FALSE),0)</f>
        <v>0</v>
      </c>
      <c r="AC382" s="33"/>
      <c r="AD382" s="33"/>
      <c r="AE382" s="33">
        <f>Ruimtestaat[[#This Row],[uren / jaar weekend]]*Tariefsopbouw!$D$40</f>
        <v>0</v>
      </c>
      <c r="AF382" s="79">
        <f>Ruimtestaat[[#This Row],[Prest. (m2 /jaar) weekend]]+Ruimtestaat[[#This Row],[Prest. (m2 /jaar) werkdagen]]</f>
        <v>9280</v>
      </c>
      <c r="AG382" s="79">
        <f>Ruimtestaat[[#This Row],[uren / jaar weekend]]+Ruimtestaat[[#This Row],[uren / jaar werkdagen]]</f>
        <v>0</v>
      </c>
      <c r="AH382" s="80">
        <f>Ruimtestaat[[#This Row],[kosten / jaar weekend]]+Ruimtestaat[[#This Row],[kosten / jaar werkdagen]]</f>
        <v>0</v>
      </c>
    </row>
    <row r="383" spans="1:34" ht="15" customHeight="1">
      <c r="A383" s="256">
        <v>6</v>
      </c>
      <c r="B383" s="171" t="str">
        <f>VLOOKUP(Ruimtestaat[[#This Row],[Code]],Locaties[#All],2,FALSE)</f>
        <v>Het Reliëf</v>
      </c>
      <c r="C383" s="258" t="str">
        <f>VLOOKUP(Ruimtestaat[[#This Row],[Code]],Locaties[#All],4,FALSE)</f>
        <v>Floraparkstraat 390</v>
      </c>
      <c r="D383" s="258" t="str">
        <f>VLOOKUP(Ruimtestaat[[#This Row],[Code]],Locaties[#All],5,FALSE)</f>
        <v>7531HX</v>
      </c>
      <c r="E383" s="258" t="str">
        <f>VLOOKUP(Ruimtestaat[[#This Row],[Code]],Locaties[#All],6,FALSE)</f>
        <v>Enschede</v>
      </c>
      <c r="F383" s="257"/>
      <c r="G383" s="257" t="s">
        <v>563</v>
      </c>
      <c r="H383" s="171"/>
      <c r="I383" s="257" t="s">
        <v>488</v>
      </c>
      <c r="J383" s="259" t="s">
        <v>585</v>
      </c>
      <c r="K383" s="258">
        <v>20</v>
      </c>
      <c r="L383" s="260" t="str">
        <f>VLOOKUP(Ruimtestaat[[#This Row],[Ruimte code]],Ruimtegroepen[#All],2,FALSE)</f>
        <v>Niet in onderhoud</v>
      </c>
      <c r="M383" s="258" t="s">
        <v>597</v>
      </c>
      <c r="N383" s="257" t="s">
        <v>38</v>
      </c>
      <c r="O383" s="261"/>
      <c r="P383" s="183">
        <v>13</v>
      </c>
      <c r="Q383" s="212" t="str">
        <f>VLOOKUP(Ruimtestaat[[#This Row],[Ruimte code]],Ruimtegroepen[#All],4,FALSE)</f>
        <v>niet in onderhoud</v>
      </c>
      <c r="R383" s="184"/>
      <c r="S383" s="185"/>
      <c r="T383" s="185"/>
      <c r="U383" s="185">
        <f>IF(S383&gt;0,IF(RIGHT(Ruimtestaat[[#This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83" s="185">
        <f>IF(U383&gt;0,VLOOKUP($K383,Ruimtegroepen[],3,FALSE)*VLOOKUP($M383,Vloersoorten[],3,FALSE)*VLOOKUP($T383,Frequenties[],3,FALSE)*VLOOKUP($A383,Locaties[],3,FALSE),0)</f>
        <v>0</v>
      </c>
      <c r="W383" s="185">
        <f>Ruimtestaat[[#This Row],[Uitvoeringen werkdagen]]*Ruimtestaat[[#This Row],[Oppervlak (netto)]]</f>
        <v>0</v>
      </c>
      <c r="X383" s="220">
        <f>IF(V383&gt;0,Ruimtestaat[[#This Row],[Prest. (m2 /jaar) werkdagen]]/Ruimtestaat[[#This Row],[Norm (m2/uur) werkdagen]],0)</f>
        <v>0</v>
      </c>
      <c r="Y383" s="221">
        <f>Ruimtestaat[[#This Row],[uren / jaar werkdagen]]*Tariefsopbouw!$D$38</f>
        <v>0</v>
      </c>
      <c r="Z383" s="33"/>
      <c r="AA383" s="33">
        <f>IF(Ruimtestaat[[#This Row],[Frequentie weekend]]&gt;0,VALUE(LEFT(Z383,1))*S383,0)</f>
        <v>0</v>
      </c>
      <c r="AB383" s="33">
        <f>IF($AA383&gt;0,VLOOKUP($K383,Ruimtegroepen[],3,FALSE)*VLOOKUP($M383,Vloersoorten[],3,FALSE)*VLOOKUP($Z383,Frequenties[],3,FALSE)*VLOOKUP(#REF!,Locaties[],3,FALSE),0)</f>
        <v>0</v>
      </c>
      <c r="AC383" s="33"/>
      <c r="AD383" s="33"/>
      <c r="AE383" s="33">
        <f>Ruimtestaat[[#This Row],[uren / jaar weekend]]*Tariefsopbouw!$D$40</f>
        <v>0</v>
      </c>
      <c r="AF383" s="79">
        <f>Ruimtestaat[[#This Row],[Prest. (m2 /jaar) weekend]]+Ruimtestaat[[#This Row],[Prest. (m2 /jaar) werkdagen]]</f>
        <v>0</v>
      </c>
      <c r="AG383" s="79">
        <f>Ruimtestaat[[#This Row],[uren / jaar weekend]]+Ruimtestaat[[#This Row],[uren / jaar werkdagen]]</f>
        <v>0</v>
      </c>
      <c r="AH383" s="80">
        <f>Ruimtestaat[[#This Row],[kosten / jaar weekend]]+Ruimtestaat[[#This Row],[kosten / jaar werkdagen]]</f>
        <v>0</v>
      </c>
    </row>
    <row r="384" spans="1:34" ht="15" customHeight="1">
      <c r="A384" s="256">
        <v>6</v>
      </c>
      <c r="B384" s="171" t="str">
        <f>VLOOKUP(Ruimtestaat[[#This Row],[Code]],Locaties[#All],2,FALSE)</f>
        <v>Het Reliëf</v>
      </c>
      <c r="C384" s="258" t="str">
        <f>VLOOKUP(Ruimtestaat[[#This Row],[Code]],Locaties[#All],4,FALSE)</f>
        <v>Floraparkstraat 390</v>
      </c>
      <c r="D384" s="258" t="str">
        <f>VLOOKUP(Ruimtestaat[[#This Row],[Code]],Locaties[#All],5,FALSE)</f>
        <v>7531HX</v>
      </c>
      <c r="E384" s="258" t="str">
        <f>VLOOKUP(Ruimtestaat[[#This Row],[Code]],Locaties[#All],6,FALSE)</f>
        <v>Enschede</v>
      </c>
      <c r="F384" s="257"/>
      <c r="G384" s="257" t="s">
        <v>563</v>
      </c>
      <c r="H384" s="171"/>
      <c r="I384" s="257" t="s">
        <v>490</v>
      </c>
      <c r="J384" s="259" t="s">
        <v>571</v>
      </c>
      <c r="K384" s="185">
        <v>2</v>
      </c>
      <c r="L384" s="260" t="str">
        <f>VLOOKUP(Ruimtestaat[[#This Row],[Ruimte code]],Ruimtegroepen[#All],2,FALSE)</f>
        <v>Kantoren</v>
      </c>
      <c r="M384" s="258" t="s">
        <v>597</v>
      </c>
      <c r="N384" s="257" t="s">
        <v>38</v>
      </c>
      <c r="O384" s="261">
        <v>25</v>
      </c>
      <c r="P384" s="183"/>
      <c r="Q384" s="212" t="str">
        <f>VLOOKUP(Ruimtestaat[[#This Row],[Ruimte code]],Ruimtegroepen[#All],4,FALSE)</f>
        <v>B  (Bureauruimte)</v>
      </c>
      <c r="R384" s="184"/>
      <c r="S384" s="185">
        <v>40</v>
      </c>
      <c r="T384" s="185" t="s">
        <v>15</v>
      </c>
      <c r="U384" s="185">
        <f>IF(S384&gt;0,IF(RIGHT(Ruimtestaat[[#This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84" s="185">
        <f>IF(U384&gt;0,VLOOKUP($K384,Ruimtegroepen[],3,FALSE)*VLOOKUP($M384,Vloersoorten[],3,FALSE)*VLOOKUP($T384,Frequenties[],3,FALSE)*VLOOKUP($A384,Locaties[],3,FALSE),0)</f>
        <v>0</v>
      </c>
      <c r="W384" s="185">
        <f>Ruimtestaat[[#This Row],[Uitvoeringen werkdagen]]*Ruimtestaat[[#This Row],[Oppervlak (netto)]]</f>
        <v>1000</v>
      </c>
      <c r="X384" s="220">
        <f>IF(V384&gt;0,Ruimtestaat[[#This Row],[Prest. (m2 /jaar) werkdagen]]/Ruimtestaat[[#This Row],[Norm (m2/uur) werkdagen]],0)</f>
        <v>0</v>
      </c>
      <c r="Y384" s="221">
        <f>Ruimtestaat[[#This Row],[uren / jaar werkdagen]]*Tariefsopbouw!$D$38</f>
        <v>0</v>
      </c>
      <c r="Z384" s="33"/>
      <c r="AA384" s="33">
        <f>IF(Ruimtestaat[[#This Row],[Frequentie weekend]]&gt;0,VALUE(LEFT(Z384,1))*S384,0)</f>
        <v>0</v>
      </c>
      <c r="AB384" s="33">
        <f>IF($AA384&gt;0,VLOOKUP($K384,Ruimtegroepen[],3,FALSE)*VLOOKUP($M384,Vloersoorten[],3,FALSE)*VLOOKUP($Z384,Frequenties[],3,FALSE)*VLOOKUP(#REF!,Locaties[],3,FALSE),0)</f>
        <v>0</v>
      </c>
      <c r="AC384" s="33"/>
      <c r="AD384" s="33"/>
      <c r="AE384" s="33">
        <f>Ruimtestaat[[#This Row],[uren / jaar weekend]]*Tariefsopbouw!$D$40</f>
        <v>0</v>
      </c>
      <c r="AF384" s="79">
        <f>Ruimtestaat[[#This Row],[Prest. (m2 /jaar) weekend]]+Ruimtestaat[[#This Row],[Prest. (m2 /jaar) werkdagen]]</f>
        <v>1000</v>
      </c>
      <c r="AG384" s="79">
        <f>Ruimtestaat[[#This Row],[uren / jaar weekend]]+Ruimtestaat[[#This Row],[uren / jaar werkdagen]]</f>
        <v>0</v>
      </c>
      <c r="AH384" s="80">
        <f>Ruimtestaat[[#This Row],[kosten / jaar weekend]]+Ruimtestaat[[#This Row],[kosten / jaar werkdagen]]</f>
        <v>0</v>
      </c>
    </row>
    <row r="385" spans="1:34" ht="15" customHeight="1">
      <c r="A385" s="256">
        <v>6</v>
      </c>
      <c r="B385" s="171" t="str">
        <f>VLOOKUP(Ruimtestaat[[#This Row],[Code]],Locaties[#All],2,FALSE)</f>
        <v>Het Reliëf</v>
      </c>
      <c r="C385" s="258" t="str">
        <f>VLOOKUP(Ruimtestaat[[#This Row],[Code]],Locaties[#All],4,FALSE)</f>
        <v>Floraparkstraat 390</v>
      </c>
      <c r="D385" s="258" t="str">
        <f>VLOOKUP(Ruimtestaat[[#This Row],[Code]],Locaties[#All],5,FALSE)</f>
        <v>7531HX</v>
      </c>
      <c r="E385" s="258" t="str">
        <f>VLOOKUP(Ruimtestaat[[#This Row],[Code]],Locaties[#All],6,FALSE)</f>
        <v>Enschede</v>
      </c>
      <c r="F385" s="257"/>
      <c r="G385" s="257" t="s">
        <v>563</v>
      </c>
      <c r="H385" s="171"/>
      <c r="I385" s="257" t="s">
        <v>493</v>
      </c>
      <c r="J385" s="259" t="s">
        <v>385</v>
      </c>
      <c r="K385" s="258">
        <v>16</v>
      </c>
      <c r="L385" s="260" t="str">
        <f>VLOOKUP(Ruimtestaat[[#This Row],[Ruimte code]],Ruimtegroepen[#All],2,FALSE)</f>
        <v>Leslokalen</v>
      </c>
      <c r="M385" s="258" t="s">
        <v>110</v>
      </c>
      <c r="N385" s="257" t="s">
        <v>265</v>
      </c>
      <c r="O385" s="261">
        <v>66</v>
      </c>
      <c r="P385" s="183"/>
      <c r="Q385" s="212" t="str">
        <f>VLOOKUP(Ruimtestaat[[#This Row],[Ruimte code]],Ruimtegroepen[#All],4,FALSE)</f>
        <v>L  (Lesruimte)</v>
      </c>
      <c r="R385" s="184"/>
      <c r="S385" s="185">
        <v>40</v>
      </c>
      <c r="T385" s="185" t="s">
        <v>2</v>
      </c>
      <c r="U385" s="185">
        <f>IF(S385&gt;0,IF(RIGHT(Ruimtestaat[[#This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5" s="185">
        <f>IF(U385&gt;0,VLOOKUP($K385,Ruimtegroepen[],3,FALSE)*VLOOKUP($M385,Vloersoorten[],3,FALSE)*VLOOKUP($T385,Frequenties[],3,FALSE)*VLOOKUP($A385,Locaties[],3,FALSE),0)</f>
        <v>0</v>
      </c>
      <c r="W385" s="185">
        <f>Ruimtestaat[[#This Row],[Uitvoeringen werkdagen]]*Ruimtestaat[[#This Row],[Oppervlak (netto)]]</f>
        <v>13200</v>
      </c>
      <c r="X385" s="220">
        <f>IF(V385&gt;0,Ruimtestaat[[#This Row],[Prest. (m2 /jaar) werkdagen]]/Ruimtestaat[[#This Row],[Norm (m2/uur) werkdagen]],0)</f>
        <v>0</v>
      </c>
      <c r="Y385" s="221">
        <f>Ruimtestaat[[#This Row],[uren / jaar werkdagen]]*Tariefsopbouw!$D$38</f>
        <v>0</v>
      </c>
      <c r="Z385" s="33"/>
      <c r="AA385" s="33">
        <f>IF(Ruimtestaat[[#This Row],[Frequentie weekend]]&gt;0,VALUE(LEFT(Z385,1))*S385,0)</f>
        <v>0</v>
      </c>
      <c r="AB385" s="33">
        <f>IF($AA385&gt;0,VLOOKUP($K385,Ruimtegroepen[],3,FALSE)*VLOOKUP($M385,Vloersoorten[],3,FALSE)*VLOOKUP($Z385,Frequenties[],3,FALSE)*VLOOKUP(#REF!,Locaties[],3,FALSE),0)</f>
        <v>0</v>
      </c>
      <c r="AC385" s="33"/>
      <c r="AD385" s="33"/>
      <c r="AE385" s="33">
        <f>Ruimtestaat[[#This Row],[uren / jaar weekend]]*Tariefsopbouw!$D$40</f>
        <v>0</v>
      </c>
      <c r="AF385" s="79">
        <f>Ruimtestaat[[#This Row],[Prest. (m2 /jaar) weekend]]+Ruimtestaat[[#This Row],[Prest. (m2 /jaar) werkdagen]]</f>
        <v>13200</v>
      </c>
      <c r="AG385" s="79">
        <f>Ruimtestaat[[#This Row],[uren / jaar weekend]]+Ruimtestaat[[#This Row],[uren / jaar werkdagen]]</f>
        <v>0</v>
      </c>
      <c r="AH385" s="80">
        <f>Ruimtestaat[[#This Row],[kosten / jaar weekend]]+Ruimtestaat[[#This Row],[kosten / jaar werkdagen]]</f>
        <v>0</v>
      </c>
    </row>
    <row r="386" spans="1:34" ht="15" customHeight="1">
      <c r="A386" s="256">
        <v>6</v>
      </c>
      <c r="B386" s="171" t="str">
        <f>VLOOKUP(Ruimtestaat[[#This Row],[Code]],Locaties[#All],2,FALSE)</f>
        <v>Het Reliëf</v>
      </c>
      <c r="C386" s="258" t="str">
        <f>VLOOKUP(Ruimtestaat[[#This Row],[Code]],Locaties[#All],4,FALSE)</f>
        <v>Floraparkstraat 390</v>
      </c>
      <c r="D386" s="258" t="str">
        <f>VLOOKUP(Ruimtestaat[[#This Row],[Code]],Locaties[#All],5,FALSE)</f>
        <v>7531HX</v>
      </c>
      <c r="E386" s="258" t="str">
        <f>VLOOKUP(Ruimtestaat[[#This Row],[Code]],Locaties[#All],6,FALSE)</f>
        <v>Enschede</v>
      </c>
      <c r="F386" s="257"/>
      <c r="G386" s="257" t="s">
        <v>563</v>
      </c>
      <c r="H386" s="171"/>
      <c r="I386" s="257" t="s">
        <v>489</v>
      </c>
      <c r="J386" s="259" t="s">
        <v>22</v>
      </c>
      <c r="K386" s="258">
        <v>5</v>
      </c>
      <c r="L386" s="260" t="str">
        <f>VLOOKUP(Ruimtestaat[[#This Row],[Ruimte code]],Ruimtegroepen[#All],2,FALSE)</f>
        <v>Sanitair</v>
      </c>
      <c r="M386" s="212" t="s">
        <v>111</v>
      </c>
      <c r="N386" s="257" t="s">
        <v>605</v>
      </c>
      <c r="O386" s="261">
        <v>6.6</v>
      </c>
      <c r="P386" s="183"/>
      <c r="Q386" s="212" t="str">
        <f>VLOOKUP(Ruimtestaat[[#This Row],[Ruimte code]],Ruimtegroepen[#All],4,FALSE)</f>
        <v>S  (Sanitair)</v>
      </c>
      <c r="R386" s="184"/>
      <c r="S386" s="185">
        <v>40</v>
      </c>
      <c r="T386" s="185" t="s">
        <v>2</v>
      </c>
      <c r="U386" s="185">
        <f>IF(S386&gt;0,IF(RIGHT(Ruimtestaat[[#This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6" s="185">
        <f>IF(U386&gt;0,VLOOKUP($K386,Ruimtegroepen[],3,FALSE)*VLOOKUP($M386,Vloersoorten[],3,FALSE)*VLOOKUP($T386,Frequenties[],3,FALSE)*VLOOKUP($A386,Locaties[],3,FALSE),0)</f>
        <v>0</v>
      </c>
      <c r="W386" s="185">
        <f>Ruimtestaat[[#This Row],[Uitvoeringen werkdagen]]*Ruimtestaat[[#This Row],[Oppervlak (netto)]]</f>
        <v>1320</v>
      </c>
      <c r="X386" s="220">
        <f>IF(V386&gt;0,Ruimtestaat[[#This Row],[Prest. (m2 /jaar) werkdagen]]/Ruimtestaat[[#This Row],[Norm (m2/uur) werkdagen]],0)</f>
        <v>0</v>
      </c>
      <c r="Y386" s="221">
        <f>Ruimtestaat[[#This Row],[uren / jaar werkdagen]]*Tariefsopbouw!$D$38</f>
        <v>0</v>
      </c>
      <c r="Z386" s="33"/>
      <c r="AA386" s="33">
        <f>IF(Ruimtestaat[[#This Row],[Frequentie weekend]]&gt;0,VALUE(LEFT(Z386,1))*S386,0)</f>
        <v>0</v>
      </c>
      <c r="AB386" s="33">
        <f>IF($AA386&gt;0,VLOOKUP($K386,Ruimtegroepen[],3,FALSE)*VLOOKUP($M386,Vloersoorten[],3,FALSE)*VLOOKUP($Z386,Frequenties[],3,FALSE)*VLOOKUP(#REF!,Locaties[],3,FALSE),0)</f>
        <v>0</v>
      </c>
      <c r="AC386" s="33"/>
      <c r="AD386" s="33"/>
      <c r="AE386" s="33">
        <f>Ruimtestaat[[#This Row],[uren / jaar weekend]]*Tariefsopbouw!$D$40</f>
        <v>0</v>
      </c>
      <c r="AF386" s="79">
        <f>Ruimtestaat[[#This Row],[Prest. (m2 /jaar) weekend]]+Ruimtestaat[[#This Row],[Prest. (m2 /jaar) werkdagen]]</f>
        <v>1320</v>
      </c>
      <c r="AG386" s="79">
        <f>Ruimtestaat[[#This Row],[uren / jaar weekend]]+Ruimtestaat[[#This Row],[uren / jaar werkdagen]]</f>
        <v>0</v>
      </c>
      <c r="AH386" s="80">
        <f>Ruimtestaat[[#This Row],[kosten / jaar weekend]]+Ruimtestaat[[#This Row],[kosten / jaar werkdagen]]</f>
        <v>0</v>
      </c>
    </row>
    <row r="387" spans="1:34" ht="15" customHeight="1">
      <c r="A387" s="256">
        <v>6</v>
      </c>
      <c r="B387" s="171" t="str">
        <f>VLOOKUP(Ruimtestaat[[#This Row],[Code]],Locaties[#All],2,FALSE)</f>
        <v>Het Reliëf</v>
      </c>
      <c r="C387" s="258" t="str">
        <f>VLOOKUP(Ruimtestaat[[#This Row],[Code]],Locaties[#All],4,FALSE)</f>
        <v>Floraparkstraat 390</v>
      </c>
      <c r="D387" s="258" t="str">
        <f>VLOOKUP(Ruimtestaat[[#This Row],[Code]],Locaties[#All],5,FALSE)</f>
        <v>7531HX</v>
      </c>
      <c r="E387" s="258" t="str">
        <f>VLOOKUP(Ruimtestaat[[#This Row],[Code]],Locaties[#All],6,FALSE)</f>
        <v>Enschede</v>
      </c>
      <c r="F387" s="257"/>
      <c r="G387" s="257" t="s">
        <v>563</v>
      </c>
      <c r="H387" s="171"/>
      <c r="I387" s="257" t="s">
        <v>492</v>
      </c>
      <c r="J387" s="259" t="s">
        <v>829</v>
      </c>
      <c r="K387" s="224">
        <v>20</v>
      </c>
      <c r="L387" s="260" t="str">
        <f>VLOOKUP(Ruimtestaat[[#This Row],[Ruimte code]],Ruimtegroepen[#All],2,FALSE)</f>
        <v>Niet in onderhoud</v>
      </c>
      <c r="M387" s="258"/>
      <c r="N387" s="257"/>
      <c r="O387" s="261"/>
      <c r="P387" s="183"/>
      <c r="Q387" s="212" t="str">
        <f>VLOOKUP(Ruimtestaat[[#This Row],[Ruimte code]],Ruimtegroepen[#All],4,FALSE)</f>
        <v>niet in onderhoud</v>
      </c>
      <c r="R387" s="184"/>
      <c r="S387" s="185"/>
      <c r="T387" s="185"/>
      <c r="U387" s="185">
        <f>IF(S387&gt;0,IF(RIGHT(Ruimtestaat[[#This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87" s="185">
        <f>IF(U387&gt;0,VLOOKUP($K387,Ruimtegroepen[],3,FALSE)*VLOOKUP($M387,Vloersoorten[],3,FALSE)*VLOOKUP($T387,Frequenties[],3,FALSE)*VLOOKUP($A387,Locaties[],3,FALSE),0)</f>
        <v>0</v>
      </c>
      <c r="W387" s="185">
        <f>Ruimtestaat[[#This Row],[Uitvoeringen werkdagen]]*Ruimtestaat[[#This Row],[Oppervlak (netto)]]</f>
        <v>0</v>
      </c>
      <c r="X387" s="220">
        <f>IF(V387&gt;0,Ruimtestaat[[#This Row],[Prest. (m2 /jaar) werkdagen]]/Ruimtestaat[[#This Row],[Norm (m2/uur) werkdagen]],0)</f>
        <v>0</v>
      </c>
      <c r="Y387" s="221">
        <f>Ruimtestaat[[#This Row],[uren / jaar werkdagen]]*Tariefsopbouw!$D$38</f>
        <v>0</v>
      </c>
      <c r="Z387" s="33"/>
      <c r="AA387" s="33">
        <f>IF(Ruimtestaat[[#This Row],[Frequentie weekend]]&gt;0,VALUE(LEFT(Z387,1))*S387,0)</f>
        <v>0</v>
      </c>
      <c r="AB387" s="33">
        <f>IF($AA387&gt;0,VLOOKUP($K387,Ruimtegroepen[],3,FALSE)*VLOOKUP($M387,Vloersoorten[],3,FALSE)*VLOOKUP($Z387,Frequenties[],3,FALSE)*VLOOKUP(#REF!,Locaties[],3,FALSE),0)</f>
        <v>0</v>
      </c>
      <c r="AC387" s="33"/>
      <c r="AD387" s="33"/>
      <c r="AE387" s="33">
        <f>Ruimtestaat[[#This Row],[uren / jaar weekend]]*Tariefsopbouw!$D$40</f>
        <v>0</v>
      </c>
      <c r="AF387" s="79">
        <f>Ruimtestaat[[#This Row],[Prest. (m2 /jaar) weekend]]+Ruimtestaat[[#This Row],[Prest. (m2 /jaar) werkdagen]]</f>
        <v>0</v>
      </c>
      <c r="AG387" s="79">
        <f>Ruimtestaat[[#This Row],[uren / jaar weekend]]+Ruimtestaat[[#This Row],[uren / jaar werkdagen]]</f>
        <v>0</v>
      </c>
      <c r="AH387" s="80">
        <f>Ruimtestaat[[#This Row],[kosten / jaar weekend]]+Ruimtestaat[[#This Row],[kosten / jaar werkdagen]]</f>
        <v>0</v>
      </c>
    </row>
    <row r="388" spans="1:34" ht="15" customHeight="1">
      <c r="A388" s="256">
        <v>6</v>
      </c>
      <c r="B388" s="171" t="str">
        <f>VLOOKUP(Ruimtestaat[[#This Row],[Code]],Locaties[#All],2,FALSE)</f>
        <v>Het Reliëf</v>
      </c>
      <c r="C388" s="258" t="str">
        <f>VLOOKUP(Ruimtestaat[[#This Row],[Code]],Locaties[#All],4,FALSE)</f>
        <v>Floraparkstraat 390</v>
      </c>
      <c r="D388" s="258" t="str">
        <f>VLOOKUP(Ruimtestaat[[#This Row],[Code]],Locaties[#All],5,FALSE)</f>
        <v>7531HX</v>
      </c>
      <c r="E388" s="258" t="str">
        <f>VLOOKUP(Ruimtestaat[[#This Row],[Code]],Locaties[#All],6,FALSE)</f>
        <v>Enschede</v>
      </c>
      <c r="F388" s="257"/>
      <c r="G388" s="257" t="s">
        <v>563</v>
      </c>
      <c r="H388" s="171"/>
      <c r="I388" s="257" t="s">
        <v>491</v>
      </c>
      <c r="J388" s="259" t="s">
        <v>654</v>
      </c>
      <c r="K388" s="171">
        <v>20</v>
      </c>
      <c r="L388" s="260" t="str">
        <f>VLOOKUP(Ruimtestaat[[#This Row],[Ruimte code]],Ruimtegroepen[#All],2,FALSE)</f>
        <v>Niet in onderhoud</v>
      </c>
      <c r="M388" s="258"/>
      <c r="N388" s="257"/>
      <c r="O388" s="261"/>
      <c r="P388" s="183"/>
      <c r="Q388" s="212" t="str">
        <f>VLOOKUP(Ruimtestaat[[#This Row],[Ruimte code]],Ruimtegroepen[#All],4,FALSE)</f>
        <v>niet in onderhoud</v>
      </c>
      <c r="R388" s="184"/>
      <c r="S388" s="185"/>
      <c r="T388" s="185"/>
      <c r="U388" s="185">
        <f>IF(S388&gt;0,IF(RIGHT(Ruimtestaat[[#This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88" s="185">
        <f>IF(U388&gt;0,VLOOKUP($K388,Ruimtegroepen[],3,FALSE)*VLOOKUP($M388,Vloersoorten[],3,FALSE)*VLOOKUP($T388,Frequenties[],3,FALSE)*VLOOKUP($A388,Locaties[],3,FALSE),0)</f>
        <v>0</v>
      </c>
      <c r="W388" s="185">
        <f>Ruimtestaat[[#This Row],[Uitvoeringen werkdagen]]*Ruimtestaat[[#This Row],[Oppervlak (netto)]]</f>
        <v>0</v>
      </c>
      <c r="X388" s="220">
        <f>IF(V388&gt;0,Ruimtestaat[[#This Row],[Prest. (m2 /jaar) werkdagen]]/Ruimtestaat[[#This Row],[Norm (m2/uur) werkdagen]],0)</f>
        <v>0</v>
      </c>
      <c r="Y388" s="221">
        <f>Ruimtestaat[[#This Row],[uren / jaar werkdagen]]*Tariefsopbouw!$D$38</f>
        <v>0</v>
      </c>
      <c r="Z388" s="33"/>
      <c r="AA388" s="33">
        <f>IF(Ruimtestaat[[#This Row],[Frequentie weekend]]&gt;0,VALUE(LEFT(Z388,1))*S388,0)</f>
        <v>0</v>
      </c>
      <c r="AB388" s="33">
        <f>IF($AA388&gt;0,VLOOKUP($K388,Ruimtegroepen[],3,FALSE)*VLOOKUP($M388,Vloersoorten[],3,FALSE)*VLOOKUP($Z388,Frequenties[],3,FALSE)*VLOOKUP(#REF!,Locaties[],3,FALSE),0)</f>
        <v>0</v>
      </c>
      <c r="AC388" s="33"/>
      <c r="AD388" s="33"/>
      <c r="AE388" s="33">
        <f>Ruimtestaat[[#This Row],[uren / jaar weekend]]*Tariefsopbouw!$D$40</f>
        <v>0</v>
      </c>
      <c r="AF388" s="79">
        <f>Ruimtestaat[[#This Row],[Prest. (m2 /jaar) weekend]]+Ruimtestaat[[#This Row],[Prest. (m2 /jaar) werkdagen]]</f>
        <v>0</v>
      </c>
      <c r="AG388" s="79">
        <f>Ruimtestaat[[#This Row],[uren / jaar weekend]]+Ruimtestaat[[#This Row],[uren / jaar werkdagen]]</f>
        <v>0</v>
      </c>
      <c r="AH388" s="80">
        <f>Ruimtestaat[[#This Row],[kosten / jaar weekend]]+Ruimtestaat[[#This Row],[kosten / jaar werkdagen]]</f>
        <v>0</v>
      </c>
    </row>
    <row r="389" spans="1:34" ht="15" customHeight="1">
      <c r="A389" s="256">
        <v>6</v>
      </c>
      <c r="B389" s="171" t="str">
        <f>VLOOKUP(Ruimtestaat[[#This Row],[Code]],Locaties[#All],2,FALSE)</f>
        <v>Het Reliëf</v>
      </c>
      <c r="C389" s="258" t="str">
        <f>VLOOKUP(Ruimtestaat[[#This Row],[Code]],Locaties[#All],4,FALSE)</f>
        <v>Floraparkstraat 390</v>
      </c>
      <c r="D389" s="258" t="str">
        <f>VLOOKUP(Ruimtestaat[[#This Row],[Code]],Locaties[#All],5,FALSE)</f>
        <v>7531HX</v>
      </c>
      <c r="E389" s="258" t="str">
        <f>VLOOKUP(Ruimtestaat[[#This Row],[Code]],Locaties[#All],6,FALSE)</f>
        <v>Enschede</v>
      </c>
      <c r="F389" s="257"/>
      <c r="G389" s="257" t="s">
        <v>563</v>
      </c>
      <c r="H389" s="171"/>
      <c r="I389" s="257" t="s">
        <v>830</v>
      </c>
      <c r="J389" s="259" t="s">
        <v>40</v>
      </c>
      <c r="K389" s="258">
        <v>7</v>
      </c>
      <c r="L389" s="260" t="str">
        <f>VLOOKUP(Ruimtestaat[[#This Row],[Ruimte code]],Ruimtegroepen[#All],2,FALSE)</f>
        <v>Entree</v>
      </c>
      <c r="M389" s="212" t="s">
        <v>111</v>
      </c>
      <c r="N389" s="257" t="s">
        <v>605</v>
      </c>
      <c r="O389" s="261">
        <v>15.5</v>
      </c>
      <c r="P389" s="183"/>
      <c r="Q389" s="212" t="str">
        <f>VLOOKUP(Ruimtestaat[[#This Row],[Ruimte code]],Ruimtegroepen[#All],4,FALSE)</f>
        <v>V  (Verkeersruimte)</v>
      </c>
      <c r="R389" s="184"/>
      <c r="S389" s="185">
        <v>40</v>
      </c>
      <c r="T389" s="185" t="s">
        <v>2</v>
      </c>
      <c r="U389" s="185">
        <f>IF(S389&gt;0,IF(RIGHT(Ruimtestaat[[#This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9" s="185">
        <f>IF(U389&gt;0,VLOOKUP($K389,Ruimtegroepen[],3,FALSE)*VLOOKUP($M389,Vloersoorten[],3,FALSE)*VLOOKUP($T389,Frequenties[],3,FALSE)*VLOOKUP($A389,Locaties[],3,FALSE),0)</f>
        <v>0</v>
      </c>
      <c r="W389" s="185">
        <f>Ruimtestaat[[#This Row],[Uitvoeringen werkdagen]]*Ruimtestaat[[#This Row],[Oppervlak (netto)]]</f>
        <v>3100</v>
      </c>
      <c r="X389" s="220">
        <f>IF(V389&gt;0,Ruimtestaat[[#This Row],[Prest. (m2 /jaar) werkdagen]]/Ruimtestaat[[#This Row],[Norm (m2/uur) werkdagen]],0)</f>
        <v>0</v>
      </c>
      <c r="Y389" s="221">
        <f>Ruimtestaat[[#This Row],[uren / jaar werkdagen]]*Tariefsopbouw!$D$38</f>
        <v>0</v>
      </c>
      <c r="Z389" s="33"/>
      <c r="AA389" s="33">
        <f>IF(Ruimtestaat[[#This Row],[Frequentie weekend]]&gt;0,VALUE(LEFT(Z389,1))*S389,0)</f>
        <v>0</v>
      </c>
      <c r="AB389" s="33">
        <f>IF($AA389&gt;0,VLOOKUP($K389,Ruimtegroepen[],3,FALSE)*VLOOKUP($M389,Vloersoorten[],3,FALSE)*VLOOKUP($Z389,Frequenties[],3,FALSE)*VLOOKUP(#REF!,Locaties[],3,FALSE),0)</f>
        <v>0</v>
      </c>
      <c r="AC389" s="33"/>
      <c r="AD389" s="33"/>
      <c r="AE389" s="33">
        <f>Ruimtestaat[[#This Row],[uren / jaar weekend]]*Tariefsopbouw!$D$40</f>
        <v>0</v>
      </c>
      <c r="AF389" s="79">
        <f>Ruimtestaat[[#This Row],[Prest. (m2 /jaar) weekend]]+Ruimtestaat[[#This Row],[Prest. (m2 /jaar) werkdagen]]</f>
        <v>3100</v>
      </c>
      <c r="AG389" s="79">
        <f>Ruimtestaat[[#This Row],[uren / jaar weekend]]+Ruimtestaat[[#This Row],[uren / jaar werkdagen]]</f>
        <v>0</v>
      </c>
      <c r="AH389" s="80">
        <f>Ruimtestaat[[#This Row],[kosten / jaar weekend]]+Ruimtestaat[[#This Row],[kosten / jaar werkdagen]]</f>
        <v>0</v>
      </c>
    </row>
    <row r="390" spans="1:34" ht="15" customHeight="1">
      <c r="A390" s="256">
        <v>6</v>
      </c>
      <c r="B390" s="171" t="str">
        <f>VLOOKUP(Ruimtestaat[[#This Row],[Code]],Locaties[#All],2,FALSE)</f>
        <v>Het Reliëf</v>
      </c>
      <c r="C390" s="258" t="str">
        <f>VLOOKUP(Ruimtestaat[[#This Row],[Code]],Locaties[#All],4,FALSE)</f>
        <v>Floraparkstraat 390</v>
      </c>
      <c r="D390" s="258" t="str">
        <f>VLOOKUP(Ruimtestaat[[#This Row],[Code]],Locaties[#All],5,FALSE)</f>
        <v>7531HX</v>
      </c>
      <c r="E390" s="258" t="str">
        <f>VLOOKUP(Ruimtestaat[[#This Row],[Code]],Locaties[#All],6,FALSE)</f>
        <v>Enschede</v>
      </c>
      <c r="F390" s="257"/>
      <c r="G390" s="257" t="s">
        <v>563</v>
      </c>
      <c r="H390" s="171"/>
      <c r="I390" s="257" t="s">
        <v>831</v>
      </c>
      <c r="J390" s="259" t="s">
        <v>373</v>
      </c>
      <c r="K390" s="258">
        <v>6</v>
      </c>
      <c r="L390" s="260" t="str">
        <f>VLOOKUP(Ruimtestaat[[#This Row],[Ruimte code]],Ruimtegroepen[#All],2,FALSE)</f>
        <v>Gangen/hallen</v>
      </c>
      <c r="M390" s="212" t="s">
        <v>111</v>
      </c>
      <c r="N390" s="257" t="s">
        <v>605</v>
      </c>
      <c r="O390" s="261">
        <v>17.399999999999999</v>
      </c>
      <c r="P390" s="183"/>
      <c r="Q390" s="212" t="str">
        <f>VLOOKUP(Ruimtestaat[[#This Row],[Ruimte code]],Ruimtegroepen[#All],4,FALSE)</f>
        <v>V  (Verkeersruimte)</v>
      </c>
      <c r="R390" s="184"/>
      <c r="S390" s="185">
        <v>40</v>
      </c>
      <c r="T390" s="185" t="s">
        <v>2</v>
      </c>
      <c r="U390" s="185">
        <f>IF(S390&gt;0,IF(RIGHT(Ruimtestaat[[#This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0" s="185">
        <f>IF(U390&gt;0,VLOOKUP($K390,Ruimtegroepen[],3,FALSE)*VLOOKUP($M390,Vloersoorten[],3,FALSE)*VLOOKUP($T390,Frequenties[],3,FALSE)*VLOOKUP($A390,Locaties[],3,FALSE),0)</f>
        <v>0</v>
      </c>
      <c r="W390" s="185">
        <f>Ruimtestaat[[#This Row],[Uitvoeringen werkdagen]]*Ruimtestaat[[#This Row],[Oppervlak (netto)]]</f>
        <v>3479.9999999999995</v>
      </c>
      <c r="X390" s="220">
        <f>IF(V390&gt;0,Ruimtestaat[[#This Row],[Prest. (m2 /jaar) werkdagen]]/Ruimtestaat[[#This Row],[Norm (m2/uur) werkdagen]],0)</f>
        <v>0</v>
      </c>
      <c r="Y390" s="221">
        <f>Ruimtestaat[[#This Row],[uren / jaar werkdagen]]*Tariefsopbouw!$D$38</f>
        <v>0</v>
      </c>
      <c r="Z390" s="33"/>
      <c r="AA390" s="33">
        <f>IF(Ruimtestaat[[#This Row],[Frequentie weekend]]&gt;0,VALUE(LEFT(Z390,1))*S390,0)</f>
        <v>0</v>
      </c>
      <c r="AB390" s="33">
        <f>IF($AA390&gt;0,VLOOKUP($K390,Ruimtegroepen[],3,FALSE)*VLOOKUP($M390,Vloersoorten[],3,FALSE)*VLOOKUP($Z390,Frequenties[],3,FALSE)*VLOOKUP(#REF!,Locaties[],3,FALSE),0)</f>
        <v>0</v>
      </c>
      <c r="AC390" s="33"/>
      <c r="AD390" s="33"/>
      <c r="AE390" s="33">
        <f>Ruimtestaat[[#This Row],[uren / jaar weekend]]*Tariefsopbouw!$D$40</f>
        <v>0</v>
      </c>
      <c r="AF390" s="79">
        <f>Ruimtestaat[[#This Row],[Prest. (m2 /jaar) weekend]]+Ruimtestaat[[#This Row],[Prest. (m2 /jaar) werkdagen]]</f>
        <v>3479.9999999999995</v>
      </c>
      <c r="AG390" s="79">
        <f>Ruimtestaat[[#This Row],[uren / jaar weekend]]+Ruimtestaat[[#This Row],[uren / jaar werkdagen]]</f>
        <v>0</v>
      </c>
      <c r="AH390" s="80">
        <f>Ruimtestaat[[#This Row],[kosten / jaar weekend]]+Ruimtestaat[[#This Row],[kosten / jaar werkdagen]]</f>
        <v>0</v>
      </c>
    </row>
    <row r="391" spans="1:34" ht="15" customHeight="1">
      <c r="A391" s="256">
        <v>6</v>
      </c>
      <c r="B391" s="171" t="str">
        <f>VLOOKUP(Ruimtestaat[[#This Row],[Code]],Locaties[#All],2,FALSE)</f>
        <v>Het Reliëf</v>
      </c>
      <c r="C391" s="258" t="str">
        <f>VLOOKUP(Ruimtestaat[[#This Row],[Code]],Locaties[#All],4,FALSE)</f>
        <v>Floraparkstraat 390</v>
      </c>
      <c r="D391" s="258" t="str">
        <f>VLOOKUP(Ruimtestaat[[#This Row],[Code]],Locaties[#All],5,FALSE)</f>
        <v>7531HX</v>
      </c>
      <c r="E391" s="258" t="str">
        <f>VLOOKUP(Ruimtestaat[[#This Row],[Code]],Locaties[#All],6,FALSE)</f>
        <v>Enschede</v>
      </c>
      <c r="F391" s="257"/>
      <c r="G391" s="257" t="s">
        <v>563</v>
      </c>
      <c r="H391" s="171"/>
      <c r="I391" s="257" t="s">
        <v>494</v>
      </c>
      <c r="J391" s="259" t="s">
        <v>22</v>
      </c>
      <c r="K391" s="171">
        <v>5</v>
      </c>
      <c r="L391" s="260" t="str">
        <f>VLOOKUP(Ruimtestaat[[#This Row],[Ruimte code]],Ruimtegroepen[#All],2,FALSE)</f>
        <v>Sanitair</v>
      </c>
      <c r="M391" s="212" t="s">
        <v>111</v>
      </c>
      <c r="N391" s="257" t="s">
        <v>605</v>
      </c>
      <c r="O391" s="261">
        <v>5.8</v>
      </c>
      <c r="P391" s="183"/>
      <c r="Q391" s="212" t="str">
        <f>VLOOKUP(Ruimtestaat[[#This Row],[Ruimte code]],Ruimtegroepen[#All],4,FALSE)</f>
        <v>S  (Sanitair)</v>
      </c>
      <c r="R391" s="184"/>
      <c r="S391" s="185">
        <v>40</v>
      </c>
      <c r="T391" s="185" t="s">
        <v>2</v>
      </c>
      <c r="U391" s="185">
        <f>IF(S391&gt;0,IF(RIGHT(Ruimtestaat[[#This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1" s="185">
        <f>IF(U391&gt;0,VLOOKUP($K391,Ruimtegroepen[],3,FALSE)*VLOOKUP($M391,Vloersoorten[],3,FALSE)*VLOOKUP($T391,Frequenties[],3,FALSE)*VLOOKUP($A391,Locaties[],3,FALSE),0)</f>
        <v>0</v>
      </c>
      <c r="W391" s="185">
        <f>Ruimtestaat[[#This Row],[Uitvoeringen werkdagen]]*Ruimtestaat[[#This Row],[Oppervlak (netto)]]</f>
        <v>1160</v>
      </c>
      <c r="X391" s="220">
        <f>IF(V391&gt;0,Ruimtestaat[[#This Row],[Prest. (m2 /jaar) werkdagen]]/Ruimtestaat[[#This Row],[Norm (m2/uur) werkdagen]],0)</f>
        <v>0</v>
      </c>
      <c r="Y391" s="221">
        <f>Ruimtestaat[[#This Row],[uren / jaar werkdagen]]*Tariefsopbouw!$D$38</f>
        <v>0</v>
      </c>
      <c r="Z391" s="33"/>
      <c r="AA391" s="33">
        <f>IF(Ruimtestaat[[#This Row],[Frequentie weekend]]&gt;0,VALUE(LEFT(Z391,1))*S391,0)</f>
        <v>0</v>
      </c>
      <c r="AB391" s="33">
        <f>IF($AA391&gt;0,VLOOKUP($K391,Ruimtegroepen[],3,FALSE)*VLOOKUP($M391,Vloersoorten[],3,FALSE)*VLOOKUP($Z391,Frequenties[],3,FALSE)*VLOOKUP(#REF!,Locaties[],3,FALSE),0)</f>
        <v>0</v>
      </c>
      <c r="AC391" s="33"/>
      <c r="AD391" s="33"/>
      <c r="AE391" s="33">
        <f>Ruimtestaat[[#This Row],[uren / jaar weekend]]*Tariefsopbouw!$D$40</f>
        <v>0</v>
      </c>
      <c r="AF391" s="79">
        <f>Ruimtestaat[[#This Row],[Prest. (m2 /jaar) weekend]]+Ruimtestaat[[#This Row],[Prest. (m2 /jaar) werkdagen]]</f>
        <v>1160</v>
      </c>
      <c r="AG391" s="79">
        <f>Ruimtestaat[[#This Row],[uren / jaar weekend]]+Ruimtestaat[[#This Row],[uren / jaar werkdagen]]</f>
        <v>0</v>
      </c>
      <c r="AH391" s="80">
        <f>Ruimtestaat[[#This Row],[kosten / jaar weekend]]+Ruimtestaat[[#This Row],[kosten / jaar werkdagen]]</f>
        <v>0</v>
      </c>
    </row>
    <row r="392" spans="1:34" ht="15" customHeight="1">
      <c r="A392" s="256">
        <v>6</v>
      </c>
      <c r="B392" s="171" t="str">
        <f>VLOOKUP(Ruimtestaat[[#This Row],[Code]],Locaties[#All],2,FALSE)</f>
        <v>Het Reliëf</v>
      </c>
      <c r="C392" s="258" t="str">
        <f>VLOOKUP(Ruimtestaat[[#This Row],[Code]],Locaties[#All],4,FALSE)</f>
        <v>Floraparkstraat 390</v>
      </c>
      <c r="D392" s="258" t="str">
        <f>VLOOKUP(Ruimtestaat[[#This Row],[Code]],Locaties[#All],5,FALSE)</f>
        <v>7531HX</v>
      </c>
      <c r="E392" s="258" t="str">
        <f>VLOOKUP(Ruimtestaat[[#This Row],[Code]],Locaties[#All],6,FALSE)</f>
        <v>Enschede</v>
      </c>
      <c r="F392" s="257"/>
      <c r="G392" s="257" t="s">
        <v>563</v>
      </c>
      <c r="H392" s="171"/>
      <c r="I392" s="257" t="s">
        <v>495</v>
      </c>
      <c r="J392" s="259" t="s">
        <v>22</v>
      </c>
      <c r="K392" s="258">
        <v>5</v>
      </c>
      <c r="L392" s="260" t="str">
        <f>VLOOKUP(Ruimtestaat[[#This Row],[Ruimte code]],Ruimtegroepen[#All],2,FALSE)</f>
        <v>Sanitair</v>
      </c>
      <c r="M392" s="212" t="s">
        <v>111</v>
      </c>
      <c r="N392" s="257" t="s">
        <v>605</v>
      </c>
      <c r="O392" s="261">
        <v>5.5</v>
      </c>
      <c r="P392" s="183"/>
      <c r="Q392" s="212" t="str">
        <f>VLOOKUP(Ruimtestaat[[#This Row],[Ruimte code]],Ruimtegroepen[#All],4,FALSE)</f>
        <v>S  (Sanitair)</v>
      </c>
      <c r="R392" s="184"/>
      <c r="S392" s="185">
        <v>40</v>
      </c>
      <c r="T392" s="185" t="s">
        <v>2</v>
      </c>
      <c r="U392" s="185">
        <f>IF(S392&gt;0,IF(RIGHT(Ruimtestaat[[#This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2" s="185">
        <f>IF(U392&gt;0,VLOOKUP($K392,Ruimtegroepen[],3,FALSE)*VLOOKUP($M392,Vloersoorten[],3,FALSE)*VLOOKUP($T392,Frequenties[],3,FALSE)*VLOOKUP($A392,Locaties[],3,FALSE),0)</f>
        <v>0</v>
      </c>
      <c r="W392" s="185">
        <f>Ruimtestaat[[#This Row],[Uitvoeringen werkdagen]]*Ruimtestaat[[#This Row],[Oppervlak (netto)]]</f>
        <v>1100</v>
      </c>
      <c r="X392" s="220">
        <f>IF(V392&gt;0,Ruimtestaat[[#This Row],[Prest. (m2 /jaar) werkdagen]]/Ruimtestaat[[#This Row],[Norm (m2/uur) werkdagen]],0)</f>
        <v>0</v>
      </c>
      <c r="Y392" s="221">
        <f>Ruimtestaat[[#This Row],[uren / jaar werkdagen]]*Tariefsopbouw!$D$38</f>
        <v>0</v>
      </c>
      <c r="Z392" s="33"/>
      <c r="AA392" s="33">
        <f>IF(Ruimtestaat[[#This Row],[Frequentie weekend]]&gt;0,VALUE(LEFT(Z392,1))*S392,0)</f>
        <v>0</v>
      </c>
      <c r="AB392" s="33">
        <f>IF($AA392&gt;0,VLOOKUP($K392,Ruimtegroepen[],3,FALSE)*VLOOKUP($M392,Vloersoorten[],3,FALSE)*VLOOKUP($Z392,Frequenties[],3,FALSE)*VLOOKUP(#REF!,Locaties[],3,FALSE),0)</f>
        <v>0</v>
      </c>
      <c r="AC392" s="33"/>
      <c r="AD392" s="33"/>
      <c r="AE392" s="33">
        <f>Ruimtestaat[[#This Row],[uren / jaar weekend]]*Tariefsopbouw!$D$40</f>
        <v>0</v>
      </c>
      <c r="AF392" s="79">
        <f>Ruimtestaat[[#This Row],[Prest. (m2 /jaar) weekend]]+Ruimtestaat[[#This Row],[Prest. (m2 /jaar) werkdagen]]</f>
        <v>1100</v>
      </c>
      <c r="AG392" s="79">
        <f>Ruimtestaat[[#This Row],[uren / jaar weekend]]+Ruimtestaat[[#This Row],[uren / jaar werkdagen]]</f>
        <v>0</v>
      </c>
      <c r="AH392" s="80">
        <f>Ruimtestaat[[#This Row],[kosten / jaar weekend]]+Ruimtestaat[[#This Row],[kosten / jaar werkdagen]]</f>
        <v>0</v>
      </c>
    </row>
    <row r="393" spans="1:34" ht="15" customHeight="1">
      <c r="A393" s="256">
        <v>6</v>
      </c>
      <c r="B393" s="171" t="str">
        <f>VLOOKUP(Ruimtestaat[[#This Row],[Code]],Locaties[#All],2,FALSE)</f>
        <v>Het Reliëf</v>
      </c>
      <c r="C393" s="258" t="str">
        <f>VLOOKUP(Ruimtestaat[[#This Row],[Code]],Locaties[#All],4,FALSE)</f>
        <v>Floraparkstraat 390</v>
      </c>
      <c r="D393" s="258" t="str">
        <f>VLOOKUP(Ruimtestaat[[#This Row],[Code]],Locaties[#All],5,FALSE)</f>
        <v>7531HX</v>
      </c>
      <c r="E393" s="258" t="str">
        <f>VLOOKUP(Ruimtestaat[[#This Row],[Code]],Locaties[#All],6,FALSE)</f>
        <v>Enschede</v>
      </c>
      <c r="F393" s="257"/>
      <c r="G393" s="257" t="s">
        <v>563</v>
      </c>
      <c r="H393" s="171"/>
      <c r="I393" s="257" t="s">
        <v>832</v>
      </c>
      <c r="J393" s="259" t="s">
        <v>373</v>
      </c>
      <c r="K393" s="258">
        <v>6</v>
      </c>
      <c r="L393" s="260" t="str">
        <f>VLOOKUP(Ruimtestaat[[#This Row],[Ruimte code]],Ruimtegroepen[#All],2,FALSE)</f>
        <v>Gangen/hallen</v>
      </c>
      <c r="M393" s="212" t="s">
        <v>111</v>
      </c>
      <c r="N393" s="257" t="s">
        <v>605</v>
      </c>
      <c r="O393" s="261">
        <v>71</v>
      </c>
      <c r="P393" s="183"/>
      <c r="Q393" s="212" t="str">
        <f>VLOOKUP(Ruimtestaat[[#This Row],[Ruimte code]],Ruimtegroepen[#All],4,FALSE)</f>
        <v>V  (Verkeersruimte)</v>
      </c>
      <c r="R393" s="184"/>
      <c r="S393" s="185">
        <v>40</v>
      </c>
      <c r="T393" s="185" t="s">
        <v>2</v>
      </c>
      <c r="U393" s="185">
        <f>IF(S393&gt;0,IF(RIGHT(Ruimtestaat[[#This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3" s="185">
        <f>IF(U393&gt;0,VLOOKUP($K393,Ruimtegroepen[],3,FALSE)*VLOOKUP($M393,Vloersoorten[],3,FALSE)*VLOOKUP($T393,Frequenties[],3,FALSE)*VLOOKUP($A393,Locaties[],3,FALSE),0)</f>
        <v>0</v>
      </c>
      <c r="W393" s="185">
        <f>Ruimtestaat[[#This Row],[Uitvoeringen werkdagen]]*Ruimtestaat[[#This Row],[Oppervlak (netto)]]</f>
        <v>14200</v>
      </c>
      <c r="X393" s="220">
        <f>IF(V393&gt;0,Ruimtestaat[[#This Row],[Prest. (m2 /jaar) werkdagen]]/Ruimtestaat[[#This Row],[Norm (m2/uur) werkdagen]],0)</f>
        <v>0</v>
      </c>
      <c r="Y393" s="221">
        <f>Ruimtestaat[[#This Row],[uren / jaar werkdagen]]*Tariefsopbouw!$D$38</f>
        <v>0</v>
      </c>
      <c r="Z393" s="33"/>
      <c r="AA393" s="33">
        <f>IF(Ruimtestaat[[#This Row],[Frequentie weekend]]&gt;0,VALUE(LEFT(Z393,1))*S393,0)</f>
        <v>0</v>
      </c>
      <c r="AB393" s="33">
        <f>IF($AA393&gt;0,VLOOKUP($K393,Ruimtegroepen[],3,FALSE)*VLOOKUP($M393,Vloersoorten[],3,FALSE)*VLOOKUP($Z393,Frequenties[],3,FALSE)*VLOOKUP(#REF!,Locaties[],3,FALSE),0)</f>
        <v>0</v>
      </c>
      <c r="AC393" s="33"/>
      <c r="AD393" s="33"/>
      <c r="AE393" s="33">
        <f>Ruimtestaat[[#This Row],[uren / jaar weekend]]*Tariefsopbouw!$D$40</f>
        <v>0</v>
      </c>
      <c r="AF393" s="79">
        <f>Ruimtestaat[[#This Row],[Prest. (m2 /jaar) weekend]]+Ruimtestaat[[#This Row],[Prest. (m2 /jaar) werkdagen]]</f>
        <v>14200</v>
      </c>
      <c r="AG393" s="79">
        <f>Ruimtestaat[[#This Row],[uren / jaar weekend]]+Ruimtestaat[[#This Row],[uren / jaar werkdagen]]</f>
        <v>0</v>
      </c>
      <c r="AH393" s="80">
        <f>Ruimtestaat[[#This Row],[kosten / jaar weekend]]+Ruimtestaat[[#This Row],[kosten / jaar werkdagen]]</f>
        <v>0</v>
      </c>
    </row>
    <row r="394" spans="1:34" ht="15" customHeight="1">
      <c r="A394" s="256">
        <v>6</v>
      </c>
      <c r="B394" s="171" t="str">
        <f>VLOOKUP(Ruimtestaat[[#This Row],[Code]],Locaties[#All],2,FALSE)</f>
        <v>Het Reliëf</v>
      </c>
      <c r="C394" s="258" t="str">
        <f>VLOOKUP(Ruimtestaat[[#This Row],[Code]],Locaties[#All],4,FALSE)</f>
        <v>Floraparkstraat 390</v>
      </c>
      <c r="D394" s="258" t="str">
        <f>VLOOKUP(Ruimtestaat[[#This Row],[Code]],Locaties[#All],5,FALSE)</f>
        <v>7531HX</v>
      </c>
      <c r="E394" s="258" t="str">
        <f>VLOOKUP(Ruimtestaat[[#This Row],[Code]],Locaties[#All],6,FALSE)</f>
        <v>Enschede</v>
      </c>
      <c r="F394" s="257"/>
      <c r="G394" s="257" t="s">
        <v>563</v>
      </c>
      <c r="H394" s="171"/>
      <c r="I394" s="257" t="s">
        <v>496</v>
      </c>
      <c r="J394" s="259" t="s">
        <v>385</v>
      </c>
      <c r="K394" s="171">
        <v>16</v>
      </c>
      <c r="L394" s="260" t="str">
        <f>VLOOKUP(Ruimtestaat[[#This Row],[Ruimte code]],Ruimtegroepen[#All],2,FALSE)</f>
        <v>Leslokalen</v>
      </c>
      <c r="M394" s="258" t="s">
        <v>110</v>
      </c>
      <c r="N394" s="257" t="s">
        <v>265</v>
      </c>
      <c r="O394" s="261">
        <v>66</v>
      </c>
      <c r="P394" s="183"/>
      <c r="Q394" s="212" t="str">
        <f>VLOOKUP(Ruimtestaat[[#This Row],[Ruimte code]],Ruimtegroepen[#All],4,FALSE)</f>
        <v>L  (Lesruimte)</v>
      </c>
      <c r="R394" s="184"/>
      <c r="S394" s="185">
        <v>40</v>
      </c>
      <c r="T394" s="185" t="s">
        <v>2</v>
      </c>
      <c r="U394" s="185">
        <f>IF(S394&gt;0,IF(RIGHT(Ruimtestaat[[#This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4" s="185">
        <f>IF(U394&gt;0,VLOOKUP($K394,Ruimtegroepen[],3,FALSE)*VLOOKUP($M394,Vloersoorten[],3,FALSE)*VLOOKUP($T394,Frequenties[],3,FALSE)*VLOOKUP($A394,Locaties[],3,FALSE),0)</f>
        <v>0</v>
      </c>
      <c r="W394" s="185">
        <f>Ruimtestaat[[#This Row],[Uitvoeringen werkdagen]]*Ruimtestaat[[#This Row],[Oppervlak (netto)]]</f>
        <v>13200</v>
      </c>
      <c r="X394" s="220">
        <f>IF(V394&gt;0,Ruimtestaat[[#This Row],[Prest. (m2 /jaar) werkdagen]]/Ruimtestaat[[#This Row],[Norm (m2/uur) werkdagen]],0)</f>
        <v>0</v>
      </c>
      <c r="Y394" s="221">
        <f>Ruimtestaat[[#This Row],[uren / jaar werkdagen]]*Tariefsopbouw!$D$38</f>
        <v>0</v>
      </c>
      <c r="Z394" s="33"/>
      <c r="AA394" s="33">
        <f>IF(Ruimtestaat[[#This Row],[Frequentie weekend]]&gt;0,VALUE(LEFT(Z394,1))*S394,0)</f>
        <v>0</v>
      </c>
      <c r="AB394" s="33">
        <f>IF($AA394&gt;0,VLOOKUP($K394,Ruimtegroepen[],3,FALSE)*VLOOKUP($M394,Vloersoorten[],3,FALSE)*VLOOKUP($Z394,Frequenties[],3,FALSE)*VLOOKUP(#REF!,Locaties[],3,FALSE),0)</f>
        <v>0</v>
      </c>
      <c r="AC394" s="33"/>
      <c r="AD394" s="33"/>
      <c r="AE394" s="33">
        <f>Ruimtestaat[[#This Row],[uren / jaar weekend]]*Tariefsopbouw!$D$40</f>
        <v>0</v>
      </c>
      <c r="AF394" s="79">
        <f>Ruimtestaat[[#This Row],[Prest. (m2 /jaar) weekend]]+Ruimtestaat[[#This Row],[Prest. (m2 /jaar) werkdagen]]</f>
        <v>13200</v>
      </c>
      <c r="AG394" s="79">
        <f>Ruimtestaat[[#This Row],[uren / jaar weekend]]+Ruimtestaat[[#This Row],[uren / jaar werkdagen]]</f>
        <v>0</v>
      </c>
      <c r="AH394" s="80">
        <f>Ruimtestaat[[#This Row],[kosten / jaar weekend]]+Ruimtestaat[[#This Row],[kosten / jaar werkdagen]]</f>
        <v>0</v>
      </c>
    </row>
    <row r="395" spans="1:34" ht="15" customHeight="1">
      <c r="A395" s="256">
        <v>6</v>
      </c>
      <c r="B395" s="171" t="str">
        <f>VLOOKUP(Ruimtestaat[[#This Row],[Code]],Locaties[#All],2,FALSE)</f>
        <v>Het Reliëf</v>
      </c>
      <c r="C395" s="258" t="str">
        <f>VLOOKUP(Ruimtestaat[[#This Row],[Code]],Locaties[#All],4,FALSE)</f>
        <v>Floraparkstraat 390</v>
      </c>
      <c r="D395" s="258" t="str">
        <f>VLOOKUP(Ruimtestaat[[#This Row],[Code]],Locaties[#All],5,FALSE)</f>
        <v>7531HX</v>
      </c>
      <c r="E395" s="258" t="str">
        <f>VLOOKUP(Ruimtestaat[[#This Row],[Code]],Locaties[#All],6,FALSE)</f>
        <v>Enschede</v>
      </c>
      <c r="F395" s="257"/>
      <c r="G395" s="257" t="s">
        <v>563</v>
      </c>
      <c r="H395" s="171"/>
      <c r="I395" s="257" t="s">
        <v>497</v>
      </c>
      <c r="J395" s="259" t="s">
        <v>385</v>
      </c>
      <c r="K395" s="185">
        <v>16</v>
      </c>
      <c r="L395" s="260" t="str">
        <f>VLOOKUP(Ruimtestaat[[#This Row],[Ruimte code]],Ruimtegroepen[#All],2,FALSE)</f>
        <v>Leslokalen</v>
      </c>
      <c r="M395" s="258" t="s">
        <v>110</v>
      </c>
      <c r="N395" s="257" t="s">
        <v>265</v>
      </c>
      <c r="O395" s="261">
        <v>64</v>
      </c>
      <c r="P395" s="183"/>
      <c r="Q395" s="212" t="str">
        <f>VLOOKUP(Ruimtestaat[[#This Row],[Ruimte code]],Ruimtegroepen[#All],4,FALSE)</f>
        <v>L  (Lesruimte)</v>
      </c>
      <c r="R395" s="184"/>
      <c r="S395" s="185">
        <v>40</v>
      </c>
      <c r="T395" s="185" t="s">
        <v>2</v>
      </c>
      <c r="U395" s="185">
        <f>IF(S395&gt;0,IF(RIGHT(Ruimtestaat[[#This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5" s="185">
        <f>IF(U395&gt;0,VLOOKUP($K395,Ruimtegroepen[],3,FALSE)*VLOOKUP($M395,Vloersoorten[],3,FALSE)*VLOOKUP($T395,Frequenties[],3,FALSE)*VLOOKUP($A395,Locaties[],3,FALSE),0)</f>
        <v>0</v>
      </c>
      <c r="W395" s="185">
        <f>Ruimtestaat[[#This Row],[Uitvoeringen werkdagen]]*Ruimtestaat[[#This Row],[Oppervlak (netto)]]</f>
        <v>12800</v>
      </c>
      <c r="X395" s="220">
        <f>IF(V395&gt;0,Ruimtestaat[[#This Row],[Prest. (m2 /jaar) werkdagen]]/Ruimtestaat[[#This Row],[Norm (m2/uur) werkdagen]],0)</f>
        <v>0</v>
      </c>
      <c r="Y395" s="221">
        <f>Ruimtestaat[[#This Row],[uren / jaar werkdagen]]*Tariefsopbouw!$D$38</f>
        <v>0</v>
      </c>
      <c r="Z395" s="33"/>
      <c r="AA395" s="33">
        <f>IF(Ruimtestaat[[#This Row],[Frequentie weekend]]&gt;0,VALUE(LEFT(Z395,1))*S395,0)</f>
        <v>0</v>
      </c>
      <c r="AB395" s="33">
        <f>IF($AA395&gt;0,VLOOKUP($K395,Ruimtegroepen[],3,FALSE)*VLOOKUP($M395,Vloersoorten[],3,FALSE)*VLOOKUP($Z395,Frequenties[],3,FALSE)*VLOOKUP(#REF!,Locaties[],3,FALSE),0)</f>
        <v>0</v>
      </c>
      <c r="AC395" s="33"/>
      <c r="AD395" s="33"/>
      <c r="AE395" s="33">
        <f>Ruimtestaat[[#This Row],[uren / jaar weekend]]*Tariefsopbouw!$D$40</f>
        <v>0</v>
      </c>
      <c r="AF395" s="79">
        <f>Ruimtestaat[[#This Row],[Prest. (m2 /jaar) weekend]]+Ruimtestaat[[#This Row],[Prest. (m2 /jaar) werkdagen]]</f>
        <v>12800</v>
      </c>
      <c r="AG395" s="79">
        <f>Ruimtestaat[[#This Row],[uren / jaar weekend]]+Ruimtestaat[[#This Row],[uren / jaar werkdagen]]</f>
        <v>0</v>
      </c>
      <c r="AH395" s="80">
        <f>Ruimtestaat[[#This Row],[kosten / jaar weekend]]+Ruimtestaat[[#This Row],[kosten / jaar werkdagen]]</f>
        <v>0</v>
      </c>
    </row>
    <row r="396" spans="1:34" ht="15" customHeight="1">
      <c r="A396" s="256">
        <v>6</v>
      </c>
      <c r="B396" s="171" t="str">
        <f>VLOOKUP(Ruimtestaat[[#This Row],[Code]],Locaties[#All],2,FALSE)</f>
        <v>Het Reliëf</v>
      </c>
      <c r="C396" s="258" t="str">
        <f>VLOOKUP(Ruimtestaat[[#This Row],[Code]],Locaties[#All],4,FALSE)</f>
        <v>Floraparkstraat 390</v>
      </c>
      <c r="D396" s="258" t="str">
        <f>VLOOKUP(Ruimtestaat[[#This Row],[Code]],Locaties[#All],5,FALSE)</f>
        <v>7531HX</v>
      </c>
      <c r="E396" s="258" t="str">
        <f>VLOOKUP(Ruimtestaat[[#This Row],[Code]],Locaties[#All],6,FALSE)</f>
        <v>Enschede</v>
      </c>
      <c r="F396" s="257"/>
      <c r="G396" s="257" t="s">
        <v>563</v>
      </c>
      <c r="H396" s="171"/>
      <c r="I396" s="257" t="s">
        <v>833</v>
      </c>
      <c r="J396" s="259" t="s">
        <v>373</v>
      </c>
      <c r="K396" s="171">
        <v>6</v>
      </c>
      <c r="L396" s="260" t="str">
        <f>VLOOKUP(Ruimtestaat[[#This Row],[Ruimte code]],Ruimtegroepen[#All],2,FALSE)</f>
        <v>Gangen/hallen</v>
      </c>
      <c r="M396" s="212" t="s">
        <v>111</v>
      </c>
      <c r="N396" s="257" t="s">
        <v>605</v>
      </c>
      <c r="O396" s="261">
        <v>68.5</v>
      </c>
      <c r="P396" s="183"/>
      <c r="Q396" s="212" t="str">
        <f>VLOOKUP(Ruimtestaat[[#This Row],[Ruimte code]],Ruimtegroepen[#All],4,FALSE)</f>
        <v>V  (Verkeersruimte)</v>
      </c>
      <c r="R396" s="184"/>
      <c r="S396" s="185">
        <v>40</v>
      </c>
      <c r="T396" s="185" t="s">
        <v>2</v>
      </c>
      <c r="U396" s="185">
        <f>IF(S396&gt;0,IF(RIGHT(Ruimtestaat[[#This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6" s="185">
        <f>IF(U396&gt;0,VLOOKUP($K396,Ruimtegroepen[],3,FALSE)*VLOOKUP($M396,Vloersoorten[],3,FALSE)*VLOOKUP($T396,Frequenties[],3,FALSE)*VLOOKUP($A396,Locaties[],3,FALSE),0)</f>
        <v>0</v>
      </c>
      <c r="W396" s="185">
        <f>Ruimtestaat[[#This Row],[Uitvoeringen werkdagen]]*Ruimtestaat[[#This Row],[Oppervlak (netto)]]</f>
        <v>13700</v>
      </c>
      <c r="X396" s="220">
        <f>IF(V396&gt;0,Ruimtestaat[[#This Row],[Prest. (m2 /jaar) werkdagen]]/Ruimtestaat[[#This Row],[Norm (m2/uur) werkdagen]],0)</f>
        <v>0</v>
      </c>
      <c r="Y396" s="221">
        <f>Ruimtestaat[[#This Row],[uren / jaar werkdagen]]*Tariefsopbouw!$D$38</f>
        <v>0</v>
      </c>
      <c r="Z396" s="33"/>
      <c r="AA396" s="33">
        <f>IF(Ruimtestaat[[#This Row],[Frequentie weekend]]&gt;0,VALUE(LEFT(Z396,1))*S396,0)</f>
        <v>0</v>
      </c>
      <c r="AB396" s="33">
        <f>IF($AA396&gt;0,VLOOKUP($K396,Ruimtegroepen[],3,FALSE)*VLOOKUP($M396,Vloersoorten[],3,FALSE)*VLOOKUP($Z396,Frequenties[],3,FALSE)*VLOOKUP(#REF!,Locaties[],3,FALSE),0)</f>
        <v>0</v>
      </c>
      <c r="AC396" s="33"/>
      <c r="AD396" s="33"/>
      <c r="AE396" s="33">
        <f>Ruimtestaat[[#This Row],[uren / jaar weekend]]*Tariefsopbouw!$D$40</f>
        <v>0</v>
      </c>
      <c r="AF396" s="79">
        <f>Ruimtestaat[[#This Row],[Prest. (m2 /jaar) weekend]]+Ruimtestaat[[#This Row],[Prest. (m2 /jaar) werkdagen]]</f>
        <v>13700</v>
      </c>
      <c r="AG396" s="79">
        <f>Ruimtestaat[[#This Row],[uren / jaar weekend]]+Ruimtestaat[[#This Row],[uren / jaar werkdagen]]</f>
        <v>0</v>
      </c>
      <c r="AH396" s="80">
        <f>Ruimtestaat[[#This Row],[kosten / jaar weekend]]+Ruimtestaat[[#This Row],[kosten / jaar werkdagen]]</f>
        <v>0</v>
      </c>
    </row>
    <row r="397" spans="1:34" ht="15" customHeight="1">
      <c r="A397" s="256">
        <v>6</v>
      </c>
      <c r="B397" s="171" t="str">
        <f>VLOOKUP(Ruimtestaat[[#This Row],[Code]],Locaties[#All],2,FALSE)</f>
        <v>Het Reliëf</v>
      </c>
      <c r="C397" s="258" t="str">
        <f>VLOOKUP(Ruimtestaat[[#This Row],[Code]],Locaties[#All],4,FALSE)</f>
        <v>Floraparkstraat 390</v>
      </c>
      <c r="D397" s="258" t="str">
        <f>VLOOKUP(Ruimtestaat[[#This Row],[Code]],Locaties[#All],5,FALSE)</f>
        <v>7531HX</v>
      </c>
      <c r="E397" s="258" t="str">
        <f>VLOOKUP(Ruimtestaat[[#This Row],[Code]],Locaties[#All],6,FALSE)</f>
        <v>Enschede</v>
      </c>
      <c r="F397" s="257"/>
      <c r="G397" s="257" t="s">
        <v>563</v>
      </c>
      <c r="H397" s="171"/>
      <c r="I397" s="257" t="s">
        <v>498</v>
      </c>
      <c r="J397" s="259" t="s">
        <v>623</v>
      </c>
      <c r="K397" s="185">
        <v>20</v>
      </c>
      <c r="L397" s="260" t="str">
        <f>VLOOKUP(Ruimtestaat[[#This Row],[Ruimte code]],Ruimtegroepen[#All],2,FALSE)</f>
        <v>Niet in onderhoud</v>
      </c>
      <c r="M397" s="258"/>
      <c r="N397" s="257"/>
      <c r="O397" s="261"/>
      <c r="P397" s="183"/>
      <c r="Q397" s="212" t="str">
        <f>VLOOKUP(Ruimtestaat[[#This Row],[Ruimte code]],Ruimtegroepen[#All],4,FALSE)</f>
        <v>niet in onderhoud</v>
      </c>
      <c r="R397" s="184"/>
      <c r="S397" s="185"/>
      <c r="T397" s="185"/>
      <c r="U397" s="185">
        <f>IF(S397&gt;0,IF(RIGHT(Ruimtestaat[[#This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97" s="185">
        <f>IF(U397&gt;0,VLOOKUP($K397,Ruimtegroepen[],3,FALSE)*VLOOKUP($M397,Vloersoorten[],3,FALSE)*VLOOKUP($T397,Frequenties[],3,FALSE)*VLOOKUP($A397,Locaties[],3,FALSE),0)</f>
        <v>0</v>
      </c>
      <c r="W397" s="185">
        <f>Ruimtestaat[[#This Row],[Uitvoeringen werkdagen]]*Ruimtestaat[[#This Row],[Oppervlak (netto)]]</f>
        <v>0</v>
      </c>
      <c r="X397" s="220">
        <f>IF(V397&gt;0,Ruimtestaat[[#This Row],[Prest. (m2 /jaar) werkdagen]]/Ruimtestaat[[#This Row],[Norm (m2/uur) werkdagen]],0)</f>
        <v>0</v>
      </c>
      <c r="Y397" s="221">
        <f>Ruimtestaat[[#This Row],[uren / jaar werkdagen]]*Tariefsopbouw!$D$38</f>
        <v>0</v>
      </c>
      <c r="Z397" s="33"/>
      <c r="AA397" s="33">
        <f>IF(Ruimtestaat[[#This Row],[Frequentie weekend]]&gt;0,VALUE(LEFT(Z397,1))*S397,0)</f>
        <v>0</v>
      </c>
      <c r="AB397" s="33">
        <f>IF($AA397&gt;0,VLOOKUP($K397,Ruimtegroepen[],3,FALSE)*VLOOKUP($M397,Vloersoorten[],3,FALSE)*VLOOKUP($Z397,Frequenties[],3,FALSE)*VLOOKUP(#REF!,Locaties[],3,FALSE),0)</f>
        <v>0</v>
      </c>
      <c r="AC397" s="33"/>
      <c r="AD397" s="33"/>
      <c r="AE397" s="33">
        <f>Ruimtestaat[[#This Row],[uren / jaar weekend]]*Tariefsopbouw!$D$40</f>
        <v>0</v>
      </c>
      <c r="AF397" s="79">
        <f>Ruimtestaat[[#This Row],[Prest. (m2 /jaar) weekend]]+Ruimtestaat[[#This Row],[Prest. (m2 /jaar) werkdagen]]</f>
        <v>0</v>
      </c>
      <c r="AG397" s="79">
        <f>Ruimtestaat[[#This Row],[uren / jaar weekend]]+Ruimtestaat[[#This Row],[uren / jaar werkdagen]]</f>
        <v>0</v>
      </c>
      <c r="AH397" s="80">
        <f>Ruimtestaat[[#This Row],[kosten / jaar weekend]]+Ruimtestaat[[#This Row],[kosten / jaar werkdagen]]</f>
        <v>0</v>
      </c>
    </row>
    <row r="398" spans="1:34" ht="15" customHeight="1">
      <c r="A398" s="256">
        <v>6</v>
      </c>
      <c r="B398" s="171" t="str">
        <f>VLOOKUP(Ruimtestaat[[#This Row],[Code]],Locaties[#All],2,FALSE)</f>
        <v>Het Reliëf</v>
      </c>
      <c r="C398" s="258" t="str">
        <f>VLOOKUP(Ruimtestaat[[#This Row],[Code]],Locaties[#All],4,FALSE)</f>
        <v>Floraparkstraat 390</v>
      </c>
      <c r="D398" s="258" t="str">
        <f>VLOOKUP(Ruimtestaat[[#This Row],[Code]],Locaties[#All],5,FALSE)</f>
        <v>7531HX</v>
      </c>
      <c r="E398" s="258" t="str">
        <f>VLOOKUP(Ruimtestaat[[#This Row],[Code]],Locaties[#All],6,FALSE)</f>
        <v>Enschede</v>
      </c>
      <c r="F398" s="257"/>
      <c r="G398" s="257" t="s">
        <v>563</v>
      </c>
      <c r="H398" s="171"/>
      <c r="I398" s="257" t="s">
        <v>499</v>
      </c>
      <c r="J398" s="259" t="s">
        <v>22</v>
      </c>
      <c r="K398" s="258">
        <v>5</v>
      </c>
      <c r="L398" s="260" t="str">
        <f>VLOOKUP(Ruimtestaat[[#This Row],[Ruimte code]],Ruimtegroepen[#All],2,FALSE)</f>
        <v>Sanitair</v>
      </c>
      <c r="M398" s="212" t="s">
        <v>111</v>
      </c>
      <c r="N398" s="257" t="s">
        <v>605</v>
      </c>
      <c r="O398" s="261">
        <v>5.5</v>
      </c>
      <c r="P398" s="183"/>
      <c r="Q398" s="212" t="str">
        <f>VLOOKUP(Ruimtestaat[[#This Row],[Ruimte code]],Ruimtegroepen[#All],4,FALSE)</f>
        <v>S  (Sanitair)</v>
      </c>
      <c r="R398" s="184"/>
      <c r="S398" s="185">
        <v>40</v>
      </c>
      <c r="T398" s="185" t="s">
        <v>2</v>
      </c>
      <c r="U398" s="185">
        <f>IF(S398&gt;0,IF(RIGHT(Ruimtestaat[[#This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8" s="185">
        <f>IF(U398&gt;0,VLOOKUP($K398,Ruimtegroepen[],3,FALSE)*VLOOKUP($M398,Vloersoorten[],3,FALSE)*VLOOKUP($T398,Frequenties[],3,FALSE)*VLOOKUP($A398,Locaties[],3,FALSE),0)</f>
        <v>0</v>
      </c>
      <c r="W398" s="185">
        <f>Ruimtestaat[[#This Row],[Uitvoeringen werkdagen]]*Ruimtestaat[[#This Row],[Oppervlak (netto)]]</f>
        <v>1100</v>
      </c>
      <c r="X398" s="220">
        <f>IF(V398&gt;0,Ruimtestaat[[#This Row],[Prest. (m2 /jaar) werkdagen]]/Ruimtestaat[[#This Row],[Norm (m2/uur) werkdagen]],0)</f>
        <v>0</v>
      </c>
      <c r="Y398" s="221">
        <f>Ruimtestaat[[#This Row],[uren / jaar werkdagen]]*Tariefsopbouw!$D$38</f>
        <v>0</v>
      </c>
      <c r="Z398" s="33"/>
      <c r="AA398" s="33">
        <f>IF(Ruimtestaat[[#This Row],[Frequentie weekend]]&gt;0,VALUE(LEFT(Z398,1))*S398,0)</f>
        <v>0</v>
      </c>
      <c r="AB398" s="33">
        <f>IF($AA398&gt;0,VLOOKUP($K398,Ruimtegroepen[],3,FALSE)*VLOOKUP($M398,Vloersoorten[],3,FALSE)*VLOOKUP($Z398,Frequenties[],3,FALSE)*VLOOKUP(#REF!,Locaties[],3,FALSE),0)</f>
        <v>0</v>
      </c>
      <c r="AC398" s="33"/>
      <c r="AD398" s="33"/>
      <c r="AE398" s="33">
        <f>Ruimtestaat[[#This Row],[uren / jaar weekend]]*Tariefsopbouw!$D$40</f>
        <v>0</v>
      </c>
      <c r="AF398" s="79">
        <f>Ruimtestaat[[#This Row],[Prest. (m2 /jaar) weekend]]+Ruimtestaat[[#This Row],[Prest. (m2 /jaar) werkdagen]]</f>
        <v>1100</v>
      </c>
      <c r="AG398" s="79">
        <f>Ruimtestaat[[#This Row],[uren / jaar weekend]]+Ruimtestaat[[#This Row],[uren / jaar werkdagen]]</f>
        <v>0</v>
      </c>
      <c r="AH398" s="80">
        <f>Ruimtestaat[[#This Row],[kosten / jaar weekend]]+Ruimtestaat[[#This Row],[kosten / jaar werkdagen]]</f>
        <v>0</v>
      </c>
    </row>
    <row r="399" spans="1:34" ht="15" customHeight="1">
      <c r="A399" s="256">
        <v>6</v>
      </c>
      <c r="B399" s="171" t="str">
        <f>VLOOKUP(Ruimtestaat[[#This Row],[Code]],Locaties[#All],2,FALSE)</f>
        <v>Het Reliëf</v>
      </c>
      <c r="C399" s="258" t="str">
        <f>VLOOKUP(Ruimtestaat[[#This Row],[Code]],Locaties[#All],4,FALSE)</f>
        <v>Floraparkstraat 390</v>
      </c>
      <c r="D399" s="258" t="str">
        <f>VLOOKUP(Ruimtestaat[[#This Row],[Code]],Locaties[#All],5,FALSE)</f>
        <v>7531HX</v>
      </c>
      <c r="E399" s="258" t="str">
        <f>VLOOKUP(Ruimtestaat[[#This Row],[Code]],Locaties[#All],6,FALSE)</f>
        <v>Enschede</v>
      </c>
      <c r="F399" s="257"/>
      <c r="G399" s="257" t="s">
        <v>563</v>
      </c>
      <c r="H399" s="171"/>
      <c r="I399" s="257" t="s">
        <v>500</v>
      </c>
      <c r="J399" s="259" t="s">
        <v>22</v>
      </c>
      <c r="K399" s="185">
        <v>5</v>
      </c>
      <c r="L399" s="260" t="str">
        <f>VLOOKUP(Ruimtestaat[[#This Row],[Ruimte code]],Ruimtegroepen[#All],2,FALSE)</f>
        <v>Sanitair</v>
      </c>
      <c r="M399" s="212" t="s">
        <v>111</v>
      </c>
      <c r="N399" s="257" t="s">
        <v>605</v>
      </c>
      <c r="O399" s="261">
        <v>5.5</v>
      </c>
      <c r="P399" s="183"/>
      <c r="Q399" s="212" t="str">
        <f>VLOOKUP(Ruimtestaat[[#This Row],[Ruimte code]],Ruimtegroepen[#All],4,FALSE)</f>
        <v>S  (Sanitair)</v>
      </c>
      <c r="R399" s="184"/>
      <c r="S399" s="185">
        <v>40</v>
      </c>
      <c r="T399" s="185" t="s">
        <v>2</v>
      </c>
      <c r="U399" s="185">
        <f>IF(S399&gt;0,IF(RIGHT(Ruimtestaat[[#This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9" s="185">
        <f>IF(U399&gt;0,VLOOKUP($K399,Ruimtegroepen[],3,FALSE)*VLOOKUP($M399,Vloersoorten[],3,FALSE)*VLOOKUP($T399,Frequenties[],3,FALSE)*VLOOKUP($A399,Locaties[],3,FALSE),0)</f>
        <v>0</v>
      </c>
      <c r="W399" s="185">
        <f>Ruimtestaat[[#This Row],[Uitvoeringen werkdagen]]*Ruimtestaat[[#This Row],[Oppervlak (netto)]]</f>
        <v>1100</v>
      </c>
      <c r="X399" s="220">
        <f>IF(V399&gt;0,Ruimtestaat[[#This Row],[Prest. (m2 /jaar) werkdagen]]/Ruimtestaat[[#This Row],[Norm (m2/uur) werkdagen]],0)</f>
        <v>0</v>
      </c>
      <c r="Y399" s="221">
        <f>Ruimtestaat[[#This Row],[uren / jaar werkdagen]]*Tariefsopbouw!$D$38</f>
        <v>0</v>
      </c>
      <c r="Z399" s="33"/>
      <c r="AA399" s="33">
        <f>IF(Ruimtestaat[[#This Row],[Frequentie weekend]]&gt;0,VALUE(LEFT(Z399,1))*S399,0)</f>
        <v>0</v>
      </c>
      <c r="AB399" s="33">
        <f>IF($AA399&gt;0,VLOOKUP($K399,Ruimtegroepen[],3,FALSE)*VLOOKUP($M399,Vloersoorten[],3,FALSE)*VLOOKUP($Z399,Frequenties[],3,FALSE)*VLOOKUP(#REF!,Locaties[],3,FALSE),0)</f>
        <v>0</v>
      </c>
      <c r="AC399" s="33"/>
      <c r="AD399" s="33"/>
      <c r="AE399" s="33">
        <f>Ruimtestaat[[#This Row],[uren / jaar weekend]]*Tariefsopbouw!$D$40</f>
        <v>0</v>
      </c>
      <c r="AF399" s="79">
        <f>Ruimtestaat[[#This Row],[Prest. (m2 /jaar) weekend]]+Ruimtestaat[[#This Row],[Prest. (m2 /jaar) werkdagen]]</f>
        <v>1100</v>
      </c>
      <c r="AG399" s="79">
        <f>Ruimtestaat[[#This Row],[uren / jaar weekend]]+Ruimtestaat[[#This Row],[uren / jaar werkdagen]]</f>
        <v>0</v>
      </c>
      <c r="AH399" s="80">
        <f>Ruimtestaat[[#This Row],[kosten / jaar weekend]]+Ruimtestaat[[#This Row],[kosten / jaar werkdagen]]</f>
        <v>0</v>
      </c>
    </row>
    <row r="400" spans="1:34" ht="15" customHeight="1">
      <c r="A400" s="256">
        <v>6</v>
      </c>
      <c r="B400" s="171" t="str">
        <f>VLOOKUP(Ruimtestaat[[#This Row],[Code]],Locaties[#All],2,FALSE)</f>
        <v>Het Reliëf</v>
      </c>
      <c r="C400" s="258" t="str">
        <f>VLOOKUP(Ruimtestaat[[#This Row],[Code]],Locaties[#All],4,FALSE)</f>
        <v>Floraparkstraat 390</v>
      </c>
      <c r="D400" s="258" t="str">
        <f>VLOOKUP(Ruimtestaat[[#This Row],[Code]],Locaties[#All],5,FALSE)</f>
        <v>7531HX</v>
      </c>
      <c r="E400" s="258" t="str">
        <f>VLOOKUP(Ruimtestaat[[#This Row],[Code]],Locaties[#All],6,FALSE)</f>
        <v>Enschede</v>
      </c>
      <c r="F400" s="257"/>
      <c r="G400" s="257" t="s">
        <v>563</v>
      </c>
      <c r="H400" s="171"/>
      <c r="I400" s="257" t="s">
        <v>501</v>
      </c>
      <c r="J400" s="259" t="s">
        <v>385</v>
      </c>
      <c r="K400" s="171">
        <v>16</v>
      </c>
      <c r="L400" s="260" t="str">
        <f>VLOOKUP(Ruimtestaat[[#This Row],[Ruimte code]],Ruimtegroepen[#All],2,FALSE)</f>
        <v>Leslokalen</v>
      </c>
      <c r="M400" s="258" t="s">
        <v>110</v>
      </c>
      <c r="N400" s="257" t="s">
        <v>265</v>
      </c>
      <c r="O400" s="261">
        <v>66</v>
      </c>
      <c r="P400" s="183"/>
      <c r="Q400" s="212" t="str">
        <f>VLOOKUP(Ruimtestaat[[#This Row],[Ruimte code]],Ruimtegroepen[#All],4,FALSE)</f>
        <v>L  (Lesruimte)</v>
      </c>
      <c r="R400" s="184"/>
      <c r="S400" s="185">
        <v>40</v>
      </c>
      <c r="T400" s="185" t="s">
        <v>2</v>
      </c>
      <c r="U400" s="185">
        <f>IF(S400&gt;0,IF(RIGHT(Ruimtestaat[[#This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0" s="185">
        <f>IF(U400&gt;0,VLOOKUP($K400,Ruimtegroepen[],3,FALSE)*VLOOKUP($M400,Vloersoorten[],3,FALSE)*VLOOKUP($T400,Frequenties[],3,FALSE)*VLOOKUP($A400,Locaties[],3,FALSE),0)</f>
        <v>0</v>
      </c>
      <c r="W400" s="185">
        <f>Ruimtestaat[[#This Row],[Uitvoeringen werkdagen]]*Ruimtestaat[[#This Row],[Oppervlak (netto)]]</f>
        <v>13200</v>
      </c>
      <c r="X400" s="220">
        <f>IF(V400&gt;0,Ruimtestaat[[#This Row],[Prest. (m2 /jaar) werkdagen]]/Ruimtestaat[[#This Row],[Norm (m2/uur) werkdagen]],0)</f>
        <v>0</v>
      </c>
      <c r="Y400" s="221">
        <f>Ruimtestaat[[#This Row],[uren / jaar werkdagen]]*Tariefsopbouw!$D$38</f>
        <v>0</v>
      </c>
      <c r="Z400" s="33"/>
      <c r="AA400" s="33">
        <f>IF(Ruimtestaat[[#This Row],[Frequentie weekend]]&gt;0,VALUE(LEFT(Z400,1))*S400,0)</f>
        <v>0</v>
      </c>
      <c r="AB400" s="33">
        <f>IF($AA400&gt;0,VLOOKUP($K400,Ruimtegroepen[],3,FALSE)*VLOOKUP($M400,Vloersoorten[],3,FALSE)*VLOOKUP($Z400,Frequenties[],3,FALSE)*VLOOKUP(#REF!,Locaties[],3,FALSE),0)</f>
        <v>0</v>
      </c>
      <c r="AC400" s="33"/>
      <c r="AD400" s="33"/>
      <c r="AE400" s="33">
        <f>Ruimtestaat[[#This Row],[uren / jaar weekend]]*Tariefsopbouw!$D$40</f>
        <v>0</v>
      </c>
      <c r="AF400" s="79">
        <f>Ruimtestaat[[#This Row],[Prest. (m2 /jaar) weekend]]+Ruimtestaat[[#This Row],[Prest. (m2 /jaar) werkdagen]]</f>
        <v>13200</v>
      </c>
      <c r="AG400" s="79">
        <f>Ruimtestaat[[#This Row],[uren / jaar weekend]]+Ruimtestaat[[#This Row],[uren / jaar werkdagen]]</f>
        <v>0</v>
      </c>
      <c r="AH400" s="80">
        <f>Ruimtestaat[[#This Row],[kosten / jaar weekend]]+Ruimtestaat[[#This Row],[kosten / jaar werkdagen]]</f>
        <v>0</v>
      </c>
    </row>
    <row r="401" spans="1:34" ht="15" customHeight="1">
      <c r="A401" s="256">
        <v>6</v>
      </c>
      <c r="B401" s="171" t="str">
        <f>VLOOKUP(Ruimtestaat[[#This Row],[Code]],Locaties[#All],2,FALSE)</f>
        <v>Het Reliëf</v>
      </c>
      <c r="C401" s="258" t="str">
        <f>VLOOKUP(Ruimtestaat[[#This Row],[Code]],Locaties[#All],4,FALSE)</f>
        <v>Floraparkstraat 390</v>
      </c>
      <c r="D401" s="258" t="str">
        <f>VLOOKUP(Ruimtestaat[[#This Row],[Code]],Locaties[#All],5,FALSE)</f>
        <v>7531HX</v>
      </c>
      <c r="E401" s="258" t="str">
        <f>VLOOKUP(Ruimtestaat[[#This Row],[Code]],Locaties[#All],6,FALSE)</f>
        <v>Enschede</v>
      </c>
      <c r="F401" s="257"/>
      <c r="G401" s="257" t="s">
        <v>563</v>
      </c>
      <c r="H401" s="171"/>
      <c r="I401" s="257" t="s">
        <v>487</v>
      </c>
      <c r="J401" s="259" t="s">
        <v>385</v>
      </c>
      <c r="K401" s="224">
        <v>16</v>
      </c>
      <c r="L401" s="260" t="str">
        <f>VLOOKUP(Ruimtestaat[[#This Row],[Ruimte code]],Ruimtegroepen[#All],2,FALSE)</f>
        <v>Leslokalen</v>
      </c>
      <c r="M401" s="258" t="s">
        <v>110</v>
      </c>
      <c r="N401" s="257" t="s">
        <v>265</v>
      </c>
      <c r="O401" s="261">
        <v>55</v>
      </c>
      <c r="P401" s="183"/>
      <c r="Q401" s="212" t="str">
        <f>VLOOKUP(Ruimtestaat[[#This Row],[Ruimte code]],Ruimtegroepen[#All],4,FALSE)</f>
        <v>L  (Lesruimte)</v>
      </c>
      <c r="R401" s="184"/>
      <c r="S401" s="185">
        <v>40</v>
      </c>
      <c r="T401" s="185" t="s">
        <v>2</v>
      </c>
      <c r="U401" s="185">
        <f>IF(S401&gt;0,IF(RIGHT(Ruimtestaat[[#This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1" s="185">
        <f>IF(U401&gt;0,VLOOKUP($K401,Ruimtegroepen[],3,FALSE)*VLOOKUP($M401,Vloersoorten[],3,FALSE)*VLOOKUP($T401,Frequenties[],3,FALSE)*VLOOKUP($A401,Locaties[],3,FALSE),0)</f>
        <v>0</v>
      </c>
      <c r="W401" s="185">
        <f>Ruimtestaat[[#This Row],[Uitvoeringen werkdagen]]*Ruimtestaat[[#This Row],[Oppervlak (netto)]]</f>
        <v>11000</v>
      </c>
      <c r="X401" s="220">
        <f>IF(V401&gt;0,Ruimtestaat[[#This Row],[Prest. (m2 /jaar) werkdagen]]/Ruimtestaat[[#This Row],[Norm (m2/uur) werkdagen]],0)</f>
        <v>0</v>
      </c>
      <c r="Y401" s="221">
        <f>Ruimtestaat[[#This Row],[uren / jaar werkdagen]]*Tariefsopbouw!$D$38</f>
        <v>0</v>
      </c>
      <c r="Z401" s="33"/>
      <c r="AA401" s="33">
        <f>IF(Ruimtestaat[[#This Row],[Frequentie weekend]]&gt;0,VALUE(LEFT(Z401,1))*S401,0)</f>
        <v>0</v>
      </c>
      <c r="AB401" s="33">
        <f>IF($AA401&gt;0,VLOOKUP($K401,Ruimtegroepen[],3,FALSE)*VLOOKUP($M401,Vloersoorten[],3,FALSE)*VLOOKUP($Z401,Frequenties[],3,FALSE)*VLOOKUP(#REF!,Locaties[],3,FALSE),0)</f>
        <v>0</v>
      </c>
      <c r="AC401" s="33"/>
      <c r="AD401" s="33"/>
      <c r="AE401" s="33">
        <f>Ruimtestaat[[#This Row],[uren / jaar weekend]]*Tariefsopbouw!$D$40</f>
        <v>0</v>
      </c>
      <c r="AF401" s="79">
        <f>Ruimtestaat[[#This Row],[Prest. (m2 /jaar) weekend]]+Ruimtestaat[[#This Row],[Prest. (m2 /jaar) werkdagen]]</f>
        <v>11000</v>
      </c>
      <c r="AG401" s="79">
        <f>Ruimtestaat[[#This Row],[uren / jaar weekend]]+Ruimtestaat[[#This Row],[uren / jaar werkdagen]]</f>
        <v>0</v>
      </c>
      <c r="AH401" s="80">
        <f>Ruimtestaat[[#This Row],[kosten / jaar weekend]]+Ruimtestaat[[#This Row],[kosten / jaar werkdagen]]</f>
        <v>0</v>
      </c>
    </row>
    <row r="402" spans="1:34" ht="15" customHeight="1">
      <c r="A402" s="256">
        <v>6</v>
      </c>
      <c r="B402" s="171" t="str">
        <f>VLOOKUP(Ruimtestaat[[#This Row],[Code]],Locaties[#All],2,FALSE)</f>
        <v>Het Reliëf</v>
      </c>
      <c r="C402" s="258" t="str">
        <f>VLOOKUP(Ruimtestaat[[#This Row],[Code]],Locaties[#All],4,FALSE)</f>
        <v>Floraparkstraat 390</v>
      </c>
      <c r="D402" s="258" t="str">
        <f>VLOOKUP(Ruimtestaat[[#This Row],[Code]],Locaties[#All],5,FALSE)</f>
        <v>7531HX</v>
      </c>
      <c r="E402" s="258" t="str">
        <f>VLOOKUP(Ruimtestaat[[#This Row],[Code]],Locaties[#All],6,FALSE)</f>
        <v>Enschede</v>
      </c>
      <c r="F402" s="257"/>
      <c r="G402" s="257" t="s">
        <v>563</v>
      </c>
      <c r="H402" s="171"/>
      <c r="I402" s="257" t="s">
        <v>486</v>
      </c>
      <c r="J402" s="259" t="s">
        <v>834</v>
      </c>
      <c r="K402" s="171">
        <v>20</v>
      </c>
      <c r="L402" s="260" t="str">
        <f>VLOOKUP(Ruimtestaat[[#This Row],[Ruimte code]],Ruimtegroepen[#All],2,FALSE)</f>
        <v>Niet in onderhoud</v>
      </c>
      <c r="M402" s="258" t="s">
        <v>110</v>
      </c>
      <c r="N402" s="257" t="s">
        <v>265</v>
      </c>
      <c r="O402" s="261"/>
      <c r="P402" s="183">
        <v>22</v>
      </c>
      <c r="Q402" s="212" t="str">
        <f>VLOOKUP(Ruimtestaat[[#This Row],[Ruimte code]],Ruimtegroepen[#All],4,FALSE)</f>
        <v>niet in onderhoud</v>
      </c>
      <c r="R402" s="184"/>
      <c r="S402" s="185"/>
      <c r="T402" s="185"/>
      <c r="U402" s="185">
        <f>IF(S402&gt;0,IF(RIGHT(Ruimtestaat[[#This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02" s="185">
        <f>IF(U402&gt;0,VLOOKUP($K402,Ruimtegroepen[],3,FALSE)*VLOOKUP($M402,Vloersoorten[],3,FALSE)*VLOOKUP($T402,Frequenties[],3,FALSE)*VLOOKUP($A402,Locaties[],3,FALSE),0)</f>
        <v>0</v>
      </c>
      <c r="W402" s="185">
        <f>Ruimtestaat[[#This Row],[Uitvoeringen werkdagen]]*Ruimtestaat[[#This Row],[Oppervlak (netto)]]</f>
        <v>0</v>
      </c>
      <c r="X402" s="220">
        <f>IF(V402&gt;0,Ruimtestaat[[#This Row],[Prest. (m2 /jaar) werkdagen]]/Ruimtestaat[[#This Row],[Norm (m2/uur) werkdagen]],0)</f>
        <v>0</v>
      </c>
      <c r="Y402" s="221">
        <f>Ruimtestaat[[#This Row],[uren / jaar werkdagen]]*Tariefsopbouw!$D$38</f>
        <v>0</v>
      </c>
      <c r="Z402" s="33"/>
      <c r="AA402" s="33">
        <f>IF(Ruimtestaat[[#This Row],[Frequentie weekend]]&gt;0,VALUE(LEFT(Z402,1))*S402,0)</f>
        <v>0</v>
      </c>
      <c r="AB402" s="33">
        <f>IF($AA402&gt;0,VLOOKUP($K402,Ruimtegroepen[],3,FALSE)*VLOOKUP($M402,Vloersoorten[],3,FALSE)*VLOOKUP($Z402,Frequenties[],3,FALSE)*VLOOKUP(#REF!,Locaties[],3,FALSE),0)</f>
        <v>0</v>
      </c>
      <c r="AC402" s="33"/>
      <c r="AD402" s="33"/>
      <c r="AE402" s="33">
        <f>Ruimtestaat[[#This Row],[uren / jaar weekend]]*Tariefsopbouw!$D$40</f>
        <v>0</v>
      </c>
      <c r="AF402" s="79">
        <f>Ruimtestaat[[#This Row],[Prest. (m2 /jaar) weekend]]+Ruimtestaat[[#This Row],[Prest. (m2 /jaar) werkdagen]]</f>
        <v>0</v>
      </c>
      <c r="AG402" s="79">
        <f>Ruimtestaat[[#This Row],[uren / jaar weekend]]+Ruimtestaat[[#This Row],[uren / jaar werkdagen]]</f>
        <v>0</v>
      </c>
      <c r="AH402" s="80">
        <f>Ruimtestaat[[#This Row],[kosten / jaar weekend]]+Ruimtestaat[[#This Row],[kosten / jaar werkdagen]]</f>
        <v>0</v>
      </c>
    </row>
    <row r="403" spans="1:34" ht="15" customHeight="1">
      <c r="A403" s="256">
        <v>6</v>
      </c>
      <c r="B403" s="171" t="str">
        <f>VLOOKUP(Ruimtestaat[[#This Row],[Code]],Locaties[#All],2,FALSE)</f>
        <v>Het Reliëf</v>
      </c>
      <c r="C403" s="258" t="str">
        <f>VLOOKUP(Ruimtestaat[[#This Row],[Code]],Locaties[#All],4,FALSE)</f>
        <v>Floraparkstraat 390</v>
      </c>
      <c r="D403" s="258" t="str">
        <f>VLOOKUP(Ruimtestaat[[#This Row],[Code]],Locaties[#All],5,FALSE)</f>
        <v>7531HX</v>
      </c>
      <c r="E403" s="258" t="str">
        <f>VLOOKUP(Ruimtestaat[[#This Row],[Code]],Locaties[#All],6,FALSE)</f>
        <v>Enschede</v>
      </c>
      <c r="F403" s="257"/>
      <c r="G403" s="257" t="s">
        <v>563</v>
      </c>
      <c r="H403" s="171"/>
      <c r="I403" s="257" t="s">
        <v>485</v>
      </c>
      <c r="J403" s="259" t="s">
        <v>385</v>
      </c>
      <c r="K403" s="258">
        <v>16</v>
      </c>
      <c r="L403" s="260" t="str">
        <f>VLOOKUP(Ruimtestaat[[#This Row],[Ruimte code]],Ruimtegroepen[#All],2,FALSE)</f>
        <v>Leslokalen</v>
      </c>
      <c r="M403" s="185" t="s">
        <v>110</v>
      </c>
      <c r="N403" s="257" t="s">
        <v>265</v>
      </c>
      <c r="O403" s="261">
        <v>50</v>
      </c>
      <c r="P403" s="183"/>
      <c r="Q403" s="212" t="str">
        <f>VLOOKUP(Ruimtestaat[[#This Row],[Ruimte code]],Ruimtegroepen[#All],4,FALSE)</f>
        <v>L  (Lesruimte)</v>
      </c>
      <c r="R403" s="184"/>
      <c r="S403" s="185">
        <v>40</v>
      </c>
      <c r="T403" s="185" t="s">
        <v>2</v>
      </c>
      <c r="U403" s="185">
        <f>IF(S403&gt;0,IF(RIGHT(Ruimtestaat[[#This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3" s="185">
        <f>IF(U403&gt;0,VLOOKUP($K403,Ruimtegroepen[],3,FALSE)*VLOOKUP($M403,Vloersoorten[],3,FALSE)*VLOOKUP($T403,Frequenties[],3,FALSE)*VLOOKUP($A403,Locaties[],3,FALSE),0)</f>
        <v>0</v>
      </c>
      <c r="W403" s="185">
        <f>Ruimtestaat[[#This Row],[Uitvoeringen werkdagen]]*Ruimtestaat[[#This Row],[Oppervlak (netto)]]</f>
        <v>10000</v>
      </c>
      <c r="X403" s="220">
        <f>IF(V403&gt;0,Ruimtestaat[[#This Row],[Prest. (m2 /jaar) werkdagen]]/Ruimtestaat[[#This Row],[Norm (m2/uur) werkdagen]],0)</f>
        <v>0</v>
      </c>
      <c r="Y403" s="221">
        <f>Ruimtestaat[[#This Row],[uren / jaar werkdagen]]*Tariefsopbouw!$D$38</f>
        <v>0</v>
      </c>
      <c r="Z403" s="33"/>
      <c r="AA403" s="33">
        <f>IF(Ruimtestaat[[#This Row],[Frequentie weekend]]&gt;0,VALUE(LEFT(Z403,1))*S403,0)</f>
        <v>0</v>
      </c>
      <c r="AB403" s="33">
        <f>IF($AA403&gt;0,VLOOKUP($K403,Ruimtegroepen[],3,FALSE)*VLOOKUP($M403,Vloersoorten[],3,FALSE)*VLOOKUP($Z403,Frequenties[],3,FALSE)*VLOOKUP(#REF!,Locaties[],3,FALSE),0)</f>
        <v>0</v>
      </c>
      <c r="AC403" s="33"/>
      <c r="AD403" s="33"/>
      <c r="AE403" s="33">
        <f>Ruimtestaat[[#This Row],[uren / jaar weekend]]*Tariefsopbouw!$D$40</f>
        <v>0</v>
      </c>
      <c r="AF403" s="79">
        <f>Ruimtestaat[[#This Row],[Prest. (m2 /jaar) weekend]]+Ruimtestaat[[#This Row],[Prest. (m2 /jaar) werkdagen]]</f>
        <v>10000</v>
      </c>
      <c r="AG403" s="79">
        <f>Ruimtestaat[[#This Row],[uren / jaar weekend]]+Ruimtestaat[[#This Row],[uren / jaar werkdagen]]</f>
        <v>0</v>
      </c>
      <c r="AH403" s="80">
        <f>Ruimtestaat[[#This Row],[kosten / jaar weekend]]+Ruimtestaat[[#This Row],[kosten / jaar werkdagen]]</f>
        <v>0</v>
      </c>
    </row>
    <row r="404" spans="1:34" ht="15" customHeight="1">
      <c r="A404" s="256">
        <v>6</v>
      </c>
      <c r="B404" s="171" t="str">
        <f>VLOOKUP(Ruimtestaat[[#This Row],[Code]],Locaties[#All],2,FALSE)</f>
        <v>Het Reliëf</v>
      </c>
      <c r="C404" s="258" t="str">
        <f>VLOOKUP(Ruimtestaat[[#This Row],[Code]],Locaties[#All],4,FALSE)</f>
        <v>Floraparkstraat 390</v>
      </c>
      <c r="D404" s="258" t="str">
        <f>VLOOKUP(Ruimtestaat[[#This Row],[Code]],Locaties[#All],5,FALSE)</f>
        <v>7531HX</v>
      </c>
      <c r="E404" s="258" t="str">
        <f>VLOOKUP(Ruimtestaat[[#This Row],[Code]],Locaties[#All],6,FALSE)</f>
        <v>Enschede</v>
      </c>
      <c r="F404" s="257"/>
      <c r="G404" s="257" t="s">
        <v>563</v>
      </c>
      <c r="H404" s="171"/>
      <c r="I404" s="257" t="s">
        <v>480</v>
      </c>
      <c r="J404" s="259" t="s">
        <v>22</v>
      </c>
      <c r="K404" s="258">
        <v>5</v>
      </c>
      <c r="L404" s="260" t="str">
        <f>VLOOKUP(Ruimtestaat[[#This Row],[Ruimte code]],Ruimtegroepen[#All],2,FALSE)</f>
        <v>Sanitair</v>
      </c>
      <c r="M404" s="212" t="s">
        <v>111</v>
      </c>
      <c r="N404" s="257" t="s">
        <v>605</v>
      </c>
      <c r="O404" s="261">
        <v>3.5</v>
      </c>
      <c r="P404" s="183"/>
      <c r="Q404" s="212" t="str">
        <f>VLOOKUP(Ruimtestaat[[#This Row],[Ruimte code]],Ruimtegroepen[#All],4,FALSE)</f>
        <v>S  (Sanitair)</v>
      </c>
      <c r="R404" s="184"/>
      <c r="S404" s="185">
        <v>40</v>
      </c>
      <c r="T404" s="185" t="s">
        <v>2</v>
      </c>
      <c r="U404" s="185">
        <f>IF(S404&gt;0,IF(RIGHT(Ruimtestaat[[#This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4" s="185">
        <f>IF(U404&gt;0,VLOOKUP($K404,Ruimtegroepen[],3,FALSE)*VLOOKUP($M404,Vloersoorten[],3,FALSE)*VLOOKUP($T404,Frequenties[],3,FALSE)*VLOOKUP($A404,Locaties[],3,FALSE),0)</f>
        <v>0</v>
      </c>
      <c r="W404" s="185">
        <f>Ruimtestaat[[#This Row],[Uitvoeringen werkdagen]]*Ruimtestaat[[#This Row],[Oppervlak (netto)]]</f>
        <v>700</v>
      </c>
      <c r="X404" s="220">
        <f>IF(V404&gt;0,Ruimtestaat[[#This Row],[Prest. (m2 /jaar) werkdagen]]/Ruimtestaat[[#This Row],[Norm (m2/uur) werkdagen]],0)</f>
        <v>0</v>
      </c>
      <c r="Y404" s="221">
        <f>Ruimtestaat[[#This Row],[uren / jaar werkdagen]]*Tariefsopbouw!$D$38</f>
        <v>0</v>
      </c>
      <c r="Z404" s="33"/>
      <c r="AA404" s="33">
        <f>IF(Ruimtestaat[[#This Row],[Frequentie weekend]]&gt;0,VALUE(LEFT(Z404,1))*S404,0)</f>
        <v>0</v>
      </c>
      <c r="AB404" s="33">
        <f>IF($AA404&gt;0,VLOOKUP($K404,Ruimtegroepen[],3,FALSE)*VLOOKUP($M404,Vloersoorten[],3,FALSE)*VLOOKUP($Z404,Frequenties[],3,FALSE)*VLOOKUP(#REF!,Locaties[],3,FALSE),0)</f>
        <v>0</v>
      </c>
      <c r="AC404" s="33"/>
      <c r="AD404" s="33"/>
      <c r="AE404" s="33">
        <f>Ruimtestaat[[#This Row],[uren / jaar weekend]]*Tariefsopbouw!$D$40</f>
        <v>0</v>
      </c>
      <c r="AF404" s="79">
        <f>Ruimtestaat[[#This Row],[Prest. (m2 /jaar) weekend]]+Ruimtestaat[[#This Row],[Prest. (m2 /jaar) werkdagen]]</f>
        <v>700</v>
      </c>
      <c r="AG404" s="79">
        <f>Ruimtestaat[[#This Row],[uren / jaar weekend]]+Ruimtestaat[[#This Row],[uren / jaar werkdagen]]</f>
        <v>0</v>
      </c>
      <c r="AH404" s="80">
        <f>Ruimtestaat[[#This Row],[kosten / jaar weekend]]+Ruimtestaat[[#This Row],[kosten / jaar werkdagen]]</f>
        <v>0</v>
      </c>
    </row>
    <row r="405" spans="1:34" ht="15" customHeight="1">
      <c r="A405" s="256">
        <v>6</v>
      </c>
      <c r="B405" s="171" t="str">
        <f>VLOOKUP(Ruimtestaat[[#This Row],[Code]],Locaties[#All],2,FALSE)</f>
        <v>Het Reliëf</v>
      </c>
      <c r="C405" s="258" t="str">
        <f>VLOOKUP(Ruimtestaat[[#This Row],[Code]],Locaties[#All],4,FALSE)</f>
        <v>Floraparkstraat 390</v>
      </c>
      <c r="D405" s="258" t="str">
        <f>VLOOKUP(Ruimtestaat[[#This Row],[Code]],Locaties[#All],5,FALSE)</f>
        <v>7531HX</v>
      </c>
      <c r="E405" s="258" t="str">
        <f>VLOOKUP(Ruimtestaat[[#This Row],[Code]],Locaties[#All],6,FALSE)</f>
        <v>Enschede</v>
      </c>
      <c r="F405" s="257"/>
      <c r="G405" s="257" t="s">
        <v>563</v>
      </c>
      <c r="H405" s="171"/>
      <c r="I405" s="257" t="s">
        <v>481</v>
      </c>
      <c r="J405" s="259" t="s">
        <v>22</v>
      </c>
      <c r="K405" s="258">
        <v>5</v>
      </c>
      <c r="L405" s="260" t="str">
        <f>VLOOKUP(Ruimtestaat[[#This Row],[Ruimte code]],Ruimtegroepen[#All],2,FALSE)</f>
        <v>Sanitair</v>
      </c>
      <c r="M405" s="212" t="s">
        <v>111</v>
      </c>
      <c r="N405" s="257" t="s">
        <v>605</v>
      </c>
      <c r="O405" s="261">
        <v>8</v>
      </c>
      <c r="P405" s="183"/>
      <c r="Q405" s="212" t="str">
        <f>VLOOKUP(Ruimtestaat[[#This Row],[Ruimte code]],Ruimtegroepen[#All],4,FALSE)</f>
        <v>S  (Sanitair)</v>
      </c>
      <c r="R405" s="184"/>
      <c r="S405" s="185">
        <v>40</v>
      </c>
      <c r="T405" s="185" t="s">
        <v>2</v>
      </c>
      <c r="U405" s="185">
        <f>IF(S405&gt;0,IF(RIGHT(Ruimtestaat[[#This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5" s="185">
        <f>IF(U405&gt;0,VLOOKUP($K405,Ruimtegroepen[],3,FALSE)*VLOOKUP($M405,Vloersoorten[],3,FALSE)*VLOOKUP($T405,Frequenties[],3,FALSE)*VLOOKUP($A405,Locaties[],3,FALSE),0)</f>
        <v>0</v>
      </c>
      <c r="W405" s="185">
        <f>Ruimtestaat[[#This Row],[Uitvoeringen werkdagen]]*Ruimtestaat[[#This Row],[Oppervlak (netto)]]</f>
        <v>1600</v>
      </c>
      <c r="X405" s="220">
        <f>IF(V405&gt;0,Ruimtestaat[[#This Row],[Prest. (m2 /jaar) werkdagen]]/Ruimtestaat[[#This Row],[Norm (m2/uur) werkdagen]],0)</f>
        <v>0</v>
      </c>
      <c r="Y405" s="221">
        <f>Ruimtestaat[[#This Row],[uren / jaar werkdagen]]*Tariefsopbouw!$D$38</f>
        <v>0</v>
      </c>
      <c r="Z405" s="33"/>
      <c r="AA405" s="33">
        <f>IF(Ruimtestaat[[#This Row],[Frequentie weekend]]&gt;0,VALUE(LEFT(Z405,1))*S405,0)</f>
        <v>0</v>
      </c>
      <c r="AB405" s="33">
        <f>IF($AA405&gt;0,VLOOKUP($K405,Ruimtegroepen[],3,FALSE)*VLOOKUP($M405,Vloersoorten[],3,FALSE)*VLOOKUP($Z405,Frequenties[],3,FALSE)*VLOOKUP(#REF!,Locaties[],3,FALSE),0)</f>
        <v>0</v>
      </c>
      <c r="AC405" s="33"/>
      <c r="AD405" s="33"/>
      <c r="AE405" s="33">
        <f>Ruimtestaat[[#This Row],[uren / jaar weekend]]*Tariefsopbouw!$D$40</f>
        <v>0</v>
      </c>
      <c r="AF405" s="79">
        <f>Ruimtestaat[[#This Row],[Prest. (m2 /jaar) weekend]]+Ruimtestaat[[#This Row],[Prest. (m2 /jaar) werkdagen]]</f>
        <v>1600</v>
      </c>
      <c r="AG405" s="79">
        <f>Ruimtestaat[[#This Row],[uren / jaar weekend]]+Ruimtestaat[[#This Row],[uren / jaar werkdagen]]</f>
        <v>0</v>
      </c>
      <c r="AH405" s="80">
        <f>Ruimtestaat[[#This Row],[kosten / jaar weekend]]+Ruimtestaat[[#This Row],[kosten / jaar werkdagen]]</f>
        <v>0</v>
      </c>
    </row>
    <row r="406" spans="1:34" ht="15" customHeight="1">
      <c r="A406" s="256">
        <v>6</v>
      </c>
      <c r="B406" s="171" t="str">
        <f>VLOOKUP(Ruimtestaat[[#This Row],[Code]],Locaties[#All],2,FALSE)</f>
        <v>Het Reliëf</v>
      </c>
      <c r="C406" s="258" t="str">
        <f>VLOOKUP(Ruimtestaat[[#This Row],[Code]],Locaties[#All],4,FALSE)</f>
        <v>Floraparkstraat 390</v>
      </c>
      <c r="D406" s="258" t="str">
        <f>VLOOKUP(Ruimtestaat[[#This Row],[Code]],Locaties[#All],5,FALSE)</f>
        <v>7531HX</v>
      </c>
      <c r="E406" s="258" t="str">
        <f>VLOOKUP(Ruimtestaat[[#This Row],[Code]],Locaties[#All],6,FALSE)</f>
        <v>Enschede</v>
      </c>
      <c r="F406" s="257"/>
      <c r="G406" s="257" t="s">
        <v>563</v>
      </c>
      <c r="H406" s="171"/>
      <c r="I406" s="257" t="s">
        <v>482</v>
      </c>
      <c r="J406" s="259" t="s">
        <v>373</v>
      </c>
      <c r="K406" s="258">
        <v>6</v>
      </c>
      <c r="L406" s="260" t="str">
        <f>VLOOKUP(Ruimtestaat[[#This Row],[Ruimte code]],Ruimtegroepen[#All],2,FALSE)</f>
        <v>Gangen/hallen</v>
      </c>
      <c r="M406" s="212" t="s">
        <v>111</v>
      </c>
      <c r="N406" s="257" t="s">
        <v>605</v>
      </c>
      <c r="O406" s="261">
        <v>13</v>
      </c>
      <c r="P406" s="183"/>
      <c r="Q406" s="212" t="str">
        <f>VLOOKUP(Ruimtestaat[[#This Row],[Ruimte code]],Ruimtegroepen[#All],4,FALSE)</f>
        <v>V  (Verkeersruimte)</v>
      </c>
      <c r="R406" s="184"/>
      <c r="S406" s="185">
        <v>40</v>
      </c>
      <c r="T406" s="185" t="s">
        <v>2</v>
      </c>
      <c r="U406" s="185">
        <f>IF(S406&gt;0,IF(RIGHT(Ruimtestaat[[#This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6" s="185">
        <f>IF(U406&gt;0,VLOOKUP($K406,Ruimtegroepen[],3,FALSE)*VLOOKUP($M406,Vloersoorten[],3,FALSE)*VLOOKUP($T406,Frequenties[],3,FALSE)*VLOOKUP($A406,Locaties[],3,FALSE),0)</f>
        <v>0</v>
      </c>
      <c r="W406" s="185">
        <f>Ruimtestaat[[#This Row],[Uitvoeringen werkdagen]]*Ruimtestaat[[#This Row],[Oppervlak (netto)]]</f>
        <v>2600</v>
      </c>
      <c r="X406" s="220">
        <f>IF(V406&gt;0,Ruimtestaat[[#This Row],[Prest. (m2 /jaar) werkdagen]]/Ruimtestaat[[#This Row],[Norm (m2/uur) werkdagen]],0)</f>
        <v>0</v>
      </c>
      <c r="Y406" s="221">
        <f>Ruimtestaat[[#This Row],[uren / jaar werkdagen]]*Tariefsopbouw!$D$38</f>
        <v>0</v>
      </c>
      <c r="Z406" s="33"/>
      <c r="AA406" s="33">
        <f>IF(Ruimtestaat[[#This Row],[Frequentie weekend]]&gt;0,VALUE(LEFT(Z406,1))*S406,0)</f>
        <v>0</v>
      </c>
      <c r="AB406" s="33">
        <f>IF($AA406&gt;0,VLOOKUP($K406,Ruimtegroepen[],3,FALSE)*VLOOKUP($M406,Vloersoorten[],3,FALSE)*VLOOKUP($Z406,Frequenties[],3,FALSE)*VLOOKUP(#REF!,Locaties[],3,FALSE),0)</f>
        <v>0</v>
      </c>
      <c r="AC406" s="33"/>
      <c r="AD406" s="33"/>
      <c r="AE406" s="33">
        <f>Ruimtestaat[[#This Row],[uren / jaar weekend]]*Tariefsopbouw!$D$40</f>
        <v>0</v>
      </c>
      <c r="AF406" s="79">
        <f>Ruimtestaat[[#This Row],[Prest. (m2 /jaar) weekend]]+Ruimtestaat[[#This Row],[Prest. (m2 /jaar) werkdagen]]</f>
        <v>2600</v>
      </c>
      <c r="AG406" s="79">
        <f>Ruimtestaat[[#This Row],[uren / jaar weekend]]+Ruimtestaat[[#This Row],[uren / jaar werkdagen]]</f>
        <v>0</v>
      </c>
      <c r="AH406" s="80">
        <f>Ruimtestaat[[#This Row],[kosten / jaar weekend]]+Ruimtestaat[[#This Row],[kosten / jaar werkdagen]]</f>
        <v>0</v>
      </c>
    </row>
    <row r="407" spans="1:34" ht="15" customHeight="1">
      <c r="A407" s="256">
        <v>6</v>
      </c>
      <c r="B407" s="171" t="str">
        <f>VLOOKUP(Ruimtestaat[[#This Row],[Code]],Locaties[#All],2,FALSE)</f>
        <v>Het Reliëf</v>
      </c>
      <c r="C407" s="258" t="str">
        <f>VLOOKUP(Ruimtestaat[[#This Row],[Code]],Locaties[#All],4,FALSE)</f>
        <v>Floraparkstraat 390</v>
      </c>
      <c r="D407" s="258" t="str">
        <f>VLOOKUP(Ruimtestaat[[#This Row],[Code]],Locaties[#All],5,FALSE)</f>
        <v>7531HX</v>
      </c>
      <c r="E407" s="258" t="str">
        <f>VLOOKUP(Ruimtestaat[[#This Row],[Code]],Locaties[#All],6,FALSE)</f>
        <v>Enschede</v>
      </c>
      <c r="F407" s="257"/>
      <c r="G407" s="257" t="s">
        <v>563</v>
      </c>
      <c r="H407" s="171"/>
      <c r="I407" s="257" t="s">
        <v>483</v>
      </c>
      <c r="J407" s="259" t="s">
        <v>585</v>
      </c>
      <c r="K407" s="258">
        <v>20</v>
      </c>
      <c r="L407" s="260" t="str">
        <f>VLOOKUP(Ruimtestaat[[#This Row],[Ruimte code]],Ruimtegroepen[#All],2,FALSE)</f>
        <v>Niet in onderhoud</v>
      </c>
      <c r="M407" s="258"/>
      <c r="N407" s="257"/>
      <c r="O407" s="261"/>
      <c r="P407" s="183"/>
      <c r="Q407" s="212" t="str">
        <f>VLOOKUP(Ruimtestaat[[#This Row],[Ruimte code]],Ruimtegroepen[#All],4,FALSE)</f>
        <v>niet in onderhoud</v>
      </c>
      <c r="R407" s="184"/>
      <c r="S407" s="185"/>
      <c r="T407" s="185"/>
      <c r="U407" s="185">
        <f>IF(S407&gt;0,IF(RIGHT(Ruimtestaat[[#This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07" s="185">
        <f>IF(U407&gt;0,VLOOKUP($K407,Ruimtegroepen[],3,FALSE)*VLOOKUP($M407,Vloersoorten[],3,FALSE)*VLOOKUP($T407,Frequenties[],3,FALSE)*VLOOKUP($A407,Locaties[],3,FALSE),0)</f>
        <v>0</v>
      </c>
      <c r="W407" s="185">
        <f>Ruimtestaat[[#This Row],[Uitvoeringen werkdagen]]*Ruimtestaat[[#This Row],[Oppervlak (netto)]]</f>
        <v>0</v>
      </c>
      <c r="X407" s="220">
        <f>IF(V407&gt;0,Ruimtestaat[[#This Row],[Prest. (m2 /jaar) werkdagen]]/Ruimtestaat[[#This Row],[Norm (m2/uur) werkdagen]],0)</f>
        <v>0</v>
      </c>
      <c r="Y407" s="221">
        <f>Ruimtestaat[[#This Row],[uren / jaar werkdagen]]*Tariefsopbouw!$D$38</f>
        <v>0</v>
      </c>
      <c r="Z407" s="33"/>
      <c r="AA407" s="33">
        <f>IF(Ruimtestaat[[#This Row],[Frequentie weekend]]&gt;0,VALUE(LEFT(Z407,1))*S407,0)</f>
        <v>0</v>
      </c>
      <c r="AB407" s="33">
        <f>IF($AA407&gt;0,VLOOKUP($K407,Ruimtegroepen[],3,FALSE)*VLOOKUP($M407,Vloersoorten[],3,FALSE)*VLOOKUP($Z407,Frequenties[],3,FALSE)*VLOOKUP(#REF!,Locaties[],3,FALSE),0)</f>
        <v>0</v>
      </c>
      <c r="AC407" s="33"/>
      <c r="AD407" s="33"/>
      <c r="AE407" s="33">
        <f>Ruimtestaat[[#This Row],[uren / jaar weekend]]*Tariefsopbouw!$D$40</f>
        <v>0</v>
      </c>
      <c r="AF407" s="79">
        <f>Ruimtestaat[[#This Row],[Prest. (m2 /jaar) weekend]]+Ruimtestaat[[#This Row],[Prest. (m2 /jaar) werkdagen]]</f>
        <v>0</v>
      </c>
      <c r="AG407" s="79">
        <f>Ruimtestaat[[#This Row],[uren / jaar weekend]]+Ruimtestaat[[#This Row],[uren / jaar werkdagen]]</f>
        <v>0</v>
      </c>
      <c r="AH407" s="80">
        <f>Ruimtestaat[[#This Row],[kosten / jaar weekend]]+Ruimtestaat[[#This Row],[kosten / jaar werkdagen]]</f>
        <v>0</v>
      </c>
    </row>
    <row r="408" spans="1:34" ht="15" customHeight="1">
      <c r="A408" s="256">
        <v>6</v>
      </c>
      <c r="B408" s="171" t="str">
        <f>VLOOKUP(Ruimtestaat[[#This Row],[Code]],Locaties[#All],2,FALSE)</f>
        <v>Het Reliëf</v>
      </c>
      <c r="C408" s="258" t="str">
        <f>VLOOKUP(Ruimtestaat[[#This Row],[Code]],Locaties[#All],4,FALSE)</f>
        <v>Floraparkstraat 390</v>
      </c>
      <c r="D408" s="258" t="str">
        <f>VLOOKUP(Ruimtestaat[[#This Row],[Code]],Locaties[#All],5,FALSE)</f>
        <v>7531HX</v>
      </c>
      <c r="E408" s="258" t="str">
        <f>VLOOKUP(Ruimtestaat[[#This Row],[Code]],Locaties[#All],6,FALSE)</f>
        <v>Enschede</v>
      </c>
      <c r="F408" s="257"/>
      <c r="G408" s="257" t="s">
        <v>563</v>
      </c>
      <c r="H408" s="171"/>
      <c r="I408" s="257" t="s">
        <v>484</v>
      </c>
      <c r="J408" s="259" t="s">
        <v>571</v>
      </c>
      <c r="K408" s="258">
        <v>2</v>
      </c>
      <c r="L408" s="260" t="str">
        <f>VLOOKUP(Ruimtestaat[[#This Row],[Ruimte code]],Ruimtegroepen[#All],2,FALSE)</f>
        <v>Kantoren</v>
      </c>
      <c r="M408" s="212" t="s">
        <v>597</v>
      </c>
      <c r="N408" s="257" t="s">
        <v>38</v>
      </c>
      <c r="O408" s="261">
        <v>11.5</v>
      </c>
      <c r="P408" s="183"/>
      <c r="Q408" s="212" t="str">
        <f>VLOOKUP(Ruimtestaat[[#This Row],[Ruimte code]],Ruimtegroepen[#All],4,FALSE)</f>
        <v>B  (Bureauruimte)</v>
      </c>
      <c r="R408" s="184"/>
      <c r="S408" s="185">
        <v>40</v>
      </c>
      <c r="T408" s="185" t="s">
        <v>15</v>
      </c>
      <c r="U408" s="185">
        <f>IF(S408&gt;0,IF(RIGHT(Ruimtestaat[[#This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08" s="185">
        <f>IF(U408&gt;0,VLOOKUP($K408,Ruimtegroepen[],3,FALSE)*VLOOKUP($M408,Vloersoorten[],3,FALSE)*VLOOKUP($T408,Frequenties[],3,FALSE)*VLOOKUP($A408,Locaties[],3,FALSE),0)</f>
        <v>0</v>
      </c>
      <c r="W408" s="185">
        <f>Ruimtestaat[[#This Row],[Uitvoeringen werkdagen]]*Ruimtestaat[[#This Row],[Oppervlak (netto)]]</f>
        <v>460</v>
      </c>
      <c r="X408" s="220">
        <f>IF(V408&gt;0,Ruimtestaat[[#This Row],[Prest. (m2 /jaar) werkdagen]]/Ruimtestaat[[#This Row],[Norm (m2/uur) werkdagen]],0)</f>
        <v>0</v>
      </c>
      <c r="Y408" s="221">
        <f>Ruimtestaat[[#This Row],[uren / jaar werkdagen]]*Tariefsopbouw!$D$38</f>
        <v>0</v>
      </c>
      <c r="Z408" s="33"/>
      <c r="AA408" s="33">
        <f>IF(Ruimtestaat[[#This Row],[Frequentie weekend]]&gt;0,VALUE(LEFT(Z408,1))*S408,0)</f>
        <v>0</v>
      </c>
      <c r="AB408" s="33">
        <f>IF($AA408&gt;0,VLOOKUP($K408,Ruimtegroepen[],3,FALSE)*VLOOKUP($M408,Vloersoorten[],3,FALSE)*VLOOKUP($Z408,Frequenties[],3,FALSE)*VLOOKUP(#REF!,Locaties[],3,FALSE),0)</f>
        <v>0</v>
      </c>
      <c r="AC408" s="33"/>
      <c r="AD408" s="33"/>
      <c r="AE408" s="33">
        <f>Ruimtestaat[[#This Row],[uren / jaar weekend]]*Tariefsopbouw!$D$40</f>
        <v>0</v>
      </c>
      <c r="AF408" s="79">
        <f>Ruimtestaat[[#This Row],[Prest. (m2 /jaar) weekend]]+Ruimtestaat[[#This Row],[Prest. (m2 /jaar) werkdagen]]</f>
        <v>460</v>
      </c>
      <c r="AG408" s="79">
        <f>Ruimtestaat[[#This Row],[uren / jaar weekend]]+Ruimtestaat[[#This Row],[uren / jaar werkdagen]]</f>
        <v>0</v>
      </c>
      <c r="AH408" s="80">
        <f>Ruimtestaat[[#This Row],[kosten / jaar weekend]]+Ruimtestaat[[#This Row],[kosten / jaar werkdagen]]</f>
        <v>0</v>
      </c>
    </row>
    <row r="409" spans="1:34" ht="15" customHeight="1">
      <c r="A409" s="256">
        <v>6</v>
      </c>
      <c r="B409" s="171" t="str">
        <f>VLOOKUP(Ruimtestaat[[#This Row],[Code]],Locaties[#All],2,FALSE)</f>
        <v>Het Reliëf</v>
      </c>
      <c r="C409" s="258" t="str">
        <f>VLOOKUP(Ruimtestaat[[#This Row],[Code]],Locaties[#All],4,FALSE)</f>
        <v>Floraparkstraat 390</v>
      </c>
      <c r="D409" s="258" t="str">
        <f>VLOOKUP(Ruimtestaat[[#This Row],[Code]],Locaties[#All],5,FALSE)</f>
        <v>7531HX</v>
      </c>
      <c r="E409" s="258" t="str">
        <f>VLOOKUP(Ruimtestaat[[#This Row],[Code]],Locaties[#All],6,FALSE)</f>
        <v>Enschede</v>
      </c>
      <c r="F409" s="257"/>
      <c r="G409" s="257" t="s">
        <v>563</v>
      </c>
      <c r="H409" s="171"/>
      <c r="I409" s="257" t="s">
        <v>479</v>
      </c>
      <c r="J409" s="259" t="s">
        <v>385</v>
      </c>
      <c r="K409" s="171">
        <v>16</v>
      </c>
      <c r="L409" s="260" t="str">
        <f>VLOOKUP(Ruimtestaat[[#This Row],[Ruimte code]],Ruimtegroepen[#All],2,FALSE)</f>
        <v>Leslokalen</v>
      </c>
      <c r="M409" s="258" t="s">
        <v>110</v>
      </c>
      <c r="N409" s="257" t="s">
        <v>265</v>
      </c>
      <c r="O409" s="261">
        <v>51</v>
      </c>
      <c r="P409" s="183"/>
      <c r="Q409" s="212" t="str">
        <f>VLOOKUP(Ruimtestaat[[#This Row],[Ruimte code]],Ruimtegroepen[#All],4,FALSE)</f>
        <v>L  (Lesruimte)</v>
      </c>
      <c r="R409" s="184"/>
      <c r="S409" s="185">
        <v>40</v>
      </c>
      <c r="T409" s="185" t="s">
        <v>2</v>
      </c>
      <c r="U409" s="185">
        <f>IF(S409&gt;0,IF(RIGHT(Ruimtestaat[[#This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9" s="185">
        <f>IF(U409&gt;0,VLOOKUP($K409,Ruimtegroepen[],3,FALSE)*VLOOKUP($M409,Vloersoorten[],3,FALSE)*VLOOKUP($T409,Frequenties[],3,FALSE)*VLOOKUP($A409,Locaties[],3,FALSE),0)</f>
        <v>0</v>
      </c>
      <c r="W409" s="185">
        <f>Ruimtestaat[[#This Row],[Uitvoeringen werkdagen]]*Ruimtestaat[[#This Row],[Oppervlak (netto)]]</f>
        <v>10200</v>
      </c>
      <c r="X409" s="220">
        <f>IF(V409&gt;0,Ruimtestaat[[#This Row],[Prest. (m2 /jaar) werkdagen]]/Ruimtestaat[[#This Row],[Norm (m2/uur) werkdagen]],0)</f>
        <v>0</v>
      </c>
      <c r="Y409" s="221">
        <f>Ruimtestaat[[#This Row],[uren / jaar werkdagen]]*Tariefsopbouw!$D$38</f>
        <v>0</v>
      </c>
      <c r="Z409" s="33"/>
      <c r="AA409" s="33">
        <f>IF(Ruimtestaat[[#This Row],[Frequentie weekend]]&gt;0,VALUE(LEFT(Z409,1))*S409,0)</f>
        <v>0</v>
      </c>
      <c r="AB409" s="33">
        <f>IF($AA409&gt;0,VLOOKUP($K409,Ruimtegroepen[],3,FALSE)*VLOOKUP($M409,Vloersoorten[],3,FALSE)*VLOOKUP($Z409,Frequenties[],3,FALSE)*VLOOKUP(#REF!,Locaties[],3,FALSE),0)</f>
        <v>0</v>
      </c>
      <c r="AC409" s="33"/>
      <c r="AD409" s="33"/>
      <c r="AE409" s="33">
        <f>Ruimtestaat[[#This Row],[uren / jaar weekend]]*Tariefsopbouw!$D$40</f>
        <v>0</v>
      </c>
      <c r="AF409" s="79">
        <f>Ruimtestaat[[#This Row],[Prest. (m2 /jaar) weekend]]+Ruimtestaat[[#This Row],[Prest. (m2 /jaar) werkdagen]]</f>
        <v>10200</v>
      </c>
      <c r="AG409" s="79">
        <f>Ruimtestaat[[#This Row],[uren / jaar weekend]]+Ruimtestaat[[#This Row],[uren / jaar werkdagen]]</f>
        <v>0</v>
      </c>
      <c r="AH409" s="80">
        <f>Ruimtestaat[[#This Row],[kosten / jaar weekend]]+Ruimtestaat[[#This Row],[kosten / jaar werkdagen]]</f>
        <v>0</v>
      </c>
    </row>
    <row r="410" spans="1:34" ht="15" customHeight="1">
      <c r="A410" s="256">
        <v>6</v>
      </c>
      <c r="B410" s="171" t="str">
        <f>VLOOKUP(Ruimtestaat[[#This Row],[Code]],Locaties[#All],2,FALSE)</f>
        <v>Het Reliëf</v>
      </c>
      <c r="C410" s="258" t="str">
        <f>VLOOKUP(Ruimtestaat[[#This Row],[Code]],Locaties[#All],4,FALSE)</f>
        <v>Floraparkstraat 390</v>
      </c>
      <c r="D410" s="258" t="str">
        <f>VLOOKUP(Ruimtestaat[[#This Row],[Code]],Locaties[#All],5,FALSE)</f>
        <v>7531HX</v>
      </c>
      <c r="E410" s="258" t="str">
        <f>VLOOKUP(Ruimtestaat[[#This Row],[Code]],Locaties[#All],6,FALSE)</f>
        <v>Enschede</v>
      </c>
      <c r="F410" s="257"/>
      <c r="G410" s="257" t="s">
        <v>563</v>
      </c>
      <c r="H410" s="171"/>
      <c r="I410" s="257" t="s">
        <v>478</v>
      </c>
      <c r="J410" s="259" t="s">
        <v>654</v>
      </c>
      <c r="K410" s="171">
        <v>20</v>
      </c>
      <c r="L410" s="260" t="str">
        <f>VLOOKUP(Ruimtestaat[[#This Row],[Ruimte code]],Ruimtegroepen[#All],2,FALSE)</f>
        <v>Niet in onderhoud</v>
      </c>
      <c r="M410" s="258"/>
      <c r="N410" s="257"/>
      <c r="O410" s="261"/>
      <c r="P410" s="183"/>
      <c r="Q410" s="212" t="str">
        <f>VLOOKUP(Ruimtestaat[[#This Row],[Ruimte code]],Ruimtegroepen[#All],4,FALSE)</f>
        <v>niet in onderhoud</v>
      </c>
      <c r="R410" s="184"/>
      <c r="S410" s="185"/>
      <c r="T410" s="185"/>
      <c r="U410" s="185">
        <f>IF(S410&gt;0,IF(RIGHT(Ruimtestaat[[#This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0" s="185">
        <f>IF(U410&gt;0,VLOOKUP($K410,Ruimtegroepen[],3,FALSE)*VLOOKUP($M410,Vloersoorten[],3,FALSE)*VLOOKUP($T410,Frequenties[],3,FALSE)*VLOOKUP($A410,Locaties[],3,FALSE),0)</f>
        <v>0</v>
      </c>
      <c r="W410" s="185">
        <f>Ruimtestaat[[#This Row],[Uitvoeringen werkdagen]]*Ruimtestaat[[#This Row],[Oppervlak (netto)]]</f>
        <v>0</v>
      </c>
      <c r="X410" s="220">
        <f>IF(V410&gt;0,Ruimtestaat[[#This Row],[Prest. (m2 /jaar) werkdagen]]/Ruimtestaat[[#This Row],[Norm (m2/uur) werkdagen]],0)</f>
        <v>0</v>
      </c>
      <c r="Y410" s="221">
        <f>Ruimtestaat[[#This Row],[uren / jaar werkdagen]]*Tariefsopbouw!$D$38</f>
        <v>0</v>
      </c>
      <c r="Z410" s="33"/>
      <c r="AA410" s="33">
        <f>IF(Ruimtestaat[[#This Row],[Frequentie weekend]]&gt;0,VALUE(LEFT(Z410,1))*S410,0)</f>
        <v>0</v>
      </c>
      <c r="AB410" s="33">
        <f>IF($AA410&gt;0,VLOOKUP($K410,Ruimtegroepen[],3,FALSE)*VLOOKUP($M410,Vloersoorten[],3,FALSE)*VLOOKUP($Z410,Frequenties[],3,FALSE)*VLOOKUP(#REF!,Locaties[],3,FALSE),0)</f>
        <v>0</v>
      </c>
      <c r="AC410" s="33"/>
      <c r="AD410" s="33"/>
      <c r="AE410" s="33">
        <f>Ruimtestaat[[#This Row],[uren / jaar weekend]]*Tariefsopbouw!$D$40</f>
        <v>0</v>
      </c>
      <c r="AF410" s="79">
        <f>Ruimtestaat[[#This Row],[Prest. (m2 /jaar) weekend]]+Ruimtestaat[[#This Row],[Prest. (m2 /jaar) werkdagen]]</f>
        <v>0</v>
      </c>
      <c r="AG410" s="79">
        <f>Ruimtestaat[[#This Row],[uren / jaar weekend]]+Ruimtestaat[[#This Row],[uren / jaar werkdagen]]</f>
        <v>0</v>
      </c>
      <c r="AH410" s="80">
        <f>Ruimtestaat[[#This Row],[kosten / jaar weekend]]+Ruimtestaat[[#This Row],[kosten / jaar werkdagen]]</f>
        <v>0</v>
      </c>
    </row>
    <row r="411" spans="1:34" ht="15" customHeight="1">
      <c r="A411" s="256">
        <v>6</v>
      </c>
      <c r="B411" s="171" t="str">
        <f>VLOOKUP(Ruimtestaat[[#This Row],[Code]],Locaties[#All],2,FALSE)</f>
        <v>Het Reliëf</v>
      </c>
      <c r="C411" s="258" t="str">
        <f>VLOOKUP(Ruimtestaat[[#This Row],[Code]],Locaties[#All],4,FALSE)</f>
        <v>Floraparkstraat 390</v>
      </c>
      <c r="D411" s="258" t="str">
        <f>VLOOKUP(Ruimtestaat[[#This Row],[Code]],Locaties[#All],5,FALSE)</f>
        <v>7531HX</v>
      </c>
      <c r="E411" s="258" t="str">
        <f>VLOOKUP(Ruimtestaat[[#This Row],[Code]],Locaties[#All],6,FALSE)</f>
        <v>Enschede</v>
      </c>
      <c r="F411" s="257"/>
      <c r="G411" s="257" t="s">
        <v>563</v>
      </c>
      <c r="H411" s="171"/>
      <c r="I411" s="257" t="s">
        <v>477</v>
      </c>
      <c r="J411" s="259" t="s">
        <v>585</v>
      </c>
      <c r="K411" s="171">
        <v>20</v>
      </c>
      <c r="L411" s="260" t="str">
        <f>VLOOKUP(Ruimtestaat[[#This Row],[Ruimte code]],Ruimtegroepen[#All],2,FALSE)</f>
        <v>Niet in onderhoud</v>
      </c>
      <c r="M411" s="185"/>
      <c r="N411" s="257"/>
      <c r="O411" s="261"/>
      <c r="P411" s="183"/>
      <c r="Q411" s="212" t="str">
        <f>VLOOKUP(Ruimtestaat[[#This Row],[Ruimte code]],Ruimtegroepen[#All],4,FALSE)</f>
        <v>niet in onderhoud</v>
      </c>
      <c r="R411" s="184"/>
      <c r="S411" s="185"/>
      <c r="T411" s="185"/>
      <c r="U411" s="185">
        <f>IF(S411&gt;0,IF(RIGHT(Ruimtestaat[[#This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1" s="185">
        <f>IF(U411&gt;0,VLOOKUP($K411,Ruimtegroepen[],3,FALSE)*VLOOKUP($M411,Vloersoorten[],3,FALSE)*VLOOKUP($T411,Frequenties[],3,FALSE)*VLOOKUP($A411,Locaties[],3,FALSE),0)</f>
        <v>0</v>
      </c>
      <c r="W411" s="185">
        <f>Ruimtestaat[[#This Row],[Uitvoeringen werkdagen]]*Ruimtestaat[[#This Row],[Oppervlak (netto)]]</f>
        <v>0</v>
      </c>
      <c r="X411" s="220">
        <f>IF(V411&gt;0,Ruimtestaat[[#This Row],[Prest. (m2 /jaar) werkdagen]]/Ruimtestaat[[#This Row],[Norm (m2/uur) werkdagen]],0)</f>
        <v>0</v>
      </c>
      <c r="Y411" s="221">
        <f>Ruimtestaat[[#This Row],[uren / jaar werkdagen]]*Tariefsopbouw!$D$38</f>
        <v>0</v>
      </c>
      <c r="Z411" s="33"/>
      <c r="AA411" s="33">
        <f>IF(Ruimtestaat[[#This Row],[Frequentie weekend]]&gt;0,VALUE(LEFT(Z411,1))*S411,0)</f>
        <v>0</v>
      </c>
      <c r="AB411" s="33">
        <f>IF($AA411&gt;0,VLOOKUP($K411,Ruimtegroepen[],3,FALSE)*VLOOKUP($M411,Vloersoorten[],3,FALSE)*VLOOKUP($Z411,Frequenties[],3,FALSE)*VLOOKUP(#REF!,Locaties[],3,FALSE),0)</f>
        <v>0</v>
      </c>
      <c r="AC411" s="33"/>
      <c r="AD411" s="33"/>
      <c r="AE411" s="33">
        <f>Ruimtestaat[[#This Row],[uren / jaar weekend]]*Tariefsopbouw!$D$40</f>
        <v>0</v>
      </c>
      <c r="AF411" s="79">
        <f>Ruimtestaat[[#This Row],[Prest. (m2 /jaar) weekend]]+Ruimtestaat[[#This Row],[Prest. (m2 /jaar) werkdagen]]</f>
        <v>0</v>
      </c>
      <c r="AG411" s="79">
        <f>Ruimtestaat[[#This Row],[uren / jaar weekend]]+Ruimtestaat[[#This Row],[uren / jaar werkdagen]]</f>
        <v>0</v>
      </c>
      <c r="AH411" s="80">
        <f>Ruimtestaat[[#This Row],[kosten / jaar weekend]]+Ruimtestaat[[#This Row],[kosten / jaar werkdagen]]</f>
        <v>0</v>
      </c>
    </row>
    <row r="412" spans="1:34" ht="15" customHeight="1">
      <c r="A412" s="256">
        <v>6</v>
      </c>
      <c r="B412" s="171" t="str">
        <f>VLOOKUP(Ruimtestaat[[#This Row],[Code]],Locaties[#All],2,FALSE)</f>
        <v>Het Reliëf</v>
      </c>
      <c r="C412" s="258" t="str">
        <f>VLOOKUP(Ruimtestaat[[#This Row],[Code]],Locaties[#All],4,FALSE)</f>
        <v>Floraparkstraat 390</v>
      </c>
      <c r="D412" s="258" t="str">
        <f>VLOOKUP(Ruimtestaat[[#This Row],[Code]],Locaties[#All],5,FALSE)</f>
        <v>7531HX</v>
      </c>
      <c r="E412" s="258" t="str">
        <f>VLOOKUP(Ruimtestaat[[#This Row],[Code]],Locaties[#All],6,FALSE)</f>
        <v>Enschede</v>
      </c>
      <c r="F412" s="257"/>
      <c r="G412" s="257" t="s">
        <v>563</v>
      </c>
      <c r="H412" s="171"/>
      <c r="I412" s="257" t="s">
        <v>476</v>
      </c>
      <c r="J412" s="259" t="s">
        <v>716</v>
      </c>
      <c r="K412" s="171">
        <v>20</v>
      </c>
      <c r="L412" s="260" t="str">
        <f>VLOOKUP(Ruimtestaat[[#This Row],[Ruimte code]],Ruimtegroepen[#All],2,FALSE)</f>
        <v>Niet in onderhoud</v>
      </c>
      <c r="M412" s="258"/>
      <c r="N412" s="257"/>
      <c r="O412" s="261"/>
      <c r="P412" s="183"/>
      <c r="Q412" s="212" t="str">
        <f>VLOOKUP(Ruimtestaat[[#This Row],[Ruimte code]],Ruimtegroepen[#All],4,FALSE)</f>
        <v>niet in onderhoud</v>
      </c>
      <c r="R412" s="184"/>
      <c r="S412" s="185"/>
      <c r="T412" s="185"/>
      <c r="U412" s="185">
        <f>IF(S412&gt;0,IF(RIGHT(Ruimtestaat[[#This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2" s="185">
        <f>IF(U412&gt;0,VLOOKUP($K412,Ruimtegroepen[],3,FALSE)*VLOOKUP($M412,Vloersoorten[],3,FALSE)*VLOOKUP($T412,Frequenties[],3,FALSE)*VLOOKUP($A412,Locaties[],3,FALSE),0)</f>
        <v>0</v>
      </c>
      <c r="W412" s="185">
        <f>Ruimtestaat[[#This Row],[Uitvoeringen werkdagen]]*Ruimtestaat[[#This Row],[Oppervlak (netto)]]</f>
        <v>0</v>
      </c>
      <c r="X412" s="220">
        <f>IF(V412&gt;0,Ruimtestaat[[#This Row],[Prest. (m2 /jaar) werkdagen]]/Ruimtestaat[[#This Row],[Norm (m2/uur) werkdagen]],0)</f>
        <v>0</v>
      </c>
      <c r="Y412" s="221">
        <f>Ruimtestaat[[#This Row],[uren / jaar werkdagen]]*Tariefsopbouw!$D$38</f>
        <v>0</v>
      </c>
      <c r="Z412" s="33"/>
      <c r="AA412" s="33">
        <f>IF(Ruimtestaat[[#This Row],[Frequentie weekend]]&gt;0,VALUE(LEFT(Z412,1))*S412,0)</f>
        <v>0</v>
      </c>
      <c r="AB412" s="33">
        <f>IF($AA412&gt;0,VLOOKUP($K412,Ruimtegroepen[],3,FALSE)*VLOOKUP($M412,Vloersoorten[],3,FALSE)*VLOOKUP($Z412,Frequenties[],3,FALSE)*VLOOKUP(#REF!,Locaties[],3,FALSE),0)</f>
        <v>0</v>
      </c>
      <c r="AC412" s="33"/>
      <c r="AD412" s="33"/>
      <c r="AE412" s="33">
        <f>Ruimtestaat[[#This Row],[uren / jaar weekend]]*Tariefsopbouw!$D$40</f>
        <v>0</v>
      </c>
      <c r="AF412" s="79">
        <f>Ruimtestaat[[#This Row],[Prest. (m2 /jaar) weekend]]+Ruimtestaat[[#This Row],[Prest. (m2 /jaar) werkdagen]]</f>
        <v>0</v>
      </c>
      <c r="AG412" s="79">
        <f>Ruimtestaat[[#This Row],[uren / jaar weekend]]+Ruimtestaat[[#This Row],[uren / jaar werkdagen]]</f>
        <v>0</v>
      </c>
      <c r="AH412" s="80">
        <f>Ruimtestaat[[#This Row],[kosten / jaar weekend]]+Ruimtestaat[[#This Row],[kosten / jaar werkdagen]]</f>
        <v>0</v>
      </c>
    </row>
    <row r="413" spans="1:34" ht="15" customHeight="1">
      <c r="A413" s="256">
        <v>6</v>
      </c>
      <c r="B413" s="171" t="str">
        <f>VLOOKUP(Ruimtestaat[[#This Row],[Code]],Locaties[#All],2,FALSE)</f>
        <v>Het Reliëf</v>
      </c>
      <c r="C413" s="258" t="str">
        <f>VLOOKUP(Ruimtestaat[[#This Row],[Code]],Locaties[#All],4,FALSE)</f>
        <v>Floraparkstraat 390</v>
      </c>
      <c r="D413" s="258" t="str">
        <f>VLOOKUP(Ruimtestaat[[#This Row],[Code]],Locaties[#All],5,FALSE)</f>
        <v>7531HX</v>
      </c>
      <c r="E413" s="258" t="str">
        <f>VLOOKUP(Ruimtestaat[[#This Row],[Code]],Locaties[#All],6,FALSE)</f>
        <v>Enschede</v>
      </c>
      <c r="F413" s="257"/>
      <c r="G413" s="257" t="s">
        <v>563</v>
      </c>
      <c r="H413" s="171"/>
      <c r="I413" s="257" t="s">
        <v>475</v>
      </c>
      <c r="J413" s="259" t="s">
        <v>585</v>
      </c>
      <c r="K413" s="258">
        <v>20</v>
      </c>
      <c r="L413" s="260" t="str">
        <f>VLOOKUP(Ruimtestaat[[#This Row],[Ruimte code]],Ruimtegroepen[#All],2,FALSE)</f>
        <v>Niet in onderhoud</v>
      </c>
      <c r="M413" s="185"/>
      <c r="N413" s="257"/>
      <c r="O413" s="261"/>
      <c r="P413" s="183"/>
      <c r="Q413" s="212" t="str">
        <f>VLOOKUP(Ruimtestaat[[#This Row],[Ruimte code]],Ruimtegroepen[#All],4,FALSE)</f>
        <v>niet in onderhoud</v>
      </c>
      <c r="R413" s="184"/>
      <c r="S413" s="185"/>
      <c r="T413" s="185"/>
      <c r="U413" s="185">
        <f>IF(S413&gt;0,IF(RIGHT(Ruimtestaat[[#This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3" s="185">
        <f>IF(U413&gt;0,VLOOKUP($K413,Ruimtegroepen[],3,FALSE)*VLOOKUP($M413,Vloersoorten[],3,FALSE)*VLOOKUP($T413,Frequenties[],3,FALSE)*VLOOKUP($A413,Locaties[],3,FALSE),0)</f>
        <v>0</v>
      </c>
      <c r="W413" s="185">
        <f>Ruimtestaat[[#This Row],[Uitvoeringen werkdagen]]*Ruimtestaat[[#This Row],[Oppervlak (netto)]]</f>
        <v>0</v>
      </c>
      <c r="X413" s="220">
        <f>IF(V413&gt;0,Ruimtestaat[[#This Row],[Prest. (m2 /jaar) werkdagen]]/Ruimtestaat[[#This Row],[Norm (m2/uur) werkdagen]],0)</f>
        <v>0</v>
      </c>
      <c r="Y413" s="221">
        <f>Ruimtestaat[[#This Row],[uren / jaar werkdagen]]*Tariefsopbouw!$D$38</f>
        <v>0</v>
      </c>
      <c r="Z413" s="33"/>
      <c r="AA413" s="33">
        <f>IF(Ruimtestaat[[#This Row],[Frequentie weekend]]&gt;0,VALUE(LEFT(Z413,1))*S413,0)</f>
        <v>0</v>
      </c>
      <c r="AB413" s="33">
        <f>IF($AA413&gt;0,VLOOKUP($K413,Ruimtegroepen[],3,FALSE)*VLOOKUP($M413,Vloersoorten[],3,FALSE)*VLOOKUP($Z413,Frequenties[],3,FALSE)*VLOOKUP(#REF!,Locaties[],3,FALSE),0)</f>
        <v>0</v>
      </c>
      <c r="AC413" s="33"/>
      <c r="AD413" s="33"/>
      <c r="AE413" s="33">
        <f>Ruimtestaat[[#This Row],[uren / jaar weekend]]*Tariefsopbouw!$D$40</f>
        <v>0</v>
      </c>
      <c r="AF413" s="79">
        <f>Ruimtestaat[[#This Row],[Prest. (m2 /jaar) weekend]]+Ruimtestaat[[#This Row],[Prest. (m2 /jaar) werkdagen]]</f>
        <v>0</v>
      </c>
      <c r="AG413" s="79">
        <f>Ruimtestaat[[#This Row],[uren / jaar weekend]]+Ruimtestaat[[#This Row],[uren / jaar werkdagen]]</f>
        <v>0</v>
      </c>
      <c r="AH413" s="80">
        <f>Ruimtestaat[[#This Row],[kosten / jaar weekend]]+Ruimtestaat[[#This Row],[kosten / jaar werkdagen]]</f>
        <v>0</v>
      </c>
    </row>
    <row r="414" spans="1:34" ht="15" customHeight="1">
      <c r="A414" s="256">
        <v>6</v>
      </c>
      <c r="B414" s="171" t="str">
        <f>VLOOKUP(Ruimtestaat[[#This Row],[Code]],Locaties[#All],2,FALSE)</f>
        <v>Het Reliëf</v>
      </c>
      <c r="C414" s="258" t="str">
        <f>VLOOKUP(Ruimtestaat[[#This Row],[Code]],Locaties[#All],4,FALSE)</f>
        <v>Floraparkstraat 390</v>
      </c>
      <c r="D414" s="258" t="str">
        <f>VLOOKUP(Ruimtestaat[[#This Row],[Code]],Locaties[#All],5,FALSE)</f>
        <v>7531HX</v>
      </c>
      <c r="E414" s="258" t="str">
        <f>VLOOKUP(Ruimtestaat[[#This Row],[Code]],Locaties[#All],6,FALSE)</f>
        <v>Enschede</v>
      </c>
      <c r="F414" s="257"/>
      <c r="G414" s="257" t="s">
        <v>563</v>
      </c>
      <c r="H414" s="171"/>
      <c r="I414" s="257" t="s">
        <v>474</v>
      </c>
      <c r="J414" s="259" t="s">
        <v>585</v>
      </c>
      <c r="K414" s="171">
        <v>20</v>
      </c>
      <c r="L414" s="260" t="str">
        <f>VLOOKUP(Ruimtestaat[[#This Row],[Ruimte code]],Ruimtegroepen[#All],2,FALSE)</f>
        <v>Niet in onderhoud</v>
      </c>
      <c r="M414" s="185"/>
      <c r="N414" s="257"/>
      <c r="O414" s="261"/>
      <c r="P414" s="183"/>
      <c r="Q414" s="212" t="str">
        <f>VLOOKUP(Ruimtestaat[[#This Row],[Ruimte code]],Ruimtegroepen[#All],4,FALSE)</f>
        <v>niet in onderhoud</v>
      </c>
      <c r="R414" s="184"/>
      <c r="S414" s="185"/>
      <c r="T414" s="185"/>
      <c r="U414" s="185">
        <f>IF(S414&gt;0,IF(RIGHT(Ruimtestaat[[#This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4" s="185">
        <f>IF(U414&gt;0,VLOOKUP($K414,Ruimtegroepen[],3,FALSE)*VLOOKUP($M414,Vloersoorten[],3,FALSE)*VLOOKUP($T414,Frequenties[],3,FALSE)*VLOOKUP($A414,Locaties[],3,FALSE),0)</f>
        <v>0</v>
      </c>
      <c r="W414" s="185">
        <f>Ruimtestaat[[#This Row],[Uitvoeringen werkdagen]]*Ruimtestaat[[#This Row],[Oppervlak (netto)]]</f>
        <v>0</v>
      </c>
      <c r="X414" s="220">
        <f>IF(V414&gt;0,Ruimtestaat[[#This Row],[Prest. (m2 /jaar) werkdagen]]/Ruimtestaat[[#This Row],[Norm (m2/uur) werkdagen]],0)</f>
        <v>0</v>
      </c>
      <c r="Y414" s="221">
        <f>Ruimtestaat[[#This Row],[uren / jaar werkdagen]]*Tariefsopbouw!$D$38</f>
        <v>0</v>
      </c>
      <c r="Z414" s="33"/>
      <c r="AA414" s="33">
        <f>IF(Ruimtestaat[[#This Row],[Frequentie weekend]]&gt;0,VALUE(LEFT(Z414,1))*S414,0)</f>
        <v>0</v>
      </c>
      <c r="AB414" s="33">
        <f>IF($AA414&gt;0,VLOOKUP($K414,Ruimtegroepen[],3,FALSE)*VLOOKUP($M414,Vloersoorten[],3,FALSE)*VLOOKUP($Z414,Frequenties[],3,FALSE)*VLOOKUP(#REF!,Locaties[],3,FALSE),0)</f>
        <v>0</v>
      </c>
      <c r="AC414" s="33"/>
      <c r="AD414" s="33"/>
      <c r="AE414" s="33">
        <f>Ruimtestaat[[#This Row],[uren / jaar weekend]]*Tariefsopbouw!$D$40</f>
        <v>0</v>
      </c>
      <c r="AF414" s="79">
        <f>Ruimtestaat[[#This Row],[Prest. (m2 /jaar) weekend]]+Ruimtestaat[[#This Row],[Prest. (m2 /jaar) werkdagen]]</f>
        <v>0</v>
      </c>
      <c r="AG414" s="79">
        <f>Ruimtestaat[[#This Row],[uren / jaar weekend]]+Ruimtestaat[[#This Row],[uren / jaar werkdagen]]</f>
        <v>0</v>
      </c>
      <c r="AH414" s="80">
        <f>Ruimtestaat[[#This Row],[kosten / jaar weekend]]+Ruimtestaat[[#This Row],[kosten / jaar werkdagen]]</f>
        <v>0</v>
      </c>
    </row>
    <row r="415" spans="1:34" ht="15" customHeight="1">
      <c r="A415" s="256">
        <v>6</v>
      </c>
      <c r="B415" s="171" t="str">
        <f>VLOOKUP(Ruimtestaat[[#This Row],[Code]],Locaties[#All],2,FALSE)</f>
        <v>Het Reliëf</v>
      </c>
      <c r="C415" s="258" t="str">
        <f>VLOOKUP(Ruimtestaat[[#This Row],[Code]],Locaties[#All],4,FALSE)</f>
        <v>Floraparkstraat 390</v>
      </c>
      <c r="D415" s="258" t="str">
        <f>VLOOKUP(Ruimtestaat[[#This Row],[Code]],Locaties[#All],5,FALSE)</f>
        <v>7531HX</v>
      </c>
      <c r="E415" s="258" t="str">
        <f>VLOOKUP(Ruimtestaat[[#This Row],[Code]],Locaties[#All],6,FALSE)</f>
        <v>Enschede</v>
      </c>
      <c r="F415" s="257"/>
      <c r="G415" s="257" t="s">
        <v>563</v>
      </c>
      <c r="H415" s="171"/>
      <c r="I415" s="257" t="s">
        <v>473</v>
      </c>
      <c r="J415" s="259" t="s">
        <v>835</v>
      </c>
      <c r="K415" s="171">
        <v>17</v>
      </c>
      <c r="L415" s="260" t="str">
        <f>VLOOKUP(Ruimtestaat[[#This Row],[Ruimte code]],Ruimtegroepen[#All],2,FALSE)</f>
        <v>Toestelberging</v>
      </c>
      <c r="M415" s="185" t="s">
        <v>112</v>
      </c>
      <c r="N415" s="257" t="s">
        <v>596</v>
      </c>
      <c r="O415" s="261">
        <v>26.5</v>
      </c>
      <c r="P415" s="183"/>
      <c r="Q415" s="212" t="str">
        <f>VLOOKUP(Ruimtestaat[[#This Row],[Ruimte code]],Ruimtegroepen[#All],4,FALSE)</f>
        <v>V  (Verkeersruimte)</v>
      </c>
      <c r="R415" s="184"/>
      <c r="S415" s="185">
        <v>40</v>
      </c>
      <c r="T415" s="185" t="s">
        <v>16</v>
      </c>
      <c r="U415" s="185">
        <f>IF(S415&gt;0,IF(RIGHT(Ruimtestaat[[#This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415" s="185">
        <f>IF(U415&gt;0,VLOOKUP($K415,Ruimtegroepen[],3,FALSE)*VLOOKUP($M415,Vloersoorten[],3,FALSE)*VLOOKUP($T415,Frequenties[],3,FALSE)*VLOOKUP($A415,Locaties[],3,FALSE),0)</f>
        <v>0</v>
      </c>
      <c r="W415" s="185">
        <f>Ruimtestaat[[#This Row],[Uitvoeringen werkdagen]]*Ruimtestaat[[#This Row],[Oppervlak (netto)]]</f>
        <v>318</v>
      </c>
      <c r="X415" s="220">
        <f>IF(V415&gt;0,Ruimtestaat[[#This Row],[Prest. (m2 /jaar) werkdagen]]/Ruimtestaat[[#This Row],[Norm (m2/uur) werkdagen]],0)</f>
        <v>0</v>
      </c>
      <c r="Y415" s="221">
        <f>Ruimtestaat[[#This Row],[uren / jaar werkdagen]]*Tariefsopbouw!$D$38</f>
        <v>0</v>
      </c>
      <c r="Z415" s="33"/>
      <c r="AA415" s="33">
        <f>IF(Ruimtestaat[[#This Row],[Frequentie weekend]]&gt;0,VALUE(LEFT(Z415,1))*S415,0)</f>
        <v>0</v>
      </c>
      <c r="AB415" s="33">
        <f>IF($AA415&gt;0,VLOOKUP($K415,Ruimtegroepen[],3,FALSE)*VLOOKUP($M415,Vloersoorten[],3,FALSE)*VLOOKUP($Z415,Frequenties[],3,FALSE)*VLOOKUP(#REF!,Locaties[],3,FALSE),0)</f>
        <v>0</v>
      </c>
      <c r="AC415" s="33"/>
      <c r="AD415" s="33"/>
      <c r="AE415" s="33">
        <f>Ruimtestaat[[#This Row],[uren / jaar weekend]]*Tariefsopbouw!$D$40</f>
        <v>0</v>
      </c>
      <c r="AF415" s="79">
        <f>Ruimtestaat[[#This Row],[Prest. (m2 /jaar) weekend]]+Ruimtestaat[[#This Row],[Prest. (m2 /jaar) werkdagen]]</f>
        <v>318</v>
      </c>
      <c r="AG415" s="79">
        <f>Ruimtestaat[[#This Row],[uren / jaar weekend]]+Ruimtestaat[[#This Row],[uren / jaar werkdagen]]</f>
        <v>0</v>
      </c>
      <c r="AH415" s="80">
        <f>Ruimtestaat[[#This Row],[kosten / jaar weekend]]+Ruimtestaat[[#This Row],[kosten / jaar werkdagen]]</f>
        <v>0</v>
      </c>
    </row>
    <row r="416" spans="1:34" ht="15" customHeight="1">
      <c r="A416" s="256">
        <v>6</v>
      </c>
      <c r="B416" s="171" t="str">
        <f>VLOOKUP(Ruimtestaat[[#This Row],[Code]],Locaties[#All],2,FALSE)</f>
        <v>Het Reliëf</v>
      </c>
      <c r="C416" s="258" t="str">
        <f>VLOOKUP(Ruimtestaat[[#This Row],[Code]],Locaties[#All],4,FALSE)</f>
        <v>Floraparkstraat 390</v>
      </c>
      <c r="D416" s="258" t="str">
        <f>VLOOKUP(Ruimtestaat[[#This Row],[Code]],Locaties[#All],5,FALSE)</f>
        <v>7531HX</v>
      </c>
      <c r="E416" s="258" t="str">
        <f>VLOOKUP(Ruimtestaat[[#This Row],[Code]],Locaties[#All],6,FALSE)</f>
        <v>Enschede</v>
      </c>
      <c r="F416" s="257"/>
      <c r="G416" s="257" t="s">
        <v>563</v>
      </c>
      <c r="H416" s="171"/>
      <c r="I416" s="257" t="s">
        <v>471</v>
      </c>
      <c r="J416" s="259" t="s">
        <v>585</v>
      </c>
      <c r="K416" s="171">
        <v>20</v>
      </c>
      <c r="L416" s="260" t="str">
        <f>VLOOKUP(Ruimtestaat[[#This Row],[Ruimte code]],Ruimtegroepen[#All],2,FALSE)</f>
        <v>Niet in onderhoud</v>
      </c>
      <c r="M416" s="185"/>
      <c r="N416" s="257"/>
      <c r="O416" s="261"/>
      <c r="P416" s="183"/>
      <c r="Q416" s="212" t="str">
        <f>VLOOKUP(Ruimtestaat[[#This Row],[Ruimte code]],Ruimtegroepen[#All],4,FALSE)</f>
        <v>niet in onderhoud</v>
      </c>
      <c r="R416" s="184"/>
      <c r="S416" s="185"/>
      <c r="T416" s="185"/>
      <c r="U416" s="185">
        <f>IF(S416&gt;0,IF(RIGHT(Ruimtestaat[[#This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6" s="185">
        <f>IF(U416&gt;0,VLOOKUP($K416,Ruimtegroepen[],3,FALSE)*VLOOKUP($M416,Vloersoorten[],3,FALSE)*VLOOKUP($T416,Frequenties[],3,FALSE)*VLOOKUP($A416,Locaties[],3,FALSE),0)</f>
        <v>0</v>
      </c>
      <c r="W416" s="185">
        <f>Ruimtestaat[[#This Row],[Uitvoeringen werkdagen]]*Ruimtestaat[[#This Row],[Oppervlak (netto)]]</f>
        <v>0</v>
      </c>
      <c r="X416" s="220">
        <f>IF(V416&gt;0,Ruimtestaat[[#This Row],[Prest. (m2 /jaar) werkdagen]]/Ruimtestaat[[#This Row],[Norm (m2/uur) werkdagen]],0)</f>
        <v>0</v>
      </c>
      <c r="Y416" s="221">
        <f>Ruimtestaat[[#This Row],[uren / jaar werkdagen]]*Tariefsopbouw!$D$38</f>
        <v>0</v>
      </c>
      <c r="Z416" s="33"/>
      <c r="AA416" s="33">
        <f>IF(Ruimtestaat[[#This Row],[Frequentie weekend]]&gt;0,VALUE(LEFT(Z416,1))*S416,0)</f>
        <v>0</v>
      </c>
      <c r="AB416" s="33">
        <f>IF($AA416&gt;0,VLOOKUP($K416,Ruimtegroepen[],3,FALSE)*VLOOKUP($M416,Vloersoorten[],3,FALSE)*VLOOKUP($Z416,Frequenties[],3,FALSE)*VLOOKUP(#REF!,Locaties[],3,FALSE),0)</f>
        <v>0</v>
      </c>
      <c r="AC416" s="33"/>
      <c r="AD416" s="33"/>
      <c r="AE416" s="33">
        <f>Ruimtestaat[[#This Row],[uren / jaar weekend]]*Tariefsopbouw!$D$40</f>
        <v>0</v>
      </c>
      <c r="AF416" s="79">
        <f>Ruimtestaat[[#This Row],[Prest. (m2 /jaar) weekend]]+Ruimtestaat[[#This Row],[Prest. (m2 /jaar) werkdagen]]</f>
        <v>0</v>
      </c>
      <c r="AG416" s="79">
        <f>Ruimtestaat[[#This Row],[uren / jaar weekend]]+Ruimtestaat[[#This Row],[uren / jaar werkdagen]]</f>
        <v>0</v>
      </c>
      <c r="AH416" s="80">
        <f>Ruimtestaat[[#This Row],[kosten / jaar weekend]]+Ruimtestaat[[#This Row],[kosten / jaar werkdagen]]</f>
        <v>0</v>
      </c>
    </row>
    <row r="417" spans="1:34" ht="15" customHeight="1">
      <c r="A417" s="256">
        <v>6</v>
      </c>
      <c r="B417" s="171" t="str">
        <f>VLOOKUP(Ruimtestaat[[#This Row],[Code]],Locaties[#All],2,FALSE)</f>
        <v>Het Reliëf</v>
      </c>
      <c r="C417" s="258" t="str">
        <f>VLOOKUP(Ruimtestaat[[#This Row],[Code]],Locaties[#All],4,FALSE)</f>
        <v>Floraparkstraat 390</v>
      </c>
      <c r="D417" s="258" t="str">
        <f>VLOOKUP(Ruimtestaat[[#This Row],[Code]],Locaties[#All],5,FALSE)</f>
        <v>7531HX</v>
      </c>
      <c r="E417" s="258" t="str">
        <f>VLOOKUP(Ruimtestaat[[#This Row],[Code]],Locaties[#All],6,FALSE)</f>
        <v>Enschede</v>
      </c>
      <c r="F417" s="257"/>
      <c r="G417" s="257" t="s">
        <v>563</v>
      </c>
      <c r="H417" s="171"/>
      <c r="I417" s="257" t="s">
        <v>472</v>
      </c>
      <c r="J417" s="259" t="s">
        <v>585</v>
      </c>
      <c r="K417" s="258">
        <v>20</v>
      </c>
      <c r="L417" s="260" t="str">
        <f>VLOOKUP(Ruimtestaat[[#This Row],[Ruimte code]],Ruimtegroepen[#All],2,FALSE)</f>
        <v>Niet in onderhoud</v>
      </c>
      <c r="M417" s="185"/>
      <c r="N417" s="257"/>
      <c r="O417" s="261"/>
      <c r="P417" s="183"/>
      <c r="Q417" s="212" t="str">
        <f>VLOOKUP(Ruimtestaat[[#This Row],[Ruimte code]],Ruimtegroepen[#All],4,FALSE)</f>
        <v>niet in onderhoud</v>
      </c>
      <c r="R417" s="184"/>
      <c r="S417" s="185"/>
      <c r="T417" s="185"/>
      <c r="U417" s="185">
        <f>IF(S417&gt;0,IF(RIGHT(Ruimtestaat[[#This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7" s="185">
        <f>IF(U417&gt;0,VLOOKUP($K417,Ruimtegroepen[],3,FALSE)*VLOOKUP($M417,Vloersoorten[],3,FALSE)*VLOOKUP($T417,Frequenties[],3,FALSE)*VLOOKUP($A417,Locaties[],3,FALSE),0)</f>
        <v>0</v>
      </c>
      <c r="W417" s="185">
        <f>Ruimtestaat[[#This Row],[Uitvoeringen werkdagen]]*Ruimtestaat[[#This Row],[Oppervlak (netto)]]</f>
        <v>0</v>
      </c>
      <c r="X417" s="220">
        <f>IF(V417&gt;0,Ruimtestaat[[#This Row],[Prest. (m2 /jaar) werkdagen]]/Ruimtestaat[[#This Row],[Norm (m2/uur) werkdagen]],0)</f>
        <v>0</v>
      </c>
      <c r="Y417" s="221">
        <f>Ruimtestaat[[#This Row],[uren / jaar werkdagen]]*Tariefsopbouw!$D$38</f>
        <v>0</v>
      </c>
      <c r="Z417" s="33"/>
      <c r="AA417" s="33">
        <f>IF(Ruimtestaat[[#This Row],[Frequentie weekend]]&gt;0,VALUE(LEFT(Z417,1))*S417,0)</f>
        <v>0</v>
      </c>
      <c r="AB417" s="33">
        <f>IF($AA417&gt;0,VLOOKUP($K417,Ruimtegroepen[],3,FALSE)*VLOOKUP($M417,Vloersoorten[],3,FALSE)*VLOOKUP($Z417,Frequenties[],3,FALSE)*VLOOKUP(#REF!,Locaties[],3,FALSE),0)</f>
        <v>0</v>
      </c>
      <c r="AC417" s="33"/>
      <c r="AD417" s="33"/>
      <c r="AE417" s="33">
        <f>Ruimtestaat[[#This Row],[uren / jaar weekend]]*Tariefsopbouw!$D$40</f>
        <v>0</v>
      </c>
      <c r="AF417" s="79">
        <f>Ruimtestaat[[#This Row],[Prest. (m2 /jaar) weekend]]+Ruimtestaat[[#This Row],[Prest. (m2 /jaar) werkdagen]]</f>
        <v>0</v>
      </c>
      <c r="AG417" s="79">
        <f>Ruimtestaat[[#This Row],[uren / jaar weekend]]+Ruimtestaat[[#This Row],[uren / jaar werkdagen]]</f>
        <v>0</v>
      </c>
      <c r="AH417" s="80">
        <f>Ruimtestaat[[#This Row],[kosten / jaar weekend]]+Ruimtestaat[[#This Row],[kosten / jaar werkdagen]]</f>
        <v>0</v>
      </c>
    </row>
    <row r="418" spans="1:34" ht="15" customHeight="1">
      <c r="A418" s="256">
        <v>6</v>
      </c>
      <c r="B418" s="171" t="str">
        <f>VLOOKUP(Ruimtestaat[[#This Row],[Code]],Locaties[#All],2,FALSE)</f>
        <v>Het Reliëf</v>
      </c>
      <c r="C418" s="258" t="str">
        <f>VLOOKUP(Ruimtestaat[[#This Row],[Code]],Locaties[#All],4,FALSE)</f>
        <v>Floraparkstraat 390</v>
      </c>
      <c r="D418" s="258" t="str">
        <f>VLOOKUP(Ruimtestaat[[#This Row],[Code]],Locaties[#All],5,FALSE)</f>
        <v>7531HX</v>
      </c>
      <c r="E418" s="258" t="str">
        <f>VLOOKUP(Ruimtestaat[[#This Row],[Code]],Locaties[#All],6,FALSE)</f>
        <v>Enschede</v>
      </c>
      <c r="F418" s="257"/>
      <c r="G418" s="257" t="s">
        <v>563</v>
      </c>
      <c r="H418" s="171"/>
      <c r="I418" s="257" t="s">
        <v>470</v>
      </c>
      <c r="J418" s="259" t="s">
        <v>580</v>
      </c>
      <c r="K418" s="171">
        <v>18</v>
      </c>
      <c r="L418" s="260" t="str">
        <f>VLOOKUP(Ruimtestaat[[#This Row],[Ruimte code]],Ruimtegroepen[#All],2,FALSE)</f>
        <v>Gymzaal</v>
      </c>
      <c r="M418" s="185" t="s">
        <v>112</v>
      </c>
      <c r="N418" s="257" t="s">
        <v>596</v>
      </c>
      <c r="O418" s="261">
        <v>121</v>
      </c>
      <c r="P418" s="183"/>
      <c r="Q418" s="212" t="str">
        <f>VLOOKUP(Ruimtestaat[[#This Row],[Ruimte code]],Ruimtegroepen[#All],4,FALSE)</f>
        <v>Sp  (Sportruimte)</v>
      </c>
      <c r="R418" s="184"/>
      <c r="S418" s="185">
        <v>40</v>
      </c>
      <c r="T418" s="185" t="s">
        <v>2</v>
      </c>
      <c r="U418" s="185">
        <f>IF(S418&gt;0,IF(RIGHT(Ruimtestaat[[#This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8" s="185">
        <f>IF(U418&gt;0,VLOOKUP($K418,Ruimtegroepen[],3,FALSE)*VLOOKUP($M418,Vloersoorten[],3,FALSE)*VLOOKUP($T418,Frequenties[],3,FALSE)*VLOOKUP($A418,Locaties[],3,FALSE),0)</f>
        <v>0</v>
      </c>
      <c r="W418" s="185">
        <f>Ruimtestaat[[#This Row],[Uitvoeringen werkdagen]]*Ruimtestaat[[#This Row],[Oppervlak (netto)]]</f>
        <v>24200</v>
      </c>
      <c r="X418" s="220">
        <f>IF(V418&gt;0,Ruimtestaat[[#This Row],[Prest. (m2 /jaar) werkdagen]]/Ruimtestaat[[#This Row],[Norm (m2/uur) werkdagen]],0)</f>
        <v>0</v>
      </c>
      <c r="Y418" s="221">
        <f>Ruimtestaat[[#This Row],[uren / jaar werkdagen]]*Tariefsopbouw!$D$38</f>
        <v>0</v>
      </c>
      <c r="Z418" s="33"/>
      <c r="AA418" s="33">
        <f>IF(Ruimtestaat[[#This Row],[Frequentie weekend]]&gt;0,VALUE(LEFT(Z418,1))*S418,0)</f>
        <v>0</v>
      </c>
      <c r="AB418" s="33">
        <f>IF($AA418&gt;0,VLOOKUP($K418,Ruimtegroepen[],3,FALSE)*VLOOKUP($M418,Vloersoorten[],3,FALSE)*VLOOKUP($Z418,Frequenties[],3,FALSE)*VLOOKUP(#REF!,Locaties[],3,FALSE),0)</f>
        <v>0</v>
      </c>
      <c r="AC418" s="33"/>
      <c r="AD418" s="33"/>
      <c r="AE418" s="33">
        <f>Ruimtestaat[[#This Row],[uren / jaar weekend]]*Tariefsopbouw!$D$40</f>
        <v>0</v>
      </c>
      <c r="AF418" s="79">
        <f>Ruimtestaat[[#This Row],[Prest. (m2 /jaar) weekend]]+Ruimtestaat[[#This Row],[Prest. (m2 /jaar) werkdagen]]</f>
        <v>24200</v>
      </c>
      <c r="AG418" s="79">
        <f>Ruimtestaat[[#This Row],[uren / jaar weekend]]+Ruimtestaat[[#This Row],[uren / jaar werkdagen]]</f>
        <v>0</v>
      </c>
      <c r="AH418" s="80">
        <f>Ruimtestaat[[#This Row],[kosten / jaar weekend]]+Ruimtestaat[[#This Row],[kosten / jaar werkdagen]]</f>
        <v>0</v>
      </c>
    </row>
    <row r="419" spans="1:34" ht="15" customHeight="1">
      <c r="A419" s="256">
        <v>6</v>
      </c>
      <c r="B419" s="171" t="str">
        <f>VLOOKUP(Ruimtestaat[[#This Row],[Code]],Locaties[#All],2,FALSE)</f>
        <v>Het Reliëf</v>
      </c>
      <c r="C419" s="258" t="str">
        <f>VLOOKUP(Ruimtestaat[[#This Row],[Code]],Locaties[#All],4,FALSE)</f>
        <v>Floraparkstraat 390</v>
      </c>
      <c r="D419" s="258" t="str">
        <f>VLOOKUP(Ruimtestaat[[#This Row],[Code]],Locaties[#All],5,FALSE)</f>
        <v>7531HX</v>
      </c>
      <c r="E419" s="258" t="str">
        <f>VLOOKUP(Ruimtestaat[[#This Row],[Code]],Locaties[#All],6,FALSE)</f>
        <v>Enschede</v>
      </c>
      <c r="F419" s="257"/>
      <c r="G419" s="257" t="s">
        <v>813</v>
      </c>
      <c r="H419" s="171"/>
      <c r="I419" s="257" t="s">
        <v>40</v>
      </c>
      <c r="J419" s="259" t="s">
        <v>40</v>
      </c>
      <c r="K419" s="171">
        <v>7</v>
      </c>
      <c r="L419" s="260" t="str">
        <f>VLOOKUP(Ruimtestaat[[#This Row],[Ruimte code]],Ruimtegroepen[#All],2,FALSE)</f>
        <v>Entree</v>
      </c>
      <c r="M419" s="185" t="s">
        <v>597</v>
      </c>
      <c r="N419" s="257" t="s">
        <v>604</v>
      </c>
      <c r="O419" s="261">
        <v>8</v>
      </c>
      <c r="P419" s="183"/>
      <c r="Q419" s="212" t="str">
        <f>VLOOKUP(Ruimtestaat[[#This Row],[Ruimte code]],Ruimtegroepen[#All],4,FALSE)</f>
        <v>V  (Verkeersruimte)</v>
      </c>
      <c r="R419" s="184"/>
      <c r="S419" s="185">
        <v>40</v>
      </c>
      <c r="T419" s="185" t="s">
        <v>2</v>
      </c>
      <c r="U419" s="185">
        <f>IF(S419&gt;0,IF(RIGHT(Ruimtestaat[[#This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9" s="185">
        <f>IF(U419&gt;0,VLOOKUP($K419,Ruimtegroepen[],3,FALSE)*VLOOKUP($M419,Vloersoorten[],3,FALSE)*VLOOKUP($T419,Frequenties[],3,FALSE)*VLOOKUP($A419,Locaties[],3,FALSE),0)</f>
        <v>0</v>
      </c>
      <c r="W419" s="185">
        <f>Ruimtestaat[[#This Row],[Uitvoeringen werkdagen]]*Ruimtestaat[[#This Row],[Oppervlak (netto)]]</f>
        <v>1600</v>
      </c>
      <c r="X419" s="220">
        <f>IF(V419&gt;0,Ruimtestaat[[#This Row],[Prest. (m2 /jaar) werkdagen]]/Ruimtestaat[[#This Row],[Norm (m2/uur) werkdagen]],0)</f>
        <v>0</v>
      </c>
      <c r="Y419" s="221">
        <f>Ruimtestaat[[#This Row],[uren / jaar werkdagen]]*Tariefsopbouw!$D$38</f>
        <v>0</v>
      </c>
      <c r="Z419" s="33"/>
      <c r="AA419" s="33">
        <f>IF(Ruimtestaat[[#This Row],[Frequentie weekend]]&gt;0,VALUE(LEFT(Z419,1))*S419,0)</f>
        <v>0</v>
      </c>
      <c r="AB419" s="33">
        <f>IF($AA419&gt;0,VLOOKUP($K419,Ruimtegroepen[],3,FALSE)*VLOOKUP($M419,Vloersoorten[],3,FALSE)*VLOOKUP($Z419,Frequenties[],3,FALSE)*VLOOKUP(#REF!,Locaties[],3,FALSE),0)</f>
        <v>0</v>
      </c>
      <c r="AC419" s="33"/>
      <c r="AD419" s="33"/>
      <c r="AE419" s="33">
        <f>Ruimtestaat[[#This Row],[uren / jaar weekend]]*Tariefsopbouw!$D$40</f>
        <v>0</v>
      </c>
      <c r="AF419" s="79">
        <f>Ruimtestaat[[#This Row],[Prest. (m2 /jaar) weekend]]+Ruimtestaat[[#This Row],[Prest. (m2 /jaar) werkdagen]]</f>
        <v>1600</v>
      </c>
      <c r="AG419" s="79">
        <f>Ruimtestaat[[#This Row],[uren / jaar weekend]]+Ruimtestaat[[#This Row],[uren / jaar werkdagen]]</f>
        <v>0</v>
      </c>
      <c r="AH419" s="80">
        <f>Ruimtestaat[[#This Row],[kosten / jaar weekend]]+Ruimtestaat[[#This Row],[kosten / jaar werkdagen]]</f>
        <v>0</v>
      </c>
    </row>
    <row r="420" spans="1:34" ht="15" customHeight="1">
      <c r="A420" s="256">
        <v>6</v>
      </c>
      <c r="B420" s="171" t="str">
        <f>VLOOKUP(Ruimtestaat[[#This Row],[Code]],Locaties[#All],2,FALSE)</f>
        <v>Het Reliëf</v>
      </c>
      <c r="C420" s="258" t="str">
        <f>VLOOKUP(Ruimtestaat[[#This Row],[Code]],Locaties[#All],4,FALSE)</f>
        <v>Floraparkstraat 390</v>
      </c>
      <c r="D420" s="258" t="str">
        <f>VLOOKUP(Ruimtestaat[[#This Row],[Code]],Locaties[#All],5,FALSE)</f>
        <v>7531HX</v>
      </c>
      <c r="E420" s="258" t="str">
        <f>VLOOKUP(Ruimtestaat[[#This Row],[Code]],Locaties[#All],6,FALSE)</f>
        <v>Enschede</v>
      </c>
      <c r="F420" s="257"/>
      <c r="G420" s="257" t="s">
        <v>813</v>
      </c>
      <c r="H420" s="171"/>
      <c r="I420" s="257" t="s">
        <v>836</v>
      </c>
      <c r="J420" s="259" t="s">
        <v>22</v>
      </c>
      <c r="K420" s="171">
        <v>5</v>
      </c>
      <c r="L420" s="260" t="str">
        <f>VLOOKUP(Ruimtestaat[[#This Row],[Ruimte code]],Ruimtegroepen[#All],2,FALSE)</f>
        <v>Sanitair</v>
      </c>
      <c r="M420" s="258" t="s">
        <v>110</v>
      </c>
      <c r="N420" s="257" t="s">
        <v>265</v>
      </c>
      <c r="O420" s="261">
        <v>6.7</v>
      </c>
      <c r="P420" s="183"/>
      <c r="Q420" s="212" t="str">
        <f>VLOOKUP(Ruimtestaat[[#This Row],[Ruimte code]],Ruimtegroepen[#All],4,FALSE)</f>
        <v>S  (Sanitair)</v>
      </c>
      <c r="R420" s="184"/>
      <c r="S420" s="185">
        <v>40</v>
      </c>
      <c r="T420" s="185" t="s">
        <v>2</v>
      </c>
      <c r="U420" s="185">
        <f>IF(S420&gt;0,IF(RIGHT(Ruimtestaat[[#This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0" s="185">
        <f>IF(U420&gt;0,VLOOKUP($K420,Ruimtegroepen[],3,FALSE)*VLOOKUP($M420,Vloersoorten[],3,FALSE)*VLOOKUP($T420,Frequenties[],3,FALSE)*VLOOKUP($A420,Locaties[],3,FALSE),0)</f>
        <v>0</v>
      </c>
      <c r="W420" s="185">
        <f>Ruimtestaat[[#This Row],[Uitvoeringen werkdagen]]*Ruimtestaat[[#This Row],[Oppervlak (netto)]]</f>
        <v>1340</v>
      </c>
      <c r="X420" s="220">
        <f>IF(V420&gt;0,Ruimtestaat[[#This Row],[Prest. (m2 /jaar) werkdagen]]/Ruimtestaat[[#This Row],[Norm (m2/uur) werkdagen]],0)</f>
        <v>0</v>
      </c>
      <c r="Y420" s="221">
        <f>Ruimtestaat[[#This Row],[uren / jaar werkdagen]]*Tariefsopbouw!$D$38</f>
        <v>0</v>
      </c>
      <c r="Z420" s="33"/>
      <c r="AA420" s="33">
        <f>IF(Ruimtestaat[[#This Row],[Frequentie weekend]]&gt;0,VALUE(LEFT(Z420,1))*S420,0)</f>
        <v>0</v>
      </c>
      <c r="AB420" s="33">
        <f>IF($AA420&gt;0,VLOOKUP($K420,Ruimtegroepen[],3,FALSE)*VLOOKUP($M420,Vloersoorten[],3,FALSE)*VLOOKUP($Z420,Frequenties[],3,FALSE)*VLOOKUP(#REF!,Locaties[],3,FALSE),0)</f>
        <v>0</v>
      </c>
      <c r="AC420" s="33"/>
      <c r="AD420" s="33"/>
      <c r="AE420" s="33">
        <f>Ruimtestaat[[#This Row],[uren / jaar weekend]]*Tariefsopbouw!$D$40</f>
        <v>0</v>
      </c>
      <c r="AF420" s="79">
        <f>Ruimtestaat[[#This Row],[Prest. (m2 /jaar) weekend]]+Ruimtestaat[[#This Row],[Prest. (m2 /jaar) werkdagen]]</f>
        <v>1340</v>
      </c>
      <c r="AG420" s="79">
        <f>Ruimtestaat[[#This Row],[uren / jaar weekend]]+Ruimtestaat[[#This Row],[uren / jaar werkdagen]]</f>
        <v>0</v>
      </c>
      <c r="AH420" s="80">
        <f>Ruimtestaat[[#This Row],[kosten / jaar weekend]]+Ruimtestaat[[#This Row],[kosten / jaar werkdagen]]</f>
        <v>0</v>
      </c>
    </row>
    <row r="421" spans="1:34" ht="15" customHeight="1">
      <c r="A421" s="256">
        <v>6</v>
      </c>
      <c r="B421" s="171" t="str">
        <f>VLOOKUP(Ruimtestaat[[#This Row],[Code]],Locaties[#All],2,FALSE)</f>
        <v>Het Reliëf</v>
      </c>
      <c r="C421" s="258" t="str">
        <f>VLOOKUP(Ruimtestaat[[#This Row],[Code]],Locaties[#All],4,FALSE)</f>
        <v>Floraparkstraat 390</v>
      </c>
      <c r="D421" s="258" t="str">
        <f>VLOOKUP(Ruimtestaat[[#This Row],[Code]],Locaties[#All],5,FALSE)</f>
        <v>7531HX</v>
      </c>
      <c r="E421" s="258" t="str">
        <f>VLOOKUP(Ruimtestaat[[#This Row],[Code]],Locaties[#All],6,FALSE)</f>
        <v>Enschede</v>
      </c>
      <c r="F421" s="257"/>
      <c r="G421" s="257" t="s">
        <v>813</v>
      </c>
      <c r="H421" s="171"/>
      <c r="I421" s="257" t="s">
        <v>385</v>
      </c>
      <c r="J421" s="259" t="s">
        <v>385</v>
      </c>
      <c r="K421" s="258">
        <v>16</v>
      </c>
      <c r="L421" s="260" t="str">
        <f>VLOOKUP(Ruimtestaat[[#This Row],[Ruimte code]],Ruimtegroepen[#All],2,FALSE)</f>
        <v>Leslokalen</v>
      </c>
      <c r="M421" s="258" t="s">
        <v>110</v>
      </c>
      <c r="N421" s="257" t="s">
        <v>265</v>
      </c>
      <c r="O421" s="261">
        <v>44.5</v>
      </c>
      <c r="P421" s="183"/>
      <c r="Q421" s="212" t="str">
        <f>VLOOKUP(Ruimtestaat[[#This Row],[Ruimte code]],Ruimtegroepen[#All],4,FALSE)</f>
        <v>L  (Lesruimte)</v>
      </c>
      <c r="R421" s="184"/>
      <c r="S421" s="185">
        <v>40</v>
      </c>
      <c r="T421" s="185" t="s">
        <v>2</v>
      </c>
      <c r="U421" s="185">
        <f>IF(S421&gt;0,IF(RIGHT(Ruimtestaat[[#This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1" s="185">
        <f>IF(U421&gt;0,VLOOKUP($K421,Ruimtegroepen[],3,FALSE)*VLOOKUP($M421,Vloersoorten[],3,FALSE)*VLOOKUP($T421,Frequenties[],3,FALSE)*VLOOKUP($A421,Locaties[],3,FALSE),0)</f>
        <v>0</v>
      </c>
      <c r="W421" s="185">
        <f>Ruimtestaat[[#This Row],[Uitvoeringen werkdagen]]*Ruimtestaat[[#This Row],[Oppervlak (netto)]]</f>
        <v>8900</v>
      </c>
      <c r="X421" s="220">
        <f>IF(V421&gt;0,Ruimtestaat[[#This Row],[Prest. (m2 /jaar) werkdagen]]/Ruimtestaat[[#This Row],[Norm (m2/uur) werkdagen]],0)</f>
        <v>0</v>
      </c>
      <c r="Y421" s="221">
        <f>Ruimtestaat[[#This Row],[uren / jaar werkdagen]]*Tariefsopbouw!$D$38</f>
        <v>0</v>
      </c>
      <c r="Z421" s="33"/>
      <c r="AA421" s="33">
        <f>IF(Ruimtestaat[[#This Row],[Frequentie weekend]]&gt;0,VALUE(LEFT(Z421,1))*S421,0)</f>
        <v>0</v>
      </c>
      <c r="AB421" s="33">
        <f>IF($AA421&gt;0,VLOOKUP($K421,Ruimtegroepen[],3,FALSE)*VLOOKUP($M421,Vloersoorten[],3,FALSE)*VLOOKUP($Z421,Frequenties[],3,FALSE)*VLOOKUP(#REF!,Locaties[],3,FALSE),0)</f>
        <v>0</v>
      </c>
      <c r="AC421" s="33"/>
      <c r="AD421" s="33"/>
      <c r="AE421" s="33">
        <f>Ruimtestaat[[#This Row],[uren / jaar weekend]]*Tariefsopbouw!$D$40</f>
        <v>0</v>
      </c>
      <c r="AF421" s="79">
        <f>Ruimtestaat[[#This Row],[Prest. (m2 /jaar) weekend]]+Ruimtestaat[[#This Row],[Prest. (m2 /jaar) werkdagen]]</f>
        <v>8900</v>
      </c>
      <c r="AG421" s="79">
        <f>Ruimtestaat[[#This Row],[uren / jaar weekend]]+Ruimtestaat[[#This Row],[uren / jaar werkdagen]]</f>
        <v>0</v>
      </c>
      <c r="AH421" s="80">
        <f>Ruimtestaat[[#This Row],[kosten / jaar weekend]]+Ruimtestaat[[#This Row],[kosten / jaar werkdagen]]</f>
        <v>0</v>
      </c>
    </row>
    <row r="422" spans="1:34" ht="15" customHeight="1">
      <c r="A422" s="256">
        <v>6</v>
      </c>
      <c r="B422" s="171" t="str">
        <f>VLOOKUP(Ruimtestaat[[#This Row],[Code]],Locaties[#All],2,FALSE)</f>
        <v>Het Reliëf</v>
      </c>
      <c r="C422" s="258" t="str">
        <f>VLOOKUP(Ruimtestaat[[#This Row],[Code]],Locaties[#All],4,FALSE)</f>
        <v>Floraparkstraat 390</v>
      </c>
      <c r="D422" s="258" t="str">
        <f>VLOOKUP(Ruimtestaat[[#This Row],[Code]],Locaties[#All],5,FALSE)</f>
        <v>7531HX</v>
      </c>
      <c r="E422" s="258" t="str">
        <f>VLOOKUP(Ruimtestaat[[#This Row],[Code]],Locaties[#All],6,FALSE)</f>
        <v>Enschede</v>
      </c>
      <c r="F422" s="257"/>
      <c r="G422" s="257" t="s">
        <v>813</v>
      </c>
      <c r="H422" s="171"/>
      <c r="I422" s="257" t="s">
        <v>571</v>
      </c>
      <c r="J422" s="259" t="s">
        <v>571</v>
      </c>
      <c r="K422" s="258">
        <v>2</v>
      </c>
      <c r="L422" s="260" t="str">
        <f>VLOOKUP(Ruimtestaat[[#This Row],[Ruimte code]],Ruimtegroepen[#All],2,FALSE)</f>
        <v>Kantoren</v>
      </c>
      <c r="M422" s="258" t="s">
        <v>110</v>
      </c>
      <c r="N422" s="257" t="s">
        <v>265</v>
      </c>
      <c r="O422" s="261">
        <v>42</v>
      </c>
      <c r="P422" s="183"/>
      <c r="Q422" s="212" t="str">
        <f>VLOOKUP(Ruimtestaat[[#This Row],[Ruimte code]],Ruimtegroepen[#All],4,FALSE)</f>
        <v>B  (Bureauruimte)</v>
      </c>
      <c r="R422" s="184"/>
      <c r="S422" s="185">
        <v>40</v>
      </c>
      <c r="T422" s="185" t="s">
        <v>15</v>
      </c>
      <c r="U422" s="185">
        <f>IF(S422&gt;0,IF(RIGHT(Ruimtestaat[[#This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22" s="185">
        <f>IF(U422&gt;0,VLOOKUP($K422,Ruimtegroepen[],3,FALSE)*VLOOKUP($M422,Vloersoorten[],3,FALSE)*VLOOKUP($T422,Frequenties[],3,FALSE)*VLOOKUP($A422,Locaties[],3,FALSE),0)</f>
        <v>0</v>
      </c>
      <c r="W422" s="185">
        <f>Ruimtestaat[[#This Row],[Uitvoeringen werkdagen]]*Ruimtestaat[[#This Row],[Oppervlak (netto)]]</f>
        <v>1680</v>
      </c>
      <c r="X422" s="220">
        <f>IF(V422&gt;0,Ruimtestaat[[#This Row],[Prest. (m2 /jaar) werkdagen]]/Ruimtestaat[[#This Row],[Norm (m2/uur) werkdagen]],0)</f>
        <v>0</v>
      </c>
      <c r="Y422" s="221">
        <f>Ruimtestaat[[#This Row],[uren / jaar werkdagen]]*Tariefsopbouw!$D$38</f>
        <v>0</v>
      </c>
      <c r="Z422" s="33"/>
      <c r="AA422" s="33">
        <f>IF(Ruimtestaat[[#This Row],[Frequentie weekend]]&gt;0,VALUE(LEFT(Z422,1))*S422,0)</f>
        <v>0</v>
      </c>
      <c r="AB422" s="33">
        <f>IF($AA422&gt;0,VLOOKUP($K422,Ruimtegroepen[],3,FALSE)*VLOOKUP($M422,Vloersoorten[],3,FALSE)*VLOOKUP($Z422,Frequenties[],3,FALSE)*VLOOKUP(#REF!,Locaties[],3,FALSE),0)</f>
        <v>0</v>
      </c>
      <c r="AC422" s="33"/>
      <c r="AD422" s="33"/>
      <c r="AE422" s="33">
        <f>Ruimtestaat[[#This Row],[uren / jaar weekend]]*Tariefsopbouw!$D$40</f>
        <v>0</v>
      </c>
      <c r="AF422" s="79">
        <f>Ruimtestaat[[#This Row],[Prest. (m2 /jaar) weekend]]+Ruimtestaat[[#This Row],[Prest. (m2 /jaar) werkdagen]]</f>
        <v>1680</v>
      </c>
      <c r="AG422" s="79">
        <f>Ruimtestaat[[#This Row],[uren / jaar weekend]]+Ruimtestaat[[#This Row],[uren / jaar werkdagen]]</f>
        <v>0</v>
      </c>
      <c r="AH422" s="80">
        <f>Ruimtestaat[[#This Row],[kosten / jaar weekend]]+Ruimtestaat[[#This Row],[kosten / jaar werkdagen]]</f>
        <v>0</v>
      </c>
    </row>
    <row r="423" spans="1:34" ht="15" customHeight="1">
      <c r="A423" s="256">
        <v>6</v>
      </c>
      <c r="B423" s="171" t="str">
        <f>VLOOKUP(Ruimtestaat[[#This Row],[Code]],Locaties[#All],2,FALSE)</f>
        <v>Het Reliëf</v>
      </c>
      <c r="C423" s="258" t="str">
        <f>VLOOKUP(Ruimtestaat[[#This Row],[Code]],Locaties[#All],4,FALSE)</f>
        <v>Floraparkstraat 390</v>
      </c>
      <c r="D423" s="258" t="str">
        <f>VLOOKUP(Ruimtestaat[[#This Row],[Code]],Locaties[#All],5,FALSE)</f>
        <v>7531HX</v>
      </c>
      <c r="E423" s="258" t="str">
        <f>VLOOKUP(Ruimtestaat[[#This Row],[Code]],Locaties[#All],6,FALSE)</f>
        <v>Enschede</v>
      </c>
      <c r="F423" s="257"/>
      <c r="G423" s="257" t="s">
        <v>563</v>
      </c>
      <c r="H423" s="171"/>
      <c r="I423" s="257" t="s">
        <v>837</v>
      </c>
      <c r="J423" s="259" t="s">
        <v>574</v>
      </c>
      <c r="K423" s="258">
        <v>6</v>
      </c>
      <c r="L423" s="260" t="str">
        <f>VLOOKUP(Ruimtestaat[[#This Row],[Ruimte code]],Ruimtegroepen[#All],2,FALSE)</f>
        <v>Gangen/hallen</v>
      </c>
      <c r="M423" s="212" t="s">
        <v>111</v>
      </c>
      <c r="N423" s="257" t="s">
        <v>855</v>
      </c>
      <c r="O423" s="261">
        <v>19.600000000000001</v>
      </c>
      <c r="P423" s="183"/>
      <c r="Q423" s="212" t="str">
        <f>VLOOKUP(Ruimtestaat[[#This Row],[Ruimte code]],Ruimtegroepen[#All],4,FALSE)</f>
        <v>V  (Verkeersruimte)</v>
      </c>
      <c r="R423" s="184"/>
      <c r="S423" s="185">
        <v>40</v>
      </c>
      <c r="T423" s="185" t="s">
        <v>2</v>
      </c>
      <c r="U423" s="185">
        <f>IF(S423&gt;0,IF(RIGHT(Ruimtestaat[[#This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3" s="185">
        <f>IF(U423&gt;0,VLOOKUP($K423,Ruimtegroepen[],3,FALSE)*VLOOKUP($M423,Vloersoorten[],3,FALSE)*VLOOKUP($T423,Frequenties[],3,FALSE)*VLOOKUP($A423,Locaties[],3,FALSE),0)</f>
        <v>0</v>
      </c>
      <c r="W423" s="185">
        <f>Ruimtestaat[[#This Row],[Uitvoeringen werkdagen]]*Ruimtestaat[[#This Row],[Oppervlak (netto)]]</f>
        <v>3920.0000000000005</v>
      </c>
      <c r="X423" s="220">
        <f>IF(V423&gt;0,Ruimtestaat[[#This Row],[Prest. (m2 /jaar) werkdagen]]/Ruimtestaat[[#This Row],[Norm (m2/uur) werkdagen]],0)</f>
        <v>0</v>
      </c>
      <c r="Y423" s="221">
        <f>Ruimtestaat[[#This Row],[uren / jaar werkdagen]]*Tariefsopbouw!$D$38</f>
        <v>0</v>
      </c>
      <c r="Z423" s="33"/>
      <c r="AA423" s="33">
        <f>IF(Ruimtestaat[[#This Row],[Frequentie weekend]]&gt;0,VALUE(LEFT(Z423,1))*S423,0)</f>
        <v>0</v>
      </c>
      <c r="AB423" s="33">
        <f>IF($AA423&gt;0,VLOOKUP($K423,Ruimtegroepen[],3,FALSE)*VLOOKUP($M423,Vloersoorten[],3,FALSE)*VLOOKUP($Z423,Frequenties[],3,FALSE)*VLOOKUP(#REF!,Locaties[],3,FALSE),0)</f>
        <v>0</v>
      </c>
      <c r="AC423" s="33"/>
      <c r="AD423" s="33"/>
      <c r="AE423" s="33">
        <f>Ruimtestaat[[#This Row],[uren / jaar weekend]]*Tariefsopbouw!$D$40</f>
        <v>0</v>
      </c>
      <c r="AF423" s="79">
        <f>Ruimtestaat[[#This Row],[Prest. (m2 /jaar) weekend]]+Ruimtestaat[[#This Row],[Prest. (m2 /jaar) werkdagen]]</f>
        <v>3920.0000000000005</v>
      </c>
      <c r="AG423" s="79">
        <f>Ruimtestaat[[#This Row],[uren / jaar weekend]]+Ruimtestaat[[#This Row],[uren / jaar werkdagen]]</f>
        <v>0</v>
      </c>
      <c r="AH423" s="80">
        <f>Ruimtestaat[[#This Row],[kosten / jaar weekend]]+Ruimtestaat[[#This Row],[kosten / jaar werkdagen]]</f>
        <v>0</v>
      </c>
    </row>
    <row r="424" spans="1:34" ht="15" customHeight="1">
      <c r="A424" s="256">
        <v>6</v>
      </c>
      <c r="B424" s="171" t="str">
        <f>VLOOKUP(Ruimtestaat[[#This Row],[Code]],Locaties[#All],2,FALSE)</f>
        <v>Het Reliëf</v>
      </c>
      <c r="C424" s="258" t="str">
        <f>VLOOKUP(Ruimtestaat[[#This Row],[Code]],Locaties[#All],4,FALSE)</f>
        <v>Floraparkstraat 390</v>
      </c>
      <c r="D424" s="258" t="str">
        <f>VLOOKUP(Ruimtestaat[[#This Row],[Code]],Locaties[#All],5,FALSE)</f>
        <v>7531HX</v>
      </c>
      <c r="E424" s="258" t="str">
        <f>VLOOKUP(Ruimtestaat[[#This Row],[Code]],Locaties[#All],6,FALSE)</f>
        <v>Enschede</v>
      </c>
      <c r="F424" s="257"/>
      <c r="G424" s="257" t="s">
        <v>563</v>
      </c>
      <c r="H424" s="171"/>
      <c r="I424" s="257" t="s">
        <v>838</v>
      </c>
      <c r="J424" s="259" t="s">
        <v>839</v>
      </c>
      <c r="K424" s="258">
        <v>5</v>
      </c>
      <c r="L424" s="260" t="str">
        <f>VLOOKUP(Ruimtestaat[[#This Row],[Ruimte code]],Ruimtegroepen[#All],2,FALSE)</f>
        <v>Sanitair</v>
      </c>
      <c r="M424" s="212" t="s">
        <v>111</v>
      </c>
      <c r="N424" s="257" t="s">
        <v>606</v>
      </c>
      <c r="O424" s="261">
        <v>12</v>
      </c>
      <c r="P424" s="183"/>
      <c r="Q424" s="212" t="str">
        <f>VLOOKUP(Ruimtestaat[[#This Row],[Ruimte code]],Ruimtegroepen[#All],4,FALSE)</f>
        <v>S  (Sanitair)</v>
      </c>
      <c r="R424" s="184"/>
      <c r="S424" s="185">
        <v>40</v>
      </c>
      <c r="T424" s="185" t="s">
        <v>2</v>
      </c>
      <c r="U424" s="185">
        <f>IF(S424&gt;0,IF(RIGHT(Ruimtestaat[[#This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4" s="185">
        <f>IF(U424&gt;0,VLOOKUP($K424,Ruimtegroepen[],3,FALSE)*VLOOKUP($M424,Vloersoorten[],3,FALSE)*VLOOKUP($T424,Frequenties[],3,FALSE)*VLOOKUP($A424,Locaties[],3,FALSE),0)</f>
        <v>0</v>
      </c>
      <c r="W424" s="185">
        <f>Ruimtestaat[[#This Row],[Uitvoeringen werkdagen]]*Ruimtestaat[[#This Row],[Oppervlak (netto)]]</f>
        <v>2400</v>
      </c>
      <c r="X424" s="220">
        <f>IF(V424&gt;0,Ruimtestaat[[#This Row],[Prest. (m2 /jaar) werkdagen]]/Ruimtestaat[[#This Row],[Norm (m2/uur) werkdagen]],0)</f>
        <v>0</v>
      </c>
      <c r="Y424" s="221">
        <f>Ruimtestaat[[#This Row],[uren / jaar werkdagen]]*Tariefsopbouw!$D$38</f>
        <v>0</v>
      </c>
      <c r="Z424" s="33"/>
      <c r="AA424" s="33">
        <f>IF(Ruimtestaat[[#This Row],[Frequentie weekend]]&gt;0,VALUE(LEFT(Z424,1))*S424,0)</f>
        <v>0</v>
      </c>
      <c r="AB424" s="33">
        <f>IF($AA424&gt;0,VLOOKUP($K424,Ruimtegroepen[],3,FALSE)*VLOOKUP($M424,Vloersoorten[],3,FALSE)*VLOOKUP($Z424,Frequenties[],3,FALSE)*VLOOKUP(#REF!,Locaties[],3,FALSE),0)</f>
        <v>0</v>
      </c>
      <c r="AC424" s="33"/>
      <c r="AD424" s="33"/>
      <c r="AE424" s="33">
        <f>Ruimtestaat[[#This Row],[uren / jaar weekend]]*Tariefsopbouw!$D$40</f>
        <v>0</v>
      </c>
      <c r="AF424" s="79">
        <f>Ruimtestaat[[#This Row],[Prest. (m2 /jaar) weekend]]+Ruimtestaat[[#This Row],[Prest. (m2 /jaar) werkdagen]]</f>
        <v>2400</v>
      </c>
      <c r="AG424" s="79">
        <f>Ruimtestaat[[#This Row],[uren / jaar weekend]]+Ruimtestaat[[#This Row],[uren / jaar werkdagen]]</f>
        <v>0</v>
      </c>
      <c r="AH424" s="80">
        <f>Ruimtestaat[[#This Row],[kosten / jaar weekend]]+Ruimtestaat[[#This Row],[kosten / jaar werkdagen]]</f>
        <v>0</v>
      </c>
    </row>
    <row r="425" spans="1:34" ht="15" customHeight="1">
      <c r="A425" s="256">
        <v>6</v>
      </c>
      <c r="B425" s="171" t="str">
        <f>VLOOKUP(Ruimtestaat[[#This Row],[Code]],Locaties[#All],2,FALSE)</f>
        <v>Het Reliëf</v>
      </c>
      <c r="C425" s="258" t="str">
        <f>VLOOKUP(Ruimtestaat[[#This Row],[Code]],Locaties[#All],4,FALSE)</f>
        <v>Floraparkstraat 390</v>
      </c>
      <c r="D425" s="258" t="str">
        <f>VLOOKUP(Ruimtestaat[[#This Row],[Code]],Locaties[#All],5,FALSE)</f>
        <v>7531HX</v>
      </c>
      <c r="E425" s="258" t="str">
        <f>VLOOKUP(Ruimtestaat[[#This Row],[Code]],Locaties[#All],6,FALSE)</f>
        <v>Enschede</v>
      </c>
      <c r="F425" s="257"/>
      <c r="G425" s="257" t="s">
        <v>563</v>
      </c>
      <c r="H425" s="171"/>
      <c r="I425" s="257" t="s">
        <v>840</v>
      </c>
      <c r="J425" s="259" t="s">
        <v>839</v>
      </c>
      <c r="K425" s="171">
        <v>5</v>
      </c>
      <c r="L425" s="260" t="str">
        <f>VLOOKUP(Ruimtestaat[[#This Row],[Ruimte code]],Ruimtegroepen[#All],2,FALSE)</f>
        <v>Sanitair</v>
      </c>
      <c r="M425" s="212" t="s">
        <v>111</v>
      </c>
      <c r="N425" s="257" t="s">
        <v>606</v>
      </c>
      <c r="O425" s="261">
        <v>12</v>
      </c>
      <c r="P425" s="183"/>
      <c r="Q425" s="212" t="str">
        <f>VLOOKUP(Ruimtestaat[[#This Row],[Ruimte code]],Ruimtegroepen[#All],4,FALSE)</f>
        <v>S  (Sanitair)</v>
      </c>
      <c r="R425" s="184"/>
      <c r="S425" s="185">
        <v>40</v>
      </c>
      <c r="T425" s="185" t="s">
        <v>2</v>
      </c>
      <c r="U425" s="185">
        <f>IF(S425&gt;0,IF(RIGHT(Ruimtestaat[[#This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5" s="185">
        <f>IF(U425&gt;0,VLOOKUP($K425,Ruimtegroepen[],3,FALSE)*VLOOKUP($M425,Vloersoorten[],3,FALSE)*VLOOKUP($T425,Frequenties[],3,FALSE)*VLOOKUP($A425,Locaties[],3,FALSE),0)</f>
        <v>0</v>
      </c>
      <c r="W425" s="185">
        <f>Ruimtestaat[[#This Row],[Uitvoeringen werkdagen]]*Ruimtestaat[[#This Row],[Oppervlak (netto)]]</f>
        <v>2400</v>
      </c>
      <c r="X425" s="220">
        <f>IF(V425&gt;0,Ruimtestaat[[#This Row],[Prest. (m2 /jaar) werkdagen]]/Ruimtestaat[[#This Row],[Norm (m2/uur) werkdagen]],0)</f>
        <v>0</v>
      </c>
      <c r="Y425" s="221">
        <f>Ruimtestaat[[#This Row],[uren / jaar werkdagen]]*Tariefsopbouw!$D$38</f>
        <v>0</v>
      </c>
      <c r="Z425" s="33"/>
      <c r="AA425" s="33">
        <f>IF(Ruimtestaat[[#This Row],[Frequentie weekend]]&gt;0,VALUE(LEFT(Z425,1))*S425,0)</f>
        <v>0</v>
      </c>
      <c r="AB425" s="33">
        <f>IF($AA425&gt;0,VLOOKUP($K425,Ruimtegroepen[],3,FALSE)*VLOOKUP($M425,Vloersoorten[],3,FALSE)*VLOOKUP($Z425,Frequenties[],3,FALSE)*VLOOKUP(#REF!,Locaties[],3,FALSE),0)</f>
        <v>0</v>
      </c>
      <c r="AC425" s="33"/>
      <c r="AD425" s="33"/>
      <c r="AE425" s="33">
        <f>Ruimtestaat[[#This Row],[uren / jaar weekend]]*Tariefsopbouw!$D$40</f>
        <v>0</v>
      </c>
      <c r="AF425" s="79">
        <f>Ruimtestaat[[#This Row],[Prest. (m2 /jaar) weekend]]+Ruimtestaat[[#This Row],[Prest. (m2 /jaar) werkdagen]]</f>
        <v>2400</v>
      </c>
      <c r="AG425" s="79">
        <f>Ruimtestaat[[#This Row],[uren / jaar weekend]]+Ruimtestaat[[#This Row],[uren / jaar werkdagen]]</f>
        <v>0</v>
      </c>
      <c r="AH425" s="80">
        <f>Ruimtestaat[[#This Row],[kosten / jaar weekend]]+Ruimtestaat[[#This Row],[kosten / jaar werkdagen]]</f>
        <v>0</v>
      </c>
    </row>
    <row r="426" spans="1:34" ht="15" customHeight="1">
      <c r="A426" s="256">
        <v>6</v>
      </c>
      <c r="B426" s="171" t="str">
        <f>VLOOKUP(Ruimtestaat[[#This Row],[Code]],Locaties[#All],2,FALSE)</f>
        <v>Het Reliëf</v>
      </c>
      <c r="C426" s="258" t="str">
        <f>VLOOKUP(Ruimtestaat[[#This Row],[Code]],Locaties[#All],4,FALSE)</f>
        <v>Floraparkstraat 390</v>
      </c>
      <c r="D426" s="258" t="str">
        <f>VLOOKUP(Ruimtestaat[[#This Row],[Code]],Locaties[#All],5,FALSE)</f>
        <v>7531HX</v>
      </c>
      <c r="E426" s="258" t="str">
        <f>VLOOKUP(Ruimtestaat[[#This Row],[Code]],Locaties[#All],6,FALSE)</f>
        <v>Enschede</v>
      </c>
      <c r="F426" s="257"/>
      <c r="G426" s="257" t="s">
        <v>563</v>
      </c>
      <c r="H426" s="171"/>
      <c r="I426" s="257" t="s">
        <v>841</v>
      </c>
      <c r="J426" s="259" t="s">
        <v>577</v>
      </c>
      <c r="K426" s="171">
        <v>1</v>
      </c>
      <c r="L426" s="260" t="str">
        <f>VLOOKUP(Ruimtestaat[[#This Row],[Ruimte code]],Ruimtegroepen[#All],2,FALSE)</f>
        <v>Magazijnen/bergingen</v>
      </c>
      <c r="M426" s="212" t="s">
        <v>111</v>
      </c>
      <c r="N426" s="257" t="s">
        <v>855</v>
      </c>
      <c r="O426" s="261"/>
      <c r="P426" s="183">
        <v>6</v>
      </c>
      <c r="Q426" s="212" t="str">
        <f>VLOOKUP(Ruimtestaat[[#This Row],[Ruimte code]],Ruimtegroepen[#All],4,FALSE)</f>
        <v>V  (Verkeersruimte)</v>
      </c>
      <c r="R426" s="184"/>
      <c r="S426" s="185"/>
      <c r="T426" s="185"/>
      <c r="U426" s="185">
        <f>IF(S426&gt;0,IF(RIGHT(Ruimtestaat[[#This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26" s="185">
        <f>IF(U426&gt;0,VLOOKUP($K426,Ruimtegroepen[],3,FALSE)*VLOOKUP($M426,Vloersoorten[],3,FALSE)*VLOOKUP($T426,Frequenties[],3,FALSE)*VLOOKUP($A426,Locaties[],3,FALSE),0)</f>
        <v>0</v>
      </c>
      <c r="W426" s="185">
        <f>Ruimtestaat[[#This Row],[Uitvoeringen werkdagen]]*Ruimtestaat[[#This Row],[Oppervlak (netto)]]</f>
        <v>0</v>
      </c>
      <c r="X426" s="220">
        <f>IF(V426&gt;0,Ruimtestaat[[#This Row],[Prest. (m2 /jaar) werkdagen]]/Ruimtestaat[[#This Row],[Norm (m2/uur) werkdagen]],0)</f>
        <v>0</v>
      </c>
      <c r="Y426" s="221">
        <f>Ruimtestaat[[#This Row],[uren / jaar werkdagen]]*Tariefsopbouw!$D$38</f>
        <v>0</v>
      </c>
      <c r="Z426" s="33"/>
      <c r="AA426" s="33">
        <f>IF(Ruimtestaat[[#This Row],[Frequentie weekend]]&gt;0,VALUE(LEFT(Z426,1))*S426,0)</f>
        <v>0</v>
      </c>
      <c r="AB426" s="33">
        <f>IF($AA426&gt;0,VLOOKUP($K426,Ruimtegroepen[],3,FALSE)*VLOOKUP($M426,Vloersoorten[],3,FALSE)*VLOOKUP($Z426,Frequenties[],3,FALSE)*VLOOKUP(#REF!,Locaties[],3,FALSE),0)</f>
        <v>0</v>
      </c>
      <c r="AC426" s="33"/>
      <c r="AD426" s="33"/>
      <c r="AE426" s="33">
        <f>Ruimtestaat[[#This Row],[uren / jaar weekend]]*Tariefsopbouw!$D$40</f>
        <v>0</v>
      </c>
      <c r="AF426" s="79">
        <f>Ruimtestaat[[#This Row],[Prest. (m2 /jaar) weekend]]+Ruimtestaat[[#This Row],[Prest. (m2 /jaar) werkdagen]]</f>
        <v>0</v>
      </c>
      <c r="AG426" s="79">
        <f>Ruimtestaat[[#This Row],[uren / jaar weekend]]+Ruimtestaat[[#This Row],[uren / jaar werkdagen]]</f>
        <v>0</v>
      </c>
      <c r="AH426" s="80">
        <f>Ruimtestaat[[#This Row],[kosten / jaar weekend]]+Ruimtestaat[[#This Row],[kosten / jaar werkdagen]]</f>
        <v>0</v>
      </c>
    </row>
    <row r="427" spans="1:34" ht="15" customHeight="1">
      <c r="A427" s="256">
        <v>6</v>
      </c>
      <c r="B427" s="171" t="str">
        <f>VLOOKUP(Ruimtestaat[[#This Row],[Code]],Locaties[#All],2,FALSE)</f>
        <v>Het Reliëf</v>
      </c>
      <c r="C427" s="258" t="str">
        <f>VLOOKUP(Ruimtestaat[[#This Row],[Code]],Locaties[#All],4,FALSE)</f>
        <v>Floraparkstraat 390</v>
      </c>
      <c r="D427" s="258" t="str">
        <f>VLOOKUP(Ruimtestaat[[#This Row],[Code]],Locaties[#All],5,FALSE)</f>
        <v>7531HX</v>
      </c>
      <c r="E427" s="258" t="str">
        <f>VLOOKUP(Ruimtestaat[[#This Row],[Code]],Locaties[#All],6,FALSE)</f>
        <v>Enschede</v>
      </c>
      <c r="F427" s="257"/>
      <c r="G427" s="257" t="s">
        <v>563</v>
      </c>
      <c r="H427" s="171"/>
      <c r="I427" s="257" t="s">
        <v>842</v>
      </c>
      <c r="J427" s="259" t="s">
        <v>588</v>
      </c>
      <c r="K427" s="171">
        <v>6</v>
      </c>
      <c r="L427" s="260" t="str">
        <f>VLOOKUP(Ruimtestaat[[#This Row],[Ruimte code]],Ruimtegroepen[#All],2,FALSE)</f>
        <v>Gangen/hallen</v>
      </c>
      <c r="M427" s="212" t="s">
        <v>111</v>
      </c>
      <c r="N427" s="257" t="s">
        <v>855</v>
      </c>
      <c r="O427" s="261">
        <v>16.8</v>
      </c>
      <c r="P427" s="183"/>
      <c r="Q427" s="212" t="str">
        <f>VLOOKUP(Ruimtestaat[[#This Row],[Ruimte code]],Ruimtegroepen[#All],4,FALSE)</f>
        <v>V  (Verkeersruimte)</v>
      </c>
      <c r="R427" s="184"/>
      <c r="S427" s="185">
        <v>40</v>
      </c>
      <c r="T427" s="185" t="s">
        <v>2</v>
      </c>
      <c r="U427" s="185">
        <f>IF(S427&gt;0,IF(RIGHT(Ruimtestaat[[#This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7" s="185">
        <f>IF(U427&gt;0,VLOOKUP($K427,Ruimtegroepen[],3,FALSE)*VLOOKUP($M427,Vloersoorten[],3,FALSE)*VLOOKUP($T427,Frequenties[],3,FALSE)*VLOOKUP($A427,Locaties[],3,FALSE),0)</f>
        <v>0</v>
      </c>
      <c r="W427" s="185">
        <f>Ruimtestaat[[#This Row],[Uitvoeringen werkdagen]]*Ruimtestaat[[#This Row],[Oppervlak (netto)]]</f>
        <v>3360</v>
      </c>
      <c r="X427" s="220">
        <f>IF(V427&gt;0,Ruimtestaat[[#This Row],[Prest. (m2 /jaar) werkdagen]]/Ruimtestaat[[#This Row],[Norm (m2/uur) werkdagen]],0)</f>
        <v>0</v>
      </c>
      <c r="Y427" s="221">
        <f>Ruimtestaat[[#This Row],[uren / jaar werkdagen]]*Tariefsopbouw!$D$38</f>
        <v>0</v>
      </c>
      <c r="Z427" s="33"/>
      <c r="AA427" s="33">
        <f>IF(Ruimtestaat[[#This Row],[Frequentie weekend]]&gt;0,VALUE(LEFT(Z427,1))*S427,0)</f>
        <v>0</v>
      </c>
      <c r="AB427" s="33">
        <f>IF($AA427&gt;0,VLOOKUP($K427,Ruimtegroepen[],3,FALSE)*VLOOKUP($M427,Vloersoorten[],3,FALSE)*VLOOKUP($Z427,Frequenties[],3,FALSE)*VLOOKUP(#REF!,Locaties[],3,FALSE),0)</f>
        <v>0</v>
      </c>
      <c r="AC427" s="33"/>
      <c r="AD427" s="33"/>
      <c r="AE427" s="33">
        <f>Ruimtestaat[[#This Row],[uren / jaar weekend]]*Tariefsopbouw!$D$40</f>
        <v>0</v>
      </c>
      <c r="AF427" s="79">
        <f>Ruimtestaat[[#This Row],[Prest. (m2 /jaar) weekend]]+Ruimtestaat[[#This Row],[Prest. (m2 /jaar) werkdagen]]</f>
        <v>3360</v>
      </c>
      <c r="AG427" s="79">
        <f>Ruimtestaat[[#This Row],[uren / jaar weekend]]+Ruimtestaat[[#This Row],[uren / jaar werkdagen]]</f>
        <v>0</v>
      </c>
      <c r="AH427" s="80">
        <f>Ruimtestaat[[#This Row],[kosten / jaar weekend]]+Ruimtestaat[[#This Row],[kosten / jaar werkdagen]]</f>
        <v>0</v>
      </c>
    </row>
    <row r="428" spans="1:34" ht="15" customHeight="1">
      <c r="A428" s="256">
        <v>6</v>
      </c>
      <c r="B428" s="171" t="str">
        <f>VLOOKUP(Ruimtestaat[[#This Row],[Code]],Locaties[#All],2,FALSE)</f>
        <v>Het Reliëf</v>
      </c>
      <c r="C428" s="258" t="str">
        <f>VLOOKUP(Ruimtestaat[[#This Row],[Code]],Locaties[#All],4,FALSE)</f>
        <v>Floraparkstraat 390</v>
      </c>
      <c r="D428" s="258" t="str">
        <f>VLOOKUP(Ruimtestaat[[#This Row],[Code]],Locaties[#All],5,FALSE)</f>
        <v>7531HX</v>
      </c>
      <c r="E428" s="258" t="str">
        <f>VLOOKUP(Ruimtestaat[[#This Row],[Code]],Locaties[#All],6,FALSE)</f>
        <v>Enschede</v>
      </c>
      <c r="F428" s="257"/>
      <c r="G428" s="257" t="s">
        <v>563</v>
      </c>
      <c r="H428" s="171"/>
      <c r="I428" s="257" t="s">
        <v>497</v>
      </c>
      <c r="J428" s="259" t="s">
        <v>843</v>
      </c>
      <c r="K428" s="171">
        <v>16</v>
      </c>
      <c r="L428" s="260" t="str">
        <f>VLOOKUP(Ruimtestaat[[#This Row],[Ruimte code]],Ruimtegroepen[#All],2,FALSE)</f>
        <v>Leslokalen</v>
      </c>
      <c r="M428" s="212" t="s">
        <v>111</v>
      </c>
      <c r="N428" s="257" t="s">
        <v>855</v>
      </c>
      <c r="O428" s="261">
        <v>27</v>
      </c>
      <c r="P428" s="183"/>
      <c r="Q428" s="212" t="str">
        <f>VLOOKUP(Ruimtestaat[[#This Row],[Ruimte code]],Ruimtegroepen[#All],4,FALSE)</f>
        <v>L  (Lesruimte)</v>
      </c>
      <c r="R428" s="184"/>
      <c r="S428" s="185">
        <v>40</v>
      </c>
      <c r="T428" s="185" t="s">
        <v>17</v>
      </c>
      <c r="U428" s="185">
        <f>IF(S428&gt;0,IF(RIGHT(Ruimtestaat[[#This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428" s="185">
        <f>IF(U428&gt;0,VLOOKUP($K428,Ruimtegroepen[],3,FALSE)*VLOOKUP($M428,Vloersoorten[],3,FALSE)*VLOOKUP($T428,Frequenties[],3,FALSE)*VLOOKUP($A428,Locaties[],3,FALSE),0)</f>
        <v>0</v>
      </c>
      <c r="W428" s="185">
        <f>Ruimtestaat[[#This Row],[Uitvoeringen werkdagen]]*Ruimtestaat[[#This Row],[Oppervlak (netto)]]</f>
        <v>2160</v>
      </c>
      <c r="X428" s="220">
        <f>IF(V428&gt;0,Ruimtestaat[[#This Row],[Prest. (m2 /jaar) werkdagen]]/Ruimtestaat[[#This Row],[Norm (m2/uur) werkdagen]],0)</f>
        <v>0</v>
      </c>
      <c r="Y428" s="221">
        <f>Ruimtestaat[[#This Row],[uren / jaar werkdagen]]*Tariefsopbouw!$D$38</f>
        <v>0</v>
      </c>
      <c r="Z428" s="33"/>
      <c r="AA428" s="33">
        <f>IF(Ruimtestaat[[#This Row],[Frequentie weekend]]&gt;0,VALUE(LEFT(Z428,1))*S428,0)</f>
        <v>0</v>
      </c>
      <c r="AB428" s="33">
        <f>IF($AA428&gt;0,VLOOKUP($K428,Ruimtegroepen[],3,FALSE)*VLOOKUP($M428,Vloersoorten[],3,FALSE)*VLOOKUP($Z428,Frequenties[],3,FALSE)*VLOOKUP(#REF!,Locaties[],3,FALSE),0)</f>
        <v>0</v>
      </c>
      <c r="AC428" s="33"/>
      <c r="AD428" s="33"/>
      <c r="AE428" s="33">
        <f>Ruimtestaat[[#This Row],[uren / jaar weekend]]*Tariefsopbouw!$D$40</f>
        <v>0</v>
      </c>
      <c r="AF428" s="79">
        <f>Ruimtestaat[[#This Row],[Prest. (m2 /jaar) weekend]]+Ruimtestaat[[#This Row],[Prest. (m2 /jaar) werkdagen]]</f>
        <v>2160</v>
      </c>
      <c r="AG428" s="79">
        <f>Ruimtestaat[[#This Row],[uren / jaar weekend]]+Ruimtestaat[[#This Row],[uren / jaar werkdagen]]</f>
        <v>0</v>
      </c>
      <c r="AH428" s="80">
        <f>Ruimtestaat[[#This Row],[kosten / jaar weekend]]+Ruimtestaat[[#This Row],[kosten / jaar werkdagen]]</f>
        <v>0</v>
      </c>
    </row>
    <row r="429" spans="1:34" ht="15" customHeight="1">
      <c r="A429" s="256">
        <v>6</v>
      </c>
      <c r="B429" s="171" t="str">
        <f>VLOOKUP(Ruimtestaat[[#This Row],[Code]],Locaties[#All],2,FALSE)</f>
        <v>Het Reliëf</v>
      </c>
      <c r="C429" s="258" t="str">
        <f>VLOOKUP(Ruimtestaat[[#This Row],[Code]],Locaties[#All],4,FALSE)</f>
        <v>Floraparkstraat 390</v>
      </c>
      <c r="D429" s="258" t="str">
        <f>VLOOKUP(Ruimtestaat[[#This Row],[Code]],Locaties[#All],5,FALSE)</f>
        <v>7531HX</v>
      </c>
      <c r="E429" s="258" t="str">
        <f>VLOOKUP(Ruimtestaat[[#This Row],[Code]],Locaties[#All],6,FALSE)</f>
        <v>Enschede</v>
      </c>
      <c r="F429" s="257"/>
      <c r="G429" s="257" t="s">
        <v>563</v>
      </c>
      <c r="H429" s="171"/>
      <c r="I429" s="257" t="s">
        <v>449</v>
      </c>
      <c r="J429" s="259" t="s">
        <v>588</v>
      </c>
      <c r="K429" s="171">
        <v>6</v>
      </c>
      <c r="L429" s="260" t="str">
        <f>VLOOKUP(Ruimtestaat[[#This Row],[Ruimte code]],Ruimtegroepen[#All],2,FALSE)</f>
        <v>Gangen/hallen</v>
      </c>
      <c r="M429" s="212" t="s">
        <v>111</v>
      </c>
      <c r="N429" s="257" t="s">
        <v>855</v>
      </c>
      <c r="O429" s="261">
        <v>3.9</v>
      </c>
      <c r="P429" s="183"/>
      <c r="Q429" s="212" t="str">
        <f>VLOOKUP(Ruimtestaat[[#This Row],[Ruimte code]],Ruimtegroepen[#All],4,FALSE)</f>
        <v>V  (Verkeersruimte)</v>
      </c>
      <c r="R429" s="184"/>
      <c r="S429" s="185">
        <v>40</v>
      </c>
      <c r="T429" s="185" t="s">
        <v>2</v>
      </c>
      <c r="U429" s="185">
        <f>IF(S429&gt;0,IF(RIGHT(Ruimtestaat[[#This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9" s="185">
        <f>IF(U429&gt;0,VLOOKUP($K429,Ruimtegroepen[],3,FALSE)*VLOOKUP($M429,Vloersoorten[],3,FALSE)*VLOOKUP($T429,Frequenties[],3,FALSE)*VLOOKUP($A429,Locaties[],3,FALSE),0)</f>
        <v>0</v>
      </c>
      <c r="W429" s="185">
        <f>Ruimtestaat[[#This Row],[Uitvoeringen werkdagen]]*Ruimtestaat[[#This Row],[Oppervlak (netto)]]</f>
        <v>780</v>
      </c>
      <c r="X429" s="220">
        <f>IF(V429&gt;0,Ruimtestaat[[#This Row],[Prest. (m2 /jaar) werkdagen]]/Ruimtestaat[[#This Row],[Norm (m2/uur) werkdagen]],0)</f>
        <v>0</v>
      </c>
      <c r="Y429" s="221">
        <f>Ruimtestaat[[#This Row],[uren / jaar werkdagen]]*Tariefsopbouw!$D$38</f>
        <v>0</v>
      </c>
      <c r="Z429" s="33"/>
      <c r="AA429" s="33">
        <f>IF(Ruimtestaat[[#This Row],[Frequentie weekend]]&gt;0,VALUE(LEFT(Z429,1))*S429,0)</f>
        <v>0</v>
      </c>
      <c r="AB429" s="33">
        <f>IF($AA429&gt;0,VLOOKUP($K429,Ruimtegroepen[],3,FALSE)*VLOOKUP($M429,Vloersoorten[],3,FALSE)*VLOOKUP($Z429,Frequenties[],3,FALSE)*VLOOKUP(#REF!,Locaties[],3,FALSE),0)</f>
        <v>0</v>
      </c>
      <c r="AC429" s="33"/>
      <c r="AD429" s="33"/>
      <c r="AE429" s="33">
        <f>Ruimtestaat[[#This Row],[uren / jaar weekend]]*Tariefsopbouw!$D$40</f>
        <v>0</v>
      </c>
      <c r="AF429" s="79">
        <f>Ruimtestaat[[#This Row],[Prest. (m2 /jaar) weekend]]+Ruimtestaat[[#This Row],[Prest. (m2 /jaar) werkdagen]]</f>
        <v>780</v>
      </c>
      <c r="AG429" s="79">
        <f>Ruimtestaat[[#This Row],[uren / jaar weekend]]+Ruimtestaat[[#This Row],[uren / jaar werkdagen]]</f>
        <v>0</v>
      </c>
      <c r="AH429" s="80">
        <f>Ruimtestaat[[#This Row],[kosten / jaar weekend]]+Ruimtestaat[[#This Row],[kosten / jaar werkdagen]]</f>
        <v>0</v>
      </c>
    </row>
    <row r="430" spans="1:34" ht="15" customHeight="1">
      <c r="A430" s="256">
        <v>6</v>
      </c>
      <c r="B430" s="171" t="str">
        <f>VLOOKUP(Ruimtestaat[[#This Row],[Code]],Locaties[#All],2,FALSE)</f>
        <v>Het Reliëf</v>
      </c>
      <c r="C430" s="258" t="str">
        <f>VLOOKUP(Ruimtestaat[[#This Row],[Code]],Locaties[#All],4,FALSE)</f>
        <v>Floraparkstraat 390</v>
      </c>
      <c r="D430" s="258" t="str">
        <f>VLOOKUP(Ruimtestaat[[#This Row],[Code]],Locaties[#All],5,FALSE)</f>
        <v>7531HX</v>
      </c>
      <c r="E430" s="258" t="str">
        <f>VLOOKUP(Ruimtestaat[[#This Row],[Code]],Locaties[#All],6,FALSE)</f>
        <v>Enschede</v>
      </c>
      <c r="F430" s="257"/>
      <c r="G430" s="257" t="s">
        <v>563</v>
      </c>
      <c r="H430" s="171"/>
      <c r="I430" s="257" t="s">
        <v>450</v>
      </c>
      <c r="J430" s="259" t="s">
        <v>844</v>
      </c>
      <c r="K430" s="185">
        <v>19</v>
      </c>
      <c r="L430" s="260" t="str">
        <f>VLOOKUP(Ruimtestaat[[#This Row],[Ruimte code]],Ruimtegroepen[#All],2,FALSE)</f>
        <v>Kleedruimten</v>
      </c>
      <c r="M430" s="212" t="s">
        <v>111</v>
      </c>
      <c r="N430" s="257" t="s">
        <v>606</v>
      </c>
      <c r="O430" s="261">
        <v>23.2</v>
      </c>
      <c r="P430" s="183"/>
      <c r="Q430" s="212" t="str">
        <f>VLOOKUP(Ruimtestaat[[#This Row],[Ruimte code]],Ruimtegroepen[#All],4,FALSE)</f>
        <v>V  (Verkeersruimte)</v>
      </c>
      <c r="R430" s="184"/>
      <c r="S430" s="185">
        <v>40</v>
      </c>
      <c r="T430" s="185" t="s">
        <v>2</v>
      </c>
      <c r="U430" s="185">
        <f>IF(S430&gt;0,IF(RIGHT(Ruimtestaat[[#This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0" s="185">
        <f>IF(U430&gt;0,VLOOKUP($K430,Ruimtegroepen[],3,FALSE)*VLOOKUP($M430,Vloersoorten[],3,FALSE)*VLOOKUP($T430,Frequenties[],3,FALSE)*VLOOKUP($A430,Locaties[],3,FALSE),0)</f>
        <v>0</v>
      </c>
      <c r="W430" s="185">
        <f>Ruimtestaat[[#This Row],[Uitvoeringen werkdagen]]*Ruimtestaat[[#This Row],[Oppervlak (netto)]]</f>
        <v>4640</v>
      </c>
      <c r="X430" s="220">
        <f>IF(V430&gt;0,Ruimtestaat[[#This Row],[Prest. (m2 /jaar) werkdagen]]/Ruimtestaat[[#This Row],[Norm (m2/uur) werkdagen]],0)</f>
        <v>0</v>
      </c>
      <c r="Y430" s="221">
        <f>Ruimtestaat[[#This Row],[uren / jaar werkdagen]]*Tariefsopbouw!$D$38</f>
        <v>0</v>
      </c>
      <c r="Z430" s="33"/>
      <c r="AA430" s="33">
        <f>IF(Ruimtestaat[[#This Row],[Frequentie weekend]]&gt;0,VALUE(LEFT(Z430,1))*S430,0)</f>
        <v>0</v>
      </c>
      <c r="AB430" s="33">
        <f>IF($AA430&gt;0,VLOOKUP($K430,Ruimtegroepen[],3,FALSE)*VLOOKUP($M430,Vloersoorten[],3,FALSE)*VLOOKUP($Z430,Frequenties[],3,FALSE)*VLOOKUP(#REF!,Locaties[],3,FALSE),0)</f>
        <v>0</v>
      </c>
      <c r="AC430" s="33"/>
      <c r="AD430" s="33"/>
      <c r="AE430" s="33">
        <f>Ruimtestaat[[#This Row],[uren / jaar weekend]]*Tariefsopbouw!$D$40</f>
        <v>0</v>
      </c>
      <c r="AF430" s="79">
        <f>Ruimtestaat[[#This Row],[Prest. (m2 /jaar) weekend]]+Ruimtestaat[[#This Row],[Prest. (m2 /jaar) werkdagen]]</f>
        <v>4640</v>
      </c>
      <c r="AG430" s="79">
        <f>Ruimtestaat[[#This Row],[uren / jaar weekend]]+Ruimtestaat[[#This Row],[uren / jaar werkdagen]]</f>
        <v>0</v>
      </c>
      <c r="AH430" s="80">
        <f>Ruimtestaat[[#This Row],[kosten / jaar weekend]]+Ruimtestaat[[#This Row],[kosten / jaar werkdagen]]</f>
        <v>0</v>
      </c>
    </row>
    <row r="431" spans="1:34" ht="15" customHeight="1">
      <c r="A431" s="256">
        <v>6</v>
      </c>
      <c r="B431" s="171" t="str">
        <f>VLOOKUP(Ruimtestaat[[#This Row],[Code]],Locaties[#All],2,FALSE)</f>
        <v>Het Reliëf</v>
      </c>
      <c r="C431" s="258" t="str">
        <f>VLOOKUP(Ruimtestaat[[#This Row],[Code]],Locaties[#All],4,FALSE)</f>
        <v>Floraparkstraat 390</v>
      </c>
      <c r="D431" s="258" t="str">
        <f>VLOOKUP(Ruimtestaat[[#This Row],[Code]],Locaties[#All],5,FALSE)</f>
        <v>7531HX</v>
      </c>
      <c r="E431" s="258" t="str">
        <f>VLOOKUP(Ruimtestaat[[#This Row],[Code]],Locaties[#All],6,FALSE)</f>
        <v>Enschede</v>
      </c>
      <c r="F431" s="257"/>
      <c r="G431" s="257" t="s">
        <v>563</v>
      </c>
      <c r="H431" s="171"/>
      <c r="I431" s="257" t="s">
        <v>451</v>
      </c>
      <c r="J431" s="259" t="s">
        <v>845</v>
      </c>
      <c r="K431" s="185">
        <v>5</v>
      </c>
      <c r="L431" s="260" t="str">
        <f>VLOOKUP(Ruimtestaat[[#This Row],[Ruimte code]],Ruimtegroepen[#All],2,FALSE)</f>
        <v>Sanitair</v>
      </c>
      <c r="M431" s="212" t="s">
        <v>111</v>
      </c>
      <c r="N431" s="257" t="s">
        <v>606</v>
      </c>
      <c r="O431" s="261">
        <v>4.4800000000000004</v>
      </c>
      <c r="P431" s="183"/>
      <c r="Q431" s="212" t="str">
        <f>VLOOKUP(Ruimtestaat[[#This Row],[Ruimte code]],Ruimtegroepen[#All],4,FALSE)</f>
        <v>S  (Sanitair)</v>
      </c>
      <c r="R431" s="184"/>
      <c r="S431" s="185">
        <v>40</v>
      </c>
      <c r="T431" s="185" t="s">
        <v>2</v>
      </c>
      <c r="U431" s="185">
        <f>IF(S431&gt;0,IF(RIGHT(Ruimtestaat[[#This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1" s="185">
        <f>IF(U431&gt;0,VLOOKUP($K431,Ruimtegroepen[],3,FALSE)*VLOOKUP($M431,Vloersoorten[],3,FALSE)*VLOOKUP($T431,Frequenties[],3,FALSE)*VLOOKUP($A431,Locaties[],3,FALSE),0)</f>
        <v>0</v>
      </c>
      <c r="W431" s="185">
        <f>Ruimtestaat[[#This Row],[Uitvoeringen werkdagen]]*Ruimtestaat[[#This Row],[Oppervlak (netto)]]</f>
        <v>896.00000000000011</v>
      </c>
      <c r="X431" s="220">
        <f>IF(V431&gt;0,Ruimtestaat[[#This Row],[Prest. (m2 /jaar) werkdagen]]/Ruimtestaat[[#This Row],[Norm (m2/uur) werkdagen]],0)</f>
        <v>0</v>
      </c>
      <c r="Y431" s="221">
        <f>Ruimtestaat[[#This Row],[uren / jaar werkdagen]]*Tariefsopbouw!$D$38</f>
        <v>0</v>
      </c>
      <c r="Z431" s="33"/>
      <c r="AA431" s="33">
        <f>IF(Ruimtestaat[[#This Row],[Frequentie weekend]]&gt;0,VALUE(LEFT(Z431,1))*S431,0)</f>
        <v>0</v>
      </c>
      <c r="AB431" s="33">
        <f>IF($AA431&gt;0,VLOOKUP($K431,Ruimtegroepen[],3,FALSE)*VLOOKUP($M431,Vloersoorten[],3,FALSE)*VLOOKUP($Z431,Frequenties[],3,FALSE)*VLOOKUP(#REF!,Locaties[],3,FALSE),0)</f>
        <v>0</v>
      </c>
      <c r="AC431" s="33"/>
      <c r="AD431" s="33"/>
      <c r="AE431" s="33">
        <f>Ruimtestaat[[#This Row],[uren / jaar weekend]]*Tariefsopbouw!$D$40</f>
        <v>0</v>
      </c>
      <c r="AF431" s="79">
        <f>Ruimtestaat[[#This Row],[Prest. (m2 /jaar) weekend]]+Ruimtestaat[[#This Row],[Prest. (m2 /jaar) werkdagen]]</f>
        <v>896.00000000000011</v>
      </c>
      <c r="AG431" s="79">
        <f>Ruimtestaat[[#This Row],[uren / jaar weekend]]+Ruimtestaat[[#This Row],[uren / jaar werkdagen]]</f>
        <v>0</v>
      </c>
      <c r="AH431" s="80">
        <f>Ruimtestaat[[#This Row],[kosten / jaar weekend]]+Ruimtestaat[[#This Row],[kosten / jaar werkdagen]]</f>
        <v>0</v>
      </c>
    </row>
    <row r="432" spans="1:34" ht="15" customHeight="1">
      <c r="A432" s="256">
        <v>6</v>
      </c>
      <c r="B432" s="171" t="str">
        <f>VLOOKUP(Ruimtestaat[[#This Row],[Code]],Locaties[#All],2,FALSE)</f>
        <v>Het Reliëf</v>
      </c>
      <c r="C432" s="258" t="str">
        <f>VLOOKUP(Ruimtestaat[[#This Row],[Code]],Locaties[#All],4,FALSE)</f>
        <v>Floraparkstraat 390</v>
      </c>
      <c r="D432" s="258" t="str">
        <f>VLOOKUP(Ruimtestaat[[#This Row],[Code]],Locaties[#All],5,FALSE)</f>
        <v>7531HX</v>
      </c>
      <c r="E432" s="258" t="str">
        <f>VLOOKUP(Ruimtestaat[[#This Row],[Code]],Locaties[#All],6,FALSE)</f>
        <v>Enschede</v>
      </c>
      <c r="F432" s="257"/>
      <c r="G432" s="257" t="s">
        <v>563</v>
      </c>
      <c r="H432" s="171"/>
      <c r="I432" s="257" t="s">
        <v>453</v>
      </c>
      <c r="J432" s="259" t="s">
        <v>846</v>
      </c>
      <c r="K432" s="171">
        <v>19</v>
      </c>
      <c r="L432" s="260" t="str">
        <f>VLOOKUP(Ruimtestaat[[#This Row],[Ruimte code]],Ruimtegroepen[#All],2,FALSE)</f>
        <v>Kleedruimten</v>
      </c>
      <c r="M432" s="212" t="s">
        <v>111</v>
      </c>
      <c r="N432" s="257" t="s">
        <v>606</v>
      </c>
      <c r="O432" s="261">
        <v>28.8</v>
      </c>
      <c r="P432" s="183"/>
      <c r="Q432" s="212" t="str">
        <f>VLOOKUP(Ruimtestaat[[#This Row],[Ruimte code]],Ruimtegroepen[#All],4,FALSE)</f>
        <v>V  (Verkeersruimte)</v>
      </c>
      <c r="R432" s="184"/>
      <c r="S432" s="185">
        <v>40</v>
      </c>
      <c r="T432" s="185" t="s">
        <v>2</v>
      </c>
      <c r="U432" s="185">
        <f>IF(S432&gt;0,IF(RIGHT(Ruimtestaat[[#This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2" s="185">
        <f>IF(U432&gt;0,VLOOKUP($K432,Ruimtegroepen[],3,FALSE)*VLOOKUP($M432,Vloersoorten[],3,FALSE)*VLOOKUP($T432,Frequenties[],3,FALSE)*VLOOKUP($A432,Locaties[],3,FALSE),0)</f>
        <v>0</v>
      </c>
      <c r="W432" s="185">
        <f>Ruimtestaat[[#This Row],[Uitvoeringen werkdagen]]*Ruimtestaat[[#This Row],[Oppervlak (netto)]]</f>
        <v>5760</v>
      </c>
      <c r="X432" s="220">
        <f>IF(V432&gt;0,Ruimtestaat[[#This Row],[Prest. (m2 /jaar) werkdagen]]/Ruimtestaat[[#This Row],[Norm (m2/uur) werkdagen]],0)</f>
        <v>0</v>
      </c>
      <c r="Y432" s="221">
        <f>Ruimtestaat[[#This Row],[uren / jaar werkdagen]]*Tariefsopbouw!$D$38</f>
        <v>0</v>
      </c>
      <c r="Z432" s="33"/>
      <c r="AA432" s="33">
        <f>IF(Ruimtestaat[[#This Row],[Frequentie weekend]]&gt;0,VALUE(LEFT(Z432,1))*S432,0)</f>
        <v>0</v>
      </c>
      <c r="AB432" s="33">
        <f>IF($AA432&gt;0,VLOOKUP($K432,Ruimtegroepen[],3,FALSE)*VLOOKUP($M432,Vloersoorten[],3,FALSE)*VLOOKUP($Z432,Frequenties[],3,FALSE)*VLOOKUP(#REF!,Locaties[],3,FALSE),0)</f>
        <v>0</v>
      </c>
      <c r="AC432" s="33"/>
      <c r="AD432" s="33"/>
      <c r="AE432" s="33">
        <f>Ruimtestaat[[#This Row],[uren / jaar weekend]]*Tariefsopbouw!$D$40</f>
        <v>0</v>
      </c>
      <c r="AF432" s="79">
        <f>Ruimtestaat[[#This Row],[Prest. (m2 /jaar) weekend]]+Ruimtestaat[[#This Row],[Prest. (m2 /jaar) werkdagen]]</f>
        <v>5760</v>
      </c>
      <c r="AG432" s="79">
        <f>Ruimtestaat[[#This Row],[uren / jaar weekend]]+Ruimtestaat[[#This Row],[uren / jaar werkdagen]]</f>
        <v>0</v>
      </c>
      <c r="AH432" s="80">
        <f>Ruimtestaat[[#This Row],[kosten / jaar weekend]]+Ruimtestaat[[#This Row],[kosten / jaar werkdagen]]</f>
        <v>0</v>
      </c>
    </row>
    <row r="433" spans="1:34" ht="15" customHeight="1">
      <c r="A433" s="256">
        <v>6</v>
      </c>
      <c r="B433" s="171" t="str">
        <f>VLOOKUP(Ruimtestaat[[#This Row],[Code]],Locaties[#All],2,FALSE)</f>
        <v>Het Reliëf</v>
      </c>
      <c r="C433" s="258" t="str">
        <f>VLOOKUP(Ruimtestaat[[#This Row],[Code]],Locaties[#All],4,FALSE)</f>
        <v>Floraparkstraat 390</v>
      </c>
      <c r="D433" s="258" t="str">
        <f>VLOOKUP(Ruimtestaat[[#This Row],[Code]],Locaties[#All],5,FALSE)</f>
        <v>7531HX</v>
      </c>
      <c r="E433" s="258" t="str">
        <f>VLOOKUP(Ruimtestaat[[#This Row],[Code]],Locaties[#All],6,FALSE)</f>
        <v>Enschede</v>
      </c>
      <c r="F433" s="257"/>
      <c r="G433" s="257" t="s">
        <v>563</v>
      </c>
      <c r="H433" s="171"/>
      <c r="I433" s="257" t="s">
        <v>452</v>
      </c>
      <c r="J433" s="259" t="s">
        <v>847</v>
      </c>
      <c r="K433" s="171">
        <v>5</v>
      </c>
      <c r="L433" s="260" t="str">
        <f>VLOOKUP(Ruimtestaat[[#This Row],[Ruimte code]],Ruimtegroepen[#All],2,FALSE)</f>
        <v>Sanitair</v>
      </c>
      <c r="M433" s="212" t="s">
        <v>111</v>
      </c>
      <c r="N433" s="257" t="s">
        <v>606</v>
      </c>
      <c r="O433" s="261">
        <v>14.8</v>
      </c>
      <c r="P433" s="183"/>
      <c r="Q433" s="212" t="str">
        <f>VLOOKUP(Ruimtestaat[[#This Row],[Ruimte code]],Ruimtegroepen[#All],4,FALSE)</f>
        <v>S  (Sanitair)</v>
      </c>
      <c r="R433" s="184"/>
      <c r="S433" s="185">
        <v>40</v>
      </c>
      <c r="T433" s="185" t="s">
        <v>2</v>
      </c>
      <c r="U433" s="185">
        <f>IF(S433&gt;0,IF(RIGHT(Ruimtestaat[[#This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3" s="185">
        <f>IF(U433&gt;0,VLOOKUP($K433,Ruimtegroepen[],3,FALSE)*VLOOKUP($M433,Vloersoorten[],3,FALSE)*VLOOKUP($T433,Frequenties[],3,FALSE)*VLOOKUP($A433,Locaties[],3,FALSE),0)</f>
        <v>0</v>
      </c>
      <c r="W433" s="185">
        <f>Ruimtestaat[[#This Row],[Uitvoeringen werkdagen]]*Ruimtestaat[[#This Row],[Oppervlak (netto)]]</f>
        <v>2960</v>
      </c>
      <c r="X433" s="220">
        <f>IF(V433&gt;0,Ruimtestaat[[#This Row],[Prest. (m2 /jaar) werkdagen]]/Ruimtestaat[[#This Row],[Norm (m2/uur) werkdagen]],0)</f>
        <v>0</v>
      </c>
      <c r="Y433" s="221">
        <f>Ruimtestaat[[#This Row],[uren / jaar werkdagen]]*Tariefsopbouw!$D$38</f>
        <v>0</v>
      </c>
      <c r="Z433" s="33"/>
      <c r="AA433" s="33">
        <f>IF(Ruimtestaat[[#This Row],[Frequentie weekend]]&gt;0,VALUE(LEFT(Z433,1))*S433,0)</f>
        <v>0</v>
      </c>
      <c r="AB433" s="33">
        <f>IF($AA433&gt;0,VLOOKUP($K433,Ruimtegroepen[],3,FALSE)*VLOOKUP($M433,Vloersoorten[],3,FALSE)*VLOOKUP($Z433,Frequenties[],3,FALSE)*VLOOKUP(#REF!,Locaties[],3,FALSE),0)</f>
        <v>0</v>
      </c>
      <c r="AC433" s="33"/>
      <c r="AD433" s="33"/>
      <c r="AE433" s="33">
        <f>Ruimtestaat[[#This Row],[uren / jaar weekend]]*Tariefsopbouw!$D$40</f>
        <v>0</v>
      </c>
      <c r="AF433" s="79">
        <f>Ruimtestaat[[#This Row],[Prest. (m2 /jaar) weekend]]+Ruimtestaat[[#This Row],[Prest. (m2 /jaar) werkdagen]]</f>
        <v>2960</v>
      </c>
      <c r="AG433" s="79">
        <f>Ruimtestaat[[#This Row],[uren / jaar weekend]]+Ruimtestaat[[#This Row],[uren / jaar werkdagen]]</f>
        <v>0</v>
      </c>
      <c r="AH433" s="80">
        <f>Ruimtestaat[[#This Row],[kosten / jaar weekend]]+Ruimtestaat[[#This Row],[kosten / jaar werkdagen]]</f>
        <v>0</v>
      </c>
    </row>
    <row r="434" spans="1:34" ht="15" customHeight="1">
      <c r="A434" s="256">
        <v>6</v>
      </c>
      <c r="B434" s="171" t="str">
        <f>VLOOKUP(Ruimtestaat[[#This Row],[Code]],Locaties[#All],2,FALSE)</f>
        <v>Het Reliëf</v>
      </c>
      <c r="C434" s="258" t="str">
        <f>VLOOKUP(Ruimtestaat[[#This Row],[Code]],Locaties[#All],4,FALSE)</f>
        <v>Floraparkstraat 390</v>
      </c>
      <c r="D434" s="258" t="str">
        <f>VLOOKUP(Ruimtestaat[[#This Row],[Code]],Locaties[#All],5,FALSE)</f>
        <v>7531HX</v>
      </c>
      <c r="E434" s="258" t="str">
        <f>VLOOKUP(Ruimtestaat[[#This Row],[Code]],Locaties[#All],6,FALSE)</f>
        <v>Enschede</v>
      </c>
      <c r="F434" s="257"/>
      <c r="G434" s="257" t="s">
        <v>563</v>
      </c>
      <c r="H434" s="171"/>
      <c r="I434" s="257" t="s">
        <v>848</v>
      </c>
      <c r="J434" s="259" t="s">
        <v>839</v>
      </c>
      <c r="K434" s="171">
        <v>5</v>
      </c>
      <c r="L434" s="260" t="str">
        <f>VLOOKUP(Ruimtestaat[[#This Row],[Ruimte code]],Ruimtegroepen[#All],2,FALSE)</f>
        <v>Sanitair</v>
      </c>
      <c r="M434" s="212" t="s">
        <v>111</v>
      </c>
      <c r="N434" s="257" t="s">
        <v>606</v>
      </c>
      <c r="O434" s="261">
        <v>1.8</v>
      </c>
      <c r="P434" s="183"/>
      <c r="Q434" s="212" t="str">
        <f>VLOOKUP(Ruimtestaat[[#This Row],[Ruimte code]],Ruimtegroepen[#All],4,FALSE)</f>
        <v>S  (Sanitair)</v>
      </c>
      <c r="R434" s="184"/>
      <c r="S434" s="185">
        <v>40</v>
      </c>
      <c r="T434" s="185" t="s">
        <v>2</v>
      </c>
      <c r="U434" s="185">
        <f>IF(S434&gt;0,IF(RIGHT(Ruimtestaat[[#This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4" s="185">
        <f>IF(U434&gt;0,VLOOKUP($K434,Ruimtegroepen[],3,FALSE)*VLOOKUP($M434,Vloersoorten[],3,FALSE)*VLOOKUP($T434,Frequenties[],3,FALSE)*VLOOKUP($A434,Locaties[],3,FALSE),0)</f>
        <v>0</v>
      </c>
      <c r="W434" s="185">
        <f>Ruimtestaat[[#This Row],[Uitvoeringen werkdagen]]*Ruimtestaat[[#This Row],[Oppervlak (netto)]]</f>
        <v>360</v>
      </c>
      <c r="X434" s="220">
        <f>IF(V434&gt;0,Ruimtestaat[[#This Row],[Prest. (m2 /jaar) werkdagen]]/Ruimtestaat[[#This Row],[Norm (m2/uur) werkdagen]],0)</f>
        <v>0</v>
      </c>
      <c r="Y434" s="221">
        <f>Ruimtestaat[[#This Row],[uren / jaar werkdagen]]*Tariefsopbouw!$D$38</f>
        <v>0</v>
      </c>
      <c r="Z434" s="33"/>
      <c r="AA434" s="33">
        <f>IF(Ruimtestaat[[#This Row],[Frequentie weekend]]&gt;0,VALUE(LEFT(Z434,1))*S434,0)</f>
        <v>0</v>
      </c>
      <c r="AB434" s="33">
        <f>IF($AA434&gt;0,VLOOKUP($K434,Ruimtegroepen[],3,FALSE)*VLOOKUP($M434,Vloersoorten[],3,FALSE)*VLOOKUP($Z434,Frequenties[],3,FALSE)*VLOOKUP(#REF!,Locaties[],3,FALSE),0)</f>
        <v>0</v>
      </c>
      <c r="AC434" s="33"/>
      <c r="AD434" s="33"/>
      <c r="AE434" s="33">
        <f>Ruimtestaat[[#This Row],[uren / jaar weekend]]*Tariefsopbouw!$D$40</f>
        <v>0</v>
      </c>
      <c r="AF434" s="79">
        <f>Ruimtestaat[[#This Row],[Prest. (m2 /jaar) weekend]]+Ruimtestaat[[#This Row],[Prest. (m2 /jaar) werkdagen]]</f>
        <v>360</v>
      </c>
      <c r="AG434" s="79">
        <f>Ruimtestaat[[#This Row],[uren / jaar weekend]]+Ruimtestaat[[#This Row],[uren / jaar werkdagen]]</f>
        <v>0</v>
      </c>
      <c r="AH434" s="80">
        <f>Ruimtestaat[[#This Row],[kosten / jaar weekend]]+Ruimtestaat[[#This Row],[kosten / jaar werkdagen]]</f>
        <v>0</v>
      </c>
    </row>
    <row r="435" spans="1:34" ht="15" customHeight="1">
      <c r="A435" s="256">
        <v>6</v>
      </c>
      <c r="B435" s="171" t="str">
        <f>VLOOKUP(Ruimtestaat[[#This Row],[Code]],Locaties[#All],2,FALSE)</f>
        <v>Het Reliëf</v>
      </c>
      <c r="C435" s="258" t="str">
        <f>VLOOKUP(Ruimtestaat[[#This Row],[Code]],Locaties[#All],4,FALSE)</f>
        <v>Floraparkstraat 390</v>
      </c>
      <c r="D435" s="258" t="str">
        <f>VLOOKUP(Ruimtestaat[[#This Row],[Code]],Locaties[#All],5,FALSE)</f>
        <v>7531HX</v>
      </c>
      <c r="E435" s="258" t="str">
        <f>VLOOKUP(Ruimtestaat[[#This Row],[Code]],Locaties[#All],6,FALSE)</f>
        <v>Enschede</v>
      </c>
      <c r="F435" s="257"/>
      <c r="G435" s="257" t="s">
        <v>563</v>
      </c>
      <c r="H435" s="171"/>
      <c r="I435" s="257" t="s">
        <v>849</v>
      </c>
      <c r="J435" s="259" t="s">
        <v>839</v>
      </c>
      <c r="K435" s="171">
        <v>5</v>
      </c>
      <c r="L435" s="260" t="str">
        <f>VLOOKUP(Ruimtestaat[[#This Row],[Ruimte code]],Ruimtegroepen[#All],2,FALSE)</f>
        <v>Sanitair</v>
      </c>
      <c r="M435" s="212" t="s">
        <v>111</v>
      </c>
      <c r="N435" s="257" t="s">
        <v>606</v>
      </c>
      <c r="O435" s="261">
        <v>2.79</v>
      </c>
      <c r="P435" s="183"/>
      <c r="Q435" s="212" t="str">
        <f>VLOOKUP(Ruimtestaat[[#This Row],[Ruimte code]],Ruimtegroepen[#All],4,FALSE)</f>
        <v>S  (Sanitair)</v>
      </c>
      <c r="R435" s="184"/>
      <c r="S435" s="185">
        <v>40</v>
      </c>
      <c r="T435" s="185" t="s">
        <v>2</v>
      </c>
      <c r="U435" s="185">
        <f>IF(S435&gt;0,IF(RIGHT(Ruimtestaat[[#This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5" s="185">
        <f>IF(U435&gt;0,VLOOKUP($K435,Ruimtegroepen[],3,FALSE)*VLOOKUP($M435,Vloersoorten[],3,FALSE)*VLOOKUP($T435,Frequenties[],3,FALSE)*VLOOKUP($A435,Locaties[],3,FALSE),0)</f>
        <v>0</v>
      </c>
      <c r="W435" s="185">
        <f>Ruimtestaat[[#This Row],[Uitvoeringen werkdagen]]*Ruimtestaat[[#This Row],[Oppervlak (netto)]]</f>
        <v>558</v>
      </c>
      <c r="X435" s="220">
        <f>IF(V435&gt;0,Ruimtestaat[[#This Row],[Prest. (m2 /jaar) werkdagen]]/Ruimtestaat[[#This Row],[Norm (m2/uur) werkdagen]],0)</f>
        <v>0</v>
      </c>
      <c r="Y435" s="221">
        <f>Ruimtestaat[[#This Row],[uren / jaar werkdagen]]*Tariefsopbouw!$D$38</f>
        <v>0</v>
      </c>
      <c r="Z435" s="33"/>
      <c r="AA435" s="33">
        <f>IF(Ruimtestaat[[#This Row],[Frequentie weekend]]&gt;0,VALUE(LEFT(Z435,1))*S435,0)</f>
        <v>0</v>
      </c>
      <c r="AB435" s="33">
        <f>IF($AA435&gt;0,VLOOKUP($K435,Ruimtegroepen[],3,FALSE)*VLOOKUP($M435,Vloersoorten[],3,FALSE)*VLOOKUP($Z435,Frequenties[],3,FALSE)*VLOOKUP(#REF!,Locaties[],3,FALSE),0)</f>
        <v>0</v>
      </c>
      <c r="AC435" s="33"/>
      <c r="AD435" s="33"/>
      <c r="AE435" s="33">
        <f>Ruimtestaat[[#This Row],[uren / jaar weekend]]*Tariefsopbouw!$D$40</f>
        <v>0</v>
      </c>
      <c r="AF435" s="79">
        <f>Ruimtestaat[[#This Row],[Prest. (m2 /jaar) weekend]]+Ruimtestaat[[#This Row],[Prest. (m2 /jaar) werkdagen]]</f>
        <v>558</v>
      </c>
      <c r="AG435" s="79">
        <f>Ruimtestaat[[#This Row],[uren / jaar weekend]]+Ruimtestaat[[#This Row],[uren / jaar werkdagen]]</f>
        <v>0</v>
      </c>
      <c r="AH435" s="80">
        <f>Ruimtestaat[[#This Row],[kosten / jaar weekend]]+Ruimtestaat[[#This Row],[kosten / jaar werkdagen]]</f>
        <v>0</v>
      </c>
    </row>
    <row r="436" spans="1:34" ht="15" customHeight="1">
      <c r="A436" s="256">
        <v>6</v>
      </c>
      <c r="B436" s="171" t="str">
        <f>VLOOKUP(Ruimtestaat[[#This Row],[Code]],Locaties[#All],2,FALSE)</f>
        <v>Het Reliëf</v>
      </c>
      <c r="C436" s="258" t="str">
        <f>VLOOKUP(Ruimtestaat[[#This Row],[Code]],Locaties[#All],4,FALSE)</f>
        <v>Floraparkstraat 390</v>
      </c>
      <c r="D436" s="258" t="str">
        <f>VLOOKUP(Ruimtestaat[[#This Row],[Code]],Locaties[#All],5,FALSE)</f>
        <v>7531HX</v>
      </c>
      <c r="E436" s="258" t="str">
        <f>VLOOKUP(Ruimtestaat[[#This Row],[Code]],Locaties[#All],6,FALSE)</f>
        <v>Enschede</v>
      </c>
      <c r="F436" s="257"/>
      <c r="G436" s="257" t="s">
        <v>563</v>
      </c>
      <c r="H436" s="171"/>
      <c r="I436" s="257" t="s">
        <v>850</v>
      </c>
      <c r="J436" s="259" t="s">
        <v>851</v>
      </c>
      <c r="K436" s="171">
        <v>20</v>
      </c>
      <c r="L436" s="260" t="str">
        <f>VLOOKUP(Ruimtestaat[[#This Row],[Ruimte code]],Ruimtegroepen[#All],2,FALSE)</f>
        <v>Niet in onderhoud</v>
      </c>
      <c r="M436" s="212" t="s">
        <v>111</v>
      </c>
      <c r="N436" s="257" t="s">
        <v>606</v>
      </c>
      <c r="O436" s="261"/>
      <c r="P436" s="183">
        <v>1.8</v>
      </c>
      <c r="Q436" s="212" t="str">
        <f>VLOOKUP(Ruimtestaat[[#This Row],[Ruimte code]],Ruimtegroepen[#All],4,FALSE)</f>
        <v>niet in onderhoud</v>
      </c>
      <c r="R436" s="184"/>
      <c r="S436" s="185"/>
      <c r="T436" s="185"/>
      <c r="U436" s="185">
        <f>IF(S436&gt;0,IF(RIGHT(Ruimtestaat[[#This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36" s="185">
        <f>IF(U436&gt;0,VLOOKUP($K436,Ruimtegroepen[],3,FALSE)*VLOOKUP($M436,Vloersoorten[],3,FALSE)*VLOOKUP($T436,Frequenties[],3,FALSE)*VLOOKUP($A436,Locaties[],3,FALSE),0)</f>
        <v>0</v>
      </c>
      <c r="W436" s="185">
        <f>Ruimtestaat[[#This Row],[Uitvoeringen werkdagen]]*Ruimtestaat[[#This Row],[Oppervlak (netto)]]</f>
        <v>0</v>
      </c>
      <c r="X436" s="220">
        <f>IF(V436&gt;0,Ruimtestaat[[#This Row],[Prest. (m2 /jaar) werkdagen]]/Ruimtestaat[[#This Row],[Norm (m2/uur) werkdagen]],0)</f>
        <v>0</v>
      </c>
      <c r="Y436" s="221">
        <f>Ruimtestaat[[#This Row],[uren / jaar werkdagen]]*Tariefsopbouw!$D$38</f>
        <v>0</v>
      </c>
      <c r="Z436" s="33"/>
      <c r="AA436" s="33">
        <f>IF(Ruimtestaat[[#This Row],[Frequentie weekend]]&gt;0,VALUE(LEFT(Z436,1))*S436,0)</f>
        <v>0</v>
      </c>
      <c r="AB436" s="33">
        <f>IF($AA436&gt;0,VLOOKUP($K436,Ruimtegroepen[],3,FALSE)*VLOOKUP($M436,Vloersoorten[],3,FALSE)*VLOOKUP($Z436,Frequenties[],3,FALSE)*VLOOKUP(#REF!,Locaties[],3,FALSE),0)</f>
        <v>0</v>
      </c>
      <c r="AC436" s="33"/>
      <c r="AD436" s="33"/>
      <c r="AE436" s="33">
        <f>Ruimtestaat[[#This Row],[uren / jaar weekend]]*Tariefsopbouw!$D$40</f>
        <v>0</v>
      </c>
      <c r="AF436" s="79">
        <f>Ruimtestaat[[#This Row],[Prest. (m2 /jaar) weekend]]+Ruimtestaat[[#This Row],[Prest. (m2 /jaar) werkdagen]]</f>
        <v>0</v>
      </c>
      <c r="AG436" s="79">
        <f>Ruimtestaat[[#This Row],[uren / jaar weekend]]+Ruimtestaat[[#This Row],[uren / jaar werkdagen]]</f>
        <v>0</v>
      </c>
      <c r="AH436" s="80">
        <f>Ruimtestaat[[#This Row],[kosten / jaar weekend]]+Ruimtestaat[[#This Row],[kosten / jaar werkdagen]]</f>
        <v>0</v>
      </c>
    </row>
    <row r="437" spans="1:34" ht="15" customHeight="1">
      <c r="A437" s="256">
        <v>6</v>
      </c>
      <c r="B437" s="171" t="str">
        <f>VLOOKUP(Ruimtestaat[[#This Row],[Code]],Locaties[#All],2,FALSE)</f>
        <v>Het Reliëf</v>
      </c>
      <c r="C437" s="258" t="str">
        <f>VLOOKUP(Ruimtestaat[[#This Row],[Code]],Locaties[#All],4,FALSE)</f>
        <v>Floraparkstraat 390</v>
      </c>
      <c r="D437" s="258" t="str">
        <f>VLOOKUP(Ruimtestaat[[#This Row],[Code]],Locaties[#All],5,FALSE)</f>
        <v>7531HX</v>
      </c>
      <c r="E437" s="258" t="str">
        <f>VLOOKUP(Ruimtestaat[[#This Row],[Code]],Locaties[#All],6,FALSE)</f>
        <v>Enschede</v>
      </c>
      <c r="F437" s="257"/>
      <c r="G437" s="257" t="s">
        <v>563</v>
      </c>
      <c r="H437" s="171"/>
      <c r="I437" s="257" t="s">
        <v>455</v>
      </c>
      <c r="J437" s="259" t="s">
        <v>852</v>
      </c>
      <c r="K437" s="171">
        <v>19</v>
      </c>
      <c r="L437" s="260" t="str">
        <f>VLOOKUP(Ruimtestaat[[#This Row],[Ruimte code]],Ruimtegroepen[#All],2,FALSE)</f>
        <v>Kleedruimten</v>
      </c>
      <c r="M437" s="212" t="s">
        <v>111</v>
      </c>
      <c r="N437" s="257" t="s">
        <v>606</v>
      </c>
      <c r="O437" s="261">
        <v>6.3</v>
      </c>
      <c r="P437" s="183"/>
      <c r="Q437" s="212" t="str">
        <f>VLOOKUP(Ruimtestaat[[#This Row],[Ruimte code]],Ruimtegroepen[#All],4,FALSE)</f>
        <v>V  (Verkeersruimte)</v>
      </c>
      <c r="R437" s="184"/>
      <c r="S437" s="185">
        <v>40</v>
      </c>
      <c r="T437" s="185" t="s">
        <v>2</v>
      </c>
      <c r="U437" s="185">
        <f>IF(S437&gt;0,IF(RIGHT(Ruimtestaat[[#This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7" s="185">
        <f>IF(U437&gt;0,VLOOKUP($K437,Ruimtegroepen[],3,FALSE)*VLOOKUP($M437,Vloersoorten[],3,FALSE)*VLOOKUP($T437,Frequenties[],3,FALSE)*VLOOKUP($A437,Locaties[],3,FALSE),0)</f>
        <v>0</v>
      </c>
      <c r="W437" s="185">
        <f>Ruimtestaat[[#This Row],[Uitvoeringen werkdagen]]*Ruimtestaat[[#This Row],[Oppervlak (netto)]]</f>
        <v>1260</v>
      </c>
      <c r="X437" s="220">
        <f>IF(V437&gt;0,Ruimtestaat[[#This Row],[Prest. (m2 /jaar) werkdagen]]/Ruimtestaat[[#This Row],[Norm (m2/uur) werkdagen]],0)</f>
        <v>0</v>
      </c>
      <c r="Y437" s="221">
        <f>Ruimtestaat[[#This Row],[uren / jaar werkdagen]]*Tariefsopbouw!$D$38</f>
        <v>0</v>
      </c>
      <c r="Z437" s="33"/>
      <c r="AA437" s="33">
        <f>IF(Ruimtestaat[[#This Row],[Frequentie weekend]]&gt;0,VALUE(LEFT(Z437,1))*S437,0)</f>
        <v>0</v>
      </c>
      <c r="AB437" s="33">
        <f>IF($AA437&gt;0,VLOOKUP($K437,Ruimtegroepen[],3,FALSE)*VLOOKUP($M437,Vloersoorten[],3,FALSE)*VLOOKUP($Z437,Frequenties[],3,FALSE)*VLOOKUP(#REF!,Locaties[],3,FALSE),0)</f>
        <v>0</v>
      </c>
      <c r="AC437" s="33"/>
      <c r="AD437" s="33"/>
      <c r="AE437" s="33">
        <f>Ruimtestaat[[#This Row],[uren / jaar weekend]]*Tariefsopbouw!$D$40</f>
        <v>0</v>
      </c>
      <c r="AF437" s="79">
        <f>Ruimtestaat[[#This Row],[Prest. (m2 /jaar) weekend]]+Ruimtestaat[[#This Row],[Prest. (m2 /jaar) werkdagen]]</f>
        <v>1260</v>
      </c>
      <c r="AG437" s="79">
        <f>Ruimtestaat[[#This Row],[uren / jaar weekend]]+Ruimtestaat[[#This Row],[uren / jaar werkdagen]]</f>
        <v>0</v>
      </c>
      <c r="AH437" s="80">
        <f>Ruimtestaat[[#This Row],[kosten / jaar weekend]]+Ruimtestaat[[#This Row],[kosten / jaar werkdagen]]</f>
        <v>0</v>
      </c>
    </row>
    <row r="438" spans="1:34" ht="15" customHeight="1">
      <c r="A438" s="256">
        <v>6</v>
      </c>
      <c r="B438" s="171" t="str">
        <f>VLOOKUP(Ruimtestaat[[#This Row],[Code]],Locaties[#All],2,FALSE)</f>
        <v>Het Reliëf</v>
      </c>
      <c r="C438" s="258" t="str">
        <f>VLOOKUP(Ruimtestaat[[#This Row],[Code]],Locaties[#All],4,FALSE)</f>
        <v>Floraparkstraat 390</v>
      </c>
      <c r="D438" s="258" t="str">
        <f>VLOOKUP(Ruimtestaat[[#This Row],[Code]],Locaties[#All],5,FALSE)</f>
        <v>7531HX</v>
      </c>
      <c r="E438" s="258" t="str">
        <f>VLOOKUP(Ruimtestaat[[#This Row],[Code]],Locaties[#All],6,FALSE)</f>
        <v>Enschede</v>
      </c>
      <c r="F438" s="257"/>
      <c r="G438" s="257" t="s">
        <v>563</v>
      </c>
      <c r="H438" s="171"/>
      <c r="I438" s="257" t="s">
        <v>456</v>
      </c>
      <c r="J438" s="259" t="s">
        <v>853</v>
      </c>
      <c r="K438" s="171">
        <v>20</v>
      </c>
      <c r="L438" s="260" t="str">
        <f>VLOOKUP(Ruimtestaat[[#This Row],[Ruimte code]],Ruimtegroepen[#All],2,FALSE)</f>
        <v>Niet in onderhoud</v>
      </c>
      <c r="M438" s="212" t="s">
        <v>111</v>
      </c>
      <c r="N438" s="257" t="s">
        <v>606</v>
      </c>
      <c r="O438" s="261"/>
      <c r="P438" s="183"/>
      <c r="Q438" s="212" t="str">
        <f>VLOOKUP(Ruimtestaat[[#This Row],[Ruimte code]],Ruimtegroepen[#All],4,FALSE)</f>
        <v>niet in onderhoud</v>
      </c>
      <c r="R438" s="184"/>
      <c r="S438" s="185"/>
      <c r="T438" s="185"/>
      <c r="U438" s="185">
        <f>IF(S438&gt;0,IF(RIGHT(Ruimtestaat[[#This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38" s="185">
        <f>IF(U438&gt;0,VLOOKUP($K438,Ruimtegroepen[],3,FALSE)*VLOOKUP($M438,Vloersoorten[],3,FALSE)*VLOOKUP($T438,Frequenties[],3,FALSE)*VLOOKUP($A438,Locaties[],3,FALSE),0)</f>
        <v>0</v>
      </c>
      <c r="W438" s="185">
        <f>Ruimtestaat[[#This Row],[Uitvoeringen werkdagen]]*Ruimtestaat[[#This Row],[Oppervlak (netto)]]</f>
        <v>0</v>
      </c>
      <c r="X438" s="220">
        <f>IF(V438&gt;0,Ruimtestaat[[#This Row],[Prest. (m2 /jaar) werkdagen]]/Ruimtestaat[[#This Row],[Norm (m2/uur) werkdagen]],0)</f>
        <v>0</v>
      </c>
      <c r="Y438" s="221">
        <f>Ruimtestaat[[#This Row],[uren / jaar werkdagen]]*Tariefsopbouw!$D$38</f>
        <v>0</v>
      </c>
      <c r="Z438" s="33"/>
      <c r="AA438" s="33">
        <f>IF(Ruimtestaat[[#This Row],[Frequentie weekend]]&gt;0,VALUE(LEFT(Z438,1))*S438,0)</f>
        <v>0</v>
      </c>
      <c r="AB438" s="33">
        <f>IF($AA438&gt;0,VLOOKUP($K438,Ruimtegroepen[],3,FALSE)*VLOOKUP($M438,Vloersoorten[],3,FALSE)*VLOOKUP($Z438,Frequenties[],3,FALSE)*VLOOKUP(#REF!,Locaties[],3,FALSE),0)</f>
        <v>0</v>
      </c>
      <c r="AC438" s="33"/>
      <c r="AD438" s="33"/>
      <c r="AE438" s="33">
        <f>Ruimtestaat[[#This Row],[uren / jaar weekend]]*Tariefsopbouw!$D$40</f>
        <v>0</v>
      </c>
      <c r="AF438" s="79">
        <f>Ruimtestaat[[#This Row],[Prest. (m2 /jaar) weekend]]+Ruimtestaat[[#This Row],[Prest. (m2 /jaar) werkdagen]]</f>
        <v>0</v>
      </c>
      <c r="AG438" s="79">
        <f>Ruimtestaat[[#This Row],[uren / jaar weekend]]+Ruimtestaat[[#This Row],[uren / jaar werkdagen]]</f>
        <v>0</v>
      </c>
      <c r="AH438" s="80">
        <f>Ruimtestaat[[#This Row],[kosten / jaar weekend]]+Ruimtestaat[[#This Row],[kosten / jaar werkdagen]]</f>
        <v>0</v>
      </c>
    </row>
    <row r="439" spans="1:34" ht="15" customHeight="1">
      <c r="A439" s="256">
        <v>6</v>
      </c>
      <c r="B439" s="171" t="str">
        <f>VLOOKUP(Ruimtestaat[[#This Row],[Code]],Locaties[#All],2,FALSE)</f>
        <v>Het Reliëf</v>
      </c>
      <c r="C439" s="258" t="str">
        <f>VLOOKUP(Ruimtestaat[[#This Row],[Code]],Locaties[#All],4,FALSE)</f>
        <v>Floraparkstraat 390</v>
      </c>
      <c r="D439" s="258" t="str">
        <f>VLOOKUP(Ruimtestaat[[#This Row],[Code]],Locaties[#All],5,FALSE)</f>
        <v>7531HX</v>
      </c>
      <c r="E439" s="258" t="str">
        <f>VLOOKUP(Ruimtestaat[[#This Row],[Code]],Locaties[#All],6,FALSE)</f>
        <v>Enschede</v>
      </c>
      <c r="F439" s="257"/>
      <c r="G439" s="257" t="s">
        <v>563</v>
      </c>
      <c r="H439" s="171"/>
      <c r="I439" s="257" t="s">
        <v>446</v>
      </c>
      <c r="J439" s="259" t="s">
        <v>854</v>
      </c>
      <c r="K439" s="171">
        <v>18</v>
      </c>
      <c r="L439" s="260" t="str">
        <f>VLOOKUP(Ruimtestaat[[#This Row],[Ruimte code]],Ruimtegroepen[#All],2,FALSE)</f>
        <v>Gymzaal</v>
      </c>
      <c r="M439" s="185" t="s">
        <v>112</v>
      </c>
      <c r="N439" s="257" t="s">
        <v>596</v>
      </c>
      <c r="O439" s="261">
        <v>329</v>
      </c>
      <c r="P439" s="183"/>
      <c r="Q439" s="212" t="str">
        <f>VLOOKUP(Ruimtestaat[[#This Row],[Ruimte code]],Ruimtegroepen[#All],4,FALSE)</f>
        <v>Sp  (Sportruimte)</v>
      </c>
      <c r="R439" s="184"/>
      <c r="S439" s="185">
        <v>40</v>
      </c>
      <c r="T439" s="185" t="s">
        <v>2</v>
      </c>
      <c r="U439" s="185">
        <f>IF(S439&gt;0,IF(RIGHT(Ruimtestaat[[#This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9" s="185">
        <f>IF(U439&gt;0,VLOOKUP($K439,Ruimtegroepen[],3,FALSE)*VLOOKUP($M439,Vloersoorten[],3,FALSE)*VLOOKUP($T439,Frequenties[],3,FALSE)*VLOOKUP($A439,Locaties[],3,FALSE),0)</f>
        <v>0</v>
      </c>
      <c r="W439" s="185">
        <f>Ruimtestaat[[#This Row],[Uitvoeringen werkdagen]]*Ruimtestaat[[#This Row],[Oppervlak (netto)]]</f>
        <v>65800</v>
      </c>
      <c r="X439" s="220">
        <f>IF(V439&gt;0,Ruimtestaat[[#This Row],[Prest. (m2 /jaar) werkdagen]]/Ruimtestaat[[#This Row],[Norm (m2/uur) werkdagen]],0)</f>
        <v>0</v>
      </c>
      <c r="Y439" s="221">
        <f>Ruimtestaat[[#This Row],[uren / jaar werkdagen]]*Tariefsopbouw!$D$38</f>
        <v>0</v>
      </c>
      <c r="Z439" s="33"/>
      <c r="AA439" s="33">
        <f>IF(Ruimtestaat[[#This Row],[Frequentie weekend]]&gt;0,VALUE(LEFT(Z439,1))*S439,0)</f>
        <v>0</v>
      </c>
      <c r="AB439" s="33">
        <f>IF($AA439&gt;0,VLOOKUP($K439,Ruimtegroepen[],3,FALSE)*VLOOKUP($M439,Vloersoorten[],3,FALSE)*VLOOKUP($Z439,Frequenties[],3,FALSE)*VLOOKUP(#REF!,Locaties[],3,FALSE),0)</f>
        <v>0</v>
      </c>
      <c r="AC439" s="33"/>
      <c r="AD439" s="33"/>
      <c r="AE439" s="33">
        <f>Ruimtestaat[[#This Row],[uren / jaar weekend]]*Tariefsopbouw!$D$40</f>
        <v>0</v>
      </c>
      <c r="AF439" s="79">
        <f>Ruimtestaat[[#This Row],[Prest. (m2 /jaar) weekend]]+Ruimtestaat[[#This Row],[Prest. (m2 /jaar) werkdagen]]</f>
        <v>65800</v>
      </c>
      <c r="AG439" s="79">
        <f>Ruimtestaat[[#This Row],[uren / jaar weekend]]+Ruimtestaat[[#This Row],[uren / jaar werkdagen]]</f>
        <v>0</v>
      </c>
      <c r="AH439" s="80">
        <f>Ruimtestaat[[#This Row],[kosten / jaar weekend]]+Ruimtestaat[[#This Row],[kosten / jaar werkdagen]]</f>
        <v>0</v>
      </c>
    </row>
    <row r="440" spans="1:34" ht="15" customHeight="1">
      <c r="A440" s="256">
        <v>6</v>
      </c>
      <c r="B440" s="171" t="str">
        <f>VLOOKUP(Ruimtestaat[[#This Row],[Code]],Locaties[#All],2,FALSE)</f>
        <v>Het Reliëf</v>
      </c>
      <c r="C440" s="258" t="str">
        <f>VLOOKUP(Ruimtestaat[[#This Row],[Code]],Locaties[#All],4,FALSE)</f>
        <v>Floraparkstraat 390</v>
      </c>
      <c r="D440" s="258" t="str">
        <f>VLOOKUP(Ruimtestaat[[#This Row],[Code]],Locaties[#All],5,FALSE)</f>
        <v>7531HX</v>
      </c>
      <c r="E440" s="258" t="str">
        <f>VLOOKUP(Ruimtestaat[[#This Row],[Code]],Locaties[#All],6,FALSE)</f>
        <v>Enschede</v>
      </c>
      <c r="F440" s="257"/>
      <c r="G440" s="257" t="s">
        <v>563</v>
      </c>
      <c r="H440" s="171"/>
      <c r="I440" s="257" t="s">
        <v>447</v>
      </c>
      <c r="J440" s="259" t="s">
        <v>579</v>
      </c>
      <c r="K440" s="171">
        <v>17</v>
      </c>
      <c r="L440" s="260" t="str">
        <f>VLOOKUP(Ruimtestaat[[#This Row],[Ruimte code]],Ruimtegroepen[#All],2,FALSE)</f>
        <v>Toestelberging</v>
      </c>
      <c r="M440" s="185" t="s">
        <v>112</v>
      </c>
      <c r="N440" s="257" t="s">
        <v>596</v>
      </c>
      <c r="O440" s="261">
        <v>45</v>
      </c>
      <c r="P440" s="183"/>
      <c r="Q440" s="212" t="str">
        <f>VLOOKUP(Ruimtestaat[[#This Row],[Ruimte code]],Ruimtegroepen[#All],4,FALSE)</f>
        <v>V  (Verkeersruimte)</v>
      </c>
      <c r="R440" s="184"/>
      <c r="S440" s="185">
        <v>40</v>
      </c>
      <c r="T440" s="185" t="s">
        <v>2</v>
      </c>
      <c r="U440" s="185">
        <f>IF(S440&gt;0,IF(RIGHT(Ruimtestaat[[#This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0" s="185">
        <f>IF(U440&gt;0,VLOOKUP($K440,Ruimtegroepen[],3,FALSE)*VLOOKUP($M440,Vloersoorten[],3,FALSE)*VLOOKUP($T440,Frequenties[],3,FALSE)*VLOOKUP($A440,Locaties[],3,FALSE),0)</f>
        <v>0</v>
      </c>
      <c r="W440" s="185">
        <f>Ruimtestaat[[#This Row],[Uitvoeringen werkdagen]]*Ruimtestaat[[#This Row],[Oppervlak (netto)]]</f>
        <v>9000</v>
      </c>
      <c r="X440" s="220">
        <f>IF(V440&gt;0,Ruimtestaat[[#This Row],[Prest. (m2 /jaar) werkdagen]]/Ruimtestaat[[#This Row],[Norm (m2/uur) werkdagen]],0)</f>
        <v>0</v>
      </c>
      <c r="Y440" s="221">
        <f>Ruimtestaat[[#This Row],[uren / jaar werkdagen]]*Tariefsopbouw!$D$38</f>
        <v>0</v>
      </c>
      <c r="Z440" s="33"/>
      <c r="AA440" s="33">
        <f>IF(Ruimtestaat[[#This Row],[Frequentie weekend]]&gt;0,VALUE(LEFT(Z440,1))*S440,0)</f>
        <v>0</v>
      </c>
      <c r="AB440" s="33">
        <f>IF($AA440&gt;0,VLOOKUP($K440,Ruimtegroepen[],3,FALSE)*VLOOKUP($M440,Vloersoorten[],3,FALSE)*VLOOKUP($Z440,Frequenties[],3,FALSE)*VLOOKUP(#REF!,Locaties[],3,FALSE),0)</f>
        <v>0</v>
      </c>
      <c r="AC440" s="33"/>
      <c r="AD440" s="33"/>
      <c r="AE440" s="33">
        <f>Ruimtestaat[[#This Row],[uren / jaar weekend]]*Tariefsopbouw!$D$40</f>
        <v>0</v>
      </c>
      <c r="AF440" s="79">
        <f>Ruimtestaat[[#This Row],[Prest. (m2 /jaar) weekend]]+Ruimtestaat[[#This Row],[Prest. (m2 /jaar) werkdagen]]</f>
        <v>9000</v>
      </c>
      <c r="AG440" s="79">
        <f>Ruimtestaat[[#This Row],[uren / jaar weekend]]+Ruimtestaat[[#This Row],[uren / jaar werkdagen]]</f>
        <v>0</v>
      </c>
      <c r="AH440" s="80">
        <f>Ruimtestaat[[#This Row],[kosten / jaar weekend]]+Ruimtestaat[[#This Row],[kosten / jaar werkdagen]]</f>
        <v>0</v>
      </c>
    </row>
    <row r="441" spans="1:34" ht="15" customHeight="1">
      <c r="A441" s="256">
        <v>8</v>
      </c>
      <c r="B441" s="171" t="str">
        <f>VLOOKUP(Ruimtestaat[[#This Row],[Code]],Locaties[#All],2,FALSE)</f>
        <v>Het Mozaïek</v>
      </c>
      <c r="C441" s="258" t="str">
        <f>VLOOKUP(Ruimtestaat[[#This Row],[Code]],Locaties[#All],4,FALSE)</f>
        <v>Beverdamlaan 11</v>
      </c>
      <c r="D441" s="258" t="str">
        <f>VLOOKUP(Ruimtestaat[[#This Row],[Code]],Locaties[#All],5,FALSE)</f>
        <v>7602 XR</v>
      </c>
      <c r="E441" s="258" t="str">
        <f>VLOOKUP(Ruimtestaat[[#This Row],[Code]],Locaties[#All],6,FALSE)</f>
        <v>Almelo</v>
      </c>
      <c r="F441" s="257"/>
      <c r="G441" s="257" t="s">
        <v>563</v>
      </c>
      <c r="H441" s="171"/>
      <c r="I441" s="257" t="s">
        <v>446</v>
      </c>
      <c r="J441" s="259" t="s">
        <v>40</v>
      </c>
      <c r="K441" s="224">
        <v>7</v>
      </c>
      <c r="L441" s="260" t="str">
        <f>VLOOKUP(Ruimtestaat[[#This Row],[Ruimte code]],Ruimtegroepen[#All],2,FALSE)</f>
        <v>Entree</v>
      </c>
      <c r="M441" s="258" t="s">
        <v>597</v>
      </c>
      <c r="N441" s="257" t="s">
        <v>38</v>
      </c>
      <c r="O441" s="261">
        <v>7.17</v>
      </c>
      <c r="P441" s="183"/>
      <c r="Q441" s="212" t="str">
        <f>VLOOKUP(Ruimtestaat[[#This Row],[Ruimte code]],Ruimtegroepen[#All],4,FALSE)</f>
        <v>V  (Verkeersruimte)</v>
      </c>
      <c r="R441" s="184"/>
      <c r="S441" s="185">
        <v>40</v>
      </c>
      <c r="T441" s="185" t="s">
        <v>2</v>
      </c>
      <c r="U441" s="185">
        <f>IF(S441&gt;0,IF(RIGHT(Ruimtestaat[[#This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1" s="185">
        <f>IF(U441&gt;0,VLOOKUP($K441,Ruimtegroepen[],3,FALSE)*VLOOKUP($M441,Vloersoorten[],3,FALSE)*VLOOKUP($T441,Frequenties[],3,FALSE)*VLOOKUP($A441,Locaties[],3,FALSE),0)</f>
        <v>0</v>
      </c>
      <c r="W441" s="185">
        <f>Ruimtestaat[[#This Row],[Uitvoeringen werkdagen]]*Ruimtestaat[[#This Row],[Oppervlak (netto)]]</f>
        <v>1434</v>
      </c>
      <c r="X441" s="220">
        <f>IF(V441&gt;0,Ruimtestaat[[#This Row],[Prest. (m2 /jaar) werkdagen]]/Ruimtestaat[[#This Row],[Norm (m2/uur) werkdagen]],0)</f>
        <v>0</v>
      </c>
      <c r="Y441" s="221">
        <f>Ruimtestaat[[#This Row],[uren / jaar werkdagen]]*Tariefsopbouw!$D$38</f>
        <v>0</v>
      </c>
      <c r="Z441" s="33"/>
      <c r="AA441" s="33">
        <f>IF(Ruimtestaat[[#This Row],[Frequentie weekend]]&gt;0,VALUE(LEFT(Z441,1))*S441,0)</f>
        <v>0</v>
      </c>
      <c r="AB441" s="33">
        <f>IF($AA441&gt;0,VLOOKUP($K441,Ruimtegroepen[],3,FALSE)*VLOOKUP($M441,Vloersoorten[],3,FALSE)*VLOOKUP($Z441,Frequenties[],3,FALSE)*VLOOKUP(#REF!,Locaties[],3,FALSE),0)</f>
        <v>0</v>
      </c>
      <c r="AC441" s="33"/>
      <c r="AD441" s="33"/>
      <c r="AE441" s="33">
        <f>Ruimtestaat[[#This Row],[uren / jaar weekend]]*Tariefsopbouw!$D$40</f>
        <v>0</v>
      </c>
      <c r="AF441" s="79">
        <f>Ruimtestaat[[#This Row],[Prest. (m2 /jaar) weekend]]+Ruimtestaat[[#This Row],[Prest. (m2 /jaar) werkdagen]]</f>
        <v>1434</v>
      </c>
      <c r="AG441" s="79">
        <f>Ruimtestaat[[#This Row],[uren / jaar weekend]]+Ruimtestaat[[#This Row],[uren / jaar werkdagen]]</f>
        <v>0</v>
      </c>
      <c r="AH441" s="80">
        <f>Ruimtestaat[[#This Row],[kosten / jaar weekend]]+Ruimtestaat[[#This Row],[kosten / jaar werkdagen]]</f>
        <v>0</v>
      </c>
    </row>
    <row r="442" spans="1:34" ht="15" customHeight="1">
      <c r="A442" s="256">
        <v>8</v>
      </c>
      <c r="B442" s="171" t="str">
        <f>VLOOKUP(Ruimtestaat[[#This Row],[Code]],Locaties[#All],2,FALSE)</f>
        <v>Het Mozaïek</v>
      </c>
      <c r="C442" s="258" t="str">
        <f>VLOOKUP(Ruimtestaat[[#This Row],[Code]],Locaties[#All],4,FALSE)</f>
        <v>Beverdamlaan 11</v>
      </c>
      <c r="D442" s="258" t="str">
        <f>VLOOKUP(Ruimtestaat[[#This Row],[Code]],Locaties[#All],5,FALSE)</f>
        <v>7602 XR</v>
      </c>
      <c r="E442" s="258" t="str">
        <f>VLOOKUP(Ruimtestaat[[#This Row],[Code]],Locaties[#All],6,FALSE)</f>
        <v>Almelo</v>
      </c>
      <c r="F442" s="257"/>
      <c r="G442" s="257" t="s">
        <v>563</v>
      </c>
      <c r="H442" s="171"/>
      <c r="I442" s="257" t="s">
        <v>447</v>
      </c>
      <c r="J442" s="259" t="s">
        <v>615</v>
      </c>
      <c r="K442" s="258">
        <v>6</v>
      </c>
      <c r="L442" s="260" t="str">
        <f>VLOOKUP(Ruimtestaat[[#This Row],[Ruimte code]],Ruimtegroepen[#All],2,FALSE)</f>
        <v>Gangen/hallen</v>
      </c>
      <c r="M442" s="185" t="s">
        <v>598</v>
      </c>
      <c r="N442" s="257" t="s">
        <v>132</v>
      </c>
      <c r="O442" s="261">
        <v>132.91</v>
      </c>
      <c r="P442" s="183"/>
      <c r="Q442" s="212" t="str">
        <f>VLOOKUP(Ruimtestaat[[#This Row],[Ruimte code]],Ruimtegroepen[#All],4,FALSE)</f>
        <v>V  (Verkeersruimte)</v>
      </c>
      <c r="R442" s="184"/>
      <c r="S442" s="185">
        <v>40</v>
      </c>
      <c r="T442" s="185" t="s">
        <v>2</v>
      </c>
      <c r="U442" s="185">
        <f>IF(S442&gt;0,IF(RIGHT(Ruimtestaat[[#This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2" s="185">
        <f>IF(U442&gt;0,VLOOKUP($K442,Ruimtegroepen[],3,FALSE)*VLOOKUP($M442,Vloersoorten[],3,FALSE)*VLOOKUP($T442,Frequenties[],3,FALSE)*VLOOKUP($A442,Locaties[],3,FALSE),0)</f>
        <v>0</v>
      </c>
      <c r="W442" s="185">
        <f>Ruimtestaat[[#This Row],[Uitvoeringen werkdagen]]*Ruimtestaat[[#This Row],[Oppervlak (netto)]]</f>
        <v>26582</v>
      </c>
      <c r="X442" s="220">
        <f>IF(V442&gt;0,Ruimtestaat[[#This Row],[Prest. (m2 /jaar) werkdagen]]/Ruimtestaat[[#This Row],[Norm (m2/uur) werkdagen]],0)</f>
        <v>0</v>
      </c>
      <c r="Y442" s="221">
        <f>Ruimtestaat[[#This Row],[uren / jaar werkdagen]]*Tariefsopbouw!$D$38</f>
        <v>0</v>
      </c>
      <c r="Z442" s="33"/>
      <c r="AA442" s="33">
        <f>IF(Ruimtestaat[[#This Row],[Frequentie weekend]]&gt;0,VALUE(LEFT(Z442,1))*S442,0)</f>
        <v>0</v>
      </c>
      <c r="AB442" s="33">
        <f>IF($AA442&gt;0,VLOOKUP($K442,Ruimtegroepen[],3,FALSE)*VLOOKUP($M442,Vloersoorten[],3,FALSE)*VLOOKUP($Z442,Frequenties[],3,FALSE)*VLOOKUP(#REF!,Locaties[],3,FALSE),0)</f>
        <v>0</v>
      </c>
      <c r="AC442" s="33"/>
      <c r="AD442" s="33"/>
      <c r="AE442" s="33">
        <f>Ruimtestaat[[#This Row],[uren / jaar weekend]]*Tariefsopbouw!$D$40</f>
        <v>0</v>
      </c>
      <c r="AF442" s="79">
        <f>Ruimtestaat[[#This Row],[Prest. (m2 /jaar) weekend]]+Ruimtestaat[[#This Row],[Prest. (m2 /jaar) werkdagen]]</f>
        <v>26582</v>
      </c>
      <c r="AG442" s="79">
        <f>Ruimtestaat[[#This Row],[uren / jaar weekend]]+Ruimtestaat[[#This Row],[uren / jaar werkdagen]]</f>
        <v>0</v>
      </c>
      <c r="AH442" s="80">
        <f>Ruimtestaat[[#This Row],[kosten / jaar weekend]]+Ruimtestaat[[#This Row],[kosten / jaar werkdagen]]</f>
        <v>0</v>
      </c>
    </row>
    <row r="443" spans="1:34" ht="15" customHeight="1">
      <c r="A443" s="256">
        <v>8</v>
      </c>
      <c r="B443" s="171" t="str">
        <f>VLOOKUP(Ruimtestaat[[#This Row],[Code]],Locaties[#All],2,FALSE)</f>
        <v>Het Mozaïek</v>
      </c>
      <c r="C443" s="258" t="str">
        <f>VLOOKUP(Ruimtestaat[[#This Row],[Code]],Locaties[#All],4,FALSE)</f>
        <v>Beverdamlaan 11</v>
      </c>
      <c r="D443" s="258" t="str">
        <f>VLOOKUP(Ruimtestaat[[#This Row],[Code]],Locaties[#All],5,FALSE)</f>
        <v>7602 XR</v>
      </c>
      <c r="E443" s="258" t="str">
        <f>VLOOKUP(Ruimtestaat[[#This Row],[Code]],Locaties[#All],6,FALSE)</f>
        <v>Almelo</v>
      </c>
      <c r="F443" s="257"/>
      <c r="G443" s="257" t="s">
        <v>563</v>
      </c>
      <c r="H443" s="171"/>
      <c r="I443" s="257" t="s">
        <v>448</v>
      </c>
      <c r="J443" s="259" t="s">
        <v>61</v>
      </c>
      <c r="K443" s="258">
        <v>3</v>
      </c>
      <c r="L443" s="260" t="str">
        <f>VLOOKUP(Ruimtestaat[[#This Row],[Ruimte code]],Ruimtegroepen[#All],2,FALSE)</f>
        <v>Reproruimte</v>
      </c>
      <c r="M443" s="185" t="s">
        <v>598</v>
      </c>
      <c r="N443" s="257" t="s">
        <v>132</v>
      </c>
      <c r="O443" s="261">
        <v>7.34</v>
      </c>
      <c r="P443" s="183"/>
      <c r="Q443" s="212" t="str">
        <f>VLOOKUP(Ruimtestaat[[#This Row],[Ruimte code]],Ruimtegroepen[#All],4,FALSE)</f>
        <v>V  (Verkeersruimte)</v>
      </c>
      <c r="R443" s="184"/>
      <c r="S443" s="185">
        <v>40</v>
      </c>
      <c r="T443" s="185" t="s">
        <v>2</v>
      </c>
      <c r="U443" s="185">
        <f>IF(S443&gt;0,IF(RIGHT(Ruimtestaat[[#This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3" s="185">
        <f>IF(U443&gt;0,VLOOKUP($K443,Ruimtegroepen[],3,FALSE)*VLOOKUP($M443,Vloersoorten[],3,FALSE)*VLOOKUP($T443,Frequenties[],3,FALSE)*VLOOKUP($A443,Locaties[],3,FALSE),0)</f>
        <v>0</v>
      </c>
      <c r="W443" s="185">
        <f>Ruimtestaat[[#This Row],[Uitvoeringen werkdagen]]*Ruimtestaat[[#This Row],[Oppervlak (netto)]]</f>
        <v>1468</v>
      </c>
      <c r="X443" s="220">
        <f>IF(V443&gt;0,Ruimtestaat[[#This Row],[Prest. (m2 /jaar) werkdagen]]/Ruimtestaat[[#This Row],[Norm (m2/uur) werkdagen]],0)</f>
        <v>0</v>
      </c>
      <c r="Y443" s="221">
        <f>Ruimtestaat[[#This Row],[uren / jaar werkdagen]]*Tariefsopbouw!$D$38</f>
        <v>0</v>
      </c>
      <c r="Z443" s="33"/>
      <c r="AA443" s="33">
        <f>IF(Ruimtestaat[[#This Row],[Frequentie weekend]]&gt;0,VALUE(LEFT(Z443,1))*S443,0)</f>
        <v>0</v>
      </c>
      <c r="AB443" s="33">
        <f>IF($AA443&gt;0,VLOOKUP($K443,Ruimtegroepen[],3,FALSE)*VLOOKUP($M443,Vloersoorten[],3,FALSE)*VLOOKUP($Z443,Frequenties[],3,FALSE)*VLOOKUP(#REF!,Locaties[],3,FALSE),0)</f>
        <v>0</v>
      </c>
      <c r="AC443" s="33"/>
      <c r="AD443" s="33"/>
      <c r="AE443" s="33">
        <f>Ruimtestaat[[#This Row],[uren / jaar weekend]]*Tariefsopbouw!$D$40</f>
        <v>0</v>
      </c>
      <c r="AF443" s="79">
        <f>Ruimtestaat[[#This Row],[Prest. (m2 /jaar) weekend]]+Ruimtestaat[[#This Row],[Prest. (m2 /jaar) werkdagen]]</f>
        <v>1468</v>
      </c>
      <c r="AG443" s="79">
        <f>Ruimtestaat[[#This Row],[uren / jaar weekend]]+Ruimtestaat[[#This Row],[uren / jaar werkdagen]]</f>
        <v>0</v>
      </c>
      <c r="AH443" s="80">
        <f>Ruimtestaat[[#This Row],[kosten / jaar weekend]]+Ruimtestaat[[#This Row],[kosten / jaar werkdagen]]</f>
        <v>0</v>
      </c>
    </row>
    <row r="444" spans="1:34" ht="15" customHeight="1">
      <c r="A444" s="256">
        <v>8</v>
      </c>
      <c r="B444" s="171" t="str">
        <f>VLOOKUP(Ruimtestaat[[#This Row],[Code]],Locaties[#All],2,FALSE)</f>
        <v>Het Mozaïek</v>
      </c>
      <c r="C444" s="258" t="str">
        <f>VLOOKUP(Ruimtestaat[[#This Row],[Code]],Locaties[#All],4,FALSE)</f>
        <v>Beverdamlaan 11</v>
      </c>
      <c r="D444" s="258" t="str">
        <f>VLOOKUP(Ruimtestaat[[#This Row],[Code]],Locaties[#All],5,FALSE)</f>
        <v>7602 XR</v>
      </c>
      <c r="E444" s="258" t="str">
        <f>VLOOKUP(Ruimtestaat[[#This Row],[Code]],Locaties[#All],6,FALSE)</f>
        <v>Almelo</v>
      </c>
      <c r="F444" s="257"/>
      <c r="G444" s="257" t="s">
        <v>563</v>
      </c>
      <c r="H444" s="171"/>
      <c r="I444" s="257" t="s">
        <v>449</v>
      </c>
      <c r="J444" s="259" t="s">
        <v>571</v>
      </c>
      <c r="K444" s="171">
        <v>2</v>
      </c>
      <c r="L444" s="260" t="str">
        <f>VLOOKUP(Ruimtestaat[[#This Row],[Ruimte code]],Ruimtegroepen[#All],2,FALSE)</f>
        <v>Kantoren</v>
      </c>
      <c r="M444" s="185" t="s">
        <v>598</v>
      </c>
      <c r="N444" s="257" t="s">
        <v>132</v>
      </c>
      <c r="O444" s="261">
        <v>10.42</v>
      </c>
      <c r="P444" s="183"/>
      <c r="Q444" s="212" t="str">
        <f>VLOOKUP(Ruimtestaat[[#This Row],[Ruimte code]],Ruimtegroepen[#All],4,FALSE)</f>
        <v>B  (Bureauruimte)</v>
      </c>
      <c r="R444" s="184"/>
      <c r="S444" s="185">
        <v>40</v>
      </c>
      <c r="T444" s="185" t="s">
        <v>2</v>
      </c>
      <c r="U444" s="185">
        <f>IF(S444&gt;0,IF(RIGHT(Ruimtestaat[[#This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4" s="185">
        <f>IF(U444&gt;0,VLOOKUP($K444,Ruimtegroepen[],3,FALSE)*VLOOKUP($M444,Vloersoorten[],3,FALSE)*VLOOKUP($T444,Frequenties[],3,FALSE)*VLOOKUP($A444,Locaties[],3,FALSE),0)</f>
        <v>0</v>
      </c>
      <c r="W444" s="185">
        <f>Ruimtestaat[[#This Row],[Uitvoeringen werkdagen]]*Ruimtestaat[[#This Row],[Oppervlak (netto)]]</f>
        <v>2084</v>
      </c>
      <c r="X444" s="220">
        <f>IF(V444&gt;0,Ruimtestaat[[#This Row],[Prest. (m2 /jaar) werkdagen]]/Ruimtestaat[[#This Row],[Norm (m2/uur) werkdagen]],0)</f>
        <v>0</v>
      </c>
      <c r="Y444" s="221">
        <f>Ruimtestaat[[#This Row],[uren / jaar werkdagen]]*Tariefsopbouw!$D$38</f>
        <v>0</v>
      </c>
      <c r="Z444" s="33"/>
      <c r="AA444" s="33">
        <f>IF(Ruimtestaat[[#This Row],[Frequentie weekend]]&gt;0,VALUE(LEFT(Z444,1))*S444,0)</f>
        <v>0</v>
      </c>
      <c r="AB444" s="33">
        <f>IF($AA444&gt;0,VLOOKUP($K444,Ruimtegroepen[],3,FALSE)*VLOOKUP($M444,Vloersoorten[],3,FALSE)*VLOOKUP($Z444,Frequenties[],3,FALSE)*VLOOKUP(#REF!,Locaties[],3,FALSE),0)</f>
        <v>0</v>
      </c>
      <c r="AC444" s="33"/>
      <c r="AD444" s="33"/>
      <c r="AE444" s="33">
        <f>Ruimtestaat[[#This Row],[uren / jaar weekend]]*Tariefsopbouw!$D$40</f>
        <v>0</v>
      </c>
      <c r="AF444" s="79">
        <f>Ruimtestaat[[#This Row],[Prest. (m2 /jaar) weekend]]+Ruimtestaat[[#This Row],[Prest. (m2 /jaar) werkdagen]]</f>
        <v>2084</v>
      </c>
      <c r="AG444" s="79">
        <f>Ruimtestaat[[#This Row],[uren / jaar weekend]]+Ruimtestaat[[#This Row],[uren / jaar werkdagen]]</f>
        <v>0</v>
      </c>
      <c r="AH444" s="80">
        <f>Ruimtestaat[[#This Row],[kosten / jaar weekend]]+Ruimtestaat[[#This Row],[kosten / jaar werkdagen]]</f>
        <v>0</v>
      </c>
    </row>
    <row r="445" spans="1:34" ht="15" customHeight="1">
      <c r="A445" s="256">
        <v>8</v>
      </c>
      <c r="B445" s="171" t="str">
        <f>VLOOKUP(Ruimtestaat[[#This Row],[Code]],Locaties[#All],2,FALSE)</f>
        <v>Het Mozaïek</v>
      </c>
      <c r="C445" s="258" t="str">
        <f>VLOOKUP(Ruimtestaat[[#This Row],[Code]],Locaties[#All],4,FALSE)</f>
        <v>Beverdamlaan 11</v>
      </c>
      <c r="D445" s="258" t="str">
        <f>VLOOKUP(Ruimtestaat[[#This Row],[Code]],Locaties[#All],5,FALSE)</f>
        <v>7602 XR</v>
      </c>
      <c r="E445" s="258" t="str">
        <f>VLOOKUP(Ruimtestaat[[#This Row],[Code]],Locaties[#All],6,FALSE)</f>
        <v>Almelo</v>
      </c>
      <c r="F445" s="257"/>
      <c r="G445" s="257" t="s">
        <v>563</v>
      </c>
      <c r="H445" s="171"/>
      <c r="I445" s="257" t="s">
        <v>450</v>
      </c>
      <c r="J445" s="259" t="s">
        <v>683</v>
      </c>
      <c r="K445" s="185">
        <v>5</v>
      </c>
      <c r="L445" s="260" t="str">
        <f>VLOOKUP(Ruimtestaat[[#This Row],[Ruimte code]],Ruimtegroepen[#All],2,FALSE)</f>
        <v>Sanitair</v>
      </c>
      <c r="M445" s="258" t="s">
        <v>598</v>
      </c>
      <c r="N445" s="257" t="s">
        <v>132</v>
      </c>
      <c r="O445" s="261">
        <v>7.97</v>
      </c>
      <c r="P445" s="183"/>
      <c r="Q445" s="212" t="str">
        <f>VLOOKUP(Ruimtestaat[[#This Row],[Ruimte code]],Ruimtegroepen[#All],4,FALSE)</f>
        <v>S  (Sanitair)</v>
      </c>
      <c r="R445" s="184"/>
      <c r="S445" s="185">
        <v>40</v>
      </c>
      <c r="T445" s="185" t="s">
        <v>2</v>
      </c>
      <c r="U445" s="185">
        <f>IF(S445&gt;0,IF(RIGHT(Ruimtestaat[[#This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5" s="185">
        <f>IF(U445&gt;0,VLOOKUP($K445,Ruimtegroepen[],3,FALSE)*VLOOKUP($M445,Vloersoorten[],3,FALSE)*VLOOKUP($T445,Frequenties[],3,FALSE)*VLOOKUP($A445,Locaties[],3,FALSE),0)</f>
        <v>0</v>
      </c>
      <c r="W445" s="185">
        <f>Ruimtestaat[[#This Row],[Uitvoeringen werkdagen]]*Ruimtestaat[[#This Row],[Oppervlak (netto)]]</f>
        <v>1594</v>
      </c>
      <c r="X445" s="220">
        <f>IF(V445&gt;0,Ruimtestaat[[#This Row],[Prest. (m2 /jaar) werkdagen]]/Ruimtestaat[[#This Row],[Norm (m2/uur) werkdagen]],0)</f>
        <v>0</v>
      </c>
      <c r="Y445" s="221">
        <f>Ruimtestaat[[#This Row],[uren / jaar werkdagen]]*Tariefsopbouw!$D$38</f>
        <v>0</v>
      </c>
      <c r="Z445" s="33"/>
      <c r="AA445" s="33">
        <f>IF(Ruimtestaat[[#This Row],[Frequentie weekend]]&gt;0,VALUE(LEFT(Z445,1))*S445,0)</f>
        <v>0</v>
      </c>
      <c r="AB445" s="33">
        <f>IF($AA445&gt;0,VLOOKUP($K445,Ruimtegroepen[],3,FALSE)*VLOOKUP($M445,Vloersoorten[],3,FALSE)*VLOOKUP($Z445,Frequenties[],3,FALSE)*VLOOKUP(#REF!,Locaties[],3,FALSE),0)</f>
        <v>0</v>
      </c>
      <c r="AC445" s="33"/>
      <c r="AD445" s="33"/>
      <c r="AE445" s="33">
        <f>Ruimtestaat[[#This Row],[uren / jaar weekend]]*Tariefsopbouw!$D$40</f>
        <v>0</v>
      </c>
      <c r="AF445" s="79">
        <f>Ruimtestaat[[#This Row],[Prest. (m2 /jaar) weekend]]+Ruimtestaat[[#This Row],[Prest. (m2 /jaar) werkdagen]]</f>
        <v>1594</v>
      </c>
      <c r="AG445" s="79">
        <f>Ruimtestaat[[#This Row],[uren / jaar weekend]]+Ruimtestaat[[#This Row],[uren / jaar werkdagen]]</f>
        <v>0</v>
      </c>
      <c r="AH445" s="80">
        <f>Ruimtestaat[[#This Row],[kosten / jaar weekend]]+Ruimtestaat[[#This Row],[kosten / jaar werkdagen]]</f>
        <v>0</v>
      </c>
    </row>
    <row r="446" spans="1:34" ht="15" customHeight="1">
      <c r="A446" s="256">
        <v>8</v>
      </c>
      <c r="B446" s="171" t="str">
        <f>VLOOKUP(Ruimtestaat[[#This Row],[Code]],Locaties[#All],2,FALSE)</f>
        <v>Het Mozaïek</v>
      </c>
      <c r="C446" s="258" t="str">
        <f>VLOOKUP(Ruimtestaat[[#This Row],[Code]],Locaties[#All],4,FALSE)</f>
        <v>Beverdamlaan 11</v>
      </c>
      <c r="D446" s="258" t="str">
        <f>VLOOKUP(Ruimtestaat[[#This Row],[Code]],Locaties[#All],5,FALSE)</f>
        <v>7602 XR</v>
      </c>
      <c r="E446" s="258" t="str">
        <f>VLOOKUP(Ruimtestaat[[#This Row],[Code]],Locaties[#All],6,FALSE)</f>
        <v>Almelo</v>
      </c>
      <c r="F446" s="257"/>
      <c r="G446" s="257" t="s">
        <v>563</v>
      </c>
      <c r="H446" s="171"/>
      <c r="I446" s="257" t="s">
        <v>451</v>
      </c>
      <c r="J446" s="259" t="s">
        <v>569</v>
      </c>
      <c r="K446" s="185">
        <v>5</v>
      </c>
      <c r="L446" s="260" t="str">
        <f>VLOOKUP(Ruimtestaat[[#This Row],[Ruimte code]],Ruimtegroepen[#All],2,FALSE)</f>
        <v>Sanitair</v>
      </c>
      <c r="M446" s="258" t="s">
        <v>598</v>
      </c>
      <c r="N446" s="257" t="s">
        <v>132</v>
      </c>
      <c r="O446" s="261">
        <v>3.78</v>
      </c>
      <c r="P446" s="183"/>
      <c r="Q446" s="212" t="str">
        <f>VLOOKUP(Ruimtestaat[[#This Row],[Ruimte code]],Ruimtegroepen[#All],4,FALSE)</f>
        <v>S  (Sanitair)</v>
      </c>
      <c r="R446" s="184"/>
      <c r="S446" s="185">
        <v>40</v>
      </c>
      <c r="T446" s="185" t="s">
        <v>2</v>
      </c>
      <c r="U446" s="185">
        <f>IF(S446&gt;0,IF(RIGHT(Ruimtestaat[[#This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6" s="185">
        <f>IF(U446&gt;0,VLOOKUP($K446,Ruimtegroepen[],3,FALSE)*VLOOKUP($M446,Vloersoorten[],3,FALSE)*VLOOKUP($T446,Frequenties[],3,FALSE)*VLOOKUP($A446,Locaties[],3,FALSE),0)</f>
        <v>0</v>
      </c>
      <c r="W446" s="185">
        <f>Ruimtestaat[[#This Row],[Uitvoeringen werkdagen]]*Ruimtestaat[[#This Row],[Oppervlak (netto)]]</f>
        <v>756</v>
      </c>
      <c r="X446" s="220">
        <f>IF(V446&gt;0,Ruimtestaat[[#This Row],[Prest. (m2 /jaar) werkdagen]]/Ruimtestaat[[#This Row],[Norm (m2/uur) werkdagen]],0)</f>
        <v>0</v>
      </c>
      <c r="Y446" s="221">
        <f>Ruimtestaat[[#This Row],[uren / jaar werkdagen]]*Tariefsopbouw!$D$38</f>
        <v>0</v>
      </c>
      <c r="Z446" s="33"/>
      <c r="AA446" s="33">
        <f>IF(Ruimtestaat[[#This Row],[Frequentie weekend]]&gt;0,VALUE(LEFT(Z446,1))*S446,0)</f>
        <v>0</v>
      </c>
      <c r="AB446" s="33">
        <f>IF($AA446&gt;0,VLOOKUP($K446,Ruimtegroepen[],3,FALSE)*VLOOKUP($M446,Vloersoorten[],3,FALSE)*VLOOKUP($Z446,Frequenties[],3,FALSE)*VLOOKUP(#REF!,Locaties[],3,FALSE),0)</f>
        <v>0</v>
      </c>
      <c r="AC446" s="33"/>
      <c r="AD446" s="33"/>
      <c r="AE446" s="33">
        <f>Ruimtestaat[[#This Row],[uren / jaar weekend]]*Tariefsopbouw!$D$40</f>
        <v>0</v>
      </c>
      <c r="AF446" s="79">
        <f>Ruimtestaat[[#This Row],[Prest. (m2 /jaar) weekend]]+Ruimtestaat[[#This Row],[Prest. (m2 /jaar) werkdagen]]</f>
        <v>756</v>
      </c>
      <c r="AG446" s="79">
        <f>Ruimtestaat[[#This Row],[uren / jaar weekend]]+Ruimtestaat[[#This Row],[uren / jaar werkdagen]]</f>
        <v>0</v>
      </c>
      <c r="AH446" s="80">
        <f>Ruimtestaat[[#This Row],[kosten / jaar weekend]]+Ruimtestaat[[#This Row],[kosten / jaar werkdagen]]</f>
        <v>0</v>
      </c>
    </row>
    <row r="447" spans="1:34" ht="15" customHeight="1">
      <c r="A447" s="256">
        <v>8</v>
      </c>
      <c r="B447" s="171" t="str">
        <f>VLOOKUP(Ruimtestaat[[#This Row],[Code]],Locaties[#All],2,FALSE)</f>
        <v>Het Mozaïek</v>
      </c>
      <c r="C447" s="258" t="str">
        <f>VLOOKUP(Ruimtestaat[[#This Row],[Code]],Locaties[#All],4,FALSE)</f>
        <v>Beverdamlaan 11</v>
      </c>
      <c r="D447" s="258" t="str">
        <f>VLOOKUP(Ruimtestaat[[#This Row],[Code]],Locaties[#All],5,FALSE)</f>
        <v>7602 XR</v>
      </c>
      <c r="E447" s="258" t="str">
        <f>VLOOKUP(Ruimtestaat[[#This Row],[Code]],Locaties[#All],6,FALSE)</f>
        <v>Almelo</v>
      </c>
      <c r="F447" s="257"/>
      <c r="G447" s="257" t="s">
        <v>563</v>
      </c>
      <c r="H447" s="171"/>
      <c r="I447" s="257" t="s">
        <v>452</v>
      </c>
      <c r="J447" s="259" t="s">
        <v>600</v>
      </c>
      <c r="K447" s="185">
        <v>15</v>
      </c>
      <c r="L447" s="260" t="str">
        <f>VLOOKUP(Ruimtestaat[[#This Row],[Ruimte code]],Ruimtegroepen[#All],2,FALSE)</f>
        <v>Keuken/pantry</v>
      </c>
      <c r="M447" s="212" t="s">
        <v>111</v>
      </c>
      <c r="N447" s="257" t="s">
        <v>605</v>
      </c>
      <c r="O447" s="261">
        <v>18.579999999999998</v>
      </c>
      <c r="P447" s="183"/>
      <c r="Q447" s="212" t="str">
        <f>VLOOKUP(Ruimtestaat[[#This Row],[Ruimte code]],Ruimtegroepen[#All],4,FALSE)</f>
        <v>V  (Verkeersruimte)</v>
      </c>
      <c r="R447" s="184"/>
      <c r="S447" s="185">
        <v>40</v>
      </c>
      <c r="T447" s="185" t="s">
        <v>2</v>
      </c>
      <c r="U447" s="185">
        <f>IF(S447&gt;0,IF(RIGHT(Ruimtestaat[[#This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7" s="185">
        <f>IF(U447&gt;0,VLOOKUP($K447,Ruimtegroepen[],3,FALSE)*VLOOKUP($M447,Vloersoorten[],3,FALSE)*VLOOKUP($T447,Frequenties[],3,FALSE)*VLOOKUP($A447,Locaties[],3,FALSE),0)</f>
        <v>0</v>
      </c>
      <c r="W447" s="185">
        <f>Ruimtestaat[[#This Row],[Uitvoeringen werkdagen]]*Ruimtestaat[[#This Row],[Oppervlak (netto)]]</f>
        <v>3715.9999999999995</v>
      </c>
      <c r="X447" s="220">
        <f>IF(V447&gt;0,Ruimtestaat[[#This Row],[Prest. (m2 /jaar) werkdagen]]/Ruimtestaat[[#This Row],[Norm (m2/uur) werkdagen]],0)</f>
        <v>0</v>
      </c>
      <c r="Y447" s="221">
        <f>Ruimtestaat[[#This Row],[uren / jaar werkdagen]]*Tariefsopbouw!$D$38</f>
        <v>0</v>
      </c>
      <c r="Z447" s="33"/>
      <c r="AA447" s="33">
        <f>IF(Ruimtestaat[[#This Row],[Frequentie weekend]]&gt;0,VALUE(LEFT(Z447,1))*S447,0)</f>
        <v>0</v>
      </c>
      <c r="AB447" s="33">
        <f>IF($AA447&gt;0,VLOOKUP($K447,Ruimtegroepen[],3,FALSE)*VLOOKUP($M447,Vloersoorten[],3,FALSE)*VLOOKUP($Z447,Frequenties[],3,FALSE)*VLOOKUP(#REF!,Locaties[],3,FALSE),0)</f>
        <v>0</v>
      </c>
      <c r="AC447" s="33"/>
      <c r="AD447" s="33"/>
      <c r="AE447" s="33">
        <f>Ruimtestaat[[#This Row],[uren / jaar weekend]]*Tariefsopbouw!$D$40</f>
        <v>0</v>
      </c>
      <c r="AF447" s="79">
        <f>Ruimtestaat[[#This Row],[Prest. (m2 /jaar) weekend]]+Ruimtestaat[[#This Row],[Prest. (m2 /jaar) werkdagen]]</f>
        <v>3715.9999999999995</v>
      </c>
      <c r="AG447" s="79">
        <f>Ruimtestaat[[#This Row],[uren / jaar weekend]]+Ruimtestaat[[#This Row],[uren / jaar werkdagen]]</f>
        <v>0</v>
      </c>
      <c r="AH447" s="80">
        <f>Ruimtestaat[[#This Row],[kosten / jaar weekend]]+Ruimtestaat[[#This Row],[kosten / jaar werkdagen]]</f>
        <v>0</v>
      </c>
    </row>
    <row r="448" spans="1:34" ht="15" customHeight="1">
      <c r="A448" s="256">
        <v>8</v>
      </c>
      <c r="B448" s="171" t="str">
        <f>VLOOKUP(Ruimtestaat[[#This Row],[Code]],Locaties[#All],2,FALSE)</f>
        <v>Het Mozaïek</v>
      </c>
      <c r="C448" s="258" t="str">
        <f>VLOOKUP(Ruimtestaat[[#This Row],[Code]],Locaties[#All],4,FALSE)</f>
        <v>Beverdamlaan 11</v>
      </c>
      <c r="D448" s="258" t="str">
        <f>VLOOKUP(Ruimtestaat[[#This Row],[Code]],Locaties[#All],5,FALSE)</f>
        <v>7602 XR</v>
      </c>
      <c r="E448" s="258" t="str">
        <f>VLOOKUP(Ruimtestaat[[#This Row],[Code]],Locaties[#All],6,FALSE)</f>
        <v>Almelo</v>
      </c>
      <c r="F448" s="257"/>
      <c r="G448" s="257" t="s">
        <v>563</v>
      </c>
      <c r="H448" s="171"/>
      <c r="I448" s="257" t="s">
        <v>453</v>
      </c>
      <c r="J448" s="259" t="s">
        <v>576</v>
      </c>
      <c r="K448" s="258">
        <v>16</v>
      </c>
      <c r="L448" s="260" t="str">
        <f>VLOOKUP(Ruimtestaat[[#This Row],[Ruimte code]],Ruimtegroepen[#All],2,FALSE)</f>
        <v>Leslokalen</v>
      </c>
      <c r="M448" s="185" t="s">
        <v>598</v>
      </c>
      <c r="N448" s="257" t="s">
        <v>132</v>
      </c>
      <c r="O448" s="261">
        <v>54.42</v>
      </c>
      <c r="P448" s="183"/>
      <c r="Q448" s="212" t="str">
        <f>VLOOKUP(Ruimtestaat[[#This Row],[Ruimte code]],Ruimtegroepen[#All],4,FALSE)</f>
        <v>L  (Lesruimte)</v>
      </c>
      <c r="R448" s="184"/>
      <c r="S448" s="185">
        <v>40</v>
      </c>
      <c r="T448" s="185" t="s">
        <v>2</v>
      </c>
      <c r="U448" s="185">
        <f>IF(S448&gt;0,IF(RIGHT(Ruimtestaat[[#This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8" s="185">
        <f>IF(U448&gt;0,VLOOKUP($K448,Ruimtegroepen[],3,FALSE)*VLOOKUP($M448,Vloersoorten[],3,FALSE)*VLOOKUP($T448,Frequenties[],3,FALSE)*VLOOKUP($A448,Locaties[],3,FALSE),0)</f>
        <v>0</v>
      </c>
      <c r="W448" s="185">
        <f>Ruimtestaat[[#This Row],[Uitvoeringen werkdagen]]*Ruimtestaat[[#This Row],[Oppervlak (netto)]]</f>
        <v>10884</v>
      </c>
      <c r="X448" s="220">
        <f>IF(V448&gt;0,Ruimtestaat[[#This Row],[Prest. (m2 /jaar) werkdagen]]/Ruimtestaat[[#This Row],[Norm (m2/uur) werkdagen]],0)</f>
        <v>0</v>
      </c>
      <c r="Y448" s="221">
        <f>Ruimtestaat[[#This Row],[uren / jaar werkdagen]]*Tariefsopbouw!$D$38</f>
        <v>0</v>
      </c>
      <c r="Z448" s="33"/>
      <c r="AA448" s="33">
        <f>IF(Ruimtestaat[[#This Row],[Frequentie weekend]]&gt;0,VALUE(LEFT(Z448,1))*S448,0)</f>
        <v>0</v>
      </c>
      <c r="AB448" s="33">
        <f>IF($AA448&gt;0,VLOOKUP($K448,Ruimtegroepen[],3,FALSE)*VLOOKUP($M448,Vloersoorten[],3,FALSE)*VLOOKUP($Z448,Frequenties[],3,FALSE)*VLOOKUP(#REF!,Locaties[],3,FALSE),0)</f>
        <v>0</v>
      </c>
      <c r="AC448" s="33"/>
      <c r="AD448" s="33"/>
      <c r="AE448" s="33">
        <f>Ruimtestaat[[#This Row],[uren / jaar weekend]]*Tariefsopbouw!$D$40</f>
        <v>0</v>
      </c>
      <c r="AF448" s="79">
        <f>Ruimtestaat[[#This Row],[Prest. (m2 /jaar) weekend]]+Ruimtestaat[[#This Row],[Prest. (m2 /jaar) werkdagen]]</f>
        <v>10884</v>
      </c>
      <c r="AG448" s="79">
        <f>Ruimtestaat[[#This Row],[uren / jaar weekend]]+Ruimtestaat[[#This Row],[uren / jaar werkdagen]]</f>
        <v>0</v>
      </c>
      <c r="AH448" s="80">
        <f>Ruimtestaat[[#This Row],[kosten / jaar weekend]]+Ruimtestaat[[#This Row],[kosten / jaar werkdagen]]</f>
        <v>0</v>
      </c>
    </row>
    <row r="449" spans="1:34" ht="15" customHeight="1">
      <c r="A449" s="256">
        <v>8</v>
      </c>
      <c r="B449" s="171" t="str">
        <f>VLOOKUP(Ruimtestaat[[#This Row],[Code]],Locaties[#All],2,FALSE)</f>
        <v>Het Mozaïek</v>
      </c>
      <c r="C449" s="258" t="str">
        <f>VLOOKUP(Ruimtestaat[[#This Row],[Code]],Locaties[#All],4,FALSE)</f>
        <v>Beverdamlaan 11</v>
      </c>
      <c r="D449" s="258" t="str">
        <f>VLOOKUP(Ruimtestaat[[#This Row],[Code]],Locaties[#All],5,FALSE)</f>
        <v>7602 XR</v>
      </c>
      <c r="E449" s="258" t="str">
        <f>VLOOKUP(Ruimtestaat[[#This Row],[Code]],Locaties[#All],6,FALSE)</f>
        <v>Almelo</v>
      </c>
      <c r="F449" s="257"/>
      <c r="G449" s="257" t="s">
        <v>563</v>
      </c>
      <c r="H449" s="171"/>
      <c r="I449" s="257" t="s">
        <v>454</v>
      </c>
      <c r="J449" s="259" t="s">
        <v>567</v>
      </c>
      <c r="K449" s="171">
        <v>9</v>
      </c>
      <c r="L449" s="260" t="str">
        <f>VLOOKUP(Ruimtestaat[[#This Row],[Ruimte code]],Ruimtegroepen[#All],2,FALSE)</f>
        <v>Time-out ruimte</v>
      </c>
      <c r="M449" s="185" t="s">
        <v>597</v>
      </c>
      <c r="N449" s="257" t="s">
        <v>38</v>
      </c>
      <c r="O449" s="261">
        <v>9.59</v>
      </c>
      <c r="P449" s="183"/>
      <c r="Q449" s="212" t="str">
        <f>VLOOKUP(Ruimtestaat[[#This Row],[Ruimte code]],Ruimtegroepen[#All],4,FALSE)</f>
        <v>V  (Verkeersruimte)</v>
      </c>
      <c r="R449" s="184"/>
      <c r="S449" s="185">
        <v>40</v>
      </c>
      <c r="T449" s="185" t="s">
        <v>2</v>
      </c>
      <c r="U449" s="185">
        <f>IF(S449&gt;0,IF(RIGHT(Ruimtestaat[[#This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9" s="185">
        <f>IF(U449&gt;0,VLOOKUP($K449,Ruimtegroepen[],3,FALSE)*VLOOKUP($M449,Vloersoorten[],3,FALSE)*VLOOKUP($T449,Frequenties[],3,FALSE)*VLOOKUP($A449,Locaties[],3,FALSE),0)</f>
        <v>0</v>
      </c>
      <c r="W449" s="185">
        <f>Ruimtestaat[[#This Row],[Uitvoeringen werkdagen]]*Ruimtestaat[[#This Row],[Oppervlak (netto)]]</f>
        <v>1918</v>
      </c>
      <c r="X449" s="220">
        <f>IF(V449&gt;0,Ruimtestaat[[#This Row],[Prest. (m2 /jaar) werkdagen]]/Ruimtestaat[[#This Row],[Norm (m2/uur) werkdagen]],0)</f>
        <v>0</v>
      </c>
      <c r="Y449" s="221">
        <f>Ruimtestaat[[#This Row],[uren / jaar werkdagen]]*Tariefsopbouw!$D$38</f>
        <v>0</v>
      </c>
      <c r="Z449" s="33"/>
      <c r="AA449" s="33">
        <f>IF(Ruimtestaat[[#This Row],[Frequentie weekend]]&gt;0,VALUE(LEFT(Z449,1))*S449,0)</f>
        <v>0</v>
      </c>
      <c r="AB449" s="33">
        <f>IF($AA449&gt;0,VLOOKUP($K449,Ruimtegroepen[],3,FALSE)*VLOOKUP($M449,Vloersoorten[],3,FALSE)*VLOOKUP($Z449,Frequenties[],3,FALSE)*VLOOKUP(#REF!,Locaties[],3,FALSE),0)</f>
        <v>0</v>
      </c>
      <c r="AC449" s="33"/>
      <c r="AD449" s="33"/>
      <c r="AE449" s="33">
        <f>Ruimtestaat[[#This Row],[uren / jaar weekend]]*Tariefsopbouw!$D$40</f>
        <v>0</v>
      </c>
      <c r="AF449" s="79">
        <f>Ruimtestaat[[#This Row],[Prest. (m2 /jaar) weekend]]+Ruimtestaat[[#This Row],[Prest. (m2 /jaar) werkdagen]]</f>
        <v>1918</v>
      </c>
      <c r="AG449" s="79">
        <f>Ruimtestaat[[#This Row],[uren / jaar weekend]]+Ruimtestaat[[#This Row],[uren / jaar werkdagen]]</f>
        <v>0</v>
      </c>
      <c r="AH449" s="80">
        <f>Ruimtestaat[[#This Row],[kosten / jaar weekend]]+Ruimtestaat[[#This Row],[kosten / jaar werkdagen]]</f>
        <v>0</v>
      </c>
    </row>
    <row r="450" spans="1:34" ht="15" customHeight="1">
      <c r="A450" s="256">
        <v>8</v>
      </c>
      <c r="B450" s="171" t="str">
        <f>VLOOKUP(Ruimtestaat[[#This Row],[Code]],Locaties[#All],2,FALSE)</f>
        <v>Het Mozaïek</v>
      </c>
      <c r="C450" s="258" t="str">
        <f>VLOOKUP(Ruimtestaat[[#This Row],[Code]],Locaties[#All],4,FALSE)</f>
        <v>Beverdamlaan 11</v>
      </c>
      <c r="D450" s="258" t="str">
        <f>VLOOKUP(Ruimtestaat[[#This Row],[Code]],Locaties[#All],5,FALSE)</f>
        <v>7602 XR</v>
      </c>
      <c r="E450" s="258" t="str">
        <f>VLOOKUP(Ruimtestaat[[#This Row],[Code]],Locaties[#All],6,FALSE)</f>
        <v>Almelo</v>
      </c>
      <c r="F450" s="257"/>
      <c r="G450" s="257" t="s">
        <v>563</v>
      </c>
      <c r="H450" s="171"/>
      <c r="I450" s="257" t="s">
        <v>455</v>
      </c>
      <c r="J450" s="259" t="s">
        <v>571</v>
      </c>
      <c r="K450" s="171">
        <v>20</v>
      </c>
      <c r="L450" s="260" t="str">
        <f>VLOOKUP(Ruimtestaat[[#This Row],[Ruimte code]],Ruimtegroepen[#All],2,FALSE)</f>
        <v>Niet in onderhoud</v>
      </c>
      <c r="M450" s="185" t="s">
        <v>598</v>
      </c>
      <c r="N450" s="257" t="s">
        <v>132</v>
      </c>
      <c r="O450" s="261"/>
      <c r="P450" s="183">
        <v>5.55</v>
      </c>
      <c r="Q450" s="212" t="str">
        <f>VLOOKUP(Ruimtestaat[[#This Row],[Ruimte code]],Ruimtegroepen[#All],4,FALSE)</f>
        <v>niet in onderhoud</v>
      </c>
      <c r="R450" s="184"/>
      <c r="S450" s="185"/>
      <c r="T450" s="185"/>
      <c r="U450" s="185">
        <f>IF(S450&gt;0,IF(RIGHT(Ruimtestaat[[#This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50" s="185">
        <f>IF(U450&gt;0,VLOOKUP($K450,Ruimtegroepen[],3,FALSE)*VLOOKUP($M450,Vloersoorten[],3,FALSE)*VLOOKUP($T450,Frequenties[],3,FALSE)*VLOOKUP($A450,Locaties[],3,FALSE),0)</f>
        <v>0</v>
      </c>
      <c r="W450" s="185">
        <f>Ruimtestaat[[#This Row],[Uitvoeringen werkdagen]]*Ruimtestaat[[#This Row],[Oppervlak (netto)]]</f>
        <v>0</v>
      </c>
      <c r="X450" s="220">
        <f>IF(V450&gt;0,Ruimtestaat[[#This Row],[Prest. (m2 /jaar) werkdagen]]/Ruimtestaat[[#This Row],[Norm (m2/uur) werkdagen]],0)</f>
        <v>0</v>
      </c>
      <c r="Y450" s="221">
        <f>Ruimtestaat[[#This Row],[uren / jaar werkdagen]]*Tariefsopbouw!$D$38</f>
        <v>0</v>
      </c>
      <c r="Z450" s="33"/>
      <c r="AA450" s="33">
        <f>IF(Ruimtestaat[[#This Row],[Frequentie weekend]]&gt;0,VALUE(LEFT(Z450,1))*S450,0)</f>
        <v>0</v>
      </c>
      <c r="AB450" s="33">
        <f>IF($AA450&gt;0,VLOOKUP($K450,Ruimtegroepen[],3,FALSE)*VLOOKUP($M450,Vloersoorten[],3,FALSE)*VLOOKUP($Z450,Frequenties[],3,FALSE)*VLOOKUP(#REF!,Locaties[],3,FALSE),0)</f>
        <v>0</v>
      </c>
      <c r="AC450" s="33"/>
      <c r="AD450" s="33"/>
      <c r="AE450" s="33">
        <f>Ruimtestaat[[#This Row],[uren / jaar weekend]]*Tariefsopbouw!$D$40</f>
        <v>0</v>
      </c>
      <c r="AF450" s="79">
        <f>Ruimtestaat[[#This Row],[Prest. (m2 /jaar) weekend]]+Ruimtestaat[[#This Row],[Prest. (m2 /jaar) werkdagen]]</f>
        <v>0</v>
      </c>
      <c r="AG450" s="79">
        <f>Ruimtestaat[[#This Row],[uren / jaar weekend]]+Ruimtestaat[[#This Row],[uren / jaar werkdagen]]</f>
        <v>0</v>
      </c>
      <c r="AH450" s="80">
        <f>Ruimtestaat[[#This Row],[kosten / jaar weekend]]+Ruimtestaat[[#This Row],[kosten / jaar werkdagen]]</f>
        <v>0</v>
      </c>
    </row>
    <row r="451" spans="1:34" ht="15" customHeight="1">
      <c r="A451" s="256">
        <v>8</v>
      </c>
      <c r="B451" s="171" t="str">
        <f>VLOOKUP(Ruimtestaat[[#This Row],[Code]],Locaties[#All],2,FALSE)</f>
        <v>Het Mozaïek</v>
      </c>
      <c r="C451" s="258" t="str">
        <f>VLOOKUP(Ruimtestaat[[#This Row],[Code]],Locaties[#All],4,FALSE)</f>
        <v>Beverdamlaan 11</v>
      </c>
      <c r="D451" s="258" t="str">
        <f>VLOOKUP(Ruimtestaat[[#This Row],[Code]],Locaties[#All],5,FALSE)</f>
        <v>7602 XR</v>
      </c>
      <c r="E451" s="258" t="str">
        <f>VLOOKUP(Ruimtestaat[[#This Row],[Code]],Locaties[#All],6,FALSE)</f>
        <v>Almelo</v>
      </c>
      <c r="F451" s="257"/>
      <c r="G451" s="257" t="s">
        <v>563</v>
      </c>
      <c r="H451" s="171"/>
      <c r="I451" s="257" t="s">
        <v>456</v>
      </c>
      <c r="J451" s="259" t="s">
        <v>576</v>
      </c>
      <c r="K451" s="171">
        <v>16</v>
      </c>
      <c r="L451" s="260" t="str">
        <f>VLOOKUP(Ruimtestaat[[#This Row],[Ruimte code]],Ruimtegroepen[#All],2,FALSE)</f>
        <v>Leslokalen</v>
      </c>
      <c r="M451" s="185" t="s">
        <v>598</v>
      </c>
      <c r="N451" s="257" t="s">
        <v>132</v>
      </c>
      <c r="O451" s="261">
        <v>52.17</v>
      </c>
      <c r="P451" s="183"/>
      <c r="Q451" s="212" t="str">
        <f>VLOOKUP(Ruimtestaat[[#This Row],[Ruimte code]],Ruimtegroepen[#All],4,FALSE)</f>
        <v>L  (Lesruimte)</v>
      </c>
      <c r="R451" s="184"/>
      <c r="S451" s="185">
        <v>40</v>
      </c>
      <c r="T451" s="185" t="s">
        <v>2</v>
      </c>
      <c r="U451" s="185">
        <f>IF(S451&gt;0,IF(RIGHT(Ruimtestaat[[#This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1" s="185">
        <f>IF(U451&gt;0,VLOOKUP($K451,Ruimtegroepen[],3,FALSE)*VLOOKUP($M451,Vloersoorten[],3,FALSE)*VLOOKUP($T451,Frequenties[],3,FALSE)*VLOOKUP($A451,Locaties[],3,FALSE),0)</f>
        <v>0</v>
      </c>
      <c r="W451" s="185">
        <f>Ruimtestaat[[#This Row],[Uitvoeringen werkdagen]]*Ruimtestaat[[#This Row],[Oppervlak (netto)]]</f>
        <v>10434</v>
      </c>
      <c r="X451" s="220">
        <f>IF(V451&gt;0,Ruimtestaat[[#This Row],[Prest. (m2 /jaar) werkdagen]]/Ruimtestaat[[#This Row],[Norm (m2/uur) werkdagen]],0)</f>
        <v>0</v>
      </c>
      <c r="Y451" s="221">
        <f>Ruimtestaat[[#This Row],[uren / jaar werkdagen]]*Tariefsopbouw!$D$38</f>
        <v>0</v>
      </c>
      <c r="Z451" s="33"/>
      <c r="AA451" s="33">
        <f>IF(Ruimtestaat[[#This Row],[Frequentie weekend]]&gt;0,VALUE(LEFT(Z451,1))*S451,0)</f>
        <v>0</v>
      </c>
      <c r="AB451" s="33">
        <f>IF($AA451&gt;0,VLOOKUP($K451,Ruimtegroepen[],3,FALSE)*VLOOKUP($M451,Vloersoorten[],3,FALSE)*VLOOKUP($Z451,Frequenties[],3,FALSE)*VLOOKUP(#REF!,Locaties[],3,FALSE),0)</f>
        <v>0</v>
      </c>
      <c r="AC451" s="33"/>
      <c r="AD451" s="33"/>
      <c r="AE451" s="33">
        <f>Ruimtestaat[[#This Row],[uren / jaar weekend]]*Tariefsopbouw!$D$40</f>
        <v>0</v>
      </c>
      <c r="AF451" s="79">
        <f>Ruimtestaat[[#This Row],[Prest. (m2 /jaar) weekend]]+Ruimtestaat[[#This Row],[Prest. (m2 /jaar) werkdagen]]</f>
        <v>10434</v>
      </c>
      <c r="AG451" s="79">
        <f>Ruimtestaat[[#This Row],[uren / jaar weekend]]+Ruimtestaat[[#This Row],[uren / jaar werkdagen]]</f>
        <v>0</v>
      </c>
      <c r="AH451" s="80">
        <f>Ruimtestaat[[#This Row],[kosten / jaar weekend]]+Ruimtestaat[[#This Row],[kosten / jaar werkdagen]]</f>
        <v>0</v>
      </c>
    </row>
    <row r="452" spans="1:34" ht="15" customHeight="1">
      <c r="A452" s="256">
        <v>8</v>
      </c>
      <c r="B452" s="171" t="str">
        <f>VLOOKUP(Ruimtestaat[[#This Row],[Code]],Locaties[#All],2,FALSE)</f>
        <v>Het Mozaïek</v>
      </c>
      <c r="C452" s="258" t="str">
        <f>VLOOKUP(Ruimtestaat[[#This Row],[Code]],Locaties[#All],4,FALSE)</f>
        <v>Beverdamlaan 11</v>
      </c>
      <c r="D452" s="258" t="str">
        <f>VLOOKUP(Ruimtestaat[[#This Row],[Code]],Locaties[#All],5,FALSE)</f>
        <v>7602 XR</v>
      </c>
      <c r="E452" s="258" t="str">
        <f>VLOOKUP(Ruimtestaat[[#This Row],[Code]],Locaties[#All],6,FALSE)</f>
        <v>Almelo</v>
      </c>
      <c r="F452" s="257"/>
      <c r="G452" s="257" t="s">
        <v>563</v>
      </c>
      <c r="H452" s="171"/>
      <c r="I452" s="257" t="s">
        <v>457</v>
      </c>
      <c r="J452" s="259" t="s">
        <v>728</v>
      </c>
      <c r="K452" s="258">
        <v>20</v>
      </c>
      <c r="L452" s="260" t="str">
        <f>VLOOKUP(Ruimtestaat[[#This Row],[Ruimte code]],Ruimtegroepen[#All],2,FALSE)</f>
        <v>Niet in onderhoud</v>
      </c>
      <c r="M452" s="185" t="s">
        <v>598</v>
      </c>
      <c r="N452" s="257" t="s">
        <v>132</v>
      </c>
      <c r="O452" s="261"/>
      <c r="P452" s="183">
        <v>11.35</v>
      </c>
      <c r="Q452" s="212" t="str">
        <f>VLOOKUP(Ruimtestaat[[#This Row],[Ruimte code]],Ruimtegroepen[#All],4,FALSE)</f>
        <v>niet in onderhoud</v>
      </c>
      <c r="R452" s="184"/>
      <c r="S452" s="185"/>
      <c r="T452" s="185" t="s">
        <v>3</v>
      </c>
      <c r="U452" s="185">
        <f>IF(S452&gt;0,IF(RIGHT(Ruimtestaat[[#This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52" s="185">
        <f>IF(U452&gt;0,VLOOKUP($K452,Ruimtegroepen[],3,FALSE)*VLOOKUP($M452,Vloersoorten[],3,FALSE)*VLOOKUP($T452,Frequenties[],3,FALSE)*VLOOKUP($A452,Locaties[],3,FALSE),0)</f>
        <v>0</v>
      </c>
      <c r="W452" s="185">
        <f>Ruimtestaat[[#This Row],[Uitvoeringen werkdagen]]*Ruimtestaat[[#This Row],[Oppervlak (netto)]]</f>
        <v>0</v>
      </c>
      <c r="X452" s="220">
        <f>IF(V452&gt;0,Ruimtestaat[[#This Row],[Prest. (m2 /jaar) werkdagen]]/Ruimtestaat[[#This Row],[Norm (m2/uur) werkdagen]],0)</f>
        <v>0</v>
      </c>
      <c r="Y452" s="221">
        <f>Ruimtestaat[[#This Row],[uren / jaar werkdagen]]*Tariefsopbouw!$D$38</f>
        <v>0</v>
      </c>
      <c r="Z452" s="33"/>
      <c r="AA452" s="33">
        <f>IF(Ruimtestaat[[#This Row],[Frequentie weekend]]&gt;0,VALUE(LEFT(Z452,1))*S452,0)</f>
        <v>0</v>
      </c>
      <c r="AB452" s="33">
        <f>IF($AA452&gt;0,VLOOKUP($K452,Ruimtegroepen[],3,FALSE)*VLOOKUP($M452,Vloersoorten[],3,FALSE)*VLOOKUP($Z452,Frequenties[],3,FALSE)*VLOOKUP(#REF!,Locaties[],3,FALSE),0)</f>
        <v>0</v>
      </c>
      <c r="AC452" s="33"/>
      <c r="AD452" s="33"/>
      <c r="AE452" s="33">
        <f>Ruimtestaat[[#This Row],[uren / jaar weekend]]*Tariefsopbouw!$D$40</f>
        <v>0</v>
      </c>
      <c r="AF452" s="79">
        <f>Ruimtestaat[[#This Row],[Prest. (m2 /jaar) weekend]]+Ruimtestaat[[#This Row],[Prest. (m2 /jaar) werkdagen]]</f>
        <v>0</v>
      </c>
      <c r="AG452" s="79">
        <f>Ruimtestaat[[#This Row],[uren / jaar weekend]]+Ruimtestaat[[#This Row],[uren / jaar werkdagen]]</f>
        <v>0</v>
      </c>
      <c r="AH452" s="80">
        <f>Ruimtestaat[[#This Row],[kosten / jaar weekend]]+Ruimtestaat[[#This Row],[kosten / jaar werkdagen]]</f>
        <v>0</v>
      </c>
    </row>
    <row r="453" spans="1:34" ht="15" customHeight="1">
      <c r="A453" s="256">
        <v>8</v>
      </c>
      <c r="B453" s="171" t="str">
        <f>VLOOKUP(Ruimtestaat[[#This Row],[Code]],Locaties[#All],2,FALSE)</f>
        <v>Het Mozaïek</v>
      </c>
      <c r="C453" s="258" t="str">
        <f>VLOOKUP(Ruimtestaat[[#This Row],[Code]],Locaties[#All],4,FALSE)</f>
        <v>Beverdamlaan 11</v>
      </c>
      <c r="D453" s="258" t="str">
        <f>VLOOKUP(Ruimtestaat[[#This Row],[Code]],Locaties[#All],5,FALSE)</f>
        <v>7602 XR</v>
      </c>
      <c r="E453" s="258" t="str">
        <f>VLOOKUP(Ruimtestaat[[#This Row],[Code]],Locaties[#All],6,FALSE)</f>
        <v>Almelo</v>
      </c>
      <c r="F453" s="257"/>
      <c r="G453" s="257" t="s">
        <v>563</v>
      </c>
      <c r="H453" s="171"/>
      <c r="I453" s="257" t="s">
        <v>458</v>
      </c>
      <c r="J453" s="259" t="s">
        <v>567</v>
      </c>
      <c r="K453" s="185">
        <v>9</v>
      </c>
      <c r="L453" s="260" t="str">
        <f>VLOOKUP(Ruimtestaat[[#This Row],[Ruimte code]],Ruimtegroepen[#All],2,FALSE)</f>
        <v>Time-out ruimte</v>
      </c>
      <c r="M453" s="258" t="s">
        <v>597</v>
      </c>
      <c r="N453" s="257" t="s">
        <v>38</v>
      </c>
      <c r="O453" s="261">
        <v>19.97</v>
      </c>
      <c r="P453" s="183"/>
      <c r="Q453" s="212" t="str">
        <f>VLOOKUP(Ruimtestaat[[#This Row],[Ruimte code]],Ruimtegroepen[#All],4,FALSE)</f>
        <v>V  (Verkeersruimte)</v>
      </c>
      <c r="R453" s="184"/>
      <c r="S453" s="185">
        <v>40</v>
      </c>
      <c r="T453" s="185" t="s">
        <v>2</v>
      </c>
      <c r="U453" s="185">
        <f>IF(S453&gt;0,IF(RIGHT(Ruimtestaat[[#This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3" s="185">
        <f>IF(U453&gt;0,VLOOKUP($K453,Ruimtegroepen[],3,FALSE)*VLOOKUP($M453,Vloersoorten[],3,FALSE)*VLOOKUP($T453,Frequenties[],3,FALSE)*VLOOKUP($A453,Locaties[],3,FALSE),0)</f>
        <v>0</v>
      </c>
      <c r="W453" s="185">
        <f>Ruimtestaat[[#This Row],[Uitvoeringen werkdagen]]*Ruimtestaat[[#This Row],[Oppervlak (netto)]]</f>
        <v>3994</v>
      </c>
      <c r="X453" s="220">
        <f>IF(V453&gt;0,Ruimtestaat[[#This Row],[Prest. (m2 /jaar) werkdagen]]/Ruimtestaat[[#This Row],[Norm (m2/uur) werkdagen]],0)</f>
        <v>0</v>
      </c>
      <c r="Y453" s="221">
        <f>Ruimtestaat[[#This Row],[uren / jaar werkdagen]]*Tariefsopbouw!$D$38</f>
        <v>0</v>
      </c>
      <c r="Z453" s="33"/>
      <c r="AA453" s="33">
        <f>IF(Ruimtestaat[[#This Row],[Frequentie weekend]]&gt;0,VALUE(LEFT(Z453,1))*S453,0)</f>
        <v>0</v>
      </c>
      <c r="AB453" s="33">
        <f>IF($AA453&gt;0,VLOOKUP($K453,Ruimtegroepen[],3,FALSE)*VLOOKUP($M453,Vloersoorten[],3,FALSE)*VLOOKUP($Z453,Frequenties[],3,FALSE)*VLOOKUP(#REF!,Locaties[],3,FALSE),0)</f>
        <v>0</v>
      </c>
      <c r="AC453" s="33"/>
      <c r="AD453" s="33"/>
      <c r="AE453" s="33">
        <f>Ruimtestaat[[#This Row],[uren / jaar weekend]]*Tariefsopbouw!$D$40</f>
        <v>0</v>
      </c>
      <c r="AF453" s="79">
        <f>Ruimtestaat[[#This Row],[Prest. (m2 /jaar) weekend]]+Ruimtestaat[[#This Row],[Prest. (m2 /jaar) werkdagen]]</f>
        <v>3994</v>
      </c>
      <c r="AG453" s="79">
        <f>Ruimtestaat[[#This Row],[uren / jaar weekend]]+Ruimtestaat[[#This Row],[uren / jaar werkdagen]]</f>
        <v>0</v>
      </c>
      <c r="AH453" s="80">
        <f>Ruimtestaat[[#This Row],[kosten / jaar weekend]]+Ruimtestaat[[#This Row],[kosten / jaar werkdagen]]</f>
        <v>0</v>
      </c>
    </row>
    <row r="454" spans="1:34" ht="15" customHeight="1">
      <c r="A454" s="256">
        <v>8</v>
      </c>
      <c r="B454" s="171" t="str">
        <f>VLOOKUP(Ruimtestaat[[#This Row],[Code]],Locaties[#All],2,FALSE)</f>
        <v>Het Mozaïek</v>
      </c>
      <c r="C454" s="258" t="str">
        <f>VLOOKUP(Ruimtestaat[[#This Row],[Code]],Locaties[#All],4,FALSE)</f>
        <v>Beverdamlaan 11</v>
      </c>
      <c r="D454" s="258" t="str">
        <f>VLOOKUP(Ruimtestaat[[#This Row],[Code]],Locaties[#All],5,FALSE)</f>
        <v>7602 XR</v>
      </c>
      <c r="E454" s="258" t="str">
        <f>VLOOKUP(Ruimtestaat[[#This Row],[Code]],Locaties[#All],6,FALSE)</f>
        <v>Almelo</v>
      </c>
      <c r="F454" s="257"/>
      <c r="G454" s="257" t="s">
        <v>563</v>
      </c>
      <c r="H454" s="171"/>
      <c r="I454" s="257" t="s">
        <v>459</v>
      </c>
      <c r="J454" s="259" t="s">
        <v>574</v>
      </c>
      <c r="K454" s="258">
        <v>6</v>
      </c>
      <c r="L454" s="260" t="str">
        <f>VLOOKUP(Ruimtestaat[[#This Row],[Ruimte code]],Ruimtegroepen[#All],2,FALSE)</f>
        <v>Gangen/hallen</v>
      </c>
      <c r="M454" s="185" t="s">
        <v>598</v>
      </c>
      <c r="N454" s="257" t="s">
        <v>132</v>
      </c>
      <c r="O454" s="261">
        <v>28.86</v>
      </c>
      <c r="P454" s="183"/>
      <c r="Q454" s="212" t="str">
        <f>VLOOKUP(Ruimtestaat[[#This Row],[Ruimte code]],Ruimtegroepen[#All],4,FALSE)</f>
        <v>V  (Verkeersruimte)</v>
      </c>
      <c r="R454" s="184"/>
      <c r="S454" s="185">
        <v>40</v>
      </c>
      <c r="T454" s="185" t="s">
        <v>2</v>
      </c>
      <c r="U454" s="185">
        <f>IF(S454&gt;0,IF(RIGHT(Ruimtestaat[[#This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4" s="185">
        <f>IF(U454&gt;0,VLOOKUP($K454,Ruimtegroepen[],3,FALSE)*VLOOKUP($M454,Vloersoorten[],3,FALSE)*VLOOKUP($T454,Frequenties[],3,FALSE)*VLOOKUP($A454,Locaties[],3,FALSE),0)</f>
        <v>0</v>
      </c>
      <c r="W454" s="185">
        <f>Ruimtestaat[[#This Row],[Uitvoeringen werkdagen]]*Ruimtestaat[[#This Row],[Oppervlak (netto)]]</f>
        <v>5772</v>
      </c>
      <c r="X454" s="220">
        <f>IF(V454&gt;0,Ruimtestaat[[#This Row],[Prest. (m2 /jaar) werkdagen]]/Ruimtestaat[[#This Row],[Norm (m2/uur) werkdagen]],0)</f>
        <v>0</v>
      </c>
      <c r="Y454" s="221">
        <f>Ruimtestaat[[#This Row],[uren / jaar werkdagen]]*Tariefsopbouw!$D$38</f>
        <v>0</v>
      </c>
      <c r="Z454" s="33"/>
      <c r="AA454" s="33">
        <f>IF(Ruimtestaat[[#This Row],[Frequentie weekend]]&gt;0,VALUE(LEFT(Z454,1))*S454,0)</f>
        <v>0</v>
      </c>
      <c r="AB454" s="33">
        <f>IF($AA454&gt;0,VLOOKUP($K454,Ruimtegroepen[],3,FALSE)*VLOOKUP($M454,Vloersoorten[],3,FALSE)*VLOOKUP($Z454,Frequenties[],3,FALSE)*VLOOKUP(#REF!,Locaties[],3,FALSE),0)</f>
        <v>0</v>
      </c>
      <c r="AC454" s="33"/>
      <c r="AD454" s="33"/>
      <c r="AE454" s="33">
        <f>Ruimtestaat[[#This Row],[uren / jaar weekend]]*Tariefsopbouw!$D$40</f>
        <v>0</v>
      </c>
      <c r="AF454" s="79">
        <f>Ruimtestaat[[#This Row],[Prest. (m2 /jaar) weekend]]+Ruimtestaat[[#This Row],[Prest. (m2 /jaar) werkdagen]]</f>
        <v>5772</v>
      </c>
      <c r="AG454" s="79">
        <f>Ruimtestaat[[#This Row],[uren / jaar weekend]]+Ruimtestaat[[#This Row],[uren / jaar werkdagen]]</f>
        <v>0</v>
      </c>
      <c r="AH454" s="80">
        <f>Ruimtestaat[[#This Row],[kosten / jaar weekend]]+Ruimtestaat[[#This Row],[kosten / jaar werkdagen]]</f>
        <v>0</v>
      </c>
    </row>
    <row r="455" spans="1:34" ht="15" customHeight="1">
      <c r="A455" s="256">
        <v>8</v>
      </c>
      <c r="B455" s="171" t="str">
        <f>VLOOKUP(Ruimtestaat[[#This Row],[Code]],Locaties[#All],2,FALSE)</f>
        <v>Het Mozaïek</v>
      </c>
      <c r="C455" s="258" t="str">
        <f>VLOOKUP(Ruimtestaat[[#This Row],[Code]],Locaties[#All],4,FALSE)</f>
        <v>Beverdamlaan 11</v>
      </c>
      <c r="D455" s="258" t="str">
        <f>VLOOKUP(Ruimtestaat[[#This Row],[Code]],Locaties[#All],5,FALSE)</f>
        <v>7602 XR</v>
      </c>
      <c r="E455" s="258" t="str">
        <f>VLOOKUP(Ruimtestaat[[#This Row],[Code]],Locaties[#All],6,FALSE)</f>
        <v>Almelo</v>
      </c>
      <c r="F455" s="257"/>
      <c r="G455" s="257" t="s">
        <v>563</v>
      </c>
      <c r="H455" s="171"/>
      <c r="I455" s="257" t="s">
        <v>777</v>
      </c>
      <c r="J455" s="259" t="s">
        <v>695</v>
      </c>
      <c r="K455" s="258">
        <v>10</v>
      </c>
      <c r="L455" s="260" t="str">
        <f>VLOOKUP(Ruimtestaat[[#This Row],[Ruimte code]],Ruimtegroepen[#All],2,FALSE)</f>
        <v>Trappenhuizen/lift</v>
      </c>
      <c r="M455" s="185" t="s">
        <v>439</v>
      </c>
      <c r="N455" s="257" t="s">
        <v>438</v>
      </c>
      <c r="O455" s="261">
        <v>11</v>
      </c>
      <c r="P455" s="183"/>
      <c r="Q455" s="212" t="str">
        <f>VLOOKUP(Ruimtestaat[[#This Row],[Ruimte code]],Ruimtegroepen[#All],4,FALSE)</f>
        <v>V  (Verkeersruimte)</v>
      </c>
      <c r="R455" s="184"/>
      <c r="S455" s="185">
        <v>40</v>
      </c>
      <c r="T455" s="185" t="s">
        <v>2</v>
      </c>
      <c r="U455" s="185">
        <f>IF(S455&gt;0,IF(RIGHT(Ruimtestaat[[#This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5" s="185">
        <f>IF(U455&gt;0,VLOOKUP($K455,Ruimtegroepen[],3,FALSE)*VLOOKUP($M455,Vloersoorten[],3,FALSE)*VLOOKUP($T455,Frequenties[],3,FALSE)*VLOOKUP($A455,Locaties[],3,FALSE),0)</f>
        <v>0</v>
      </c>
      <c r="W455" s="185">
        <f>Ruimtestaat[[#This Row],[Uitvoeringen werkdagen]]*Ruimtestaat[[#This Row],[Oppervlak (netto)]]</f>
        <v>2200</v>
      </c>
      <c r="X455" s="220">
        <f>IF(V455&gt;0,Ruimtestaat[[#This Row],[Prest. (m2 /jaar) werkdagen]]/Ruimtestaat[[#This Row],[Norm (m2/uur) werkdagen]],0)</f>
        <v>0</v>
      </c>
      <c r="Y455" s="221">
        <f>Ruimtestaat[[#This Row],[uren / jaar werkdagen]]*Tariefsopbouw!$D$38</f>
        <v>0</v>
      </c>
      <c r="Z455" s="33"/>
      <c r="AA455" s="33">
        <f>IF(Ruimtestaat[[#This Row],[Frequentie weekend]]&gt;0,VALUE(LEFT(Z455,1))*S455,0)</f>
        <v>0</v>
      </c>
      <c r="AB455" s="33">
        <f>IF($AA455&gt;0,VLOOKUP($K455,Ruimtegroepen[],3,FALSE)*VLOOKUP($M455,Vloersoorten[],3,FALSE)*VLOOKUP($Z455,Frequenties[],3,FALSE)*VLOOKUP(#REF!,Locaties[],3,FALSE),0)</f>
        <v>0</v>
      </c>
      <c r="AC455" s="33"/>
      <c r="AD455" s="33"/>
      <c r="AE455" s="33">
        <f>Ruimtestaat[[#This Row],[uren / jaar weekend]]*Tariefsopbouw!$D$40</f>
        <v>0</v>
      </c>
      <c r="AF455" s="79">
        <f>Ruimtestaat[[#This Row],[Prest. (m2 /jaar) weekend]]+Ruimtestaat[[#This Row],[Prest. (m2 /jaar) werkdagen]]</f>
        <v>2200</v>
      </c>
      <c r="AG455" s="79">
        <f>Ruimtestaat[[#This Row],[uren / jaar weekend]]+Ruimtestaat[[#This Row],[uren / jaar werkdagen]]</f>
        <v>0</v>
      </c>
      <c r="AH455" s="80">
        <f>Ruimtestaat[[#This Row],[kosten / jaar weekend]]+Ruimtestaat[[#This Row],[kosten / jaar werkdagen]]</f>
        <v>0</v>
      </c>
    </row>
    <row r="456" spans="1:34" ht="15" customHeight="1">
      <c r="A456" s="256">
        <v>8</v>
      </c>
      <c r="B456" s="171" t="str">
        <f>VLOOKUP(Ruimtestaat[[#This Row],[Code]],Locaties[#All],2,FALSE)</f>
        <v>Het Mozaïek</v>
      </c>
      <c r="C456" s="258" t="str">
        <f>VLOOKUP(Ruimtestaat[[#This Row],[Code]],Locaties[#All],4,FALSE)</f>
        <v>Beverdamlaan 11</v>
      </c>
      <c r="D456" s="258" t="str">
        <f>VLOOKUP(Ruimtestaat[[#This Row],[Code]],Locaties[#All],5,FALSE)</f>
        <v>7602 XR</v>
      </c>
      <c r="E456" s="258" t="str">
        <f>VLOOKUP(Ruimtestaat[[#This Row],[Code]],Locaties[#All],6,FALSE)</f>
        <v>Almelo</v>
      </c>
      <c r="F456" s="257"/>
      <c r="G456" s="257" t="s">
        <v>563</v>
      </c>
      <c r="H456" s="171"/>
      <c r="I456" s="257" t="s">
        <v>460</v>
      </c>
      <c r="J456" s="259" t="s">
        <v>571</v>
      </c>
      <c r="K456" s="171">
        <v>2</v>
      </c>
      <c r="L456" s="260" t="str">
        <f>VLOOKUP(Ruimtestaat[[#This Row],[Ruimte code]],Ruimtegroepen[#All],2,FALSE)</f>
        <v>Kantoren</v>
      </c>
      <c r="M456" s="185" t="s">
        <v>597</v>
      </c>
      <c r="N456" s="257" t="s">
        <v>38</v>
      </c>
      <c r="O456" s="261">
        <v>15.82</v>
      </c>
      <c r="P456" s="183"/>
      <c r="Q456" s="212" t="str">
        <f>VLOOKUP(Ruimtestaat[[#This Row],[Ruimte code]],Ruimtegroepen[#All],4,FALSE)</f>
        <v>B  (Bureauruimte)</v>
      </c>
      <c r="R456" s="184"/>
      <c r="S456" s="185">
        <v>40</v>
      </c>
      <c r="T456" s="185" t="s">
        <v>2</v>
      </c>
      <c r="U456" s="185">
        <f>IF(S456&gt;0,IF(RIGHT(Ruimtestaat[[#This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6" s="185">
        <f>IF(U456&gt;0,VLOOKUP($K456,Ruimtegroepen[],3,FALSE)*VLOOKUP($M456,Vloersoorten[],3,FALSE)*VLOOKUP($T456,Frequenties[],3,FALSE)*VLOOKUP($A456,Locaties[],3,FALSE),0)</f>
        <v>0</v>
      </c>
      <c r="W456" s="185">
        <f>Ruimtestaat[[#This Row],[Uitvoeringen werkdagen]]*Ruimtestaat[[#This Row],[Oppervlak (netto)]]</f>
        <v>3164</v>
      </c>
      <c r="X456" s="220">
        <f>IF(V456&gt;0,Ruimtestaat[[#This Row],[Prest. (m2 /jaar) werkdagen]]/Ruimtestaat[[#This Row],[Norm (m2/uur) werkdagen]],0)</f>
        <v>0</v>
      </c>
      <c r="Y456" s="221">
        <f>Ruimtestaat[[#This Row],[uren / jaar werkdagen]]*Tariefsopbouw!$D$38</f>
        <v>0</v>
      </c>
      <c r="Z456" s="33"/>
      <c r="AA456" s="33">
        <f>IF(Ruimtestaat[[#This Row],[Frequentie weekend]]&gt;0,VALUE(LEFT(Z456,1))*S456,0)</f>
        <v>0</v>
      </c>
      <c r="AB456" s="33">
        <f>IF($AA456&gt;0,VLOOKUP($K456,Ruimtegroepen[],3,FALSE)*VLOOKUP($M456,Vloersoorten[],3,FALSE)*VLOOKUP($Z456,Frequenties[],3,FALSE)*VLOOKUP(#REF!,Locaties[],3,FALSE),0)</f>
        <v>0</v>
      </c>
      <c r="AC456" s="33"/>
      <c r="AD456" s="33"/>
      <c r="AE456" s="33">
        <f>Ruimtestaat[[#This Row],[uren / jaar weekend]]*Tariefsopbouw!$D$40</f>
        <v>0</v>
      </c>
      <c r="AF456" s="79">
        <f>Ruimtestaat[[#This Row],[Prest. (m2 /jaar) weekend]]+Ruimtestaat[[#This Row],[Prest. (m2 /jaar) werkdagen]]</f>
        <v>3164</v>
      </c>
      <c r="AG456" s="79">
        <f>Ruimtestaat[[#This Row],[uren / jaar weekend]]+Ruimtestaat[[#This Row],[uren / jaar werkdagen]]</f>
        <v>0</v>
      </c>
      <c r="AH456" s="80">
        <f>Ruimtestaat[[#This Row],[kosten / jaar weekend]]+Ruimtestaat[[#This Row],[kosten / jaar werkdagen]]</f>
        <v>0</v>
      </c>
    </row>
    <row r="457" spans="1:34" ht="15" customHeight="1">
      <c r="A457" s="256">
        <v>8</v>
      </c>
      <c r="B457" s="171" t="str">
        <f>VLOOKUP(Ruimtestaat[[#This Row],[Code]],Locaties[#All],2,FALSE)</f>
        <v>Het Mozaïek</v>
      </c>
      <c r="C457" s="258" t="str">
        <f>VLOOKUP(Ruimtestaat[[#This Row],[Code]],Locaties[#All],4,FALSE)</f>
        <v>Beverdamlaan 11</v>
      </c>
      <c r="D457" s="258" t="str">
        <f>VLOOKUP(Ruimtestaat[[#This Row],[Code]],Locaties[#All],5,FALSE)</f>
        <v>7602 XR</v>
      </c>
      <c r="E457" s="258" t="str">
        <f>VLOOKUP(Ruimtestaat[[#This Row],[Code]],Locaties[#All],6,FALSE)</f>
        <v>Almelo</v>
      </c>
      <c r="F457" s="257"/>
      <c r="G457" s="257" t="s">
        <v>563</v>
      </c>
      <c r="H457" s="171"/>
      <c r="I457" s="257" t="s">
        <v>461</v>
      </c>
      <c r="J457" s="259" t="s">
        <v>719</v>
      </c>
      <c r="K457" s="171">
        <v>8</v>
      </c>
      <c r="L457" s="260" t="str">
        <f>VLOOKUP(Ruimtestaat[[#This Row],[Ruimte code]],Ruimtegroepen[#All],2,FALSE)</f>
        <v>Receptie</v>
      </c>
      <c r="M457" s="185" t="s">
        <v>597</v>
      </c>
      <c r="N457" s="257" t="s">
        <v>38</v>
      </c>
      <c r="O457" s="261">
        <v>21.9</v>
      </c>
      <c r="P457" s="183"/>
      <c r="Q457" s="212" t="str">
        <f>VLOOKUP(Ruimtestaat[[#This Row],[Ruimte code]],Ruimtegroepen[#All],4,FALSE)</f>
        <v>B  (Bureauruimte)</v>
      </c>
      <c r="R457" s="184"/>
      <c r="S457" s="185">
        <v>40</v>
      </c>
      <c r="T457" s="185" t="s">
        <v>2</v>
      </c>
      <c r="U457" s="185">
        <f>IF(S457&gt;0,IF(RIGHT(Ruimtestaat[[#This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7" s="185">
        <f>IF(U457&gt;0,VLOOKUP($K457,Ruimtegroepen[],3,FALSE)*VLOOKUP($M457,Vloersoorten[],3,FALSE)*VLOOKUP($T457,Frequenties[],3,FALSE)*VLOOKUP($A457,Locaties[],3,FALSE),0)</f>
        <v>0</v>
      </c>
      <c r="W457" s="185">
        <f>Ruimtestaat[[#This Row],[Uitvoeringen werkdagen]]*Ruimtestaat[[#This Row],[Oppervlak (netto)]]</f>
        <v>4380</v>
      </c>
      <c r="X457" s="220">
        <f>IF(V457&gt;0,Ruimtestaat[[#This Row],[Prest. (m2 /jaar) werkdagen]]/Ruimtestaat[[#This Row],[Norm (m2/uur) werkdagen]],0)</f>
        <v>0</v>
      </c>
      <c r="Y457" s="221">
        <f>Ruimtestaat[[#This Row],[uren / jaar werkdagen]]*Tariefsopbouw!$D$38</f>
        <v>0</v>
      </c>
      <c r="Z457" s="33"/>
      <c r="AA457" s="33">
        <f>IF(Ruimtestaat[[#This Row],[Frequentie weekend]]&gt;0,VALUE(LEFT(Z457,1))*S457,0)</f>
        <v>0</v>
      </c>
      <c r="AB457" s="33">
        <f>IF($AA457&gt;0,VLOOKUP($K457,Ruimtegroepen[],3,FALSE)*VLOOKUP($M457,Vloersoorten[],3,FALSE)*VLOOKUP($Z457,Frequenties[],3,FALSE)*VLOOKUP(#REF!,Locaties[],3,FALSE),0)</f>
        <v>0</v>
      </c>
      <c r="AC457" s="33"/>
      <c r="AD457" s="33"/>
      <c r="AE457" s="33">
        <f>Ruimtestaat[[#This Row],[uren / jaar weekend]]*Tariefsopbouw!$D$40</f>
        <v>0</v>
      </c>
      <c r="AF457" s="79">
        <f>Ruimtestaat[[#This Row],[Prest. (m2 /jaar) weekend]]+Ruimtestaat[[#This Row],[Prest. (m2 /jaar) werkdagen]]</f>
        <v>4380</v>
      </c>
      <c r="AG457" s="79">
        <f>Ruimtestaat[[#This Row],[uren / jaar weekend]]+Ruimtestaat[[#This Row],[uren / jaar werkdagen]]</f>
        <v>0</v>
      </c>
      <c r="AH457" s="80">
        <f>Ruimtestaat[[#This Row],[kosten / jaar weekend]]+Ruimtestaat[[#This Row],[kosten / jaar werkdagen]]</f>
        <v>0</v>
      </c>
    </row>
    <row r="458" spans="1:34" ht="15" customHeight="1">
      <c r="A458" s="256">
        <v>8</v>
      </c>
      <c r="B458" s="171" t="str">
        <f>VLOOKUP(Ruimtestaat[[#This Row],[Code]],Locaties[#All],2,FALSE)</f>
        <v>Het Mozaïek</v>
      </c>
      <c r="C458" s="258" t="str">
        <f>VLOOKUP(Ruimtestaat[[#This Row],[Code]],Locaties[#All],4,FALSE)</f>
        <v>Beverdamlaan 11</v>
      </c>
      <c r="D458" s="258" t="str">
        <f>VLOOKUP(Ruimtestaat[[#This Row],[Code]],Locaties[#All],5,FALSE)</f>
        <v>7602 XR</v>
      </c>
      <c r="E458" s="258" t="str">
        <f>VLOOKUP(Ruimtestaat[[#This Row],[Code]],Locaties[#All],6,FALSE)</f>
        <v>Almelo</v>
      </c>
      <c r="F458" s="257"/>
      <c r="G458" s="257" t="s">
        <v>563</v>
      </c>
      <c r="H458" s="171"/>
      <c r="I458" s="257" t="s">
        <v>462</v>
      </c>
      <c r="J458" s="259" t="s">
        <v>574</v>
      </c>
      <c r="K458" s="258">
        <v>6</v>
      </c>
      <c r="L458" s="260" t="str">
        <f>VLOOKUP(Ruimtestaat[[#This Row],[Ruimte code]],Ruimtegroepen[#All],2,FALSE)</f>
        <v>Gangen/hallen</v>
      </c>
      <c r="M458" s="185" t="s">
        <v>598</v>
      </c>
      <c r="N458" s="257" t="s">
        <v>132</v>
      </c>
      <c r="O458" s="261">
        <v>35.270000000000003</v>
      </c>
      <c r="P458" s="183"/>
      <c r="Q458" s="212" t="str">
        <f>VLOOKUP(Ruimtestaat[[#This Row],[Ruimte code]],Ruimtegroepen[#All],4,FALSE)</f>
        <v>V  (Verkeersruimte)</v>
      </c>
      <c r="R458" s="184"/>
      <c r="S458" s="185">
        <v>40</v>
      </c>
      <c r="T458" s="185" t="s">
        <v>2</v>
      </c>
      <c r="U458" s="185">
        <f>IF(S458&gt;0,IF(RIGHT(Ruimtestaat[[#This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8" s="185">
        <f>IF(U458&gt;0,VLOOKUP($K458,Ruimtegroepen[],3,FALSE)*VLOOKUP($M458,Vloersoorten[],3,FALSE)*VLOOKUP($T458,Frequenties[],3,FALSE)*VLOOKUP($A458,Locaties[],3,FALSE),0)</f>
        <v>0</v>
      </c>
      <c r="W458" s="185">
        <f>Ruimtestaat[[#This Row],[Uitvoeringen werkdagen]]*Ruimtestaat[[#This Row],[Oppervlak (netto)]]</f>
        <v>7054.0000000000009</v>
      </c>
      <c r="X458" s="220">
        <f>IF(V458&gt;0,Ruimtestaat[[#This Row],[Prest. (m2 /jaar) werkdagen]]/Ruimtestaat[[#This Row],[Norm (m2/uur) werkdagen]],0)</f>
        <v>0</v>
      </c>
      <c r="Y458" s="221">
        <f>Ruimtestaat[[#This Row],[uren / jaar werkdagen]]*Tariefsopbouw!$D$38</f>
        <v>0</v>
      </c>
      <c r="Z458" s="33"/>
      <c r="AA458" s="33">
        <f>IF(Ruimtestaat[[#This Row],[Frequentie weekend]]&gt;0,VALUE(LEFT(Z458,1))*S458,0)</f>
        <v>0</v>
      </c>
      <c r="AB458" s="33">
        <f>IF($AA458&gt;0,VLOOKUP($K458,Ruimtegroepen[],3,FALSE)*VLOOKUP($M458,Vloersoorten[],3,FALSE)*VLOOKUP($Z458,Frequenties[],3,FALSE)*VLOOKUP(#REF!,Locaties[],3,FALSE),0)</f>
        <v>0</v>
      </c>
      <c r="AC458" s="33"/>
      <c r="AD458" s="33"/>
      <c r="AE458" s="33">
        <f>Ruimtestaat[[#This Row],[uren / jaar weekend]]*Tariefsopbouw!$D$40</f>
        <v>0</v>
      </c>
      <c r="AF458" s="79">
        <f>Ruimtestaat[[#This Row],[Prest. (m2 /jaar) weekend]]+Ruimtestaat[[#This Row],[Prest. (m2 /jaar) werkdagen]]</f>
        <v>7054.0000000000009</v>
      </c>
      <c r="AG458" s="79">
        <f>Ruimtestaat[[#This Row],[uren / jaar weekend]]+Ruimtestaat[[#This Row],[uren / jaar werkdagen]]</f>
        <v>0</v>
      </c>
      <c r="AH458" s="80">
        <f>Ruimtestaat[[#This Row],[kosten / jaar weekend]]+Ruimtestaat[[#This Row],[kosten / jaar werkdagen]]</f>
        <v>0</v>
      </c>
    </row>
    <row r="459" spans="1:34" ht="15" customHeight="1">
      <c r="A459" s="256">
        <v>8</v>
      </c>
      <c r="B459" s="171" t="str">
        <f>VLOOKUP(Ruimtestaat[[#This Row],[Code]],Locaties[#All],2,FALSE)</f>
        <v>Het Mozaïek</v>
      </c>
      <c r="C459" s="258" t="str">
        <f>VLOOKUP(Ruimtestaat[[#This Row],[Code]],Locaties[#All],4,FALSE)</f>
        <v>Beverdamlaan 11</v>
      </c>
      <c r="D459" s="258" t="str">
        <f>VLOOKUP(Ruimtestaat[[#This Row],[Code]],Locaties[#All],5,FALSE)</f>
        <v>7602 XR</v>
      </c>
      <c r="E459" s="258" t="str">
        <f>VLOOKUP(Ruimtestaat[[#This Row],[Code]],Locaties[#All],6,FALSE)</f>
        <v>Almelo</v>
      </c>
      <c r="F459" s="257"/>
      <c r="G459" s="257" t="s">
        <v>563</v>
      </c>
      <c r="H459" s="171"/>
      <c r="I459" s="257" t="s">
        <v>778</v>
      </c>
      <c r="J459" s="259" t="s">
        <v>695</v>
      </c>
      <c r="K459" s="258">
        <v>10</v>
      </c>
      <c r="L459" s="260" t="str">
        <f>VLOOKUP(Ruimtestaat[[#This Row],[Ruimte code]],Ruimtegroepen[#All],2,FALSE)</f>
        <v>Trappenhuizen/lift</v>
      </c>
      <c r="M459" s="185" t="s">
        <v>439</v>
      </c>
      <c r="N459" s="257" t="s">
        <v>438</v>
      </c>
      <c r="O459" s="261">
        <v>11</v>
      </c>
      <c r="P459" s="183"/>
      <c r="Q459" s="212" t="str">
        <f>VLOOKUP(Ruimtestaat[[#This Row],[Ruimte code]],Ruimtegroepen[#All],4,FALSE)</f>
        <v>V  (Verkeersruimte)</v>
      </c>
      <c r="R459" s="184"/>
      <c r="S459" s="185">
        <v>40</v>
      </c>
      <c r="T459" s="185" t="s">
        <v>2</v>
      </c>
      <c r="U459" s="185">
        <f>IF(S459&gt;0,IF(RIGHT(Ruimtestaat[[#This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9" s="185">
        <f>IF(U459&gt;0,VLOOKUP($K459,Ruimtegroepen[],3,FALSE)*VLOOKUP($M459,Vloersoorten[],3,FALSE)*VLOOKUP($T459,Frequenties[],3,FALSE)*VLOOKUP($A459,Locaties[],3,FALSE),0)</f>
        <v>0</v>
      </c>
      <c r="W459" s="185">
        <f>Ruimtestaat[[#This Row],[Uitvoeringen werkdagen]]*Ruimtestaat[[#This Row],[Oppervlak (netto)]]</f>
        <v>2200</v>
      </c>
      <c r="X459" s="220">
        <f>IF(V459&gt;0,Ruimtestaat[[#This Row],[Prest. (m2 /jaar) werkdagen]]/Ruimtestaat[[#This Row],[Norm (m2/uur) werkdagen]],0)</f>
        <v>0</v>
      </c>
      <c r="Y459" s="221">
        <f>Ruimtestaat[[#This Row],[uren / jaar werkdagen]]*Tariefsopbouw!$D$38</f>
        <v>0</v>
      </c>
      <c r="Z459" s="33"/>
      <c r="AA459" s="33">
        <f>IF(Ruimtestaat[[#This Row],[Frequentie weekend]]&gt;0,VALUE(LEFT(Z459,1))*S459,0)</f>
        <v>0</v>
      </c>
      <c r="AB459" s="33">
        <f>IF($AA459&gt;0,VLOOKUP($K459,Ruimtegroepen[],3,FALSE)*VLOOKUP($M459,Vloersoorten[],3,FALSE)*VLOOKUP($Z459,Frequenties[],3,FALSE)*VLOOKUP(#REF!,Locaties[],3,FALSE),0)</f>
        <v>0</v>
      </c>
      <c r="AC459" s="33"/>
      <c r="AD459" s="33"/>
      <c r="AE459" s="33">
        <f>Ruimtestaat[[#This Row],[uren / jaar weekend]]*Tariefsopbouw!$D$40</f>
        <v>0</v>
      </c>
      <c r="AF459" s="79">
        <f>Ruimtestaat[[#This Row],[Prest. (m2 /jaar) weekend]]+Ruimtestaat[[#This Row],[Prest. (m2 /jaar) werkdagen]]</f>
        <v>2200</v>
      </c>
      <c r="AG459" s="79">
        <f>Ruimtestaat[[#This Row],[uren / jaar weekend]]+Ruimtestaat[[#This Row],[uren / jaar werkdagen]]</f>
        <v>0</v>
      </c>
      <c r="AH459" s="80">
        <f>Ruimtestaat[[#This Row],[kosten / jaar weekend]]+Ruimtestaat[[#This Row],[kosten / jaar werkdagen]]</f>
        <v>0</v>
      </c>
    </row>
    <row r="460" spans="1:34" ht="15" customHeight="1">
      <c r="A460" s="256">
        <v>8</v>
      </c>
      <c r="B460" s="171" t="str">
        <f>VLOOKUP(Ruimtestaat[[#This Row],[Code]],Locaties[#All],2,FALSE)</f>
        <v>Het Mozaïek</v>
      </c>
      <c r="C460" s="258" t="str">
        <f>VLOOKUP(Ruimtestaat[[#This Row],[Code]],Locaties[#All],4,FALSE)</f>
        <v>Beverdamlaan 11</v>
      </c>
      <c r="D460" s="258" t="str">
        <f>VLOOKUP(Ruimtestaat[[#This Row],[Code]],Locaties[#All],5,FALSE)</f>
        <v>7602 XR</v>
      </c>
      <c r="E460" s="258" t="str">
        <f>VLOOKUP(Ruimtestaat[[#This Row],[Code]],Locaties[#All],6,FALSE)</f>
        <v>Almelo</v>
      </c>
      <c r="F460" s="257"/>
      <c r="G460" s="257" t="s">
        <v>563</v>
      </c>
      <c r="H460" s="171"/>
      <c r="I460" s="257" t="s">
        <v>463</v>
      </c>
      <c r="J460" s="259" t="s">
        <v>567</v>
      </c>
      <c r="K460" s="258">
        <v>9</v>
      </c>
      <c r="L460" s="260" t="str">
        <f>VLOOKUP(Ruimtestaat[[#This Row],[Ruimte code]],Ruimtegroepen[#All],2,FALSE)</f>
        <v>Time-out ruimte</v>
      </c>
      <c r="M460" s="185" t="s">
        <v>598</v>
      </c>
      <c r="N460" s="257" t="s">
        <v>132</v>
      </c>
      <c r="O460" s="261">
        <v>8.7899999999999991</v>
      </c>
      <c r="P460" s="183"/>
      <c r="Q460" s="212" t="str">
        <f>VLOOKUP(Ruimtestaat[[#This Row],[Ruimte code]],Ruimtegroepen[#All],4,FALSE)</f>
        <v>V  (Verkeersruimte)</v>
      </c>
      <c r="R460" s="184"/>
      <c r="S460" s="185">
        <v>40</v>
      </c>
      <c r="T460" s="185" t="s">
        <v>2</v>
      </c>
      <c r="U460" s="185">
        <f>IF(S460&gt;0,IF(RIGHT(Ruimtestaat[[#This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0" s="185">
        <f>IF(U460&gt;0,VLOOKUP($K460,Ruimtegroepen[],3,FALSE)*VLOOKUP($M460,Vloersoorten[],3,FALSE)*VLOOKUP($T460,Frequenties[],3,FALSE)*VLOOKUP($A460,Locaties[],3,FALSE),0)</f>
        <v>0</v>
      </c>
      <c r="W460" s="185">
        <f>Ruimtestaat[[#This Row],[Uitvoeringen werkdagen]]*Ruimtestaat[[#This Row],[Oppervlak (netto)]]</f>
        <v>1757.9999999999998</v>
      </c>
      <c r="X460" s="220">
        <f>IF(V460&gt;0,Ruimtestaat[[#This Row],[Prest. (m2 /jaar) werkdagen]]/Ruimtestaat[[#This Row],[Norm (m2/uur) werkdagen]],0)</f>
        <v>0</v>
      </c>
      <c r="Y460" s="221">
        <f>Ruimtestaat[[#This Row],[uren / jaar werkdagen]]*Tariefsopbouw!$D$38</f>
        <v>0</v>
      </c>
      <c r="Z460" s="33"/>
      <c r="AA460" s="33">
        <f>IF(Ruimtestaat[[#This Row],[Frequentie weekend]]&gt;0,VALUE(LEFT(Z460,1))*S460,0)</f>
        <v>0</v>
      </c>
      <c r="AB460" s="33">
        <f>IF($AA460&gt;0,VLOOKUP($K460,Ruimtegroepen[],3,FALSE)*VLOOKUP($M460,Vloersoorten[],3,FALSE)*VLOOKUP($Z460,Frequenties[],3,FALSE)*VLOOKUP(#REF!,Locaties[],3,FALSE),0)</f>
        <v>0</v>
      </c>
      <c r="AC460" s="33"/>
      <c r="AD460" s="33"/>
      <c r="AE460" s="33">
        <f>Ruimtestaat[[#This Row],[uren / jaar weekend]]*Tariefsopbouw!$D$40</f>
        <v>0</v>
      </c>
      <c r="AF460" s="79">
        <f>Ruimtestaat[[#This Row],[Prest. (m2 /jaar) weekend]]+Ruimtestaat[[#This Row],[Prest. (m2 /jaar) werkdagen]]</f>
        <v>1757.9999999999998</v>
      </c>
      <c r="AG460" s="79">
        <f>Ruimtestaat[[#This Row],[uren / jaar weekend]]+Ruimtestaat[[#This Row],[uren / jaar werkdagen]]</f>
        <v>0</v>
      </c>
      <c r="AH460" s="80">
        <f>Ruimtestaat[[#This Row],[kosten / jaar weekend]]+Ruimtestaat[[#This Row],[kosten / jaar werkdagen]]</f>
        <v>0</v>
      </c>
    </row>
    <row r="461" spans="1:34" ht="15" customHeight="1">
      <c r="A461" s="256">
        <v>8</v>
      </c>
      <c r="B461" s="171" t="str">
        <f>VLOOKUP(Ruimtestaat[[#This Row],[Code]],Locaties[#All],2,FALSE)</f>
        <v>Het Mozaïek</v>
      </c>
      <c r="C461" s="258" t="str">
        <f>VLOOKUP(Ruimtestaat[[#This Row],[Code]],Locaties[#All],4,FALSE)</f>
        <v>Beverdamlaan 11</v>
      </c>
      <c r="D461" s="258" t="str">
        <f>VLOOKUP(Ruimtestaat[[#This Row],[Code]],Locaties[#All],5,FALSE)</f>
        <v>7602 XR</v>
      </c>
      <c r="E461" s="258" t="str">
        <f>VLOOKUP(Ruimtestaat[[#This Row],[Code]],Locaties[#All],6,FALSE)</f>
        <v>Almelo</v>
      </c>
      <c r="F461" s="257"/>
      <c r="G461" s="257" t="s">
        <v>563</v>
      </c>
      <c r="H461" s="171"/>
      <c r="I461" s="257" t="s">
        <v>464</v>
      </c>
      <c r="J461" s="259" t="s">
        <v>571</v>
      </c>
      <c r="K461" s="171">
        <v>2</v>
      </c>
      <c r="L461" s="260" t="str">
        <f>VLOOKUP(Ruimtestaat[[#This Row],[Ruimte code]],Ruimtegroepen[#All],2,FALSE)</f>
        <v>Kantoren</v>
      </c>
      <c r="M461" s="185" t="s">
        <v>598</v>
      </c>
      <c r="N461" s="257" t="s">
        <v>132</v>
      </c>
      <c r="O461" s="261">
        <v>13.84</v>
      </c>
      <c r="P461" s="183"/>
      <c r="Q461" s="212" t="str">
        <f>VLOOKUP(Ruimtestaat[[#This Row],[Ruimte code]],Ruimtegroepen[#All],4,FALSE)</f>
        <v>B  (Bureauruimte)</v>
      </c>
      <c r="R461" s="184"/>
      <c r="S461" s="185">
        <v>40</v>
      </c>
      <c r="T461" s="185" t="s">
        <v>2</v>
      </c>
      <c r="U461" s="185">
        <f>IF(S461&gt;0,IF(RIGHT(Ruimtestaat[[#This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1" s="185">
        <f>IF(U461&gt;0,VLOOKUP($K461,Ruimtegroepen[],3,FALSE)*VLOOKUP($M461,Vloersoorten[],3,FALSE)*VLOOKUP($T461,Frequenties[],3,FALSE)*VLOOKUP($A461,Locaties[],3,FALSE),0)</f>
        <v>0</v>
      </c>
      <c r="W461" s="185">
        <f>Ruimtestaat[[#This Row],[Uitvoeringen werkdagen]]*Ruimtestaat[[#This Row],[Oppervlak (netto)]]</f>
        <v>2768</v>
      </c>
      <c r="X461" s="220">
        <f>IF(V461&gt;0,Ruimtestaat[[#This Row],[Prest. (m2 /jaar) werkdagen]]/Ruimtestaat[[#This Row],[Norm (m2/uur) werkdagen]],0)</f>
        <v>0</v>
      </c>
      <c r="Y461" s="221">
        <f>Ruimtestaat[[#This Row],[uren / jaar werkdagen]]*Tariefsopbouw!$D$38</f>
        <v>0</v>
      </c>
      <c r="Z461" s="33"/>
      <c r="AA461" s="33">
        <f>IF(Ruimtestaat[[#This Row],[Frequentie weekend]]&gt;0,VALUE(LEFT(Z461,1))*S461,0)</f>
        <v>0</v>
      </c>
      <c r="AB461" s="33">
        <f>IF($AA461&gt;0,VLOOKUP($K461,Ruimtegroepen[],3,FALSE)*VLOOKUP($M461,Vloersoorten[],3,FALSE)*VLOOKUP($Z461,Frequenties[],3,FALSE)*VLOOKUP(#REF!,Locaties[],3,FALSE),0)</f>
        <v>0</v>
      </c>
      <c r="AC461" s="33"/>
      <c r="AD461" s="33"/>
      <c r="AE461" s="33">
        <f>Ruimtestaat[[#This Row],[uren / jaar weekend]]*Tariefsopbouw!$D$40</f>
        <v>0</v>
      </c>
      <c r="AF461" s="79">
        <f>Ruimtestaat[[#This Row],[Prest. (m2 /jaar) weekend]]+Ruimtestaat[[#This Row],[Prest. (m2 /jaar) werkdagen]]</f>
        <v>2768</v>
      </c>
      <c r="AG461" s="79">
        <f>Ruimtestaat[[#This Row],[uren / jaar weekend]]+Ruimtestaat[[#This Row],[uren / jaar werkdagen]]</f>
        <v>0</v>
      </c>
      <c r="AH461" s="80">
        <f>Ruimtestaat[[#This Row],[kosten / jaar weekend]]+Ruimtestaat[[#This Row],[kosten / jaar werkdagen]]</f>
        <v>0</v>
      </c>
    </row>
    <row r="462" spans="1:34" ht="15" customHeight="1">
      <c r="A462" s="256">
        <v>8</v>
      </c>
      <c r="B462" s="171" t="str">
        <f>VLOOKUP(Ruimtestaat[[#This Row],[Code]],Locaties[#All],2,FALSE)</f>
        <v>Het Mozaïek</v>
      </c>
      <c r="C462" s="258" t="str">
        <f>VLOOKUP(Ruimtestaat[[#This Row],[Code]],Locaties[#All],4,FALSE)</f>
        <v>Beverdamlaan 11</v>
      </c>
      <c r="D462" s="258" t="str">
        <f>VLOOKUP(Ruimtestaat[[#This Row],[Code]],Locaties[#All],5,FALSE)</f>
        <v>7602 XR</v>
      </c>
      <c r="E462" s="258" t="str">
        <f>VLOOKUP(Ruimtestaat[[#This Row],[Code]],Locaties[#All],6,FALSE)</f>
        <v>Almelo</v>
      </c>
      <c r="F462" s="257"/>
      <c r="G462" s="257" t="s">
        <v>563</v>
      </c>
      <c r="H462" s="171"/>
      <c r="I462" s="257" t="s">
        <v>465</v>
      </c>
      <c r="J462" s="259" t="s">
        <v>40</v>
      </c>
      <c r="K462" s="258">
        <v>7</v>
      </c>
      <c r="L462" s="260" t="str">
        <f>VLOOKUP(Ruimtestaat[[#This Row],[Ruimte code]],Ruimtegroepen[#All],2,FALSE)</f>
        <v>Entree</v>
      </c>
      <c r="M462" s="185" t="s">
        <v>597</v>
      </c>
      <c r="N462" s="257" t="s">
        <v>38</v>
      </c>
      <c r="O462" s="261">
        <v>5.83</v>
      </c>
      <c r="P462" s="183"/>
      <c r="Q462" s="212" t="str">
        <f>VLOOKUP(Ruimtestaat[[#This Row],[Ruimte code]],Ruimtegroepen[#All],4,FALSE)</f>
        <v>V  (Verkeersruimte)</v>
      </c>
      <c r="R462" s="184"/>
      <c r="S462" s="185">
        <v>40</v>
      </c>
      <c r="T462" s="185" t="s">
        <v>2</v>
      </c>
      <c r="U462" s="185">
        <f>IF(S462&gt;0,IF(RIGHT(Ruimtestaat[[#This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2" s="185">
        <f>IF(U462&gt;0,VLOOKUP($K462,Ruimtegroepen[],3,FALSE)*VLOOKUP($M462,Vloersoorten[],3,FALSE)*VLOOKUP($T462,Frequenties[],3,FALSE)*VLOOKUP($A462,Locaties[],3,FALSE),0)</f>
        <v>0</v>
      </c>
      <c r="W462" s="185">
        <f>Ruimtestaat[[#This Row],[Uitvoeringen werkdagen]]*Ruimtestaat[[#This Row],[Oppervlak (netto)]]</f>
        <v>1166</v>
      </c>
      <c r="X462" s="220">
        <f>IF(V462&gt;0,Ruimtestaat[[#This Row],[Prest. (m2 /jaar) werkdagen]]/Ruimtestaat[[#This Row],[Norm (m2/uur) werkdagen]],0)</f>
        <v>0</v>
      </c>
      <c r="Y462" s="221">
        <f>Ruimtestaat[[#This Row],[uren / jaar werkdagen]]*Tariefsopbouw!$D$38</f>
        <v>0</v>
      </c>
      <c r="Z462" s="33"/>
      <c r="AA462" s="33">
        <f>IF(Ruimtestaat[[#This Row],[Frequentie weekend]]&gt;0,VALUE(LEFT(Z462,1))*S462,0)</f>
        <v>0</v>
      </c>
      <c r="AB462" s="33">
        <f>IF($AA462&gt;0,VLOOKUP($K462,Ruimtegroepen[],3,FALSE)*VLOOKUP($M462,Vloersoorten[],3,FALSE)*VLOOKUP($Z462,Frequenties[],3,FALSE)*VLOOKUP(#REF!,Locaties[],3,FALSE),0)</f>
        <v>0</v>
      </c>
      <c r="AC462" s="33"/>
      <c r="AD462" s="33"/>
      <c r="AE462" s="33">
        <f>Ruimtestaat[[#This Row],[uren / jaar weekend]]*Tariefsopbouw!$D$40</f>
        <v>0</v>
      </c>
      <c r="AF462" s="79">
        <f>Ruimtestaat[[#This Row],[Prest. (m2 /jaar) weekend]]+Ruimtestaat[[#This Row],[Prest. (m2 /jaar) werkdagen]]</f>
        <v>1166</v>
      </c>
      <c r="AG462" s="79">
        <f>Ruimtestaat[[#This Row],[uren / jaar weekend]]+Ruimtestaat[[#This Row],[uren / jaar werkdagen]]</f>
        <v>0</v>
      </c>
      <c r="AH462" s="80">
        <f>Ruimtestaat[[#This Row],[kosten / jaar weekend]]+Ruimtestaat[[#This Row],[kosten / jaar werkdagen]]</f>
        <v>0</v>
      </c>
    </row>
    <row r="463" spans="1:34" ht="15" customHeight="1">
      <c r="A463" s="256">
        <v>8</v>
      </c>
      <c r="B463" s="171" t="str">
        <f>VLOOKUP(Ruimtestaat[[#This Row],[Code]],Locaties[#All],2,FALSE)</f>
        <v>Het Mozaïek</v>
      </c>
      <c r="C463" s="258" t="str">
        <f>VLOOKUP(Ruimtestaat[[#This Row],[Code]],Locaties[#All],4,FALSE)</f>
        <v>Beverdamlaan 11</v>
      </c>
      <c r="D463" s="258" t="str">
        <f>VLOOKUP(Ruimtestaat[[#This Row],[Code]],Locaties[#All],5,FALSE)</f>
        <v>7602 XR</v>
      </c>
      <c r="E463" s="258" t="str">
        <f>VLOOKUP(Ruimtestaat[[#This Row],[Code]],Locaties[#All],6,FALSE)</f>
        <v>Almelo</v>
      </c>
      <c r="F463" s="257"/>
      <c r="G463" s="257" t="s">
        <v>563</v>
      </c>
      <c r="H463" s="171"/>
      <c r="I463" s="257" t="s">
        <v>466</v>
      </c>
      <c r="J463" s="259" t="s">
        <v>574</v>
      </c>
      <c r="K463" s="171">
        <v>6</v>
      </c>
      <c r="L463" s="260" t="str">
        <f>VLOOKUP(Ruimtestaat[[#This Row],[Ruimte code]],Ruimtegroepen[#All],2,FALSE)</f>
        <v>Gangen/hallen</v>
      </c>
      <c r="M463" s="185" t="s">
        <v>598</v>
      </c>
      <c r="N463" s="257" t="s">
        <v>132</v>
      </c>
      <c r="O463" s="261">
        <v>22.05</v>
      </c>
      <c r="P463" s="183"/>
      <c r="Q463" s="212" t="str">
        <f>VLOOKUP(Ruimtestaat[[#This Row],[Ruimte code]],Ruimtegroepen[#All],4,FALSE)</f>
        <v>V  (Verkeersruimte)</v>
      </c>
      <c r="R463" s="184"/>
      <c r="S463" s="185">
        <v>40</v>
      </c>
      <c r="T463" s="185" t="s">
        <v>2</v>
      </c>
      <c r="U463" s="185">
        <f>IF(S463&gt;0,IF(RIGHT(Ruimtestaat[[#This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3" s="185">
        <f>IF(U463&gt;0,VLOOKUP($K463,Ruimtegroepen[],3,FALSE)*VLOOKUP($M463,Vloersoorten[],3,FALSE)*VLOOKUP($T463,Frequenties[],3,FALSE)*VLOOKUP($A463,Locaties[],3,FALSE),0)</f>
        <v>0</v>
      </c>
      <c r="W463" s="185">
        <f>Ruimtestaat[[#This Row],[Uitvoeringen werkdagen]]*Ruimtestaat[[#This Row],[Oppervlak (netto)]]</f>
        <v>4410</v>
      </c>
      <c r="X463" s="220">
        <f>IF(V463&gt;0,Ruimtestaat[[#This Row],[Prest. (m2 /jaar) werkdagen]]/Ruimtestaat[[#This Row],[Norm (m2/uur) werkdagen]],0)</f>
        <v>0</v>
      </c>
      <c r="Y463" s="221">
        <f>Ruimtestaat[[#This Row],[uren / jaar werkdagen]]*Tariefsopbouw!$D$38</f>
        <v>0</v>
      </c>
      <c r="Z463" s="33"/>
      <c r="AA463" s="33">
        <f>IF(Ruimtestaat[[#This Row],[Frequentie weekend]]&gt;0,VALUE(LEFT(Z463,1))*S463,0)</f>
        <v>0</v>
      </c>
      <c r="AB463" s="33">
        <f>IF($AA463&gt;0,VLOOKUP($K463,Ruimtegroepen[],3,FALSE)*VLOOKUP($M463,Vloersoorten[],3,FALSE)*VLOOKUP($Z463,Frequenties[],3,FALSE)*VLOOKUP(#REF!,Locaties[],3,FALSE),0)</f>
        <v>0</v>
      </c>
      <c r="AC463" s="33"/>
      <c r="AD463" s="33"/>
      <c r="AE463" s="33">
        <f>Ruimtestaat[[#This Row],[uren / jaar weekend]]*Tariefsopbouw!$D$40</f>
        <v>0</v>
      </c>
      <c r="AF463" s="79">
        <f>Ruimtestaat[[#This Row],[Prest. (m2 /jaar) weekend]]+Ruimtestaat[[#This Row],[Prest. (m2 /jaar) werkdagen]]</f>
        <v>4410</v>
      </c>
      <c r="AG463" s="79">
        <f>Ruimtestaat[[#This Row],[uren / jaar weekend]]+Ruimtestaat[[#This Row],[uren / jaar werkdagen]]</f>
        <v>0</v>
      </c>
      <c r="AH463" s="80">
        <f>Ruimtestaat[[#This Row],[kosten / jaar weekend]]+Ruimtestaat[[#This Row],[kosten / jaar werkdagen]]</f>
        <v>0</v>
      </c>
    </row>
    <row r="464" spans="1:34" ht="15" customHeight="1">
      <c r="A464" s="256">
        <v>8</v>
      </c>
      <c r="B464" s="171" t="str">
        <f>VLOOKUP(Ruimtestaat[[#This Row],[Code]],Locaties[#All],2,FALSE)</f>
        <v>Het Mozaïek</v>
      </c>
      <c r="C464" s="258" t="str">
        <f>VLOOKUP(Ruimtestaat[[#This Row],[Code]],Locaties[#All],4,FALSE)</f>
        <v>Beverdamlaan 11</v>
      </c>
      <c r="D464" s="258" t="str">
        <f>VLOOKUP(Ruimtestaat[[#This Row],[Code]],Locaties[#All],5,FALSE)</f>
        <v>7602 XR</v>
      </c>
      <c r="E464" s="258" t="str">
        <f>VLOOKUP(Ruimtestaat[[#This Row],[Code]],Locaties[#All],6,FALSE)</f>
        <v>Almelo</v>
      </c>
      <c r="F464" s="257"/>
      <c r="G464" s="257" t="s">
        <v>563</v>
      </c>
      <c r="H464" s="171"/>
      <c r="I464" s="257" t="s">
        <v>467</v>
      </c>
      <c r="J464" s="259" t="s">
        <v>567</v>
      </c>
      <c r="K464" s="258">
        <v>9</v>
      </c>
      <c r="L464" s="260" t="str">
        <f>VLOOKUP(Ruimtestaat[[#This Row],[Ruimte code]],Ruimtegroepen[#All],2,FALSE)</f>
        <v>Time-out ruimte</v>
      </c>
      <c r="M464" s="185" t="s">
        <v>598</v>
      </c>
      <c r="N464" s="257" t="s">
        <v>132</v>
      </c>
      <c r="O464" s="261">
        <v>5.26</v>
      </c>
      <c r="P464" s="183"/>
      <c r="Q464" s="212" t="str">
        <f>VLOOKUP(Ruimtestaat[[#This Row],[Ruimte code]],Ruimtegroepen[#All],4,FALSE)</f>
        <v>V  (Verkeersruimte)</v>
      </c>
      <c r="R464" s="184"/>
      <c r="S464" s="185">
        <v>40</v>
      </c>
      <c r="T464" s="185" t="s">
        <v>2</v>
      </c>
      <c r="U464" s="185">
        <f>IF(S464&gt;0,IF(RIGHT(Ruimtestaat[[#This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4" s="185">
        <f>IF(U464&gt;0,VLOOKUP($K464,Ruimtegroepen[],3,FALSE)*VLOOKUP($M464,Vloersoorten[],3,FALSE)*VLOOKUP($T464,Frequenties[],3,FALSE)*VLOOKUP($A464,Locaties[],3,FALSE),0)</f>
        <v>0</v>
      </c>
      <c r="W464" s="185">
        <f>Ruimtestaat[[#This Row],[Uitvoeringen werkdagen]]*Ruimtestaat[[#This Row],[Oppervlak (netto)]]</f>
        <v>1052</v>
      </c>
      <c r="X464" s="220">
        <f>IF(V464&gt;0,Ruimtestaat[[#This Row],[Prest. (m2 /jaar) werkdagen]]/Ruimtestaat[[#This Row],[Norm (m2/uur) werkdagen]],0)</f>
        <v>0</v>
      </c>
      <c r="Y464" s="221">
        <f>Ruimtestaat[[#This Row],[uren / jaar werkdagen]]*Tariefsopbouw!$D$38</f>
        <v>0</v>
      </c>
      <c r="Z464" s="33"/>
      <c r="AA464" s="33">
        <f>IF(Ruimtestaat[[#This Row],[Frequentie weekend]]&gt;0,VALUE(LEFT(Z464,1))*S464,0)</f>
        <v>0</v>
      </c>
      <c r="AB464" s="33">
        <f>IF($AA464&gt;0,VLOOKUP($K464,Ruimtegroepen[],3,FALSE)*VLOOKUP($M464,Vloersoorten[],3,FALSE)*VLOOKUP($Z464,Frequenties[],3,FALSE)*VLOOKUP(#REF!,Locaties[],3,FALSE),0)</f>
        <v>0</v>
      </c>
      <c r="AC464" s="33"/>
      <c r="AD464" s="33"/>
      <c r="AE464" s="33">
        <f>Ruimtestaat[[#This Row],[uren / jaar weekend]]*Tariefsopbouw!$D$40</f>
        <v>0</v>
      </c>
      <c r="AF464" s="79">
        <f>Ruimtestaat[[#This Row],[Prest. (m2 /jaar) weekend]]+Ruimtestaat[[#This Row],[Prest. (m2 /jaar) werkdagen]]</f>
        <v>1052</v>
      </c>
      <c r="AG464" s="79">
        <f>Ruimtestaat[[#This Row],[uren / jaar weekend]]+Ruimtestaat[[#This Row],[uren / jaar werkdagen]]</f>
        <v>0</v>
      </c>
      <c r="AH464" s="80">
        <f>Ruimtestaat[[#This Row],[kosten / jaar weekend]]+Ruimtestaat[[#This Row],[kosten / jaar werkdagen]]</f>
        <v>0</v>
      </c>
    </row>
    <row r="465" spans="1:34" ht="15" customHeight="1">
      <c r="A465" s="256">
        <v>8</v>
      </c>
      <c r="B465" s="171" t="str">
        <f>VLOOKUP(Ruimtestaat[[#This Row],[Code]],Locaties[#All],2,FALSE)</f>
        <v>Het Mozaïek</v>
      </c>
      <c r="C465" s="258" t="str">
        <f>VLOOKUP(Ruimtestaat[[#This Row],[Code]],Locaties[#All],4,FALSE)</f>
        <v>Beverdamlaan 11</v>
      </c>
      <c r="D465" s="258" t="str">
        <f>VLOOKUP(Ruimtestaat[[#This Row],[Code]],Locaties[#All],5,FALSE)</f>
        <v>7602 XR</v>
      </c>
      <c r="E465" s="258" t="str">
        <f>VLOOKUP(Ruimtestaat[[#This Row],[Code]],Locaties[#All],6,FALSE)</f>
        <v>Almelo</v>
      </c>
      <c r="F465" s="257"/>
      <c r="G465" s="257" t="s">
        <v>563</v>
      </c>
      <c r="H465" s="171"/>
      <c r="I465" s="257" t="s">
        <v>468</v>
      </c>
      <c r="J465" s="259" t="s">
        <v>567</v>
      </c>
      <c r="K465" s="258">
        <v>9</v>
      </c>
      <c r="L465" s="260" t="str">
        <f>VLOOKUP(Ruimtestaat[[#This Row],[Ruimte code]],Ruimtegroepen[#All],2,FALSE)</f>
        <v>Time-out ruimte</v>
      </c>
      <c r="M465" s="185" t="s">
        <v>598</v>
      </c>
      <c r="N465" s="257" t="s">
        <v>132</v>
      </c>
      <c r="O465" s="261">
        <v>5.26</v>
      </c>
      <c r="P465" s="183"/>
      <c r="Q465" s="212" t="str">
        <f>VLOOKUP(Ruimtestaat[[#This Row],[Ruimte code]],Ruimtegroepen[#All],4,FALSE)</f>
        <v>V  (Verkeersruimte)</v>
      </c>
      <c r="R465" s="184"/>
      <c r="S465" s="185">
        <v>40</v>
      </c>
      <c r="T465" s="185" t="s">
        <v>2</v>
      </c>
      <c r="U465" s="185">
        <f>IF(S465&gt;0,IF(RIGHT(Ruimtestaat[[#This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5" s="185">
        <f>IF(U465&gt;0,VLOOKUP($K465,Ruimtegroepen[],3,FALSE)*VLOOKUP($M465,Vloersoorten[],3,FALSE)*VLOOKUP($T465,Frequenties[],3,FALSE)*VLOOKUP($A465,Locaties[],3,FALSE),0)</f>
        <v>0</v>
      </c>
      <c r="W465" s="185">
        <f>Ruimtestaat[[#This Row],[Uitvoeringen werkdagen]]*Ruimtestaat[[#This Row],[Oppervlak (netto)]]</f>
        <v>1052</v>
      </c>
      <c r="X465" s="220">
        <f>IF(V465&gt;0,Ruimtestaat[[#This Row],[Prest. (m2 /jaar) werkdagen]]/Ruimtestaat[[#This Row],[Norm (m2/uur) werkdagen]],0)</f>
        <v>0</v>
      </c>
      <c r="Y465" s="221">
        <f>Ruimtestaat[[#This Row],[uren / jaar werkdagen]]*Tariefsopbouw!$D$38</f>
        <v>0</v>
      </c>
      <c r="Z465" s="33"/>
      <c r="AA465" s="33">
        <f>IF(Ruimtestaat[[#This Row],[Frequentie weekend]]&gt;0,VALUE(LEFT(Z465,1))*S465,0)</f>
        <v>0</v>
      </c>
      <c r="AB465" s="33">
        <f>IF($AA465&gt;0,VLOOKUP($K465,Ruimtegroepen[],3,FALSE)*VLOOKUP($M465,Vloersoorten[],3,FALSE)*VLOOKUP($Z465,Frequenties[],3,FALSE)*VLOOKUP(#REF!,Locaties[],3,FALSE),0)</f>
        <v>0</v>
      </c>
      <c r="AC465" s="33"/>
      <c r="AD465" s="33"/>
      <c r="AE465" s="33">
        <f>Ruimtestaat[[#This Row],[uren / jaar weekend]]*Tariefsopbouw!$D$40</f>
        <v>0</v>
      </c>
      <c r="AF465" s="79">
        <f>Ruimtestaat[[#This Row],[Prest. (m2 /jaar) weekend]]+Ruimtestaat[[#This Row],[Prest. (m2 /jaar) werkdagen]]</f>
        <v>1052</v>
      </c>
      <c r="AG465" s="79">
        <f>Ruimtestaat[[#This Row],[uren / jaar weekend]]+Ruimtestaat[[#This Row],[uren / jaar werkdagen]]</f>
        <v>0</v>
      </c>
      <c r="AH465" s="80">
        <f>Ruimtestaat[[#This Row],[kosten / jaar weekend]]+Ruimtestaat[[#This Row],[kosten / jaar werkdagen]]</f>
        <v>0</v>
      </c>
    </row>
    <row r="466" spans="1:34" ht="15" customHeight="1">
      <c r="A466" s="256">
        <v>8</v>
      </c>
      <c r="B466" s="171" t="str">
        <f>VLOOKUP(Ruimtestaat[[#This Row],[Code]],Locaties[#All],2,FALSE)</f>
        <v>Het Mozaïek</v>
      </c>
      <c r="C466" s="258" t="str">
        <f>VLOOKUP(Ruimtestaat[[#This Row],[Code]],Locaties[#All],4,FALSE)</f>
        <v>Beverdamlaan 11</v>
      </c>
      <c r="D466" s="258" t="str">
        <f>VLOOKUP(Ruimtestaat[[#This Row],[Code]],Locaties[#All],5,FALSE)</f>
        <v>7602 XR</v>
      </c>
      <c r="E466" s="258" t="str">
        <f>VLOOKUP(Ruimtestaat[[#This Row],[Code]],Locaties[#All],6,FALSE)</f>
        <v>Almelo</v>
      </c>
      <c r="F466" s="257"/>
      <c r="G466" s="257" t="s">
        <v>563</v>
      </c>
      <c r="H466" s="171"/>
      <c r="I466" s="257" t="s">
        <v>469</v>
      </c>
      <c r="J466" s="259" t="s">
        <v>585</v>
      </c>
      <c r="K466" s="258">
        <v>20</v>
      </c>
      <c r="L466" s="260" t="str">
        <f>VLOOKUP(Ruimtestaat[[#This Row],[Ruimte code]],Ruimtegroepen[#All],2,FALSE)</f>
        <v>Niet in onderhoud</v>
      </c>
      <c r="M466" s="185" t="s">
        <v>598</v>
      </c>
      <c r="N466" s="257" t="s">
        <v>132</v>
      </c>
      <c r="O466" s="261"/>
      <c r="P466" s="183">
        <v>11.08</v>
      </c>
      <c r="Q466" s="212" t="str">
        <f>VLOOKUP(Ruimtestaat[[#This Row],[Ruimte code]],Ruimtegroepen[#All],4,FALSE)</f>
        <v>niet in onderhoud</v>
      </c>
      <c r="R466" s="184"/>
      <c r="S466" s="185"/>
      <c r="T466" s="185"/>
      <c r="U466" s="185">
        <f>IF(S466&gt;0,IF(RIGHT(Ruimtestaat[[#This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66" s="185">
        <f>IF(U466&gt;0,VLOOKUP($K466,Ruimtegroepen[],3,FALSE)*VLOOKUP($M466,Vloersoorten[],3,FALSE)*VLOOKUP($T466,Frequenties[],3,FALSE)*VLOOKUP($A466,Locaties[],3,FALSE),0)</f>
        <v>0</v>
      </c>
      <c r="W466" s="185">
        <f>Ruimtestaat[[#This Row],[Uitvoeringen werkdagen]]*Ruimtestaat[[#This Row],[Oppervlak (netto)]]</f>
        <v>0</v>
      </c>
      <c r="X466" s="220">
        <f>IF(V466&gt;0,Ruimtestaat[[#This Row],[Prest. (m2 /jaar) werkdagen]]/Ruimtestaat[[#This Row],[Norm (m2/uur) werkdagen]],0)</f>
        <v>0</v>
      </c>
      <c r="Y466" s="221">
        <f>Ruimtestaat[[#This Row],[uren / jaar werkdagen]]*Tariefsopbouw!$D$38</f>
        <v>0</v>
      </c>
      <c r="Z466" s="33"/>
      <c r="AA466" s="33">
        <f>IF(Ruimtestaat[[#This Row],[Frequentie weekend]]&gt;0,VALUE(LEFT(Z466,1))*S466,0)</f>
        <v>0</v>
      </c>
      <c r="AB466" s="33">
        <f>IF($AA466&gt;0,VLOOKUP($K466,Ruimtegroepen[],3,FALSE)*VLOOKUP($M466,Vloersoorten[],3,FALSE)*VLOOKUP($Z466,Frequenties[],3,FALSE)*VLOOKUP(#REF!,Locaties[],3,FALSE),0)</f>
        <v>0</v>
      </c>
      <c r="AC466" s="33"/>
      <c r="AD466" s="33"/>
      <c r="AE466" s="33">
        <f>Ruimtestaat[[#This Row],[uren / jaar weekend]]*Tariefsopbouw!$D$40</f>
        <v>0</v>
      </c>
      <c r="AF466" s="79">
        <f>Ruimtestaat[[#This Row],[Prest. (m2 /jaar) weekend]]+Ruimtestaat[[#This Row],[Prest. (m2 /jaar) werkdagen]]</f>
        <v>0</v>
      </c>
      <c r="AG466" s="79">
        <f>Ruimtestaat[[#This Row],[uren / jaar weekend]]+Ruimtestaat[[#This Row],[uren / jaar werkdagen]]</f>
        <v>0</v>
      </c>
      <c r="AH466" s="80">
        <f>Ruimtestaat[[#This Row],[kosten / jaar weekend]]+Ruimtestaat[[#This Row],[kosten / jaar werkdagen]]</f>
        <v>0</v>
      </c>
    </row>
    <row r="467" spans="1:34" ht="15" customHeight="1">
      <c r="A467" s="256">
        <v>8</v>
      </c>
      <c r="B467" s="171" t="str">
        <f>VLOOKUP(Ruimtestaat[[#This Row],[Code]],Locaties[#All],2,FALSE)</f>
        <v>Het Mozaïek</v>
      </c>
      <c r="C467" s="258" t="str">
        <f>VLOOKUP(Ruimtestaat[[#This Row],[Code]],Locaties[#All],4,FALSE)</f>
        <v>Beverdamlaan 11</v>
      </c>
      <c r="D467" s="258" t="str">
        <f>VLOOKUP(Ruimtestaat[[#This Row],[Code]],Locaties[#All],5,FALSE)</f>
        <v>7602 XR</v>
      </c>
      <c r="E467" s="258" t="str">
        <f>VLOOKUP(Ruimtestaat[[#This Row],[Code]],Locaties[#All],6,FALSE)</f>
        <v>Almelo</v>
      </c>
      <c r="F467" s="257"/>
      <c r="G467" s="257" t="s">
        <v>563</v>
      </c>
      <c r="H467" s="171"/>
      <c r="I467" s="257" t="s">
        <v>470</v>
      </c>
      <c r="J467" s="259" t="s">
        <v>569</v>
      </c>
      <c r="K467" s="185">
        <v>5</v>
      </c>
      <c r="L467" s="260" t="str">
        <f>VLOOKUP(Ruimtestaat[[#This Row],[Ruimte code]],Ruimtegroepen[#All],2,FALSE)</f>
        <v>Sanitair</v>
      </c>
      <c r="M467" s="212" t="s">
        <v>111</v>
      </c>
      <c r="N467" s="257" t="s">
        <v>605</v>
      </c>
      <c r="O467" s="261">
        <v>2.62</v>
      </c>
      <c r="P467" s="183"/>
      <c r="Q467" s="212" t="str">
        <f>VLOOKUP(Ruimtestaat[[#This Row],[Ruimte code]],Ruimtegroepen[#All],4,FALSE)</f>
        <v>S  (Sanitair)</v>
      </c>
      <c r="R467" s="184"/>
      <c r="S467" s="185">
        <v>40</v>
      </c>
      <c r="T467" s="185" t="s">
        <v>2</v>
      </c>
      <c r="U467" s="185">
        <f>IF(S467&gt;0,IF(RIGHT(Ruimtestaat[[#This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7" s="185">
        <f>IF(U467&gt;0,VLOOKUP($K467,Ruimtegroepen[],3,FALSE)*VLOOKUP($M467,Vloersoorten[],3,FALSE)*VLOOKUP($T467,Frequenties[],3,FALSE)*VLOOKUP($A467,Locaties[],3,FALSE),0)</f>
        <v>0</v>
      </c>
      <c r="W467" s="185">
        <f>Ruimtestaat[[#This Row],[Uitvoeringen werkdagen]]*Ruimtestaat[[#This Row],[Oppervlak (netto)]]</f>
        <v>524</v>
      </c>
      <c r="X467" s="220">
        <f>IF(V467&gt;0,Ruimtestaat[[#This Row],[Prest. (m2 /jaar) werkdagen]]/Ruimtestaat[[#This Row],[Norm (m2/uur) werkdagen]],0)</f>
        <v>0</v>
      </c>
      <c r="Y467" s="221">
        <f>Ruimtestaat[[#This Row],[uren / jaar werkdagen]]*Tariefsopbouw!$D$38</f>
        <v>0</v>
      </c>
      <c r="Z467" s="33"/>
      <c r="AA467" s="33">
        <f>IF(Ruimtestaat[[#This Row],[Frequentie weekend]]&gt;0,VALUE(LEFT(Z467,1))*S467,0)</f>
        <v>0</v>
      </c>
      <c r="AB467" s="33">
        <f>IF($AA467&gt;0,VLOOKUP($K467,Ruimtegroepen[],3,FALSE)*VLOOKUP($M467,Vloersoorten[],3,FALSE)*VLOOKUP($Z467,Frequenties[],3,FALSE)*VLOOKUP(#REF!,Locaties[],3,FALSE),0)</f>
        <v>0</v>
      </c>
      <c r="AC467" s="33"/>
      <c r="AD467" s="33"/>
      <c r="AE467" s="33">
        <f>Ruimtestaat[[#This Row],[uren / jaar weekend]]*Tariefsopbouw!$D$40</f>
        <v>0</v>
      </c>
      <c r="AF467" s="79">
        <f>Ruimtestaat[[#This Row],[Prest. (m2 /jaar) weekend]]+Ruimtestaat[[#This Row],[Prest. (m2 /jaar) werkdagen]]</f>
        <v>524</v>
      </c>
      <c r="AG467" s="79">
        <f>Ruimtestaat[[#This Row],[uren / jaar weekend]]+Ruimtestaat[[#This Row],[uren / jaar werkdagen]]</f>
        <v>0</v>
      </c>
      <c r="AH467" s="80">
        <f>Ruimtestaat[[#This Row],[kosten / jaar weekend]]+Ruimtestaat[[#This Row],[kosten / jaar werkdagen]]</f>
        <v>0</v>
      </c>
    </row>
    <row r="468" spans="1:34" ht="15" customHeight="1">
      <c r="A468" s="256">
        <v>8</v>
      </c>
      <c r="B468" s="171" t="str">
        <f>VLOOKUP(Ruimtestaat[[#This Row],[Code]],Locaties[#All],2,FALSE)</f>
        <v>Het Mozaïek</v>
      </c>
      <c r="C468" s="258" t="str">
        <f>VLOOKUP(Ruimtestaat[[#This Row],[Code]],Locaties[#All],4,FALSE)</f>
        <v>Beverdamlaan 11</v>
      </c>
      <c r="D468" s="258" t="str">
        <f>VLOOKUP(Ruimtestaat[[#This Row],[Code]],Locaties[#All],5,FALSE)</f>
        <v>7602 XR</v>
      </c>
      <c r="E468" s="258" t="str">
        <f>VLOOKUP(Ruimtestaat[[#This Row],[Code]],Locaties[#All],6,FALSE)</f>
        <v>Almelo</v>
      </c>
      <c r="F468" s="257"/>
      <c r="G468" s="257" t="s">
        <v>563</v>
      </c>
      <c r="H468" s="171"/>
      <c r="I468" s="257" t="s">
        <v>471</v>
      </c>
      <c r="J468" s="259" t="s">
        <v>569</v>
      </c>
      <c r="K468" s="258">
        <v>5</v>
      </c>
      <c r="L468" s="260" t="str">
        <f>VLOOKUP(Ruimtestaat[[#This Row],[Ruimte code]],Ruimtegroepen[#All],2,FALSE)</f>
        <v>Sanitair</v>
      </c>
      <c r="M468" s="212" t="s">
        <v>111</v>
      </c>
      <c r="N468" s="257" t="s">
        <v>605</v>
      </c>
      <c r="O468" s="261">
        <v>2.62</v>
      </c>
      <c r="P468" s="183"/>
      <c r="Q468" s="212" t="str">
        <f>VLOOKUP(Ruimtestaat[[#This Row],[Ruimte code]],Ruimtegroepen[#All],4,FALSE)</f>
        <v>S  (Sanitair)</v>
      </c>
      <c r="R468" s="184"/>
      <c r="S468" s="185">
        <v>40</v>
      </c>
      <c r="T468" s="185" t="s">
        <v>2</v>
      </c>
      <c r="U468" s="185">
        <f>IF(S468&gt;0,IF(RIGHT(Ruimtestaat[[#This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8" s="185">
        <f>IF(U468&gt;0,VLOOKUP($K468,Ruimtegroepen[],3,FALSE)*VLOOKUP($M468,Vloersoorten[],3,FALSE)*VLOOKUP($T468,Frequenties[],3,FALSE)*VLOOKUP($A468,Locaties[],3,FALSE),0)</f>
        <v>0</v>
      </c>
      <c r="W468" s="185">
        <f>Ruimtestaat[[#This Row],[Uitvoeringen werkdagen]]*Ruimtestaat[[#This Row],[Oppervlak (netto)]]</f>
        <v>524</v>
      </c>
      <c r="X468" s="220">
        <f>IF(V468&gt;0,Ruimtestaat[[#This Row],[Prest. (m2 /jaar) werkdagen]]/Ruimtestaat[[#This Row],[Norm (m2/uur) werkdagen]],0)</f>
        <v>0</v>
      </c>
      <c r="Y468" s="221">
        <f>Ruimtestaat[[#This Row],[uren / jaar werkdagen]]*Tariefsopbouw!$D$38</f>
        <v>0</v>
      </c>
      <c r="Z468" s="33"/>
      <c r="AA468" s="33">
        <f>IF(Ruimtestaat[[#This Row],[Frequentie weekend]]&gt;0,VALUE(LEFT(Z468,1))*S468,0)</f>
        <v>0</v>
      </c>
      <c r="AB468" s="33">
        <f>IF($AA468&gt;0,VLOOKUP($K468,Ruimtegroepen[],3,FALSE)*VLOOKUP($M468,Vloersoorten[],3,FALSE)*VLOOKUP($Z468,Frequenties[],3,FALSE)*VLOOKUP(#REF!,Locaties[],3,FALSE),0)</f>
        <v>0</v>
      </c>
      <c r="AC468" s="33"/>
      <c r="AD468" s="33"/>
      <c r="AE468" s="33">
        <f>Ruimtestaat[[#This Row],[uren / jaar weekend]]*Tariefsopbouw!$D$40</f>
        <v>0</v>
      </c>
      <c r="AF468" s="79">
        <f>Ruimtestaat[[#This Row],[Prest. (m2 /jaar) weekend]]+Ruimtestaat[[#This Row],[Prest. (m2 /jaar) werkdagen]]</f>
        <v>524</v>
      </c>
      <c r="AG468" s="79">
        <f>Ruimtestaat[[#This Row],[uren / jaar weekend]]+Ruimtestaat[[#This Row],[uren / jaar werkdagen]]</f>
        <v>0</v>
      </c>
      <c r="AH468" s="80">
        <f>Ruimtestaat[[#This Row],[kosten / jaar weekend]]+Ruimtestaat[[#This Row],[kosten / jaar werkdagen]]</f>
        <v>0</v>
      </c>
    </row>
    <row r="469" spans="1:34" ht="15" customHeight="1">
      <c r="A469" s="256">
        <v>8</v>
      </c>
      <c r="B469" s="171" t="str">
        <f>VLOOKUP(Ruimtestaat[[#This Row],[Code]],Locaties[#All],2,FALSE)</f>
        <v>Het Mozaïek</v>
      </c>
      <c r="C469" s="258" t="str">
        <f>VLOOKUP(Ruimtestaat[[#This Row],[Code]],Locaties[#All],4,FALSE)</f>
        <v>Beverdamlaan 11</v>
      </c>
      <c r="D469" s="258" t="str">
        <f>VLOOKUP(Ruimtestaat[[#This Row],[Code]],Locaties[#All],5,FALSE)</f>
        <v>7602 XR</v>
      </c>
      <c r="E469" s="258" t="str">
        <f>VLOOKUP(Ruimtestaat[[#This Row],[Code]],Locaties[#All],6,FALSE)</f>
        <v>Almelo</v>
      </c>
      <c r="F469" s="257"/>
      <c r="G469" s="257" t="s">
        <v>563</v>
      </c>
      <c r="H469" s="171"/>
      <c r="I469" s="257" t="s">
        <v>472</v>
      </c>
      <c r="J469" s="259" t="s">
        <v>576</v>
      </c>
      <c r="K469" s="171">
        <v>16</v>
      </c>
      <c r="L469" s="260" t="str">
        <f>VLOOKUP(Ruimtestaat[[#This Row],[Ruimte code]],Ruimtegroepen[#All],2,FALSE)</f>
        <v>Leslokalen</v>
      </c>
      <c r="M469" s="185" t="s">
        <v>598</v>
      </c>
      <c r="N469" s="257" t="s">
        <v>132</v>
      </c>
      <c r="O469" s="261">
        <v>28.36</v>
      </c>
      <c r="P469" s="183"/>
      <c r="Q469" s="212" t="str">
        <f>VLOOKUP(Ruimtestaat[[#This Row],[Ruimte code]],Ruimtegroepen[#All],4,FALSE)</f>
        <v>L  (Lesruimte)</v>
      </c>
      <c r="R469" s="184"/>
      <c r="S469" s="185">
        <v>40</v>
      </c>
      <c r="T469" s="185" t="s">
        <v>2</v>
      </c>
      <c r="U469" s="185">
        <f>IF(S469&gt;0,IF(RIGHT(Ruimtestaat[[#This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9" s="185">
        <f>IF(U469&gt;0,VLOOKUP($K469,Ruimtegroepen[],3,FALSE)*VLOOKUP($M469,Vloersoorten[],3,FALSE)*VLOOKUP($T469,Frequenties[],3,FALSE)*VLOOKUP($A469,Locaties[],3,FALSE),0)</f>
        <v>0</v>
      </c>
      <c r="W469" s="185">
        <f>Ruimtestaat[[#This Row],[Uitvoeringen werkdagen]]*Ruimtestaat[[#This Row],[Oppervlak (netto)]]</f>
        <v>5672</v>
      </c>
      <c r="X469" s="220">
        <f>IF(V469&gt;0,Ruimtestaat[[#This Row],[Prest. (m2 /jaar) werkdagen]]/Ruimtestaat[[#This Row],[Norm (m2/uur) werkdagen]],0)</f>
        <v>0</v>
      </c>
      <c r="Y469" s="221">
        <f>Ruimtestaat[[#This Row],[uren / jaar werkdagen]]*Tariefsopbouw!$D$38</f>
        <v>0</v>
      </c>
      <c r="Z469" s="33"/>
      <c r="AA469" s="33">
        <f>IF(Ruimtestaat[[#This Row],[Frequentie weekend]]&gt;0,VALUE(LEFT(Z469,1))*S469,0)</f>
        <v>0</v>
      </c>
      <c r="AB469" s="33">
        <f>IF($AA469&gt;0,VLOOKUP($K469,Ruimtegroepen[],3,FALSE)*VLOOKUP($M469,Vloersoorten[],3,FALSE)*VLOOKUP($Z469,Frequenties[],3,FALSE)*VLOOKUP(#REF!,Locaties[],3,FALSE),0)</f>
        <v>0</v>
      </c>
      <c r="AC469" s="33"/>
      <c r="AD469" s="33"/>
      <c r="AE469" s="33">
        <f>Ruimtestaat[[#This Row],[uren / jaar weekend]]*Tariefsopbouw!$D$40</f>
        <v>0</v>
      </c>
      <c r="AF469" s="79">
        <f>Ruimtestaat[[#This Row],[Prest. (m2 /jaar) weekend]]+Ruimtestaat[[#This Row],[Prest. (m2 /jaar) werkdagen]]</f>
        <v>5672</v>
      </c>
      <c r="AG469" s="79">
        <f>Ruimtestaat[[#This Row],[uren / jaar weekend]]+Ruimtestaat[[#This Row],[uren / jaar werkdagen]]</f>
        <v>0</v>
      </c>
      <c r="AH469" s="80">
        <f>Ruimtestaat[[#This Row],[kosten / jaar weekend]]+Ruimtestaat[[#This Row],[kosten / jaar werkdagen]]</f>
        <v>0</v>
      </c>
    </row>
    <row r="470" spans="1:34" ht="15" customHeight="1">
      <c r="A470" s="256">
        <v>8</v>
      </c>
      <c r="B470" s="171" t="str">
        <f>VLOOKUP(Ruimtestaat[[#This Row],[Code]],Locaties[#All],2,FALSE)</f>
        <v>Het Mozaïek</v>
      </c>
      <c r="C470" s="258" t="str">
        <f>VLOOKUP(Ruimtestaat[[#This Row],[Code]],Locaties[#All],4,FALSE)</f>
        <v>Beverdamlaan 11</v>
      </c>
      <c r="D470" s="258" t="str">
        <f>VLOOKUP(Ruimtestaat[[#This Row],[Code]],Locaties[#All],5,FALSE)</f>
        <v>7602 XR</v>
      </c>
      <c r="E470" s="258" t="str">
        <f>VLOOKUP(Ruimtestaat[[#This Row],[Code]],Locaties[#All],6,FALSE)</f>
        <v>Almelo</v>
      </c>
      <c r="F470" s="257"/>
      <c r="G470" s="257" t="s">
        <v>563</v>
      </c>
      <c r="H470" s="171"/>
      <c r="I470" s="257" t="s">
        <v>473</v>
      </c>
      <c r="J470" s="259" t="s">
        <v>576</v>
      </c>
      <c r="K470" s="171">
        <v>16</v>
      </c>
      <c r="L470" s="260" t="str">
        <f>VLOOKUP(Ruimtestaat[[#This Row],[Ruimte code]],Ruimtegroepen[#All],2,FALSE)</f>
        <v>Leslokalen</v>
      </c>
      <c r="M470" s="185" t="s">
        <v>598</v>
      </c>
      <c r="N470" s="257" t="s">
        <v>132</v>
      </c>
      <c r="O470" s="261">
        <v>59.64</v>
      </c>
      <c r="P470" s="183"/>
      <c r="Q470" s="212" t="str">
        <f>VLOOKUP(Ruimtestaat[[#This Row],[Ruimte code]],Ruimtegroepen[#All],4,FALSE)</f>
        <v>L  (Lesruimte)</v>
      </c>
      <c r="R470" s="184"/>
      <c r="S470" s="185">
        <v>40</v>
      </c>
      <c r="T470" s="185" t="s">
        <v>2</v>
      </c>
      <c r="U470" s="185">
        <f>IF(S470&gt;0,IF(RIGHT(Ruimtestaat[[#This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0" s="185">
        <f>IF(U470&gt;0,VLOOKUP($K470,Ruimtegroepen[],3,FALSE)*VLOOKUP($M470,Vloersoorten[],3,FALSE)*VLOOKUP($T470,Frequenties[],3,FALSE)*VLOOKUP($A470,Locaties[],3,FALSE),0)</f>
        <v>0</v>
      </c>
      <c r="W470" s="185">
        <f>Ruimtestaat[[#This Row],[Uitvoeringen werkdagen]]*Ruimtestaat[[#This Row],[Oppervlak (netto)]]</f>
        <v>11928</v>
      </c>
      <c r="X470" s="220">
        <f>IF(V470&gt;0,Ruimtestaat[[#This Row],[Prest. (m2 /jaar) werkdagen]]/Ruimtestaat[[#This Row],[Norm (m2/uur) werkdagen]],0)</f>
        <v>0</v>
      </c>
      <c r="Y470" s="221">
        <f>Ruimtestaat[[#This Row],[uren / jaar werkdagen]]*Tariefsopbouw!$D$38</f>
        <v>0</v>
      </c>
      <c r="Z470" s="33"/>
      <c r="AA470" s="33">
        <f>IF(Ruimtestaat[[#This Row],[Frequentie weekend]]&gt;0,VALUE(LEFT(Z470,1))*S470,0)</f>
        <v>0</v>
      </c>
      <c r="AB470" s="33">
        <f>IF($AA470&gt;0,VLOOKUP($K470,Ruimtegroepen[],3,FALSE)*VLOOKUP($M470,Vloersoorten[],3,FALSE)*VLOOKUP($Z470,Frequenties[],3,FALSE)*VLOOKUP(#REF!,Locaties[],3,FALSE),0)</f>
        <v>0</v>
      </c>
      <c r="AC470" s="33"/>
      <c r="AD470" s="33"/>
      <c r="AE470" s="33">
        <f>Ruimtestaat[[#This Row],[uren / jaar weekend]]*Tariefsopbouw!$D$40</f>
        <v>0</v>
      </c>
      <c r="AF470" s="79">
        <f>Ruimtestaat[[#This Row],[Prest. (m2 /jaar) weekend]]+Ruimtestaat[[#This Row],[Prest. (m2 /jaar) werkdagen]]</f>
        <v>11928</v>
      </c>
      <c r="AG470" s="79">
        <f>Ruimtestaat[[#This Row],[uren / jaar weekend]]+Ruimtestaat[[#This Row],[uren / jaar werkdagen]]</f>
        <v>0</v>
      </c>
      <c r="AH470" s="80">
        <f>Ruimtestaat[[#This Row],[kosten / jaar weekend]]+Ruimtestaat[[#This Row],[kosten / jaar werkdagen]]</f>
        <v>0</v>
      </c>
    </row>
    <row r="471" spans="1:34" ht="15" customHeight="1">
      <c r="A471" s="256">
        <v>8</v>
      </c>
      <c r="B471" s="171" t="str">
        <f>VLOOKUP(Ruimtestaat[[#This Row],[Code]],Locaties[#All],2,FALSE)</f>
        <v>Het Mozaïek</v>
      </c>
      <c r="C471" s="258" t="str">
        <f>VLOOKUP(Ruimtestaat[[#This Row],[Code]],Locaties[#All],4,FALSE)</f>
        <v>Beverdamlaan 11</v>
      </c>
      <c r="D471" s="258" t="str">
        <f>VLOOKUP(Ruimtestaat[[#This Row],[Code]],Locaties[#All],5,FALSE)</f>
        <v>7602 XR</v>
      </c>
      <c r="E471" s="258" t="str">
        <f>VLOOKUP(Ruimtestaat[[#This Row],[Code]],Locaties[#All],6,FALSE)</f>
        <v>Almelo</v>
      </c>
      <c r="F471" s="257"/>
      <c r="G471" s="257" t="s">
        <v>563</v>
      </c>
      <c r="H471" s="171"/>
      <c r="I471" s="257" t="s">
        <v>474</v>
      </c>
      <c r="J471" s="259" t="s">
        <v>576</v>
      </c>
      <c r="K471" s="258">
        <v>16</v>
      </c>
      <c r="L471" s="260" t="str">
        <f>VLOOKUP(Ruimtestaat[[#This Row],[Ruimte code]],Ruimtegroepen[#All],2,FALSE)</f>
        <v>Leslokalen</v>
      </c>
      <c r="M471" s="185" t="s">
        <v>598</v>
      </c>
      <c r="N471" s="257" t="s">
        <v>132</v>
      </c>
      <c r="O471" s="261">
        <v>59.66</v>
      </c>
      <c r="P471" s="183"/>
      <c r="Q471" s="212" t="str">
        <f>VLOOKUP(Ruimtestaat[[#This Row],[Ruimte code]],Ruimtegroepen[#All],4,FALSE)</f>
        <v>L  (Lesruimte)</v>
      </c>
      <c r="R471" s="184"/>
      <c r="S471" s="185">
        <v>40</v>
      </c>
      <c r="T471" s="185" t="s">
        <v>2</v>
      </c>
      <c r="U471" s="185">
        <f>IF(S471&gt;0,IF(RIGHT(Ruimtestaat[[#This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1" s="185">
        <f>IF(U471&gt;0,VLOOKUP($K471,Ruimtegroepen[],3,FALSE)*VLOOKUP($M471,Vloersoorten[],3,FALSE)*VLOOKUP($T471,Frequenties[],3,FALSE)*VLOOKUP($A471,Locaties[],3,FALSE),0)</f>
        <v>0</v>
      </c>
      <c r="W471" s="185">
        <f>Ruimtestaat[[#This Row],[Uitvoeringen werkdagen]]*Ruimtestaat[[#This Row],[Oppervlak (netto)]]</f>
        <v>11932</v>
      </c>
      <c r="X471" s="220">
        <f>IF(V471&gt;0,Ruimtestaat[[#This Row],[Prest. (m2 /jaar) werkdagen]]/Ruimtestaat[[#This Row],[Norm (m2/uur) werkdagen]],0)</f>
        <v>0</v>
      </c>
      <c r="Y471" s="221">
        <f>Ruimtestaat[[#This Row],[uren / jaar werkdagen]]*Tariefsopbouw!$D$38</f>
        <v>0</v>
      </c>
      <c r="Z471" s="33"/>
      <c r="AA471" s="33">
        <f>IF(Ruimtestaat[[#This Row],[Frequentie weekend]]&gt;0,VALUE(LEFT(Z471,1))*S471,0)</f>
        <v>0</v>
      </c>
      <c r="AB471" s="33">
        <f>IF($AA471&gt;0,VLOOKUP($K471,Ruimtegroepen[],3,FALSE)*VLOOKUP($M471,Vloersoorten[],3,FALSE)*VLOOKUP($Z471,Frequenties[],3,FALSE)*VLOOKUP(#REF!,Locaties[],3,FALSE),0)</f>
        <v>0</v>
      </c>
      <c r="AC471" s="33"/>
      <c r="AD471" s="33"/>
      <c r="AE471" s="33">
        <f>Ruimtestaat[[#This Row],[uren / jaar weekend]]*Tariefsopbouw!$D$40</f>
        <v>0</v>
      </c>
      <c r="AF471" s="79">
        <f>Ruimtestaat[[#This Row],[Prest. (m2 /jaar) weekend]]+Ruimtestaat[[#This Row],[Prest. (m2 /jaar) werkdagen]]</f>
        <v>11932</v>
      </c>
      <c r="AG471" s="79">
        <f>Ruimtestaat[[#This Row],[uren / jaar weekend]]+Ruimtestaat[[#This Row],[uren / jaar werkdagen]]</f>
        <v>0</v>
      </c>
      <c r="AH471" s="80">
        <f>Ruimtestaat[[#This Row],[kosten / jaar weekend]]+Ruimtestaat[[#This Row],[kosten / jaar werkdagen]]</f>
        <v>0</v>
      </c>
    </row>
    <row r="472" spans="1:34" ht="15" customHeight="1">
      <c r="A472" s="256">
        <v>8</v>
      </c>
      <c r="B472" s="171" t="str">
        <f>VLOOKUP(Ruimtestaat[[#This Row],[Code]],Locaties[#All],2,FALSE)</f>
        <v>Het Mozaïek</v>
      </c>
      <c r="C472" s="258" t="str">
        <f>VLOOKUP(Ruimtestaat[[#This Row],[Code]],Locaties[#All],4,FALSE)</f>
        <v>Beverdamlaan 11</v>
      </c>
      <c r="D472" s="258" t="str">
        <f>VLOOKUP(Ruimtestaat[[#This Row],[Code]],Locaties[#All],5,FALSE)</f>
        <v>7602 XR</v>
      </c>
      <c r="E472" s="258" t="str">
        <f>VLOOKUP(Ruimtestaat[[#This Row],[Code]],Locaties[#All],6,FALSE)</f>
        <v>Almelo</v>
      </c>
      <c r="F472" s="257"/>
      <c r="G472" s="257" t="s">
        <v>563</v>
      </c>
      <c r="H472" s="171"/>
      <c r="I472" s="257" t="s">
        <v>475</v>
      </c>
      <c r="J472" s="259" t="s">
        <v>576</v>
      </c>
      <c r="K472" s="258">
        <v>16</v>
      </c>
      <c r="L472" s="260" t="str">
        <f>VLOOKUP(Ruimtestaat[[#This Row],[Ruimte code]],Ruimtegroepen[#All],2,FALSE)</f>
        <v>Leslokalen</v>
      </c>
      <c r="M472" s="185" t="s">
        <v>598</v>
      </c>
      <c r="N472" s="257" t="s">
        <v>132</v>
      </c>
      <c r="O472" s="261">
        <v>22.9</v>
      </c>
      <c r="P472" s="183"/>
      <c r="Q472" s="212" t="str">
        <f>VLOOKUP(Ruimtestaat[[#This Row],[Ruimte code]],Ruimtegroepen[#All],4,FALSE)</f>
        <v>L  (Lesruimte)</v>
      </c>
      <c r="R472" s="184"/>
      <c r="S472" s="185">
        <v>40</v>
      </c>
      <c r="T472" s="185" t="s">
        <v>2</v>
      </c>
      <c r="U472" s="185">
        <f>IF(S472&gt;0,IF(RIGHT(Ruimtestaat[[#This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2" s="185">
        <f>IF(U472&gt;0,VLOOKUP($K472,Ruimtegroepen[],3,FALSE)*VLOOKUP($M472,Vloersoorten[],3,FALSE)*VLOOKUP($T472,Frequenties[],3,FALSE)*VLOOKUP($A472,Locaties[],3,FALSE),0)</f>
        <v>0</v>
      </c>
      <c r="W472" s="185">
        <f>Ruimtestaat[[#This Row],[Uitvoeringen werkdagen]]*Ruimtestaat[[#This Row],[Oppervlak (netto)]]</f>
        <v>4580</v>
      </c>
      <c r="X472" s="220">
        <f>IF(V472&gt;0,Ruimtestaat[[#This Row],[Prest. (m2 /jaar) werkdagen]]/Ruimtestaat[[#This Row],[Norm (m2/uur) werkdagen]],0)</f>
        <v>0</v>
      </c>
      <c r="Y472" s="221">
        <f>Ruimtestaat[[#This Row],[uren / jaar werkdagen]]*Tariefsopbouw!$D$38</f>
        <v>0</v>
      </c>
      <c r="Z472" s="33"/>
      <c r="AA472" s="33">
        <f>IF(Ruimtestaat[[#This Row],[Frequentie weekend]]&gt;0,VALUE(LEFT(Z472,1))*S472,0)</f>
        <v>0</v>
      </c>
      <c r="AB472" s="33">
        <f>IF($AA472&gt;0,VLOOKUP($K472,Ruimtegroepen[],3,FALSE)*VLOOKUP($M472,Vloersoorten[],3,FALSE)*VLOOKUP($Z472,Frequenties[],3,FALSE)*VLOOKUP(#REF!,Locaties[],3,FALSE),0)</f>
        <v>0</v>
      </c>
      <c r="AC472" s="33"/>
      <c r="AD472" s="33"/>
      <c r="AE472" s="33">
        <f>Ruimtestaat[[#This Row],[uren / jaar weekend]]*Tariefsopbouw!$D$40</f>
        <v>0</v>
      </c>
      <c r="AF472" s="79">
        <f>Ruimtestaat[[#This Row],[Prest. (m2 /jaar) weekend]]+Ruimtestaat[[#This Row],[Prest. (m2 /jaar) werkdagen]]</f>
        <v>4580</v>
      </c>
      <c r="AG472" s="79">
        <f>Ruimtestaat[[#This Row],[uren / jaar weekend]]+Ruimtestaat[[#This Row],[uren / jaar werkdagen]]</f>
        <v>0</v>
      </c>
      <c r="AH472" s="80">
        <f>Ruimtestaat[[#This Row],[kosten / jaar weekend]]+Ruimtestaat[[#This Row],[kosten / jaar werkdagen]]</f>
        <v>0</v>
      </c>
    </row>
    <row r="473" spans="1:34" ht="15" customHeight="1">
      <c r="A473" s="256">
        <v>8</v>
      </c>
      <c r="B473" s="171" t="str">
        <f>VLOOKUP(Ruimtestaat[[#This Row],[Code]],Locaties[#All],2,FALSE)</f>
        <v>Het Mozaïek</v>
      </c>
      <c r="C473" s="258" t="str">
        <f>VLOOKUP(Ruimtestaat[[#This Row],[Code]],Locaties[#All],4,FALSE)</f>
        <v>Beverdamlaan 11</v>
      </c>
      <c r="D473" s="258" t="str">
        <f>VLOOKUP(Ruimtestaat[[#This Row],[Code]],Locaties[#All],5,FALSE)</f>
        <v>7602 XR</v>
      </c>
      <c r="E473" s="258" t="str">
        <f>VLOOKUP(Ruimtestaat[[#This Row],[Code]],Locaties[#All],6,FALSE)</f>
        <v>Almelo</v>
      </c>
      <c r="F473" s="257"/>
      <c r="G473" s="257" t="s">
        <v>563</v>
      </c>
      <c r="H473" s="171"/>
      <c r="I473" s="257" t="s">
        <v>476</v>
      </c>
      <c r="J473" s="259" t="s">
        <v>576</v>
      </c>
      <c r="K473" s="171">
        <v>16</v>
      </c>
      <c r="L473" s="260" t="str">
        <f>VLOOKUP(Ruimtestaat[[#This Row],[Ruimte code]],Ruimtegroepen[#All],2,FALSE)</f>
        <v>Leslokalen</v>
      </c>
      <c r="M473" s="185" t="s">
        <v>598</v>
      </c>
      <c r="N473" s="257" t="s">
        <v>132</v>
      </c>
      <c r="O473" s="261">
        <v>56.4</v>
      </c>
      <c r="P473" s="183"/>
      <c r="Q473" s="212" t="str">
        <f>VLOOKUP(Ruimtestaat[[#This Row],[Ruimte code]],Ruimtegroepen[#All],4,FALSE)</f>
        <v>L  (Lesruimte)</v>
      </c>
      <c r="R473" s="184"/>
      <c r="S473" s="185">
        <v>40</v>
      </c>
      <c r="T473" s="185" t="s">
        <v>2</v>
      </c>
      <c r="U473" s="185">
        <f>IF(S473&gt;0,IF(RIGHT(Ruimtestaat[[#This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3" s="185">
        <f>IF(U473&gt;0,VLOOKUP($K473,Ruimtegroepen[],3,FALSE)*VLOOKUP($M473,Vloersoorten[],3,FALSE)*VLOOKUP($T473,Frequenties[],3,FALSE)*VLOOKUP($A473,Locaties[],3,FALSE),0)</f>
        <v>0</v>
      </c>
      <c r="W473" s="185">
        <f>Ruimtestaat[[#This Row],[Uitvoeringen werkdagen]]*Ruimtestaat[[#This Row],[Oppervlak (netto)]]</f>
        <v>11280</v>
      </c>
      <c r="X473" s="220">
        <f>IF(V473&gt;0,Ruimtestaat[[#This Row],[Prest. (m2 /jaar) werkdagen]]/Ruimtestaat[[#This Row],[Norm (m2/uur) werkdagen]],0)</f>
        <v>0</v>
      </c>
      <c r="Y473" s="221">
        <f>Ruimtestaat[[#This Row],[uren / jaar werkdagen]]*Tariefsopbouw!$D$38</f>
        <v>0</v>
      </c>
      <c r="Z473" s="33"/>
      <c r="AA473" s="33">
        <f>IF(Ruimtestaat[[#This Row],[Frequentie weekend]]&gt;0,VALUE(LEFT(Z473,1))*S473,0)</f>
        <v>0</v>
      </c>
      <c r="AB473" s="33">
        <f>IF($AA473&gt;0,VLOOKUP($K473,Ruimtegroepen[],3,FALSE)*VLOOKUP($M473,Vloersoorten[],3,FALSE)*VLOOKUP($Z473,Frequenties[],3,FALSE)*VLOOKUP(#REF!,Locaties[],3,FALSE),0)</f>
        <v>0</v>
      </c>
      <c r="AC473" s="33"/>
      <c r="AD473" s="33"/>
      <c r="AE473" s="33">
        <f>Ruimtestaat[[#This Row],[uren / jaar weekend]]*Tariefsopbouw!$D$40</f>
        <v>0</v>
      </c>
      <c r="AF473" s="79">
        <f>Ruimtestaat[[#This Row],[Prest. (m2 /jaar) weekend]]+Ruimtestaat[[#This Row],[Prest. (m2 /jaar) werkdagen]]</f>
        <v>11280</v>
      </c>
      <c r="AG473" s="79">
        <f>Ruimtestaat[[#This Row],[uren / jaar weekend]]+Ruimtestaat[[#This Row],[uren / jaar werkdagen]]</f>
        <v>0</v>
      </c>
      <c r="AH473" s="80">
        <f>Ruimtestaat[[#This Row],[kosten / jaar weekend]]+Ruimtestaat[[#This Row],[kosten / jaar werkdagen]]</f>
        <v>0</v>
      </c>
    </row>
    <row r="474" spans="1:34" ht="15" customHeight="1">
      <c r="A474" s="256">
        <v>8</v>
      </c>
      <c r="B474" s="171" t="str">
        <f>VLOOKUP(Ruimtestaat[[#This Row],[Code]],Locaties[#All],2,FALSE)</f>
        <v>Het Mozaïek</v>
      </c>
      <c r="C474" s="258" t="str">
        <f>VLOOKUP(Ruimtestaat[[#This Row],[Code]],Locaties[#All],4,FALSE)</f>
        <v>Beverdamlaan 11</v>
      </c>
      <c r="D474" s="258" t="str">
        <f>VLOOKUP(Ruimtestaat[[#This Row],[Code]],Locaties[#All],5,FALSE)</f>
        <v>7602 XR</v>
      </c>
      <c r="E474" s="258" t="str">
        <f>VLOOKUP(Ruimtestaat[[#This Row],[Code]],Locaties[#All],6,FALSE)</f>
        <v>Almelo</v>
      </c>
      <c r="F474" s="257"/>
      <c r="G474" s="257" t="s">
        <v>563</v>
      </c>
      <c r="H474" s="171"/>
      <c r="I474" s="257" t="s">
        <v>477</v>
      </c>
      <c r="J474" s="259" t="s">
        <v>576</v>
      </c>
      <c r="K474" s="171">
        <v>16</v>
      </c>
      <c r="L474" s="260" t="str">
        <f>VLOOKUP(Ruimtestaat[[#This Row],[Ruimte code]],Ruimtegroepen[#All],2,FALSE)</f>
        <v>Leslokalen</v>
      </c>
      <c r="M474" s="185" t="s">
        <v>598</v>
      </c>
      <c r="N474" s="257" t="s">
        <v>132</v>
      </c>
      <c r="O474" s="261">
        <v>54.05</v>
      </c>
      <c r="P474" s="183"/>
      <c r="Q474" s="212" t="str">
        <f>VLOOKUP(Ruimtestaat[[#This Row],[Ruimte code]],Ruimtegroepen[#All],4,FALSE)</f>
        <v>L  (Lesruimte)</v>
      </c>
      <c r="R474" s="184"/>
      <c r="S474" s="185">
        <v>40</v>
      </c>
      <c r="T474" s="185" t="s">
        <v>2</v>
      </c>
      <c r="U474" s="185">
        <f>IF(S474&gt;0,IF(RIGHT(Ruimtestaat[[#This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4" s="185">
        <f>IF(U474&gt;0,VLOOKUP($K474,Ruimtegroepen[],3,FALSE)*VLOOKUP($M474,Vloersoorten[],3,FALSE)*VLOOKUP($T474,Frequenties[],3,FALSE)*VLOOKUP($A474,Locaties[],3,FALSE),0)</f>
        <v>0</v>
      </c>
      <c r="W474" s="185">
        <f>Ruimtestaat[[#This Row],[Uitvoeringen werkdagen]]*Ruimtestaat[[#This Row],[Oppervlak (netto)]]</f>
        <v>10810</v>
      </c>
      <c r="X474" s="220">
        <f>IF(V474&gt;0,Ruimtestaat[[#This Row],[Prest. (m2 /jaar) werkdagen]]/Ruimtestaat[[#This Row],[Norm (m2/uur) werkdagen]],0)</f>
        <v>0</v>
      </c>
      <c r="Y474" s="221">
        <f>Ruimtestaat[[#This Row],[uren / jaar werkdagen]]*Tariefsopbouw!$D$38</f>
        <v>0</v>
      </c>
      <c r="Z474" s="33"/>
      <c r="AA474" s="33">
        <f>IF(Ruimtestaat[[#This Row],[Frequentie weekend]]&gt;0,VALUE(LEFT(Z474,1))*S474,0)</f>
        <v>0</v>
      </c>
      <c r="AB474" s="33">
        <f>IF($AA474&gt;0,VLOOKUP($K474,Ruimtegroepen[],3,FALSE)*VLOOKUP($M474,Vloersoorten[],3,FALSE)*VLOOKUP($Z474,Frequenties[],3,FALSE)*VLOOKUP(#REF!,Locaties[],3,FALSE),0)</f>
        <v>0</v>
      </c>
      <c r="AC474" s="33"/>
      <c r="AD474" s="33"/>
      <c r="AE474" s="33">
        <f>Ruimtestaat[[#This Row],[uren / jaar weekend]]*Tariefsopbouw!$D$40</f>
        <v>0</v>
      </c>
      <c r="AF474" s="79">
        <f>Ruimtestaat[[#This Row],[Prest. (m2 /jaar) weekend]]+Ruimtestaat[[#This Row],[Prest. (m2 /jaar) werkdagen]]</f>
        <v>10810</v>
      </c>
      <c r="AG474" s="79">
        <f>Ruimtestaat[[#This Row],[uren / jaar weekend]]+Ruimtestaat[[#This Row],[uren / jaar werkdagen]]</f>
        <v>0</v>
      </c>
      <c r="AH474" s="80">
        <f>Ruimtestaat[[#This Row],[kosten / jaar weekend]]+Ruimtestaat[[#This Row],[kosten / jaar werkdagen]]</f>
        <v>0</v>
      </c>
    </row>
    <row r="475" spans="1:34" ht="15" customHeight="1">
      <c r="A475" s="256">
        <v>8</v>
      </c>
      <c r="B475" s="171" t="str">
        <f>VLOOKUP(Ruimtestaat[[#This Row],[Code]],Locaties[#All],2,FALSE)</f>
        <v>Het Mozaïek</v>
      </c>
      <c r="C475" s="258" t="str">
        <f>VLOOKUP(Ruimtestaat[[#This Row],[Code]],Locaties[#All],4,FALSE)</f>
        <v>Beverdamlaan 11</v>
      </c>
      <c r="D475" s="258" t="str">
        <f>VLOOKUP(Ruimtestaat[[#This Row],[Code]],Locaties[#All],5,FALSE)</f>
        <v>7602 XR</v>
      </c>
      <c r="E475" s="258" t="str">
        <f>VLOOKUP(Ruimtestaat[[#This Row],[Code]],Locaties[#All],6,FALSE)</f>
        <v>Almelo</v>
      </c>
      <c r="F475" s="257"/>
      <c r="G475" s="257" t="s">
        <v>563</v>
      </c>
      <c r="H475" s="171"/>
      <c r="I475" s="257" t="s">
        <v>478</v>
      </c>
      <c r="J475" s="259" t="s">
        <v>585</v>
      </c>
      <c r="K475" s="258">
        <v>20</v>
      </c>
      <c r="L475" s="260" t="str">
        <f>VLOOKUP(Ruimtestaat[[#This Row],[Ruimte code]],Ruimtegroepen[#All],2,FALSE)</f>
        <v>Niet in onderhoud</v>
      </c>
      <c r="M475" s="185" t="s">
        <v>598</v>
      </c>
      <c r="N475" s="257" t="s">
        <v>132</v>
      </c>
      <c r="O475" s="261"/>
      <c r="P475" s="183">
        <v>4.38</v>
      </c>
      <c r="Q475" s="212" t="str">
        <f>VLOOKUP(Ruimtestaat[[#This Row],[Ruimte code]],Ruimtegroepen[#All],4,FALSE)</f>
        <v>niet in onderhoud</v>
      </c>
      <c r="R475" s="184"/>
      <c r="S475" s="185"/>
      <c r="T475" s="185"/>
      <c r="U475" s="185">
        <f>IF(S475&gt;0,IF(RIGHT(Ruimtestaat[[#This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75" s="185">
        <f>IF(U475&gt;0,VLOOKUP($K475,Ruimtegroepen[],3,FALSE)*VLOOKUP($M475,Vloersoorten[],3,FALSE)*VLOOKUP($T475,Frequenties[],3,FALSE)*VLOOKUP($A475,Locaties[],3,FALSE),0)</f>
        <v>0</v>
      </c>
      <c r="W475" s="185">
        <f>Ruimtestaat[[#This Row],[Uitvoeringen werkdagen]]*Ruimtestaat[[#This Row],[Oppervlak (netto)]]</f>
        <v>0</v>
      </c>
      <c r="X475" s="220">
        <f>IF(V475&gt;0,Ruimtestaat[[#This Row],[Prest. (m2 /jaar) werkdagen]]/Ruimtestaat[[#This Row],[Norm (m2/uur) werkdagen]],0)</f>
        <v>0</v>
      </c>
      <c r="Y475" s="221">
        <f>Ruimtestaat[[#This Row],[uren / jaar werkdagen]]*Tariefsopbouw!$D$38</f>
        <v>0</v>
      </c>
      <c r="Z475" s="33"/>
      <c r="AA475" s="33">
        <f>IF(Ruimtestaat[[#This Row],[Frequentie weekend]]&gt;0,VALUE(LEFT(Z475,1))*S475,0)</f>
        <v>0</v>
      </c>
      <c r="AB475" s="33">
        <f>IF($AA475&gt;0,VLOOKUP($K475,Ruimtegroepen[],3,FALSE)*VLOOKUP($M475,Vloersoorten[],3,FALSE)*VLOOKUP($Z475,Frequenties[],3,FALSE)*VLOOKUP(#REF!,Locaties[],3,FALSE),0)</f>
        <v>0</v>
      </c>
      <c r="AC475" s="33"/>
      <c r="AD475" s="33"/>
      <c r="AE475" s="33">
        <f>Ruimtestaat[[#This Row],[uren / jaar weekend]]*Tariefsopbouw!$D$40</f>
        <v>0</v>
      </c>
      <c r="AF475" s="79">
        <f>Ruimtestaat[[#This Row],[Prest. (m2 /jaar) weekend]]+Ruimtestaat[[#This Row],[Prest. (m2 /jaar) werkdagen]]</f>
        <v>0</v>
      </c>
      <c r="AG475" s="79">
        <f>Ruimtestaat[[#This Row],[uren / jaar weekend]]+Ruimtestaat[[#This Row],[uren / jaar werkdagen]]</f>
        <v>0</v>
      </c>
      <c r="AH475" s="80">
        <f>Ruimtestaat[[#This Row],[kosten / jaar weekend]]+Ruimtestaat[[#This Row],[kosten / jaar werkdagen]]</f>
        <v>0</v>
      </c>
    </row>
    <row r="476" spans="1:34" ht="15" customHeight="1">
      <c r="A476" s="256">
        <v>8</v>
      </c>
      <c r="B476" s="171" t="str">
        <f>VLOOKUP(Ruimtestaat[[#This Row],[Code]],Locaties[#All],2,FALSE)</f>
        <v>Het Mozaïek</v>
      </c>
      <c r="C476" s="258" t="str">
        <f>VLOOKUP(Ruimtestaat[[#This Row],[Code]],Locaties[#All],4,FALSE)</f>
        <v>Beverdamlaan 11</v>
      </c>
      <c r="D476" s="258" t="str">
        <f>VLOOKUP(Ruimtestaat[[#This Row],[Code]],Locaties[#All],5,FALSE)</f>
        <v>7602 XR</v>
      </c>
      <c r="E476" s="258" t="str">
        <f>VLOOKUP(Ruimtestaat[[#This Row],[Code]],Locaties[#All],6,FALSE)</f>
        <v>Almelo</v>
      </c>
      <c r="F476" s="257"/>
      <c r="G476" s="257" t="s">
        <v>563</v>
      </c>
      <c r="H476" s="171"/>
      <c r="I476" s="257" t="s">
        <v>479</v>
      </c>
      <c r="J476" s="259" t="s">
        <v>683</v>
      </c>
      <c r="K476" s="258">
        <v>5</v>
      </c>
      <c r="L476" s="260" t="str">
        <f>VLOOKUP(Ruimtestaat[[#This Row],[Ruimte code]],Ruimtegroepen[#All],2,FALSE)</f>
        <v>Sanitair</v>
      </c>
      <c r="M476" s="185" t="s">
        <v>598</v>
      </c>
      <c r="N476" s="257" t="s">
        <v>132</v>
      </c>
      <c r="O476" s="261">
        <v>11.9</v>
      </c>
      <c r="P476" s="183"/>
      <c r="Q476" s="212" t="str">
        <f>VLOOKUP(Ruimtestaat[[#This Row],[Ruimte code]],Ruimtegroepen[#All],4,FALSE)</f>
        <v>S  (Sanitair)</v>
      </c>
      <c r="R476" s="184"/>
      <c r="S476" s="185">
        <v>40</v>
      </c>
      <c r="T476" s="185" t="s">
        <v>2</v>
      </c>
      <c r="U476" s="185">
        <f>IF(S476&gt;0,IF(RIGHT(Ruimtestaat[[#This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6" s="185">
        <f>IF(U476&gt;0,VLOOKUP($K476,Ruimtegroepen[],3,FALSE)*VLOOKUP($M476,Vloersoorten[],3,FALSE)*VLOOKUP($T476,Frequenties[],3,FALSE)*VLOOKUP($A476,Locaties[],3,FALSE),0)</f>
        <v>0</v>
      </c>
      <c r="W476" s="185">
        <f>Ruimtestaat[[#This Row],[Uitvoeringen werkdagen]]*Ruimtestaat[[#This Row],[Oppervlak (netto)]]</f>
        <v>2380</v>
      </c>
      <c r="X476" s="220">
        <f>IF(V476&gt;0,Ruimtestaat[[#This Row],[Prest. (m2 /jaar) werkdagen]]/Ruimtestaat[[#This Row],[Norm (m2/uur) werkdagen]],0)</f>
        <v>0</v>
      </c>
      <c r="Y476" s="221">
        <f>Ruimtestaat[[#This Row],[uren / jaar werkdagen]]*Tariefsopbouw!$D$38</f>
        <v>0</v>
      </c>
      <c r="Z476" s="33"/>
      <c r="AA476" s="33">
        <f>IF(Ruimtestaat[[#This Row],[Frequentie weekend]]&gt;0,VALUE(LEFT(Z476,1))*S476,0)</f>
        <v>0</v>
      </c>
      <c r="AB476" s="33">
        <f>IF($AA476&gt;0,VLOOKUP($K476,Ruimtegroepen[],3,FALSE)*VLOOKUP($M476,Vloersoorten[],3,FALSE)*VLOOKUP($Z476,Frequenties[],3,FALSE)*VLOOKUP(#REF!,Locaties[],3,FALSE),0)</f>
        <v>0</v>
      </c>
      <c r="AC476" s="33"/>
      <c r="AD476" s="33"/>
      <c r="AE476" s="33">
        <f>Ruimtestaat[[#This Row],[uren / jaar weekend]]*Tariefsopbouw!$D$40</f>
        <v>0</v>
      </c>
      <c r="AF476" s="79">
        <f>Ruimtestaat[[#This Row],[Prest. (m2 /jaar) weekend]]+Ruimtestaat[[#This Row],[Prest. (m2 /jaar) werkdagen]]</f>
        <v>2380</v>
      </c>
      <c r="AG476" s="79">
        <f>Ruimtestaat[[#This Row],[uren / jaar weekend]]+Ruimtestaat[[#This Row],[uren / jaar werkdagen]]</f>
        <v>0</v>
      </c>
      <c r="AH476" s="80">
        <f>Ruimtestaat[[#This Row],[kosten / jaar weekend]]+Ruimtestaat[[#This Row],[kosten / jaar werkdagen]]</f>
        <v>0</v>
      </c>
    </row>
    <row r="477" spans="1:34" ht="15" customHeight="1">
      <c r="A477" s="256">
        <v>8</v>
      </c>
      <c r="B477" s="171" t="str">
        <f>VLOOKUP(Ruimtestaat[[#This Row],[Code]],Locaties[#All],2,FALSE)</f>
        <v>Het Mozaïek</v>
      </c>
      <c r="C477" s="258" t="str">
        <f>VLOOKUP(Ruimtestaat[[#This Row],[Code]],Locaties[#All],4,FALSE)</f>
        <v>Beverdamlaan 11</v>
      </c>
      <c r="D477" s="258" t="str">
        <f>VLOOKUP(Ruimtestaat[[#This Row],[Code]],Locaties[#All],5,FALSE)</f>
        <v>7602 XR</v>
      </c>
      <c r="E477" s="258" t="str">
        <f>VLOOKUP(Ruimtestaat[[#This Row],[Code]],Locaties[#All],6,FALSE)</f>
        <v>Almelo</v>
      </c>
      <c r="F477" s="257"/>
      <c r="G477" s="257" t="s">
        <v>563</v>
      </c>
      <c r="H477" s="171"/>
      <c r="I477" s="257" t="s">
        <v>480</v>
      </c>
      <c r="J477" s="259" t="s">
        <v>623</v>
      </c>
      <c r="K477" s="258">
        <v>20</v>
      </c>
      <c r="L477" s="260" t="str">
        <f>VLOOKUP(Ruimtestaat[[#This Row],[Ruimte code]],Ruimtegroepen[#All],2,FALSE)</f>
        <v>Niet in onderhoud</v>
      </c>
      <c r="M477" s="258" t="s">
        <v>598</v>
      </c>
      <c r="N477" s="257" t="s">
        <v>132</v>
      </c>
      <c r="O477" s="261"/>
      <c r="P477" s="183">
        <v>1.2</v>
      </c>
      <c r="Q477" s="212" t="str">
        <f>VLOOKUP(Ruimtestaat[[#This Row],[Ruimte code]],Ruimtegroepen[#All],4,FALSE)</f>
        <v>niet in onderhoud</v>
      </c>
      <c r="R477" s="184"/>
      <c r="S477" s="185"/>
      <c r="T477" s="185" t="s">
        <v>3</v>
      </c>
      <c r="U477" s="185">
        <f>IF(S477&gt;0,IF(RIGHT(Ruimtestaat[[#This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77" s="185">
        <f>IF(U477&gt;0,VLOOKUP($K477,Ruimtegroepen[],3,FALSE)*VLOOKUP($M477,Vloersoorten[],3,FALSE)*VLOOKUP($T477,Frequenties[],3,FALSE)*VLOOKUP($A477,Locaties[],3,FALSE),0)</f>
        <v>0</v>
      </c>
      <c r="W477" s="185">
        <f>Ruimtestaat[[#This Row],[Uitvoeringen werkdagen]]*Ruimtestaat[[#This Row],[Oppervlak (netto)]]</f>
        <v>0</v>
      </c>
      <c r="X477" s="220">
        <f>IF(V477&gt;0,Ruimtestaat[[#This Row],[Prest. (m2 /jaar) werkdagen]]/Ruimtestaat[[#This Row],[Norm (m2/uur) werkdagen]],0)</f>
        <v>0</v>
      </c>
      <c r="Y477" s="221">
        <f>Ruimtestaat[[#This Row],[uren / jaar werkdagen]]*Tariefsopbouw!$D$38</f>
        <v>0</v>
      </c>
      <c r="Z477" s="33"/>
      <c r="AA477" s="33">
        <f>IF(Ruimtestaat[[#This Row],[Frequentie weekend]]&gt;0,VALUE(LEFT(Z477,1))*S477,0)</f>
        <v>0</v>
      </c>
      <c r="AB477" s="33">
        <f>IF($AA477&gt;0,VLOOKUP($K477,Ruimtegroepen[],3,FALSE)*VLOOKUP($M477,Vloersoorten[],3,FALSE)*VLOOKUP($Z477,Frequenties[],3,FALSE)*VLOOKUP(#REF!,Locaties[],3,FALSE),0)</f>
        <v>0</v>
      </c>
      <c r="AC477" s="33"/>
      <c r="AD477" s="33"/>
      <c r="AE477" s="33">
        <f>Ruimtestaat[[#This Row],[uren / jaar weekend]]*Tariefsopbouw!$D$40</f>
        <v>0</v>
      </c>
      <c r="AF477" s="79">
        <f>Ruimtestaat[[#This Row],[Prest. (m2 /jaar) weekend]]+Ruimtestaat[[#This Row],[Prest. (m2 /jaar) werkdagen]]</f>
        <v>0</v>
      </c>
      <c r="AG477" s="79">
        <f>Ruimtestaat[[#This Row],[uren / jaar weekend]]+Ruimtestaat[[#This Row],[uren / jaar werkdagen]]</f>
        <v>0</v>
      </c>
      <c r="AH477" s="80">
        <f>Ruimtestaat[[#This Row],[kosten / jaar weekend]]+Ruimtestaat[[#This Row],[kosten / jaar werkdagen]]</f>
        <v>0</v>
      </c>
    </row>
    <row r="478" spans="1:34" ht="15" customHeight="1">
      <c r="A478" s="256">
        <v>8</v>
      </c>
      <c r="B478" s="171" t="str">
        <f>VLOOKUP(Ruimtestaat[[#This Row],[Code]],Locaties[#All],2,FALSE)</f>
        <v>Het Mozaïek</v>
      </c>
      <c r="C478" s="258" t="str">
        <f>VLOOKUP(Ruimtestaat[[#This Row],[Code]],Locaties[#All],4,FALSE)</f>
        <v>Beverdamlaan 11</v>
      </c>
      <c r="D478" s="258" t="str">
        <f>VLOOKUP(Ruimtestaat[[#This Row],[Code]],Locaties[#All],5,FALSE)</f>
        <v>7602 XR</v>
      </c>
      <c r="E478" s="258" t="str">
        <f>VLOOKUP(Ruimtestaat[[#This Row],[Code]],Locaties[#All],6,FALSE)</f>
        <v>Almelo</v>
      </c>
      <c r="F478" s="257"/>
      <c r="G478" s="257" t="s">
        <v>563</v>
      </c>
      <c r="H478" s="171"/>
      <c r="I478" s="257" t="s">
        <v>481</v>
      </c>
      <c r="J478" s="259" t="s">
        <v>683</v>
      </c>
      <c r="K478" s="171">
        <v>5</v>
      </c>
      <c r="L478" s="260" t="str">
        <f>VLOOKUP(Ruimtestaat[[#This Row],[Ruimte code]],Ruimtegroepen[#All],2,FALSE)</f>
        <v>Sanitair</v>
      </c>
      <c r="M478" s="185" t="s">
        <v>598</v>
      </c>
      <c r="N478" s="257" t="s">
        <v>132</v>
      </c>
      <c r="O478" s="261">
        <v>10.51</v>
      </c>
      <c r="P478" s="183"/>
      <c r="Q478" s="212" t="str">
        <f>VLOOKUP(Ruimtestaat[[#This Row],[Ruimte code]],Ruimtegroepen[#All],4,FALSE)</f>
        <v>S  (Sanitair)</v>
      </c>
      <c r="R478" s="184"/>
      <c r="S478" s="185">
        <v>40</v>
      </c>
      <c r="T478" s="185" t="s">
        <v>2</v>
      </c>
      <c r="U478" s="185">
        <f>IF(S478&gt;0,IF(RIGHT(Ruimtestaat[[#This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8" s="185">
        <f>IF(U478&gt;0,VLOOKUP($K478,Ruimtegroepen[],3,FALSE)*VLOOKUP($M478,Vloersoorten[],3,FALSE)*VLOOKUP($T478,Frequenties[],3,FALSE)*VLOOKUP($A478,Locaties[],3,FALSE),0)</f>
        <v>0</v>
      </c>
      <c r="W478" s="185">
        <f>Ruimtestaat[[#This Row],[Uitvoeringen werkdagen]]*Ruimtestaat[[#This Row],[Oppervlak (netto)]]</f>
        <v>2102</v>
      </c>
      <c r="X478" s="220">
        <f>IF(V478&gt;0,Ruimtestaat[[#This Row],[Prest. (m2 /jaar) werkdagen]]/Ruimtestaat[[#This Row],[Norm (m2/uur) werkdagen]],0)</f>
        <v>0</v>
      </c>
      <c r="Y478" s="221">
        <f>Ruimtestaat[[#This Row],[uren / jaar werkdagen]]*Tariefsopbouw!$D$38</f>
        <v>0</v>
      </c>
      <c r="Z478" s="33"/>
      <c r="AA478" s="33">
        <f>IF(Ruimtestaat[[#This Row],[Frequentie weekend]]&gt;0,VALUE(LEFT(Z478,1))*S478,0)</f>
        <v>0</v>
      </c>
      <c r="AB478" s="33">
        <f>IF($AA478&gt;0,VLOOKUP($K478,Ruimtegroepen[],3,FALSE)*VLOOKUP($M478,Vloersoorten[],3,FALSE)*VLOOKUP($Z478,Frequenties[],3,FALSE)*VLOOKUP(#REF!,Locaties[],3,FALSE),0)</f>
        <v>0</v>
      </c>
      <c r="AC478" s="33"/>
      <c r="AD478" s="33"/>
      <c r="AE478" s="33">
        <f>Ruimtestaat[[#This Row],[uren / jaar weekend]]*Tariefsopbouw!$D$40</f>
        <v>0</v>
      </c>
      <c r="AF478" s="79">
        <f>Ruimtestaat[[#This Row],[Prest. (m2 /jaar) weekend]]+Ruimtestaat[[#This Row],[Prest. (m2 /jaar) werkdagen]]</f>
        <v>2102</v>
      </c>
      <c r="AG478" s="79">
        <f>Ruimtestaat[[#This Row],[uren / jaar weekend]]+Ruimtestaat[[#This Row],[uren / jaar werkdagen]]</f>
        <v>0</v>
      </c>
      <c r="AH478" s="80">
        <f>Ruimtestaat[[#This Row],[kosten / jaar weekend]]+Ruimtestaat[[#This Row],[kosten / jaar werkdagen]]</f>
        <v>0</v>
      </c>
    </row>
    <row r="479" spans="1:34" ht="15" customHeight="1">
      <c r="A479" s="256">
        <v>8</v>
      </c>
      <c r="B479" s="171" t="str">
        <f>VLOOKUP(Ruimtestaat[[#This Row],[Code]],Locaties[#All],2,FALSE)</f>
        <v>Het Mozaïek</v>
      </c>
      <c r="C479" s="258" t="str">
        <f>VLOOKUP(Ruimtestaat[[#This Row],[Code]],Locaties[#All],4,FALSE)</f>
        <v>Beverdamlaan 11</v>
      </c>
      <c r="D479" s="258" t="str">
        <f>VLOOKUP(Ruimtestaat[[#This Row],[Code]],Locaties[#All],5,FALSE)</f>
        <v>7602 XR</v>
      </c>
      <c r="E479" s="258" t="str">
        <f>VLOOKUP(Ruimtestaat[[#This Row],[Code]],Locaties[#All],6,FALSE)</f>
        <v>Almelo</v>
      </c>
      <c r="F479" s="257"/>
      <c r="G479" s="257" t="s">
        <v>564</v>
      </c>
      <c r="H479" s="171"/>
      <c r="I479" s="257" t="s">
        <v>512</v>
      </c>
      <c r="J479" s="259" t="s">
        <v>576</v>
      </c>
      <c r="K479" s="258">
        <v>16</v>
      </c>
      <c r="L479" s="260" t="str">
        <f>VLOOKUP(Ruimtestaat[[#This Row],[Ruimte code]],Ruimtegroepen[#All],2,FALSE)</f>
        <v>Leslokalen</v>
      </c>
      <c r="M479" s="185" t="s">
        <v>598</v>
      </c>
      <c r="N479" s="257" t="s">
        <v>132</v>
      </c>
      <c r="O479" s="261">
        <v>54.42</v>
      </c>
      <c r="P479" s="183"/>
      <c r="Q479" s="212" t="str">
        <f>VLOOKUP(Ruimtestaat[[#This Row],[Ruimte code]],Ruimtegroepen[#All],4,FALSE)</f>
        <v>L  (Lesruimte)</v>
      </c>
      <c r="R479" s="184"/>
      <c r="S479" s="185">
        <v>40</v>
      </c>
      <c r="T479" s="185" t="s">
        <v>2</v>
      </c>
      <c r="U479" s="185">
        <f>IF(S479&gt;0,IF(RIGHT(Ruimtestaat[[#This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9" s="185">
        <f>IF(U479&gt;0,VLOOKUP($K479,Ruimtegroepen[],3,FALSE)*VLOOKUP($M479,Vloersoorten[],3,FALSE)*VLOOKUP($T479,Frequenties[],3,FALSE)*VLOOKUP($A479,Locaties[],3,FALSE),0)</f>
        <v>0</v>
      </c>
      <c r="W479" s="185">
        <f>Ruimtestaat[[#This Row],[Uitvoeringen werkdagen]]*Ruimtestaat[[#This Row],[Oppervlak (netto)]]</f>
        <v>10884</v>
      </c>
      <c r="X479" s="220">
        <f>IF(V479&gt;0,Ruimtestaat[[#This Row],[Prest. (m2 /jaar) werkdagen]]/Ruimtestaat[[#This Row],[Norm (m2/uur) werkdagen]],0)</f>
        <v>0</v>
      </c>
      <c r="Y479" s="221">
        <f>Ruimtestaat[[#This Row],[uren / jaar werkdagen]]*Tariefsopbouw!$D$38</f>
        <v>0</v>
      </c>
      <c r="Z479" s="33"/>
      <c r="AA479" s="33">
        <f>IF(Ruimtestaat[[#This Row],[Frequentie weekend]]&gt;0,VALUE(LEFT(Z479,1))*S479,0)</f>
        <v>0</v>
      </c>
      <c r="AB479" s="33">
        <f>IF($AA479&gt;0,VLOOKUP($K479,Ruimtegroepen[],3,FALSE)*VLOOKUP($M479,Vloersoorten[],3,FALSE)*VLOOKUP($Z479,Frequenties[],3,FALSE)*VLOOKUP(#REF!,Locaties[],3,FALSE),0)</f>
        <v>0</v>
      </c>
      <c r="AC479" s="33"/>
      <c r="AD479" s="33"/>
      <c r="AE479" s="33">
        <f>Ruimtestaat[[#This Row],[uren / jaar weekend]]*Tariefsopbouw!$D$40</f>
        <v>0</v>
      </c>
      <c r="AF479" s="79">
        <f>Ruimtestaat[[#This Row],[Prest. (m2 /jaar) weekend]]+Ruimtestaat[[#This Row],[Prest. (m2 /jaar) werkdagen]]</f>
        <v>10884</v>
      </c>
      <c r="AG479" s="79">
        <f>Ruimtestaat[[#This Row],[uren / jaar weekend]]+Ruimtestaat[[#This Row],[uren / jaar werkdagen]]</f>
        <v>0</v>
      </c>
      <c r="AH479" s="80">
        <f>Ruimtestaat[[#This Row],[kosten / jaar weekend]]+Ruimtestaat[[#This Row],[kosten / jaar werkdagen]]</f>
        <v>0</v>
      </c>
    </row>
    <row r="480" spans="1:34" ht="15" customHeight="1">
      <c r="A480" s="256">
        <v>8</v>
      </c>
      <c r="B480" s="171" t="str">
        <f>VLOOKUP(Ruimtestaat[[#This Row],[Code]],Locaties[#All],2,FALSE)</f>
        <v>Het Mozaïek</v>
      </c>
      <c r="C480" s="258" t="str">
        <f>VLOOKUP(Ruimtestaat[[#This Row],[Code]],Locaties[#All],4,FALSE)</f>
        <v>Beverdamlaan 11</v>
      </c>
      <c r="D480" s="258" t="str">
        <f>VLOOKUP(Ruimtestaat[[#This Row],[Code]],Locaties[#All],5,FALSE)</f>
        <v>7602 XR</v>
      </c>
      <c r="E480" s="258" t="str">
        <f>VLOOKUP(Ruimtestaat[[#This Row],[Code]],Locaties[#All],6,FALSE)</f>
        <v>Almelo</v>
      </c>
      <c r="F480" s="257"/>
      <c r="G480" s="257" t="s">
        <v>564</v>
      </c>
      <c r="H480" s="171"/>
      <c r="I480" s="257" t="s">
        <v>513</v>
      </c>
      <c r="J480" s="259" t="s">
        <v>576</v>
      </c>
      <c r="K480" s="171">
        <v>16</v>
      </c>
      <c r="L480" s="260" t="str">
        <f>VLOOKUP(Ruimtestaat[[#This Row],[Ruimte code]],Ruimtegroepen[#All],2,FALSE)</f>
        <v>Leslokalen</v>
      </c>
      <c r="M480" s="185" t="s">
        <v>598</v>
      </c>
      <c r="N480" s="257" t="s">
        <v>132</v>
      </c>
      <c r="O480" s="261">
        <v>23.17</v>
      </c>
      <c r="P480" s="183"/>
      <c r="Q480" s="212" t="str">
        <f>VLOOKUP(Ruimtestaat[[#This Row],[Ruimte code]],Ruimtegroepen[#All],4,FALSE)</f>
        <v>L  (Lesruimte)</v>
      </c>
      <c r="R480" s="184"/>
      <c r="S480" s="185">
        <v>40</v>
      </c>
      <c r="T480" s="185" t="s">
        <v>2</v>
      </c>
      <c r="U480" s="185">
        <f>IF(S480&gt;0,IF(RIGHT(Ruimtestaat[[#This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0" s="185">
        <f>IF(U480&gt;0,VLOOKUP($K480,Ruimtegroepen[],3,FALSE)*VLOOKUP($M480,Vloersoorten[],3,FALSE)*VLOOKUP($T480,Frequenties[],3,FALSE)*VLOOKUP($A480,Locaties[],3,FALSE),0)</f>
        <v>0</v>
      </c>
      <c r="W480" s="185">
        <f>Ruimtestaat[[#This Row],[Uitvoeringen werkdagen]]*Ruimtestaat[[#This Row],[Oppervlak (netto)]]</f>
        <v>4634</v>
      </c>
      <c r="X480" s="220">
        <f>IF(V480&gt;0,Ruimtestaat[[#This Row],[Prest. (m2 /jaar) werkdagen]]/Ruimtestaat[[#This Row],[Norm (m2/uur) werkdagen]],0)</f>
        <v>0</v>
      </c>
      <c r="Y480" s="221">
        <f>Ruimtestaat[[#This Row],[uren / jaar werkdagen]]*Tariefsopbouw!$D$38</f>
        <v>0</v>
      </c>
      <c r="Z480" s="33"/>
      <c r="AA480" s="33">
        <f>IF(Ruimtestaat[[#This Row],[Frequentie weekend]]&gt;0,VALUE(LEFT(Z480,1))*S480,0)</f>
        <v>0</v>
      </c>
      <c r="AB480" s="33">
        <f>IF($AA480&gt;0,VLOOKUP($K480,Ruimtegroepen[],3,FALSE)*VLOOKUP($M480,Vloersoorten[],3,FALSE)*VLOOKUP($Z480,Frequenties[],3,FALSE)*VLOOKUP(#REF!,Locaties[],3,FALSE),0)</f>
        <v>0</v>
      </c>
      <c r="AC480" s="33"/>
      <c r="AD480" s="33"/>
      <c r="AE480" s="33">
        <f>Ruimtestaat[[#This Row],[uren / jaar weekend]]*Tariefsopbouw!$D$40</f>
        <v>0</v>
      </c>
      <c r="AF480" s="79">
        <f>Ruimtestaat[[#This Row],[Prest. (m2 /jaar) weekend]]+Ruimtestaat[[#This Row],[Prest. (m2 /jaar) werkdagen]]</f>
        <v>4634</v>
      </c>
      <c r="AG480" s="79">
        <f>Ruimtestaat[[#This Row],[uren / jaar weekend]]+Ruimtestaat[[#This Row],[uren / jaar werkdagen]]</f>
        <v>0</v>
      </c>
      <c r="AH480" s="80">
        <f>Ruimtestaat[[#This Row],[kosten / jaar weekend]]+Ruimtestaat[[#This Row],[kosten / jaar werkdagen]]</f>
        <v>0</v>
      </c>
    </row>
    <row r="481" spans="1:34" ht="15" customHeight="1">
      <c r="A481" s="256">
        <v>8</v>
      </c>
      <c r="B481" s="171" t="str">
        <f>VLOOKUP(Ruimtestaat[[#This Row],[Code]],Locaties[#All],2,FALSE)</f>
        <v>Het Mozaïek</v>
      </c>
      <c r="C481" s="258" t="str">
        <f>VLOOKUP(Ruimtestaat[[#This Row],[Code]],Locaties[#All],4,FALSE)</f>
        <v>Beverdamlaan 11</v>
      </c>
      <c r="D481" s="258" t="str">
        <f>VLOOKUP(Ruimtestaat[[#This Row],[Code]],Locaties[#All],5,FALSE)</f>
        <v>7602 XR</v>
      </c>
      <c r="E481" s="258" t="str">
        <f>VLOOKUP(Ruimtestaat[[#This Row],[Code]],Locaties[#All],6,FALSE)</f>
        <v>Almelo</v>
      </c>
      <c r="F481" s="257"/>
      <c r="G481" s="257" t="s">
        <v>564</v>
      </c>
      <c r="H481" s="171"/>
      <c r="I481" s="257" t="s">
        <v>514</v>
      </c>
      <c r="J481" s="259" t="s">
        <v>779</v>
      </c>
      <c r="K481" s="171">
        <v>13</v>
      </c>
      <c r="L481" s="260" t="str">
        <f>VLOOKUP(Ruimtestaat[[#This Row],[Ruimte code]],Ruimtegroepen[#All],2,FALSE)</f>
        <v>Behandelkamer</v>
      </c>
      <c r="M481" s="185" t="s">
        <v>598</v>
      </c>
      <c r="N481" s="257" t="s">
        <v>132</v>
      </c>
      <c r="O481" s="261">
        <v>30.46</v>
      </c>
      <c r="P481" s="183"/>
      <c r="Q481" s="212" t="str">
        <f>VLOOKUP(Ruimtestaat[[#This Row],[Ruimte code]],Ruimtegroepen[#All],4,FALSE)</f>
        <v>B  (Bureauruimte)</v>
      </c>
      <c r="R481" s="184"/>
      <c r="S481" s="185">
        <v>40</v>
      </c>
      <c r="T481" s="185" t="s">
        <v>2</v>
      </c>
      <c r="U481" s="185">
        <f>IF(S481&gt;0,IF(RIGHT(Ruimtestaat[[#This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1" s="185">
        <f>IF(U481&gt;0,VLOOKUP($K481,Ruimtegroepen[],3,FALSE)*VLOOKUP($M481,Vloersoorten[],3,FALSE)*VLOOKUP($T481,Frequenties[],3,FALSE)*VLOOKUP($A481,Locaties[],3,FALSE),0)</f>
        <v>0</v>
      </c>
      <c r="W481" s="185">
        <f>Ruimtestaat[[#This Row],[Uitvoeringen werkdagen]]*Ruimtestaat[[#This Row],[Oppervlak (netto)]]</f>
        <v>6092</v>
      </c>
      <c r="X481" s="220">
        <f>IF(V481&gt;0,Ruimtestaat[[#This Row],[Prest. (m2 /jaar) werkdagen]]/Ruimtestaat[[#This Row],[Norm (m2/uur) werkdagen]],0)</f>
        <v>0</v>
      </c>
      <c r="Y481" s="221">
        <f>Ruimtestaat[[#This Row],[uren / jaar werkdagen]]*Tariefsopbouw!$D$38</f>
        <v>0</v>
      </c>
      <c r="Z481" s="33"/>
      <c r="AA481" s="33">
        <f>IF(Ruimtestaat[[#This Row],[Frequentie weekend]]&gt;0,VALUE(LEFT(Z481,1))*S481,0)</f>
        <v>0</v>
      </c>
      <c r="AB481" s="33">
        <f>IF($AA481&gt;0,VLOOKUP($K481,Ruimtegroepen[],3,FALSE)*VLOOKUP($M481,Vloersoorten[],3,FALSE)*VLOOKUP($Z481,Frequenties[],3,FALSE)*VLOOKUP(#REF!,Locaties[],3,FALSE),0)</f>
        <v>0</v>
      </c>
      <c r="AC481" s="33"/>
      <c r="AD481" s="33"/>
      <c r="AE481" s="33">
        <f>Ruimtestaat[[#This Row],[uren / jaar weekend]]*Tariefsopbouw!$D$40</f>
        <v>0</v>
      </c>
      <c r="AF481" s="79">
        <f>Ruimtestaat[[#This Row],[Prest. (m2 /jaar) weekend]]+Ruimtestaat[[#This Row],[Prest. (m2 /jaar) werkdagen]]</f>
        <v>6092</v>
      </c>
      <c r="AG481" s="79">
        <f>Ruimtestaat[[#This Row],[uren / jaar weekend]]+Ruimtestaat[[#This Row],[uren / jaar werkdagen]]</f>
        <v>0</v>
      </c>
      <c r="AH481" s="80">
        <f>Ruimtestaat[[#This Row],[kosten / jaar weekend]]+Ruimtestaat[[#This Row],[kosten / jaar werkdagen]]</f>
        <v>0</v>
      </c>
    </row>
    <row r="482" spans="1:34" ht="15" customHeight="1">
      <c r="A482" s="256">
        <v>8</v>
      </c>
      <c r="B482" s="171" t="str">
        <f>VLOOKUP(Ruimtestaat[[#This Row],[Code]],Locaties[#All],2,FALSE)</f>
        <v>Het Mozaïek</v>
      </c>
      <c r="C482" s="258" t="str">
        <f>VLOOKUP(Ruimtestaat[[#This Row],[Code]],Locaties[#All],4,FALSE)</f>
        <v>Beverdamlaan 11</v>
      </c>
      <c r="D482" s="258" t="str">
        <f>VLOOKUP(Ruimtestaat[[#This Row],[Code]],Locaties[#All],5,FALSE)</f>
        <v>7602 XR</v>
      </c>
      <c r="E482" s="258" t="str">
        <f>VLOOKUP(Ruimtestaat[[#This Row],[Code]],Locaties[#All],6,FALSE)</f>
        <v>Almelo</v>
      </c>
      <c r="F482" s="257"/>
      <c r="G482" s="257" t="s">
        <v>564</v>
      </c>
      <c r="H482" s="171"/>
      <c r="I482" s="257" t="s">
        <v>515</v>
      </c>
      <c r="J482" s="259" t="s">
        <v>576</v>
      </c>
      <c r="K482" s="224">
        <v>16</v>
      </c>
      <c r="L482" s="260" t="str">
        <f>VLOOKUP(Ruimtestaat[[#This Row],[Ruimte code]],Ruimtegroepen[#All],2,FALSE)</f>
        <v>Leslokalen</v>
      </c>
      <c r="M482" s="258" t="s">
        <v>598</v>
      </c>
      <c r="N482" s="257" t="s">
        <v>132</v>
      </c>
      <c r="O482" s="261">
        <v>54.42</v>
      </c>
      <c r="P482" s="183"/>
      <c r="Q482" s="212" t="str">
        <f>VLOOKUP(Ruimtestaat[[#This Row],[Ruimte code]],Ruimtegroepen[#All],4,FALSE)</f>
        <v>L  (Lesruimte)</v>
      </c>
      <c r="R482" s="184"/>
      <c r="S482" s="185">
        <v>40</v>
      </c>
      <c r="T482" s="185" t="s">
        <v>2</v>
      </c>
      <c r="U482" s="185">
        <f>IF(S482&gt;0,IF(RIGHT(Ruimtestaat[[#This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2" s="185">
        <f>IF(U482&gt;0,VLOOKUP($K482,Ruimtegroepen[],3,FALSE)*VLOOKUP($M482,Vloersoorten[],3,FALSE)*VLOOKUP($T482,Frequenties[],3,FALSE)*VLOOKUP($A482,Locaties[],3,FALSE),0)</f>
        <v>0</v>
      </c>
      <c r="W482" s="185">
        <f>Ruimtestaat[[#This Row],[Uitvoeringen werkdagen]]*Ruimtestaat[[#This Row],[Oppervlak (netto)]]</f>
        <v>10884</v>
      </c>
      <c r="X482" s="220">
        <f>IF(V482&gt;0,Ruimtestaat[[#This Row],[Prest. (m2 /jaar) werkdagen]]/Ruimtestaat[[#This Row],[Norm (m2/uur) werkdagen]],0)</f>
        <v>0</v>
      </c>
      <c r="Y482" s="221">
        <f>Ruimtestaat[[#This Row],[uren / jaar werkdagen]]*Tariefsopbouw!$D$38</f>
        <v>0</v>
      </c>
      <c r="Z482" s="33"/>
      <c r="AA482" s="33">
        <f>IF(Ruimtestaat[[#This Row],[Frequentie weekend]]&gt;0,VALUE(LEFT(Z482,1))*S482,0)</f>
        <v>0</v>
      </c>
      <c r="AB482" s="33">
        <f>IF($AA482&gt;0,VLOOKUP($K482,Ruimtegroepen[],3,FALSE)*VLOOKUP($M482,Vloersoorten[],3,FALSE)*VLOOKUP($Z482,Frequenties[],3,FALSE)*VLOOKUP(#REF!,Locaties[],3,FALSE),0)</f>
        <v>0</v>
      </c>
      <c r="AC482" s="33"/>
      <c r="AD482" s="33"/>
      <c r="AE482" s="33">
        <f>Ruimtestaat[[#This Row],[uren / jaar weekend]]*Tariefsopbouw!$D$40</f>
        <v>0</v>
      </c>
      <c r="AF482" s="79">
        <f>Ruimtestaat[[#This Row],[Prest. (m2 /jaar) weekend]]+Ruimtestaat[[#This Row],[Prest. (m2 /jaar) werkdagen]]</f>
        <v>10884</v>
      </c>
      <c r="AG482" s="79">
        <f>Ruimtestaat[[#This Row],[uren / jaar weekend]]+Ruimtestaat[[#This Row],[uren / jaar werkdagen]]</f>
        <v>0</v>
      </c>
      <c r="AH482" s="80">
        <f>Ruimtestaat[[#This Row],[kosten / jaar weekend]]+Ruimtestaat[[#This Row],[kosten / jaar werkdagen]]</f>
        <v>0</v>
      </c>
    </row>
    <row r="483" spans="1:34" ht="15" customHeight="1">
      <c r="A483" s="256">
        <v>8</v>
      </c>
      <c r="B483" s="171" t="str">
        <f>VLOOKUP(Ruimtestaat[[#This Row],[Code]],Locaties[#All],2,FALSE)</f>
        <v>Het Mozaïek</v>
      </c>
      <c r="C483" s="258" t="str">
        <f>VLOOKUP(Ruimtestaat[[#This Row],[Code]],Locaties[#All],4,FALSE)</f>
        <v>Beverdamlaan 11</v>
      </c>
      <c r="D483" s="258" t="str">
        <f>VLOOKUP(Ruimtestaat[[#This Row],[Code]],Locaties[#All],5,FALSE)</f>
        <v>7602 XR</v>
      </c>
      <c r="E483" s="258" t="str">
        <f>VLOOKUP(Ruimtestaat[[#This Row],[Code]],Locaties[#All],6,FALSE)</f>
        <v>Almelo</v>
      </c>
      <c r="F483" s="257"/>
      <c r="G483" s="257" t="s">
        <v>564</v>
      </c>
      <c r="H483" s="171"/>
      <c r="I483" s="257" t="s">
        <v>516</v>
      </c>
      <c r="J483" s="259" t="s">
        <v>574</v>
      </c>
      <c r="K483" s="258">
        <v>6</v>
      </c>
      <c r="L483" s="260" t="str">
        <f>VLOOKUP(Ruimtestaat[[#This Row],[Ruimte code]],Ruimtegroepen[#All],2,FALSE)</f>
        <v>Gangen/hallen</v>
      </c>
      <c r="M483" s="258" t="s">
        <v>598</v>
      </c>
      <c r="N483" s="257" t="s">
        <v>132</v>
      </c>
      <c r="O483" s="261">
        <v>35.06</v>
      </c>
      <c r="P483" s="183"/>
      <c r="Q483" s="212" t="str">
        <f>VLOOKUP(Ruimtestaat[[#This Row],[Ruimte code]],Ruimtegroepen[#All],4,FALSE)</f>
        <v>V  (Verkeersruimte)</v>
      </c>
      <c r="R483" s="184"/>
      <c r="S483" s="185">
        <v>40</v>
      </c>
      <c r="T483" s="185" t="s">
        <v>2</v>
      </c>
      <c r="U483" s="185">
        <f>IF(S483&gt;0,IF(RIGHT(Ruimtestaat[[#This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3" s="185">
        <f>IF(U483&gt;0,VLOOKUP($K483,Ruimtegroepen[],3,FALSE)*VLOOKUP($M483,Vloersoorten[],3,FALSE)*VLOOKUP($T483,Frequenties[],3,FALSE)*VLOOKUP($A483,Locaties[],3,FALSE),0)</f>
        <v>0</v>
      </c>
      <c r="W483" s="185">
        <f>Ruimtestaat[[#This Row],[Uitvoeringen werkdagen]]*Ruimtestaat[[#This Row],[Oppervlak (netto)]]</f>
        <v>7012</v>
      </c>
      <c r="X483" s="220">
        <f>IF(V483&gt;0,Ruimtestaat[[#This Row],[Prest. (m2 /jaar) werkdagen]]/Ruimtestaat[[#This Row],[Norm (m2/uur) werkdagen]],0)</f>
        <v>0</v>
      </c>
      <c r="Y483" s="221">
        <f>Ruimtestaat[[#This Row],[uren / jaar werkdagen]]*Tariefsopbouw!$D$38</f>
        <v>0</v>
      </c>
      <c r="Z483" s="33"/>
      <c r="AA483" s="33">
        <f>IF(Ruimtestaat[[#This Row],[Frequentie weekend]]&gt;0,VALUE(LEFT(Z483,1))*S483,0)</f>
        <v>0</v>
      </c>
      <c r="AB483" s="33">
        <f>IF($AA483&gt;0,VLOOKUP($K483,Ruimtegroepen[],3,FALSE)*VLOOKUP($M483,Vloersoorten[],3,FALSE)*VLOOKUP($Z483,Frequenties[],3,FALSE)*VLOOKUP(#REF!,Locaties[],3,FALSE),0)</f>
        <v>0</v>
      </c>
      <c r="AC483" s="33"/>
      <c r="AD483" s="33"/>
      <c r="AE483" s="33">
        <f>Ruimtestaat[[#This Row],[uren / jaar weekend]]*Tariefsopbouw!$D$40</f>
        <v>0</v>
      </c>
      <c r="AF483" s="79">
        <f>Ruimtestaat[[#This Row],[Prest. (m2 /jaar) weekend]]+Ruimtestaat[[#This Row],[Prest. (m2 /jaar) werkdagen]]</f>
        <v>7012</v>
      </c>
      <c r="AG483" s="79">
        <f>Ruimtestaat[[#This Row],[uren / jaar weekend]]+Ruimtestaat[[#This Row],[uren / jaar werkdagen]]</f>
        <v>0</v>
      </c>
      <c r="AH483" s="80">
        <f>Ruimtestaat[[#This Row],[kosten / jaar weekend]]+Ruimtestaat[[#This Row],[kosten / jaar werkdagen]]</f>
        <v>0</v>
      </c>
    </row>
    <row r="484" spans="1:34" ht="15" customHeight="1">
      <c r="A484" s="256">
        <v>8</v>
      </c>
      <c r="B484" s="171" t="str">
        <f>VLOOKUP(Ruimtestaat[[#This Row],[Code]],Locaties[#All],2,FALSE)</f>
        <v>Het Mozaïek</v>
      </c>
      <c r="C484" s="258" t="str">
        <f>VLOOKUP(Ruimtestaat[[#This Row],[Code]],Locaties[#All],4,FALSE)</f>
        <v>Beverdamlaan 11</v>
      </c>
      <c r="D484" s="258" t="str">
        <f>VLOOKUP(Ruimtestaat[[#This Row],[Code]],Locaties[#All],5,FALSE)</f>
        <v>7602 XR</v>
      </c>
      <c r="E484" s="258" t="str">
        <f>VLOOKUP(Ruimtestaat[[#This Row],[Code]],Locaties[#All],6,FALSE)</f>
        <v>Almelo</v>
      </c>
      <c r="F484" s="257"/>
      <c r="G484" s="257" t="s">
        <v>564</v>
      </c>
      <c r="H484" s="171"/>
      <c r="I484" s="257" t="s">
        <v>517</v>
      </c>
      <c r="J484" s="259" t="s">
        <v>575</v>
      </c>
      <c r="K484" s="258">
        <v>12</v>
      </c>
      <c r="L484" s="260" t="str">
        <f>VLOOKUP(Ruimtestaat[[#This Row],[Ruimte code]],Ruimtegroepen[#All],2,FALSE)</f>
        <v>Kantine</v>
      </c>
      <c r="M484" s="258" t="s">
        <v>598</v>
      </c>
      <c r="N484" s="257" t="s">
        <v>132</v>
      </c>
      <c r="O484" s="261">
        <v>6</v>
      </c>
      <c r="P484" s="183"/>
      <c r="Q484" s="212" t="str">
        <f>VLOOKUP(Ruimtestaat[[#This Row],[Ruimte code]],Ruimtegroepen[#All],4,FALSE)</f>
        <v>V  (Verkeersruimte)</v>
      </c>
      <c r="R484" s="184"/>
      <c r="S484" s="185">
        <v>40</v>
      </c>
      <c r="T484" s="185" t="s">
        <v>2</v>
      </c>
      <c r="U484" s="185">
        <f>IF(S484&gt;0,IF(RIGHT(Ruimtestaat[[#This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4" s="185">
        <f>IF(U484&gt;0,VLOOKUP($K484,Ruimtegroepen[],3,FALSE)*VLOOKUP($M484,Vloersoorten[],3,FALSE)*VLOOKUP($T484,Frequenties[],3,FALSE)*VLOOKUP($A484,Locaties[],3,FALSE),0)</f>
        <v>0</v>
      </c>
      <c r="W484" s="185">
        <f>Ruimtestaat[[#This Row],[Uitvoeringen werkdagen]]*Ruimtestaat[[#This Row],[Oppervlak (netto)]]</f>
        <v>1200</v>
      </c>
      <c r="X484" s="220">
        <f>IF(V484&gt;0,Ruimtestaat[[#This Row],[Prest. (m2 /jaar) werkdagen]]/Ruimtestaat[[#This Row],[Norm (m2/uur) werkdagen]],0)</f>
        <v>0</v>
      </c>
      <c r="Y484" s="221">
        <f>Ruimtestaat[[#This Row],[uren / jaar werkdagen]]*Tariefsopbouw!$D$38</f>
        <v>0</v>
      </c>
      <c r="Z484" s="33"/>
      <c r="AA484" s="33">
        <f>IF(Ruimtestaat[[#This Row],[Frequentie weekend]]&gt;0,VALUE(LEFT(Z484,1))*S484,0)</f>
        <v>0</v>
      </c>
      <c r="AB484" s="33">
        <f>IF($AA484&gt;0,VLOOKUP($K484,Ruimtegroepen[],3,FALSE)*VLOOKUP($M484,Vloersoorten[],3,FALSE)*VLOOKUP($Z484,Frequenties[],3,FALSE)*VLOOKUP(#REF!,Locaties[],3,FALSE),0)</f>
        <v>0</v>
      </c>
      <c r="AC484" s="33"/>
      <c r="AD484" s="33"/>
      <c r="AE484" s="33">
        <f>Ruimtestaat[[#This Row],[uren / jaar weekend]]*Tariefsopbouw!$D$40</f>
        <v>0</v>
      </c>
      <c r="AF484" s="79">
        <f>Ruimtestaat[[#This Row],[Prest. (m2 /jaar) weekend]]+Ruimtestaat[[#This Row],[Prest. (m2 /jaar) werkdagen]]</f>
        <v>1200</v>
      </c>
      <c r="AG484" s="79">
        <f>Ruimtestaat[[#This Row],[uren / jaar weekend]]+Ruimtestaat[[#This Row],[uren / jaar werkdagen]]</f>
        <v>0</v>
      </c>
      <c r="AH484" s="80">
        <f>Ruimtestaat[[#This Row],[kosten / jaar weekend]]+Ruimtestaat[[#This Row],[kosten / jaar werkdagen]]</f>
        <v>0</v>
      </c>
    </row>
    <row r="485" spans="1:34" ht="15" customHeight="1">
      <c r="A485" s="256">
        <v>8</v>
      </c>
      <c r="B485" s="171" t="str">
        <f>VLOOKUP(Ruimtestaat[[#This Row],[Code]],Locaties[#All],2,FALSE)</f>
        <v>Het Mozaïek</v>
      </c>
      <c r="C485" s="258" t="str">
        <f>VLOOKUP(Ruimtestaat[[#This Row],[Code]],Locaties[#All],4,FALSE)</f>
        <v>Beverdamlaan 11</v>
      </c>
      <c r="D485" s="258" t="str">
        <f>VLOOKUP(Ruimtestaat[[#This Row],[Code]],Locaties[#All],5,FALSE)</f>
        <v>7602 XR</v>
      </c>
      <c r="E485" s="258" t="str">
        <f>VLOOKUP(Ruimtestaat[[#This Row],[Code]],Locaties[#All],6,FALSE)</f>
        <v>Almelo</v>
      </c>
      <c r="F485" s="257"/>
      <c r="G485" s="257" t="s">
        <v>564</v>
      </c>
      <c r="H485" s="171"/>
      <c r="I485" s="257" t="s">
        <v>780</v>
      </c>
      <c r="J485" s="259" t="s">
        <v>575</v>
      </c>
      <c r="K485" s="185">
        <v>12</v>
      </c>
      <c r="L485" s="260" t="str">
        <f>VLOOKUP(Ruimtestaat[[#This Row],[Ruimte code]],Ruimtegroepen[#All],2,FALSE)</f>
        <v>Kantine</v>
      </c>
      <c r="M485" s="258" t="s">
        <v>597</v>
      </c>
      <c r="N485" s="257" t="s">
        <v>38</v>
      </c>
      <c r="O485" s="261">
        <v>16</v>
      </c>
      <c r="P485" s="183"/>
      <c r="Q485" s="212" t="str">
        <f>VLOOKUP(Ruimtestaat[[#This Row],[Ruimte code]],Ruimtegroepen[#All],4,FALSE)</f>
        <v>V  (Verkeersruimte)</v>
      </c>
      <c r="R485" s="184"/>
      <c r="S485" s="185">
        <v>40</v>
      </c>
      <c r="T485" s="185" t="s">
        <v>2</v>
      </c>
      <c r="U485" s="185">
        <f>IF(S485&gt;0,IF(RIGHT(Ruimtestaat[[#This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5" s="185">
        <f>IF(U485&gt;0,VLOOKUP($K485,Ruimtegroepen[],3,FALSE)*VLOOKUP($M485,Vloersoorten[],3,FALSE)*VLOOKUP($T485,Frequenties[],3,FALSE)*VLOOKUP($A485,Locaties[],3,FALSE),0)</f>
        <v>0</v>
      </c>
      <c r="W485" s="185">
        <f>Ruimtestaat[[#This Row],[Uitvoeringen werkdagen]]*Ruimtestaat[[#This Row],[Oppervlak (netto)]]</f>
        <v>3200</v>
      </c>
      <c r="X485" s="220">
        <f>IF(V485&gt;0,Ruimtestaat[[#This Row],[Prest. (m2 /jaar) werkdagen]]/Ruimtestaat[[#This Row],[Norm (m2/uur) werkdagen]],0)</f>
        <v>0</v>
      </c>
      <c r="Y485" s="221">
        <f>Ruimtestaat[[#This Row],[uren / jaar werkdagen]]*Tariefsopbouw!$D$38</f>
        <v>0</v>
      </c>
      <c r="Z485" s="33"/>
      <c r="AA485" s="33">
        <f>IF(Ruimtestaat[[#This Row],[Frequentie weekend]]&gt;0,VALUE(LEFT(Z485,1))*S485,0)</f>
        <v>0</v>
      </c>
      <c r="AB485" s="33">
        <f>IF($AA485&gt;0,VLOOKUP($K485,Ruimtegroepen[],3,FALSE)*VLOOKUP($M485,Vloersoorten[],3,FALSE)*VLOOKUP($Z485,Frequenties[],3,FALSE)*VLOOKUP(#REF!,Locaties[],3,FALSE),0)</f>
        <v>0</v>
      </c>
      <c r="AC485" s="33"/>
      <c r="AD485" s="33"/>
      <c r="AE485" s="33">
        <f>Ruimtestaat[[#This Row],[uren / jaar weekend]]*Tariefsopbouw!$D$40</f>
        <v>0</v>
      </c>
      <c r="AF485" s="79">
        <f>Ruimtestaat[[#This Row],[Prest. (m2 /jaar) weekend]]+Ruimtestaat[[#This Row],[Prest. (m2 /jaar) werkdagen]]</f>
        <v>3200</v>
      </c>
      <c r="AG485" s="79">
        <f>Ruimtestaat[[#This Row],[uren / jaar weekend]]+Ruimtestaat[[#This Row],[uren / jaar werkdagen]]</f>
        <v>0</v>
      </c>
      <c r="AH485" s="80">
        <f>Ruimtestaat[[#This Row],[kosten / jaar weekend]]+Ruimtestaat[[#This Row],[kosten / jaar werkdagen]]</f>
        <v>0</v>
      </c>
    </row>
    <row r="486" spans="1:34" ht="15" customHeight="1">
      <c r="A486" s="256">
        <v>8</v>
      </c>
      <c r="B486" s="171" t="str">
        <f>VLOOKUP(Ruimtestaat[[#This Row],[Code]],Locaties[#All],2,FALSE)</f>
        <v>Het Mozaïek</v>
      </c>
      <c r="C486" s="258" t="str">
        <f>VLOOKUP(Ruimtestaat[[#This Row],[Code]],Locaties[#All],4,FALSE)</f>
        <v>Beverdamlaan 11</v>
      </c>
      <c r="D486" s="258" t="str">
        <f>VLOOKUP(Ruimtestaat[[#This Row],[Code]],Locaties[#All],5,FALSE)</f>
        <v>7602 XR</v>
      </c>
      <c r="E486" s="258" t="str">
        <f>VLOOKUP(Ruimtestaat[[#This Row],[Code]],Locaties[#All],6,FALSE)</f>
        <v>Almelo</v>
      </c>
      <c r="F486" s="257"/>
      <c r="G486" s="257" t="s">
        <v>564</v>
      </c>
      <c r="H486" s="171"/>
      <c r="I486" s="257" t="s">
        <v>518</v>
      </c>
      <c r="J486" s="259" t="s">
        <v>575</v>
      </c>
      <c r="K486" s="258">
        <v>12</v>
      </c>
      <c r="L486" s="260" t="str">
        <f>VLOOKUP(Ruimtestaat[[#This Row],[Ruimte code]],Ruimtegroepen[#All],2,FALSE)</f>
        <v>Kantine</v>
      </c>
      <c r="M486" s="258" t="s">
        <v>597</v>
      </c>
      <c r="N486" s="257" t="s">
        <v>38</v>
      </c>
      <c r="O486" s="261">
        <v>15.75</v>
      </c>
      <c r="P486" s="183"/>
      <c r="Q486" s="212" t="str">
        <f>VLOOKUP(Ruimtestaat[[#This Row],[Ruimte code]],Ruimtegroepen[#All],4,FALSE)</f>
        <v>V  (Verkeersruimte)</v>
      </c>
      <c r="R486" s="184"/>
      <c r="S486" s="185">
        <v>40</v>
      </c>
      <c r="T486" s="185" t="s">
        <v>2</v>
      </c>
      <c r="U486" s="185">
        <f>IF(S486&gt;0,IF(RIGHT(Ruimtestaat[[#This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6" s="185">
        <f>IF(U486&gt;0,VLOOKUP($K486,Ruimtegroepen[],3,FALSE)*VLOOKUP($M486,Vloersoorten[],3,FALSE)*VLOOKUP($T486,Frequenties[],3,FALSE)*VLOOKUP($A486,Locaties[],3,FALSE),0)</f>
        <v>0</v>
      </c>
      <c r="W486" s="185">
        <f>Ruimtestaat[[#This Row],[Uitvoeringen werkdagen]]*Ruimtestaat[[#This Row],[Oppervlak (netto)]]</f>
        <v>3150</v>
      </c>
      <c r="X486" s="220">
        <f>IF(V486&gt;0,Ruimtestaat[[#This Row],[Prest. (m2 /jaar) werkdagen]]/Ruimtestaat[[#This Row],[Norm (m2/uur) werkdagen]],0)</f>
        <v>0</v>
      </c>
      <c r="Y486" s="221">
        <f>Ruimtestaat[[#This Row],[uren / jaar werkdagen]]*Tariefsopbouw!$D$38</f>
        <v>0</v>
      </c>
      <c r="Z486" s="33"/>
      <c r="AA486" s="33">
        <f>IF(Ruimtestaat[[#This Row],[Frequentie weekend]]&gt;0,VALUE(LEFT(Z486,1))*S486,0)</f>
        <v>0</v>
      </c>
      <c r="AB486" s="33">
        <f>IF($AA486&gt;0,VLOOKUP($K486,Ruimtegroepen[],3,FALSE)*VLOOKUP($M486,Vloersoorten[],3,FALSE)*VLOOKUP($Z486,Frequenties[],3,FALSE)*VLOOKUP(#REF!,Locaties[],3,FALSE),0)</f>
        <v>0</v>
      </c>
      <c r="AC486" s="33"/>
      <c r="AD486" s="33"/>
      <c r="AE486" s="33">
        <f>Ruimtestaat[[#This Row],[uren / jaar weekend]]*Tariefsopbouw!$D$40</f>
        <v>0</v>
      </c>
      <c r="AF486" s="79">
        <f>Ruimtestaat[[#This Row],[Prest. (m2 /jaar) weekend]]+Ruimtestaat[[#This Row],[Prest. (m2 /jaar) werkdagen]]</f>
        <v>3150</v>
      </c>
      <c r="AG486" s="79">
        <f>Ruimtestaat[[#This Row],[uren / jaar weekend]]+Ruimtestaat[[#This Row],[uren / jaar werkdagen]]</f>
        <v>0</v>
      </c>
      <c r="AH486" s="80">
        <f>Ruimtestaat[[#This Row],[kosten / jaar weekend]]+Ruimtestaat[[#This Row],[kosten / jaar werkdagen]]</f>
        <v>0</v>
      </c>
    </row>
    <row r="487" spans="1:34" ht="15" customHeight="1">
      <c r="A487" s="256">
        <v>8</v>
      </c>
      <c r="B487" s="171" t="str">
        <f>VLOOKUP(Ruimtestaat[[#This Row],[Code]],Locaties[#All],2,FALSE)</f>
        <v>Het Mozaïek</v>
      </c>
      <c r="C487" s="258" t="str">
        <f>VLOOKUP(Ruimtestaat[[#This Row],[Code]],Locaties[#All],4,FALSE)</f>
        <v>Beverdamlaan 11</v>
      </c>
      <c r="D487" s="258" t="str">
        <f>VLOOKUP(Ruimtestaat[[#This Row],[Code]],Locaties[#All],5,FALSE)</f>
        <v>7602 XR</v>
      </c>
      <c r="E487" s="258" t="str">
        <f>VLOOKUP(Ruimtestaat[[#This Row],[Code]],Locaties[#All],6,FALSE)</f>
        <v>Almelo</v>
      </c>
      <c r="F487" s="257"/>
      <c r="G487" s="257" t="s">
        <v>564</v>
      </c>
      <c r="H487" s="171"/>
      <c r="I487" s="257" t="s">
        <v>519</v>
      </c>
      <c r="J487" s="259" t="s">
        <v>571</v>
      </c>
      <c r="K487" s="258">
        <v>2</v>
      </c>
      <c r="L487" s="260" t="str">
        <f>VLOOKUP(Ruimtestaat[[#This Row],[Ruimte code]],Ruimtegroepen[#All],2,FALSE)</f>
        <v>Kantoren</v>
      </c>
      <c r="M487" s="258" t="s">
        <v>597</v>
      </c>
      <c r="N487" s="257" t="s">
        <v>38</v>
      </c>
      <c r="O487" s="261">
        <v>11.62</v>
      </c>
      <c r="P487" s="183"/>
      <c r="Q487" s="212" t="str">
        <f>VLOOKUP(Ruimtestaat[[#This Row],[Ruimte code]],Ruimtegroepen[#All],4,FALSE)</f>
        <v>B  (Bureauruimte)</v>
      </c>
      <c r="R487" s="184"/>
      <c r="S487" s="185">
        <v>40</v>
      </c>
      <c r="T487" s="185" t="s">
        <v>2</v>
      </c>
      <c r="U487" s="185">
        <f>IF(S487&gt;0,IF(RIGHT(Ruimtestaat[[#This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7" s="185">
        <f>IF(U487&gt;0,VLOOKUP($K487,Ruimtegroepen[],3,FALSE)*VLOOKUP($M487,Vloersoorten[],3,FALSE)*VLOOKUP($T487,Frequenties[],3,FALSE)*VLOOKUP($A487,Locaties[],3,FALSE),0)</f>
        <v>0</v>
      </c>
      <c r="W487" s="185">
        <f>Ruimtestaat[[#This Row],[Uitvoeringen werkdagen]]*Ruimtestaat[[#This Row],[Oppervlak (netto)]]</f>
        <v>2324</v>
      </c>
      <c r="X487" s="220">
        <f>IF(V487&gt;0,Ruimtestaat[[#This Row],[Prest. (m2 /jaar) werkdagen]]/Ruimtestaat[[#This Row],[Norm (m2/uur) werkdagen]],0)</f>
        <v>0</v>
      </c>
      <c r="Y487" s="221">
        <f>Ruimtestaat[[#This Row],[uren / jaar werkdagen]]*Tariefsopbouw!$D$38</f>
        <v>0</v>
      </c>
      <c r="Z487" s="33"/>
      <c r="AA487" s="33">
        <f>IF(Ruimtestaat[[#This Row],[Frequentie weekend]]&gt;0,VALUE(LEFT(Z487,1))*S487,0)</f>
        <v>0</v>
      </c>
      <c r="AB487" s="33">
        <f>IF($AA487&gt;0,VLOOKUP($K487,Ruimtegroepen[],3,FALSE)*VLOOKUP($M487,Vloersoorten[],3,FALSE)*VLOOKUP($Z487,Frequenties[],3,FALSE)*VLOOKUP(#REF!,Locaties[],3,FALSE),0)</f>
        <v>0</v>
      </c>
      <c r="AC487" s="33"/>
      <c r="AD487" s="33"/>
      <c r="AE487" s="33">
        <f>Ruimtestaat[[#This Row],[uren / jaar weekend]]*Tariefsopbouw!$D$40</f>
        <v>0</v>
      </c>
      <c r="AF487" s="79">
        <f>Ruimtestaat[[#This Row],[Prest. (m2 /jaar) weekend]]+Ruimtestaat[[#This Row],[Prest. (m2 /jaar) werkdagen]]</f>
        <v>2324</v>
      </c>
      <c r="AG487" s="79">
        <f>Ruimtestaat[[#This Row],[uren / jaar weekend]]+Ruimtestaat[[#This Row],[uren / jaar werkdagen]]</f>
        <v>0</v>
      </c>
      <c r="AH487" s="80">
        <f>Ruimtestaat[[#This Row],[kosten / jaar weekend]]+Ruimtestaat[[#This Row],[kosten / jaar werkdagen]]</f>
        <v>0</v>
      </c>
    </row>
    <row r="488" spans="1:34" ht="15" customHeight="1">
      <c r="A488" s="256">
        <v>8</v>
      </c>
      <c r="B488" s="171" t="str">
        <f>VLOOKUP(Ruimtestaat[[#This Row],[Code]],Locaties[#All],2,FALSE)</f>
        <v>Het Mozaïek</v>
      </c>
      <c r="C488" s="258" t="str">
        <f>VLOOKUP(Ruimtestaat[[#This Row],[Code]],Locaties[#All],4,FALSE)</f>
        <v>Beverdamlaan 11</v>
      </c>
      <c r="D488" s="258" t="str">
        <f>VLOOKUP(Ruimtestaat[[#This Row],[Code]],Locaties[#All],5,FALSE)</f>
        <v>7602 XR</v>
      </c>
      <c r="E488" s="258" t="str">
        <f>VLOOKUP(Ruimtestaat[[#This Row],[Code]],Locaties[#All],6,FALSE)</f>
        <v>Almelo</v>
      </c>
      <c r="F488" s="257"/>
      <c r="G488" s="257" t="s">
        <v>564</v>
      </c>
      <c r="H488" s="171"/>
      <c r="I488" s="257" t="s">
        <v>520</v>
      </c>
      <c r="J488" s="259" t="s">
        <v>585</v>
      </c>
      <c r="K488" s="258">
        <v>1</v>
      </c>
      <c r="L488" s="260" t="str">
        <f>VLOOKUP(Ruimtestaat[[#This Row],[Ruimte code]],Ruimtegroepen[#All],2,FALSE)</f>
        <v>Magazijnen/bergingen</v>
      </c>
      <c r="M488" s="185" t="s">
        <v>598</v>
      </c>
      <c r="N488" s="257" t="s">
        <v>132</v>
      </c>
      <c r="O488" s="261">
        <v>21.7</v>
      </c>
      <c r="P488" s="183"/>
      <c r="Q488" s="212" t="str">
        <f>VLOOKUP(Ruimtestaat[[#This Row],[Ruimte code]],Ruimtegroepen[#All],4,FALSE)</f>
        <v>V  (Verkeersruimte)</v>
      </c>
      <c r="R488" s="184"/>
      <c r="S488" s="185">
        <v>40</v>
      </c>
      <c r="T488" s="185" t="s">
        <v>15</v>
      </c>
      <c r="U488" s="185">
        <f>IF(S488&gt;0,IF(RIGHT(Ruimtestaat[[#This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88" s="185">
        <f>IF(U488&gt;0,VLOOKUP($K488,Ruimtegroepen[],3,FALSE)*VLOOKUP($M488,Vloersoorten[],3,FALSE)*VLOOKUP($T488,Frequenties[],3,FALSE)*VLOOKUP($A488,Locaties[],3,FALSE),0)</f>
        <v>0</v>
      </c>
      <c r="W488" s="185">
        <f>Ruimtestaat[[#This Row],[Uitvoeringen werkdagen]]*Ruimtestaat[[#This Row],[Oppervlak (netto)]]</f>
        <v>868</v>
      </c>
      <c r="X488" s="220">
        <f>IF(V488&gt;0,Ruimtestaat[[#This Row],[Prest. (m2 /jaar) werkdagen]]/Ruimtestaat[[#This Row],[Norm (m2/uur) werkdagen]],0)</f>
        <v>0</v>
      </c>
      <c r="Y488" s="221">
        <f>Ruimtestaat[[#This Row],[uren / jaar werkdagen]]*Tariefsopbouw!$D$38</f>
        <v>0</v>
      </c>
      <c r="Z488" s="33"/>
      <c r="AA488" s="33">
        <f>IF(Ruimtestaat[[#This Row],[Frequentie weekend]]&gt;0,VALUE(LEFT(Z488,1))*S488,0)</f>
        <v>0</v>
      </c>
      <c r="AB488" s="33">
        <f>IF($AA488&gt;0,VLOOKUP($K488,Ruimtegroepen[],3,FALSE)*VLOOKUP($M488,Vloersoorten[],3,FALSE)*VLOOKUP($Z488,Frequenties[],3,FALSE)*VLOOKUP(#REF!,Locaties[],3,FALSE),0)</f>
        <v>0</v>
      </c>
      <c r="AC488" s="33"/>
      <c r="AD488" s="33"/>
      <c r="AE488" s="33">
        <f>Ruimtestaat[[#This Row],[uren / jaar weekend]]*Tariefsopbouw!$D$40</f>
        <v>0</v>
      </c>
      <c r="AF488" s="79">
        <f>Ruimtestaat[[#This Row],[Prest. (m2 /jaar) weekend]]+Ruimtestaat[[#This Row],[Prest. (m2 /jaar) werkdagen]]</f>
        <v>868</v>
      </c>
      <c r="AG488" s="79">
        <f>Ruimtestaat[[#This Row],[uren / jaar weekend]]+Ruimtestaat[[#This Row],[uren / jaar werkdagen]]</f>
        <v>0</v>
      </c>
      <c r="AH488" s="80">
        <f>Ruimtestaat[[#This Row],[kosten / jaar weekend]]+Ruimtestaat[[#This Row],[kosten / jaar werkdagen]]</f>
        <v>0</v>
      </c>
    </row>
    <row r="489" spans="1:34" ht="15" customHeight="1">
      <c r="A489" s="256">
        <v>8</v>
      </c>
      <c r="B489" s="171" t="str">
        <f>VLOOKUP(Ruimtestaat[[#This Row],[Code]],Locaties[#All],2,FALSE)</f>
        <v>Het Mozaïek</v>
      </c>
      <c r="C489" s="258" t="str">
        <f>VLOOKUP(Ruimtestaat[[#This Row],[Code]],Locaties[#All],4,FALSE)</f>
        <v>Beverdamlaan 11</v>
      </c>
      <c r="D489" s="258" t="str">
        <f>VLOOKUP(Ruimtestaat[[#This Row],[Code]],Locaties[#All],5,FALSE)</f>
        <v>7602 XR</v>
      </c>
      <c r="E489" s="258" t="str">
        <f>VLOOKUP(Ruimtestaat[[#This Row],[Code]],Locaties[#All],6,FALSE)</f>
        <v>Almelo</v>
      </c>
      <c r="F489" s="257"/>
      <c r="G489" s="257" t="s">
        <v>564</v>
      </c>
      <c r="H489" s="171"/>
      <c r="I489" s="257" t="s">
        <v>521</v>
      </c>
      <c r="J489" s="259" t="s">
        <v>569</v>
      </c>
      <c r="K489" s="171">
        <v>5</v>
      </c>
      <c r="L489" s="260" t="str">
        <f>VLOOKUP(Ruimtestaat[[#This Row],[Ruimte code]],Ruimtegroepen[#All],2,FALSE)</f>
        <v>Sanitair</v>
      </c>
      <c r="M489" s="258" t="s">
        <v>598</v>
      </c>
      <c r="N489" s="257" t="s">
        <v>132</v>
      </c>
      <c r="O489" s="261">
        <v>2.16</v>
      </c>
      <c r="P489" s="183"/>
      <c r="Q489" s="212" t="str">
        <f>VLOOKUP(Ruimtestaat[[#This Row],[Ruimte code]],Ruimtegroepen[#All],4,FALSE)</f>
        <v>S  (Sanitair)</v>
      </c>
      <c r="R489" s="184"/>
      <c r="S489" s="185">
        <v>40</v>
      </c>
      <c r="T489" s="185" t="s">
        <v>2</v>
      </c>
      <c r="U489" s="185">
        <f>IF(S489&gt;0,IF(RIGHT(Ruimtestaat[[#This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9" s="185">
        <f>IF(U489&gt;0,VLOOKUP($K489,Ruimtegroepen[],3,FALSE)*VLOOKUP($M489,Vloersoorten[],3,FALSE)*VLOOKUP($T489,Frequenties[],3,FALSE)*VLOOKUP($A489,Locaties[],3,FALSE),0)</f>
        <v>0</v>
      </c>
      <c r="W489" s="185">
        <f>Ruimtestaat[[#This Row],[Uitvoeringen werkdagen]]*Ruimtestaat[[#This Row],[Oppervlak (netto)]]</f>
        <v>432</v>
      </c>
      <c r="X489" s="220">
        <f>IF(V489&gt;0,Ruimtestaat[[#This Row],[Prest. (m2 /jaar) werkdagen]]/Ruimtestaat[[#This Row],[Norm (m2/uur) werkdagen]],0)</f>
        <v>0</v>
      </c>
      <c r="Y489" s="221">
        <f>Ruimtestaat[[#This Row],[uren / jaar werkdagen]]*Tariefsopbouw!$D$38</f>
        <v>0</v>
      </c>
      <c r="Z489" s="33"/>
      <c r="AA489" s="33">
        <f>IF(Ruimtestaat[[#This Row],[Frequentie weekend]]&gt;0,VALUE(LEFT(Z489,1))*S489,0)</f>
        <v>0</v>
      </c>
      <c r="AB489" s="33">
        <f>IF($AA489&gt;0,VLOOKUP($K489,Ruimtegroepen[],3,FALSE)*VLOOKUP($M489,Vloersoorten[],3,FALSE)*VLOOKUP($Z489,Frequenties[],3,FALSE)*VLOOKUP(#REF!,Locaties[],3,FALSE),0)</f>
        <v>0</v>
      </c>
      <c r="AC489" s="33"/>
      <c r="AD489" s="33"/>
      <c r="AE489" s="33">
        <f>Ruimtestaat[[#This Row],[uren / jaar weekend]]*Tariefsopbouw!$D$40</f>
        <v>0</v>
      </c>
      <c r="AF489" s="79">
        <f>Ruimtestaat[[#This Row],[Prest. (m2 /jaar) weekend]]+Ruimtestaat[[#This Row],[Prest. (m2 /jaar) werkdagen]]</f>
        <v>432</v>
      </c>
      <c r="AG489" s="79">
        <f>Ruimtestaat[[#This Row],[uren / jaar weekend]]+Ruimtestaat[[#This Row],[uren / jaar werkdagen]]</f>
        <v>0</v>
      </c>
      <c r="AH489" s="80">
        <f>Ruimtestaat[[#This Row],[kosten / jaar weekend]]+Ruimtestaat[[#This Row],[kosten / jaar werkdagen]]</f>
        <v>0</v>
      </c>
    </row>
    <row r="490" spans="1:34" ht="15" customHeight="1">
      <c r="A490" s="256">
        <v>8</v>
      </c>
      <c r="B490" s="171" t="str">
        <f>VLOOKUP(Ruimtestaat[[#This Row],[Code]],Locaties[#All],2,FALSE)</f>
        <v>Het Mozaïek</v>
      </c>
      <c r="C490" s="258" t="str">
        <f>VLOOKUP(Ruimtestaat[[#This Row],[Code]],Locaties[#All],4,FALSE)</f>
        <v>Beverdamlaan 11</v>
      </c>
      <c r="D490" s="258" t="str">
        <f>VLOOKUP(Ruimtestaat[[#This Row],[Code]],Locaties[#All],5,FALSE)</f>
        <v>7602 XR</v>
      </c>
      <c r="E490" s="258" t="str">
        <f>VLOOKUP(Ruimtestaat[[#This Row],[Code]],Locaties[#All],6,FALSE)</f>
        <v>Almelo</v>
      </c>
      <c r="F490" s="257"/>
      <c r="G490" s="257" t="s">
        <v>564</v>
      </c>
      <c r="H490" s="171"/>
      <c r="I490" s="257" t="s">
        <v>522</v>
      </c>
      <c r="J490" s="259" t="s">
        <v>569</v>
      </c>
      <c r="K490" s="258">
        <v>5</v>
      </c>
      <c r="L490" s="260" t="str">
        <f>VLOOKUP(Ruimtestaat[[#This Row],[Ruimte code]],Ruimtegroepen[#All],2,FALSE)</f>
        <v>Sanitair</v>
      </c>
      <c r="M490" s="258" t="s">
        <v>598</v>
      </c>
      <c r="N490" s="257" t="s">
        <v>132</v>
      </c>
      <c r="O490" s="261">
        <v>2.16</v>
      </c>
      <c r="P490" s="183"/>
      <c r="Q490" s="212" t="str">
        <f>VLOOKUP(Ruimtestaat[[#This Row],[Ruimte code]],Ruimtegroepen[#All],4,FALSE)</f>
        <v>S  (Sanitair)</v>
      </c>
      <c r="R490" s="184"/>
      <c r="S490" s="185">
        <v>40</v>
      </c>
      <c r="T490" s="185" t="s">
        <v>2</v>
      </c>
      <c r="U490" s="185">
        <f>IF(S490&gt;0,IF(RIGHT(Ruimtestaat[[#This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0" s="185">
        <f>IF(U490&gt;0,VLOOKUP($K490,Ruimtegroepen[],3,FALSE)*VLOOKUP($M490,Vloersoorten[],3,FALSE)*VLOOKUP($T490,Frequenties[],3,FALSE)*VLOOKUP($A490,Locaties[],3,FALSE),0)</f>
        <v>0</v>
      </c>
      <c r="W490" s="185">
        <f>Ruimtestaat[[#This Row],[Uitvoeringen werkdagen]]*Ruimtestaat[[#This Row],[Oppervlak (netto)]]</f>
        <v>432</v>
      </c>
      <c r="X490" s="220">
        <f>IF(V490&gt;0,Ruimtestaat[[#This Row],[Prest. (m2 /jaar) werkdagen]]/Ruimtestaat[[#This Row],[Norm (m2/uur) werkdagen]],0)</f>
        <v>0</v>
      </c>
      <c r="Y490" s="221">
        <f>Ruimtestaat[[#This Row],[uren / jaar werkdagen]]*Tariefsopbouw!$D$38</f>
        <v>0</v>
      </c>
      <c r="Z490" s="33"/>
      <c r="AA490" s="33">
        <f>IF(Ruimtestaat[[#This Row],[Frequentie weekend]]&gt;0,VALUE(LEFT(Z490,1))*S490,0)</f>
        <v>0</v>
      </c>
      <c r="AB490" s="33">
        <f>IF($AA490&gt;0,VLOOKUP($K490,Ruimtegroepen[],3,FALSE)*VLOOKUP($M490,Vloersoorten[],3,FALSE)*VLOOKUP($Z490,Frequenties[],3,FALSE)*VLOOKUP(#REF!,Locaties[],3,FALSE),0)</f>
        <v>0</v>
      </c>
      <c r="AC490" s="33"/>
      <c r="AD490" s="33"/>
      <c r="AE490" s="33">
        <f>Ruimtestaat[[#This Row],[uren / jaar weekend]]*Tariefsopbouw!$D$40</f>
        <v>0</v>
      </c>
      <c r="AF490" s="79">
        <f>Ruimtestaat[[#This Row],[Prest. (m2 /jaar) weekend]]+Ruimtestaat[[#This Row],[Prest. (m2 /jaar) werkdagen]]</f>
        <v>432</v>
      </c>
      <c r="AG490" s="79">
        <f>Ruimtestaat[[#This Row],[uren / jaar weekend]]+Ruimtestaat[[#This Row],[uren / jaar werkdagen]]</f>
        <v>0</v>
      </c>
      <c r="AH490" s="80">
        <f>Ruimtestaat[[#This Row],[kosten / jaar weekend]]+Ruimtestaat[[#This Row],[kosten / jaar werkdagen]]</f>
        <v>0</v>
      </c>
    </row>
    <row r="491" spans="1:34" ht="15" customHeight="1">
      <c r="A491" s="256">
        <v>13</v>
      </c>
      <c r="B491" s="171" t="str">
        <f>VLOOKUP(Ruimtestaat[[#This Row],[Code]],Locaties[#All],2,FALSE)</f>
        <v>Neon College – Hengelo</v>
      </c>
      <c r="C491" s="258" t="str">
        <f>VLOOKUP(Ruimtestaat[[#This Row],[Code]],Locaties[#All],4,FALSE)</f>
        <v>Sportlaan Driene 8-10</v>
      </c>
      <c r="D491" s="258" t="str">
        <f>VLOOKUP(Ruimtestaat[[#This Row],[Code]],Locaties[#All],5,FALSE)</f>
        <v>7552 Ha</v>
      </c>
      <c r="E491" s="258" t="str">
        <f>VLOOKUP(Ruimtestaat[[#This Row],[Code]],Locaties[#All],6,FALSE)</f>
        <v>Hengelo</v>
      </c>
      <c r="F491" s="257"/>
      <c r="G491" s="257" t="s">
        <v>563</v>
      </c>
      <c r="H491" s="171"/>
      <c r="I491" s="257" t="s">
        <v>901</v>
      </c>
      <c r="J491" s="259" t="s">
        <v>40</v>
      </c>
      <c r="K491" s="185">
        <v>7</v>
      </c>
      <c r="L491" s="260" t="str">
        <f>VLOOKUP(Ruimtestaat[[#This Row],[Ruimte code]],Ruimtegroepen[#All],2,FALSE)</f>
        <v>Entree</v>
      </c>
      <c r="M491" s="258" t="s">
        <v>597</v>
      </c>
      <c r="N491" s="257" t="s">
        <v>38</v>
      </c>
      <c r="O491" s="261">
        <v>6</v>
      </c>
      <c r="P491" s="183"/>
      <c r="Q491" s="212" t="str">
        <f>VLOOKUP(Ruimtestaat[[#This Row],[Ruimte code]],Ruimtegroepen[#All],4,FALSE)</f>
        <v>V  (Verkeersruimte)</v>
      </c>
      <c r="R491" s="184"/>
      <c r="S491" s="185">
        <v>40</v>
      </c>
      <c r="T491" s="185" t="s">
        <v>2</v>
      </c>
      <c r="U491" s="185">
        <f>IF(S491&gt;0,IF(RIGHT(Ruimtestaat[[#This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1" s="185">
        <f>IF(U491&gt;0,VLOOKUP($K491,Ruimtegroepen[],3,FALSE)*VLOOKUP($M491,Vloersoorten[],3,FALSE)*VLOOKUP($T491,Frequenties[],3,FALSE)*VLOOKUP($A491,Locaties[],3,FALSE),0)</f>
        <v>0</v>
      </c>
      <c r="W491" s="185">
        <f>Ruimtestaat[[#This Row],[Uitvoeringen werkdagen]]*Ruimtestaat[[#This Row],[Oppervlak (netto)]]</f>
        <v>1200</v>
      </c>
      <c r="X491" s="220">
        <f>IF(V491&gt;0,Ruimtestaat[[#This Row],[Prest. (m2 /jaar) werkdagen]]/Ruimtestaat[[#This Row],[Norm (m2/uur) werkdagen]],0)</f>
        <v>0</v>
      </c>
      <c r="Y491" s="221">
        <f>Ruimtestaat[[#This Row],[uren / jaar werkdagen]]*Tariefsopbouw!$D$38</f>
        <v>0</v>
      </c>
      <c r="Z491" s="33"/>
      <c r="AA491" s="33">
        <f>IF(Ruimtestaat[[#This Row],[Frequentie weekend]]&gt;0,VALUE(LEFT(Z491,1))*S491,0)</f>
        <v>0</v>
      </c>
      <c r="AB491" s="33">
        <f>IF($AA491&gt;0,VLOOKUP($K491,Ruimtegroepen[],3,FALSE)*VLOOKUP($M491,Vloersoorten[],3,FALSE)*VLOOKUP($Z491,Frequenties[],3,FALSE)*VLOOKUP(#REF!,Locaties[],3,FALSE),0)</f>
        <v>0</v>
      </c>
      <c r="AC491" s="33"/>
      <c r="AD491" s="33"/>
      <c r="AE491" s="33">
        <f>Ruimtestaat[[#This Row],[uren / jaar weekend]]*Tariefsopbouw!$D$40</f>
        <v>0</v>
      </c>
      <c r="AF491" s="79">
        <f>Ruimtestaat[[#This Row],[Prest. (m2 /jaar) weekend]]+Ruimtestaat[[#This Row],[Prest. (m2 /jaar) werkdagen]]</f>
        <v>1200</v>
      </c>
      <c r="AG491" s="79">
        <f>Ruimtestaat[[#This Row],[uren / jaar weekend]]+Ruimtestaat[[#This Row],[uren / jaar werkdagen]]</f>
        <v>0</v>
      </c>
      <c r="AH491" s="80">
        <f>Ruimtestaat[[#This Row],[kosten / jaar weekend]]+Ruimtestaat[[#This Row],[kosten / jaar werkdagen]]</f>
        <v>0</v>
      </c>
    </row>
    <row r="492" spans="1:34" ht="15" customHeight="1">
      <c r="A492" s="256">
        <v>13</v>
      </c>
      <c r="B492" s="171" t="str">
        <f>VLOOKUP(Ruimtestaat[[#This Row],[Code]],Locaties[#All],2,FALSE)</f>
        <v>Neon College – Hengelo</v>
      </c>
      <c r="C492" s="258" t="str">
        <f>VLOOKUP(Ruimtestaat[[#This Row],[Code]],Locaties[#All],4,FALSE)</f>
        <v>Sportlaan Driene 8-10</v>
      </c>
      <c r="D492" s="258" t="str">
        <f>VLOOKUP(Ruimtestaat[[#This Row],[Code]],Locaties[#All],5,FALSE)</f>
        <v>7552 Ha</v>
      </c>
      <c r="E492" s="258" t="str">
        <f>VLOOKUP(Ruimtestaat[[#This Row],[Code]],Locaties[#All],6,FALSE)</f>
        <v>Hengelo</v>
      </c>
      <c r="F492" s="257"/>
      <c r="G492" s="257" t="s">
        <v>563</v>
      </c>
      <c r="H492" s="171"/>
      <c r="I492" s="257" t="s">
        <v>902</v>
      </c>
      <c r="J492" s="259" t="s">
        <v>574</v>
      </c>
      <c r="K492" s="171">
        <v>6</v>
      </c>
      <c r="L492" s="260" t="str">
        <f>VLOOKUP(Ruimtestaat[[#This Row],[Ruimte code]],Ruimtegroepen[#All],2,FALSE)</f>
        <v>Gangen/hallen</v>
      </c>
      <c r="M492" s="258" t="s">
        <v>598</v>
      </c>
      <c r="N492" s="257" t="s">
        <v>132</v>
      </c>
      <c r="O492" s="261">
        <v>90</v>
      </c>
      <c r="P492" s="183"/>
      <c r="Q492" s="212" t="str">
        <f>VLOOKUP(Ruimtestaat[[#This Row],[Ruimte code]],Ruimtegroepen[#All],4,FALSE)</f>
        <v>V  (Verkeersruimte)</v>
      </c>
      <c r="R492" s="184"/>
      <c r="S492" s="185">
        <v>40</v>
      </c>
      <c r="T492" s="185" t="s">
        <v>2</v>
      </c>
      <c r="U492" s="185">
        <f>IF(S492&gt;0,IF(RIGHT(Ruimtestaat[[#This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2" s="185">
        <f>IF(U492&gt;0,VLOOKUP($K492,Ruimtegroepen[],3,FALSE)*VLOOKUP($M492,Vloersoorten[],3,FALSE)*VLOOKUP($T492,Frequenties[],3,FALSE)*VLOOKUP($A492,Locaties[],3,FALSE),0)</f>
        <v>0</v>
      </c>
      <c r="W492" s="185">
        <f>Ruimtestaat[[#This Row],[Uitvoeringen werkdagen]]*Ruimtestaat[[#This Row],[Oppervlak (netto)]]</f>
        <v>18000</v>
      </c>
      <c r="X492" s="220">
        <f>IF(V492&gt;0,Ruimtestaat[[#This Row],[Prest. (m2 /jaar) werkdagen]]/Ruimtestaat[[#This Row],[Norm (m2/uur) werkdagen]],0)</f>
        <v>0</v>
      </c>
      <c r="Y492" s="221">
        <f>Ruimtestaat[[#This Row],[uren / jaar werkdagen]]*Tariefsopbouw!$D$38</f>
        <v>0</v>
      </c>
      <c r="Z492" s="33"/>
      <c r="AA492" s="33">
        <f>IF(Ruimtestaat[[#This Row],[Frequentie weekend]]&gt;0,VALUE(LEFT(Z492,1))*S492,0)</f>
        <v>0</v>
      </c>
      <c r="AB492" s="33">
        <f>IF($AA492&gt;0,VLOOKUP($K492,Ruimtegroepen[],3,FALSE)*VLOOKUP($M492,Vloersoorten[],3,FALSE)*VLOOKUP($Z492,Frequenties[],3,FALSE)*VLOOKUP(#REF!,Locaties[],3,FALSE),0)</f>
        <v>0</v>
      </c>
      <c r="AC492" s="33"/>
      <c r="AD492" s="33"/>
      <c r="AE492" s="33">
        <f>Ruimtestaat[[#This Row],[uren / jaar weekend]]*Tariefsopbouw!$D$40</f>
        <v>0</v>
      </c>
      <c r="AF492" s="79">
        <f>Ruimtestaat[[#This Row],[Prest. (m2 /jaar) weekend]]+Ruimtestaat[[#This Row],[Prest. (m2 /jaar) werkdagen]]</f>
        <v>18000</v>
      </c>
      <c r="AG492" s="79">
        <f>Ruimtestaat[[#This Row],[uren / jaar weekend]]+Ruimtestaat[[#This Row],[uren / jaar werkdagen]]</f>
        <v>0</v>
      </c>
      <c r="AH492" s="80">
        <f>Ruimtestaat[[#This Row],[kosten / jaar weekend]]+Ruimtestaat[[#This Row],[kosten / jaar werkdagen]]</f>
        <v>0</v>
      </c>
    </row>
    <row r="493" spans="1:34" ht="15" customHeight="1">
      <c r="A493" s="256">
        <v>13</v>
      </c>
      <c r="B493" s="171" t="str">
        <f>VLOOKUP(Ruimtestaat[[#This Row],[Code]],Locaties[#All],2,FALSE)</f>
        <v>Neon College – Hengelo</v>
      </c>
      <c r="C493" s="258" t="str">
        <f>VLOOKUP(Ruimtestaat[[#This Row],[Code]],Locaties[#All],4,FALSE)</f>
        <v>Sportlaan Driene 8-10</v>
      </c>
      <c r="D493" s="258" t="str">
        <f>VLOOKUP(Ruimtestaat[[#This Row],[Code]],Locaties[#All],5,FALSE)</f>
        <v>7552 Ha</v>
      </c>
      <c r="E493" s="258" t="str">
        <f>VLOOKUP(Ruimtestaat[[#This Row],[Code]],Locaties[#All],6,FALSE)</f>
        <v>Hengelo</v>
      </c>
      <c r="F493" s="257"/>
      <c r="G493" s="257" t="s">
        <v>563</v>
      </c>
      <c r="H493" s="171"/>
      <c r="I493" s="257" t="s">
        <v>903</v>
      </c>
      <c r="J493" s="259" t="s">
        <v>576</v>
      </c>
      <c r="K493" s="258">
        <v>16</v>
      </c>
      <c r="L493" s="260" t="str">
        <f>VLOOKUP(Ruimtestaat[[#This Row],[Ruimte code]],Ruimtegroepen[#All],2,FALSE)</f>
        <v>Leslokalen</v>
      </c>
      <c r="M493" s="258" t="s">
        <v>597</v>
      </c>
      <c r="N493" s="257" t="s">
        <v>38</v>
      </c>
      <c r="O493" s="261">
        <v>52</v>
      </c>
      <c r="P493" s="183"/>
      <c r="Q493" s="212" t="str">
        <f>VLOOKUP(Ruimtestaat[[#This Row],[Ruimte code]],Ruimtegroepen[#All],4,FALSE)</f>
        <v>L  (Lesruimte)</v>
      </c>
      <c r="R493" s="184"/>
      <c r="S493" s="185">
        <v>40</v>
      </c>
      <c r="T493" s="185" t="s">
        <v>2</v>
      </c>
      <c r="U493" s="185">
        <f>IF(S493&gt;0,IF(RIGHT(Ruimtestaat[[#This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3" s="185">
        <f>IF(U493&gt;0,VLOOKUP($K493,Ruimtegroepen[],3,FALSE)*VLOOKUP($M493,Vloersoorten[],3,FALSE)*VLOOKUP($T493,Frequenties[],3,FALSE)*VLOOKUP($A493,Locaties[],3,FALSE),0)</f>
        <v>0</v>
      </c>
      <c r="W493" s="185">
        <f>Ruimtestaat[[#This Row],[Uitvoeringen werkdagen]]*Ruimtestaat[[#This Row],[Oppervlak (netto)]]</f>
        <v>10400</v>
      </c>
      <c r="X493" s="220">
        <f>IF(V493&gt;0,Ruimtestaat[[#This Row],[Prest. (m2 /jaar) werkdagen]]/Ruimtestaat[[#This Row],[Norm (m2/uur) werkdagen]],0)</f>
        <v>0</v>
      </c>
      <c r="Y493" s="221">
        <f>Ruimtestaat[[#This Row],[uren / jaar werkdagen]]*Tariefsopbouw!$D$38</f>
        <v>0</v>
      </c>
      <c r="Z493" s="33"/>
      <c r="AA493" s="33">
        <f>IF(Ruimtestaat[[#This Row],[Frequentie weekend]]&gt;0,VALUE(LEFT(Z493,1))*S493,0)</f>
        <v>0</v>
      </c>
      <c r="AB493" s="33">
        <f>IF($AA493&gt;0,VLOOKUP($K493,Ruimtegroepen[],3,FALSE)*VLOOKUP($M493,Vloersoorten[],3,FALSE)*VLOOKUP($Z493,Frequenties[],3,FALSE)*VLOOKUP(#REF!,Locaties[],3,FALSE),0)</f>
        <v>0</v>
      </c>
      <c r="AC493" s="33"/>
      <c r="AD493" s="33"/>
      <c r="AE493" s="33">
        <f>Ruimtestaat[[#This Row],[uren / jaar weekend]]*Tariefsopbouw!$D$40</f>
        <v>0</v>
      </c>
      <c r="AF493" s="79">
        <f>Ruimtestaat[[#This Row],[Prest. (m2 /jaar) weekend]]+Ruimtestaat[[#This Row],[Prest. (m2 /jaar) werkdagen]]</f>
        <v>10400</v>
      </c>
      <c r="AG493" s="79">
        <f>Ruimtestaat[[#This Row],[uren / jaar weekend]]+Ruimtestaat[[#This Row],[uren / jaar werkdagen]]</f>
        <v>0</v>
      </c>
      <c r="AH493" s="80">
        <f>Ruimtestaat[[#This Row],[kosten / jaar weekend]]+Ruimtestaat[[#This Row],[kosten / jaar werkdagen]]</f>
        <v>0</v>
      </c>
    </row>
    <row r="494" spans="1:34" ht="15" customHeight="1">
      <c r="A494" s="256">
        <v>13</v>
      </c>
      <c r="B494" s="171" t="str">
        <f>VLOOKUP(Ruimtestaat[[#This Row],[Code]],Locaties[#All],2,FALSE)</f>
        <v>Neon College – Hengelo</v>
      </c>
      <c r="C494" s="258" t="str">
        <f>VLOOKUP(Ruimtestaat[[#This Row],[Code]],Locaties[#All],4,FALSE)</f>
        <v>Sportlaan Driene 8-10</v>
      </c>
      <c r="D494" s="258" t="str">
        <f>VLOOKUP(Ruimtestaat[[#This Row],[Code]],Locaties[#All],5,FALSE)</f>
        <v>7552 Ha</v>
      </c>
      <c r="E494" s="258" t="str">
        <f>VLOOKUP(Ruimtestaat[[#This Row],[Code]],Locaties[#All],6,FALSE)</f>
        <v>Hengelo</v>
      </c>
      <c r="F494" s="257"/>
      <c r="G494" s="257" t="s">
        <v>563</v>
      </c>
      <c r="H494" s="171"/>
      <c r="I494" s="257" t="s">
        <v>904</v>
      </c>
      <c r="J494" s="259" t="s">
        <v>576</v>
      </c>
      <c r="K494" s="258">
        <v>16</v>
      </c>
      <c r="L494" s="260" t="str">
        <f>VLOOKUP(Ruimtestaat[[#This Row],[Ruimte code]],Ruimtegroepen[#All],2,FALSE)</f>
        <v>Leslokalen</v>
      </c>
      <c r="M494" s="212" t="s">
        <v>597</v>
      </c>
      <c r="N494" s="257" t="s">
        <v>38</v>
      </c>
      <c r="O494" s="261">
        <v>72</v>
      </c>
      <c r="P494" s="183"/>
      <c r="Q494" s="212" t="str">
        <f>VLOOKUP(Ruimtestaat[[#This Row],[Ruimte code]],Ruimtegroepen[#All],4,FALSE)</f>
        <v>L  (Lesruimte)</v>
      </c>
      <c r="R494" s="184"/>
      <c r="S494" s="185">
        <v>40</v>
      </c>
      <c r="T494" s="185" t="s">
        <v>2</v>
      </c>
      <c r="U494" s="185">
        <f>IF(S494&gt;0,IF(RIGHT(Ruimtestaat[[#This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4" s="185">
        <f>IF(U494&gt;0,VLOOKUP($K494,Ruimtegroepen[],3,FALSE)*VLOOKUP($M494,Vloersoorten[],3,FALSE)*VLOOKUP($T494,Frequenties[],3,FALSE)*VLOOKUP($A494,Locaties[],3,FALSE),0)</f>
        <v>0</v>
      </c>
      <c r="W494" s="185">
        <f>Ruimtestaat[[#This Row],[Uitvoeringen werkdagen]]*Ruimtestaat[[#This Row],[Oppervlak (netto)]]</f>
        <v>14400</v>
      </c>
      <c r="X494" s="220">
        <f>IF(V494&gt;0,Ruimtestaat[[#This Row],[Prest. (m2 /jaar) werkdagen]]/Ruimtestaat[[#This Row],[Norm (m2/uur) werkdagen]],0)</f>
        <v>0</v>
      </c>
      <c r="Y494" s="221">
        <f>Ruimtestaat[[#This Row],[uren / jaar werkdagen]]*Tariefsopbouw!$D$38</f>
        <v>0</v>
      </c>
      <c r="Z494" s="33"/>
      <c r="AA494" s="33">
        <f>IF(Ruimtestaat[[#This Row],[Frequentie weekend]]&gt;0,VALUE(LEFT(Z494,1))*S494,0)</f>
        <v>0</v>
      </c>
      <c r="AB494" s="33">
        <f>IF($AA494&gt;0,VLOOKUP($K494,Ruimtegroepen[],3,FALSE)*VLOOKUP($M494,Vloersoorten[],3,FALSE)*VLOOKUP($Z494,Frequenties[],3,FALSE)*VLOOKUP(#REF!,Locaties[],3,FALSE),0)</f>
        <v>0</v>
      </c>
      <c r="AC494" s="33"/>
      <c r="AD494" s="33"/>
      <c r="AE494" s="33">
        <f>Ruimtestaat[[#This Row],[uren / jaar weekend]]*Tariefsopbouw!$D$40</f>
        <v>0</v>
      </c>
      <c r="AF494" s="79">
        <f>Ruimtestaat[[#This Row],[Prest. (m2 /jaar) weekend]]+Ruimtestaat[[#This Row],[Prest. (m2 /jaar) werkdagen]]</f>
        <v>14400</v>
      </c>
      <c r="AG494" s="79">
        <f>Ruimtestaat[[#This Row],[uren / jaar weekend]]+Ruimtestaat[[#This Row],[uren / jaar werkdagen]]</f>
        <v>0</v>
      </c>
      <c r="AH494" s="80">
        <f>Ruimtestaat[[#This Row],[kosten / jaar weekend]]+Ruimtestaat[[#This Row],[kosten / jaar werkdagen]]</f>
        <v>0</v>
      </c>
    </row>
    <row r="495" spans="1:34" ht="15" customHeight="1">
      <c r="A495" s="256">
        <v>13</v>
      </c>
      <c r="B495" s="171" t="str">
        <f>VLOOKUP(Ruimtestaat[[#This Row],[Code]],Locaties[#All],2,FALSE)</f>
        <v>Neon College – Hengelo</v>
      </c>
      <c r="C495" s="258" t="str">
        <f>VLOOKUP(Ruimtestaat[[#This Row],[Code]],Locaties[#All],4,FALSE)</f>
        <v>Sportlaan Driene 8-10</v>
      </c>
      <c r="D495" s="258" t="str">
        <f>VLOOKUP(Ruimtestaat[[#This Row],[Code]],Locaties[#All],5,FALSE)</f>
        <v>7552 Ha</v>
      </c>
      <c r="E495" s="258" t="str">
        <f>VLOOKUP(Ruimtestaat[[#This Row],[Code]],Locaties[#All],6,FALSE)</f>
        <v>Hengelo</v>
      </c>
      <c r="F495" s="257"/>
      <c r="G495" s="257" t="s">
        <v>563</v>
      </c>
      <c r="H495" s="171"/>
      <c r="I495" s="257" t="s">
        <v>905</v>
      </c>
      <c r="J495" s="259" t="s">
        <v>576</v>
      </c>
      <c r="K495" s="171">
        <v>16</v>
      </c>
      <c r="L495" s="260" t="str">
        <f>VLOOKUP(Ruimtestaat[[#This Row],[Ruimte code]],Ruimtegroepen[#All],2,FALSE)</f>
        <v>Leslokalen</v>
      </c>
      <c r="M495" s="258" t="s">
        <v>597</v>
      </c>
      <c r="N495" s="257" t="s">
        <v>38</v>
      </c>
      <c r="O495" s="261">
        <v>51</v>
      </c>
      <c r="P495" s="183"/>
      <c r="Q495" s="212" t="str">
        <f>VLOOKUP(Ruimtestaat[[#This Row],[Ruimte code]],Ruimtegroepen[#All],4,FALSE)</f>
        <v>L  (Lesruimte)</v>
      </c>
      <c r="R495" s="184"/>
      <c r="S495" s="185">
        <v>40</v>
      </c>
      <c r="T495" s="185" t="s">
        <v>2</v>
      </c>
      <c r="U495" s="185">
        <f>IF(S495&gt;0,IF(RIGHT(Ruimtestaat[[#This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5" s="185">
        <f>IF(U495&gt;0,VLOOKUP($K495,Ruimtegroepen[],3,FALSE)*VLOOKUP($M495,Vloersoorten[],3,FALSE)*VLOOKUP($T495,Frequenties[],3,FALSE)*VLOOKUP($A495,Locaties[],3,FALSE),0)</f>
        <v>0</v>
      </c>
      <c r="W495" s="185">
        <f>Ruimtestaat[[#This Row],[Uitvoeringen werkdagen]]*Ruimtestaat[[#This Row],[Oppervlak (netto)]]</f>
        <v>10200</v>
      </c>
      <c r="X495" s="220">
        <f>IF(V495&gt;0,Ruimtestaat[[#This Row],[Prest. (m2 /jaar) werkdagen]]/Ruimtestaat[[#This Row],[Norm (m2/uur) werkdagen]],0)</f>
        <v>0</v>
      </c>
      <c r="Y495" s="221">
        <f>Ruimtestaat[[#This Row],[uren / jaar werkdagen]]*Tariefsopbouw!$D$38</f>
        <v>0</v>
      </c>
      <c r="Z495" s="33"/>
      <c r="AA495" s="33">
        <f>IF(Ruimtestaat[[#This Row],[Frequentie weekend]]&gt;0,VALUE(LEFT(Z495,1))*S495,0)</f>
        <v>0</v>
      </c>
      <c r="AB495" s="33">
        <f>IF($AA495&gt;0,VLOOKUP($K495,Ruimtegroepen[],3,FALSE)*VLOOKUP($M495,Vloersoorten[],3,FALSE)*VLOOKUP($Z495,Frequenties[],3,FALSE)*VLOOKUP(#REF!,Locaties[],3,FALSE),0)</f>
        <v>0</v>
      </c>
      <c r="AC495" s="33"/>
      <c r="AD495" s="33"/>
      <c r="AE495" s="33">
        <f>Ruimtestaat[[#This Row],[uren / jaar weekend]]*Tariefsopbouw!$D$40</f>
        <v>0</v>
      </c>
      <c r="AF495" s="79">
        <f>Ruimtestaat[[#This Row],[Prest. (m2 /jaar) weekend]]+Ruimtestaat[[#This Row],[Prest. (m2 /jaar) werkdagen]]</f>
        <v>10200</v>
      </c>
      <c r="AG495" s="79">
        <f>Ruimtestaat[[#This Row],[uren / jaar weekend]]+Ruimtestaat[[#This Row],[uren / jaar werkdagen]]</f>
        <v>0</v>
      </c>
      <c r="AH495" s="80">
        <f>Ruimtestaat[[#This Row],[kosten / jaar weekend]]+Ruimtestaat[[#This Row],[kosten / jaar werkdagen]]</f>
        <v>0</v>
      </c>
    </row>
    <row r="496" spans="1:34" ht="15" customHeight="1">
      <c r="A496" s="256">
        <v>13</v>
      </c>
      <c r="B496" s="171" t="str">
        <f>VLOOKUP(Ruimtestaat[[#This Row],[Code]],Locaties[#All],2,FALSE)</f>
        <v>Neon College – Hengelo</v>
      </c>
      <c r="C496" s="258" t="str">
        <f>VLOOKUP(Ruimtestaat[[#This Row],[Code]],Locaties[#All],4,FALSE)</f>
        <v>Sportlaan Driene 8-10</v>
      </c>
      <c r="D496" s="258" t="str">
        <f>VLOOKUP(Ruimtestaat[[#This Row],[Code]],Locaties[#All],5,FALSE)</f>
        <v>7552 Ha</v>
      </c>
      <c r="E496" s="258" t="str">
        <f>VLOOKUP(Ruimtestaat[[#This Row],[Code]],Locaties[#All],6,FALSE)</f>
        <v>Hengelo</v>
      </c>
      <c r="F496" s="257"/>
      <c r="G496" s="257" t="s">
        <v>563</v>
      </c>
      <c r="H496" s="171"/>
      <c r="I496" s="257" t="s">
        <v>906</v>
      </c>
      <c r="J496" s="259" t="s">
        <v>748</v>
      </c>
      <c r="K496" s="171">
        <v>9</v>
      </c>
      <c r="L496" s="260" t="str">
        <f>VLOOKUP(Ruimtestaat[[#This Row],[Ruimte code]],Ruimtegroepen[#All],2,FALSE)</f>
        <v>Time-out ruimte</v>
      </c>
      <c r="M496" s="212" t="s">
        <v>597</v>
      </c>
      <c r="N496" s="257" t="s">
        <v>38</v>
      </c>
      <c r="O496" s="261">
        <v>12</v>
      </c>
      <c r="P496" s="183"/>
      <c r="Q496" s="212" t="str">
        <f>VLOOKUP(Ruimtestaat[[#This Row],[Ruimte code]],Ruimtegroepen[#All],4,FALSE)</f>
        <v>V  (Verkeersruimte)</v>
      </c>
      <c r="R496" s="184"/>
      <c r="S496" s="185">
        <v>40</v>
      </c>
      <c r="T496" s="185" t="s">
        <v>15</v>
      </c>
      <c r="U496" s="185">
        <f>IF(S496&gt;0,IF(RIGHT(Ruimtestaat[[#This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96" s="185">
        <f>IF(U496&gt;0,VLOOKUP($K496,Ruimtegroepen[],3,FALSE)*VLOOKUP($M496,Vloersoorten[],3,FALSE)*VLOOKUP($T496,Frequenties[],3,FALSE)*VLOOKUP($A496,Locaties[],3,FALSE),0)</f>
        <v>0</v>
      </c>
      <c r="W496" s="185">
        <f>Ruimtestaat[[#This Row],[Uitvoeringen werkdagen]]*Ruimtestaat[[#This Row],[Oppervlak (netto)]]</f>
        <v>480</v>
      </c>
      <c r="X496" s="220">
        <f>IF(V496&gt;0,Ruimtestaat[[#This Row],[Prest. (m2 /jaar) werkdagen]]/Ruimtestaat[[#This Row],[Norm (m2/uur) werkdagen]],0)</f>
        <v>0</v>
      </c>
      <c r="Y496" s="221">
        <f>Ruimtestaat[[#This Row],[uren / jaar werkdagen]]*Tariefsopbouw!$D$38</f>
        <v>0</v>
      </c>
      <c r="Z496" s="33"/>
      <c r="AA496" s="33">
        <f>IF(Ruimtestaat[[#This Row],[Frequentie weekend]]&gt;0,VALUE(LEFT(Z496,1))*S496,0)</f>
        <v>0</v>
      </c>
      <c r="AB496" s="33">
        <f>IF($AA496&gt;0,VLOOKUP($K496,Ruimtegroepen[],3,FALSE)*VLOOKUP($M496,Vloersoorten[],3,FALSE)*VLOOKUP($Z496,Frequenties[],3,FALSE)*VLOOKUP(#REF!,Locaties[],3,FALSE),0)</f>
        <v>0</v>
      </c>
      <c r="AC496" s="33"/>
      <c r="AD496" s="33"/>
      <c r="AE496" s="33">
        <f>Ruimtestaat[[#This Row],[uren / jaar weekend]]*Tariefsopbouw!$D$40</f>
        <v>0</v>
      </c>
      <c r="AF496" s="79">
        <f>Ruimtestaat[[#This Row],[Prest. (m2 /jaar) weekend]]+Ruimtestaat[[#This Row],[Prest. (m2 /jaar) werkdagen]]</f>
        <v>480</v>
      </c>
      <c r="AG496" s="79">
        <f>Ruimtestaat[[#This Row],[uren / jaar weekend]]+Ruimtestaat[[#This Row],[uren / jaar werkdagen]]</f>
        <v>0</v>
      </c>
      <c r="AH496" s="80">
        <f>Ruimtestaat[[#This Row],[kosten / jaar weekend]]+Ruimtestaat[[#This Row],[kosten / jaar werkdagen]]</f>
        <v>0</v>
      </c>
    </row>
    <row r="497" spans="1:34" ht="15" customHeight="1">
      <c r="A497" s="256">
        <v>13</v>
      </c>
      <c r="B497" s="171" t="str">
        <f>VLOOKUP(Ruimtestaat[[#This Row],[Code]],Locaties[#All],2,FALSE)</f>
        <v>Neon College – Hengelo</v>
      </c>
      <c r="C497" s="258" t="str">
        <f>VLOOKUP(Ruimtestaat[[#This Row],[Code]],Locaties[#All],4,FALSE)</f>
        <v>Sportlaan Driene 8-10</v>
      </c>
      <c r="D497" s="258" t="str">
        <f>VLOOKUP(Ruimtestaat[[#This Row],[Code]],Locaties[#All],5,FALSE)</f>
        <v>7552 Ha</v>
      </c>
      <c r="E497" s="258" t="str">
        <f>VLOOKUP(Ruimtestaat[[#This Row],[Code]],Locaties[#All],6,FALSE)</f>
        <v>Hengelo</v>
      </c>
      <c r="F497" s="257"/>
      <c r="G497" s="257" t="s">
        <v>563</v>
      </c>
      <c r="H497" s="171"/>
      <c r="I497" s="257" t="s">
        <v>907</v>
      </c>
      <c r="J497" s="259" t="s">
        <v>571</v>
      </c>
      <c r="K497" s="185">
        <v>2</v>
      </c>
      <c r="L497" s="260" t="str">
        <f>VLOOKUP(Ruimtestaat[[#This Row],[Ruimte code]],Ruimtegroepen[#All],2,FALSE)</f>
        <v>Kantoren</v>
      </c>
      <c r="M497" s="258" t="s">
        <v>598</v>
      </c>
      <c r="N497" s="257" t="s">
        <v>132</v>
      </c>
      <c r="O497" s="261">
        <v>23</v>
      </c>
      <c r="P497" s="183"/>
      <c r="Q497" s="212" t="str">
        <f>VLOOKUP(Ruimtestaat[[#This Row],[Ruimte code]],Ruimtegroepen[#All],4,FALSE)</f>
        <v>B  (Bureauruimte)</v>
      </c>
      <c r="R497" s="184"/>
      <c r="S497" s="185">
        <v>40</v>
      </c>
      <c r="T497" s="185" t="s">
        <v>18</v>
      </c>
      <c r="U497" s="185">
        <f>IF(S497&gt;0,IF(RIGHT(Ruimtestaat[[#This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497" s="185">
        <f>IF(U497&gt;0,VLOOKUP($K497,Ruimtegroepen[],3,FALSE)*VLOOKUP($M497,Vloersoorten[],3,FALSE)*VLOOKUP($T497,Frequenties[],3,FALSE)*VLOOKUP($A497,Locaties[],3,FALSE),0)</f>
        <v>0</v>
      </c>
      <c r="W497" s="185">
        <f>Ruimtestaat[[#This Row],[Uitvoeringen werkdagen]]*Ruimtestaat[[#This Row],[Oppervlak (netto)]]</f>
        <v>2760</v>
      </c>
      <c r="X497" s="220">
        <f>IF(V497&gt;0,Ruimtestaat[[#This Row],[Prest. (m2 /jaar) werkdagen]]/Ruimtestaat[[#This Row],[Norm (m2/uur) werkdagen]],0)</f>
        <v>0</v>
      </c>
      <c r="Y497" s="221">
        <f>Ruimtestaat[[#This Row],[uren / jaar werkdagen]]*Tariefsopbouw!$D$38</f>
        <v>0</v>
      </c>
      <c r="Z497" s="33"/>
      <c r="AA497" s="33">
        <f>IF(Ruimtestaat[[#This Row],[Frequentie weekend]]&gt;0,VALUE(LEFT(Z497,1))*S497,0)</f>
        <v>0</v>
      </c>
      <c r="AB497" s="33">
        <f>IF($AA497&gt;0,VLOOKUP($K497,Ruimtegroepen[],3,FALSE)*VLOOKUP($M497,Vloersoorten[],3,FALSE)*VLOOKUP($Z497,Frequenties[],3,FALSE)*VLOOKUP(#REF!,Locaties[],3,FALSE),0)</f>
        <v>0</v>
      </c>
      <c r="AC497" s="33"/>
      <c r="AD497" s="33"/>
      <c r="AE497" s="33">
        <f>Ruimtestaat[[#This Row],[uren / jaar weekend]]*Tariefsopbouw!$D$40</f>
        <v>0</v>
      </c>
      <c r="AF497" s="79">
        <f>Ruimtestaat[[#This Row],[Prest. (m2 /jaar) weekend]]+Ruimtestaat[[#This Row],[Prest. (m2 /jaar) werkdagen]]</f>
        <v>2760</v>
      </c>
      <c r="AG497" s="79">
        <f>Ruimtestaat[[#This Row],[uren / jaar weekend]]+Ruimtestaat[[#This Row],[uren / jaar werkdagen]]</f>
        <v>0</v>
      </c>
      <c r="AH497" s="80">
        <f>Ruimtestaat[[#This Row],[kosten / jaar weekend]]+Ruimtestaat[[#This Row],[kosten / jaar werkdagen]]</f>
        <v>0</v>
      </c>
    </row>
    <row r="498" spans="1:34" ht="15" customHeight="1">
      <c r="A498" s="256">
        <v>13</v>
      </c>
      <c r="B498" s="171" t="str">
        <f>VLOOKUP(Ruimtestaat[[#This Row],[Code]],Locaties[#All],2,FALSE)</f>
        <v>Neon College – Hengelo</v>
      </c>
      <c r="C498" s="258" t="str">
        <f>VLOOKUP(Ruimtestaat[[#This Row],[Code]],Locaties[#All],4,FALSE)</f>
        <v>Sportlaan Driene 8-10</v>
      </c>
      <c r="D498" s="258" t="str">
        <f>VLOOKUP(Ruimtestaat[[#This Row],[Code]],Locaties[#All],5,FALSE)</f>
        <v>7552 Ha</v>
      </c>
      <c r="E498" s="258" t="str">
        <f>VLOOKUP(Ruimtestaat[[#This Row],[Code]],Locaties[#All],6,FALSE)</f>
        <v>Hengelo</v>
      </c>
      <c r="F498" s="257"/>
      <c r="G498" s="257" t="s">
        <v>563</v>
      </c>
      <c r="H498" s="171"/>
      <c r="I498" s="257" t="s">
        <v>908</v>
      </c>
      <c r="J498" s="259" t="s">
        <v>61</v>
      </c>
      <c r="K498" s="258">
        <v>3</v>
      </c>
      <c r="L498" s="260" t="str">
        <f>VLOOKUP(Ruimtestaat[[#This Row],[Ruimte code]],Ruimtegroepen[#All],2,FALSE)</f>
        <v>Reproruimte</v>
      </c>
      <c r="M498" s="258" t="s">
        <v>597</v>
      </c>
      <c r="N498" s="257" t="s">
        <v>38</v>
      </c>
      <c r="O498" s="261">
        <v>8</v>
      </c>
      <c r="P498" s="183"/>
      <c r="Q498" s="212" t="str">
        <f>VLOOKUP(Ruimtestaat[[#This Row],[Ruimte code]],Ruimtegroepen[#All],4,FALSE)</f>
        <v>V  (Verkeersruimte)</v>
      </c>
      <c r="R498" s="184"/>
      <c r="S498" s="185">
        <v>40</v>
      </c>
      <c r="T498" s="185" t="s">
        <v>17</v>
      </c>
      <c r="U498" s="185">
        <f>IF(S498&gt;0,IF(RIGHT(Ruimtestaat[[#This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498" s="185">
        <f>IF(U498&gt;0,VLOOKUP($K498,Ruimtegroepen[],3,FALSE)*VLOOKUP($M498,Vloersoorten[],3,FALSE)*VLOOKUP($T498,Frequenties[],3,FALSE)*VLOOKUP($A498,Locaties[],3,FALSE),0)</f>
        <v>0</v>
      </c>
      <c r="W498" s="185">
        <f>Ruimtestaat[[#This Row],[Uitvoeringen werkdagen]]*Ruimtestaat[[#This Row],[Oppervlak (netto)]]</f>
        <v>640</v>
      </c>
      <c r="X498" s="220">
        <f>IF(V498&gt;0,Ruimtestaat[[#This Row],[Prest. (m2 /jaar) werkdagen]]/Ruimtestaat[[#This Row],[Norm (m2/uur) werkdagen]],0)</f>
        <v>0</v>
      </c>
      <c r="Y498" s="221">
        <f>Ruimtestaat[[#This Row],[uren / jaar werkdagen]]*Tariefsopbouw!$D$38</f>
        <v>0</v>
      </c>
      <c r="Z498" s="33"/>
      <c r="AA498" s="33">
        <f>IF(Ruimtestaat[[#This Row],[Frequentie weekend]]&gt;0,VALUE(LEFT(Z498,1))*S498,0)</f>
        <v>0</v>
      </c>
      <c r="AB498" s="33">
        <f>IF($AA498&gt;0,VLOOKUP($K498,Ruimtegroepen[],3,FALSE)*VLOOKUP($M498,Vloersoorten[],3,FALSE)*VLOOKUP($Z498,Frequenties[],3,FALSE)*VLOOKUP(#REF!,Locaties[],3,FALSE),0)</f>
        <v>0</v>
      </c>
      <c r="AC498" s="33"/>
      <c r="AD498" s="33"/>
      <c r="AE498" s="33">
        <f>Ruimtestaat[[#This Row],[uren / jaar weekend]]*Tariefsopbouw!$D$40</f>
        <v>0</v>
      </c>
      <c r="AF498" s="79">
        <f>Ruimtestaat[[#This Row],[Prest. (m2 /jaar) weekend]]+Ruimtestaat[[#This Row],[Prest. (m2 /jaar) werkdagen]]</f>
        <v>640</v>
      </c>
      <c r="AG498" s="79">
        <f>Ruimtestaat[[#This Row],[uren / jaar weekend]]+Ruimtestaat[[#This Row],[uren / jaar werkdagen]]</f>
        <v>0</v>
      </c>
      <c r="AH498" s="80">
        <f>Ruimtestaat[[#This Row],[kosten / jaar weekend]]+Ruimtestaat[[#This Row],[kosten / jaar werkdagen]]</f>
        <v>0</v>
      </c>
    </row>
    <row r="499" spans="1:34" ht="15" customHeight="1">
      <c r="A499" s="256">
        <v>13</v>
      </c>
      <c r="B499" s="171" t="str">
        <f>VLOOKUP(Ruimtestaat[[#This Row],[Code]],Locaties[#All],2,FALSE)</f>
        <v>Neon College – Hengelo</v>
      </c>
      <c r="C499" s="258" t="str">
        <f>VLOOKUP(Ruimtestaat[[#This Row],[Code]],Locaties[#All],4,FALSE)</f>
        <v>Sportlaan Driene 8-10</v>
      </c>
      <c r="D499" s="258" t="str">
        <f>VLOOKUP(Ruimtestaat[[#This Row],[Code]],Locaties[#All],5,FALSE)</f>
        <v>7552 Ha</v>
      </c>
      <c r="E499" s="258" t="str">
        <f>VLOOKUP(Ruimtestaat[[#This Row],[Code]],Locaties[#All],6,FALSE)</f>
        <v>Hengelo</v>
      </c>
      <c r="F499" s="257"/>
      <c r="G499" s="257" t="s">
        <v>563</v>
      </c>
      <c r="H499" s="171"/>
      <c r="I499" s="257" t="s">
        <v>909</v>
      </c>
      <c r="J499" s="259" t="s">
        <v>593</v>
      </c>
      <c r="K499" s="171">
        <v>14</v>
      </c>
      <c r="L499" s="260" t="str">
        <f>VLOOKUP(Ruimtestaat[[#This Row],[Ruimte code]],Ruimtegroepen[#All],2,FALSE)</f>
        <v>Praktijklokalen</v>
      </c>
      <c r="M499" s="212" t="s">
        <v>111</v>
      </c>
      <c r="N499" s="257" t="s">
        <v>605</v>
      </c>
      <c r="O499" s="261">
        <v>57</v>
      </c>
      <c r="P499" s="183"/>
      <c r="Q499" s="212" t="str">
        <f>VLOOKUP(Ruimtestaat[[#This Row],[Ruimte code]],Ruimtegroepen[#All],4,FALSE)</f>
        <v>L  (Lesruimte)</v>
      </c>
      <c r="R499" s="184"/>
      <c r="S499" s="185">
        <v>40</v>
      </c>
      <c r="T499" s="185" t="s">
        <v>2</v>
      </c>
      <c r="U499" s="185">
        <f>IF(S499&gt;0,IF(RIGHT(Ruimtestaat[[#This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9" s="185">
        <f>IF(U499&gt;0,VLOOKUP($K499,Ruimtegroepen[],3,FALSE)*VLOOKUP($M499,Vloersoorten[],3,FALSE)*VLOOKUP($T499,Frequenties[],3,FALSE)*VLOOKUP($A499,Locaties[],3,FALSE),0)</f>
        <v>0</v>
      </c>
      <c r="W499" s="185">
        <f>Ruimtestaat[[#This Row],[Uitvoeringen werkdagen]]*Ruimtestaat[[#This Row],[Oppervlak (netto)]]</f>
        <v>11400</v>
      </c>
      <c r="X499" s="220">
        <f>IF(V499&gt;0,Ruimtestaat[[#This Row],[Prest. (m2 /jaar) werkdagen]]/Ruimtestaat[[#This Row],[Norm (m2/uur) werkdagen]],0)</f>
        <v>0</v>
      </c>
      <c r="Y499" s="221">
        <f>Ruimtestaat[[#This Row],[uren / jaar werkdagen]]*Tariefsopbouw!$D$38</f>
        <v>0</v>
      </c>
      <c r="Z499" s="33"/>
      <c r="AA499" s="33">
        <f>IF(Ruimtestaat[[#This Row],[Frequentie weekend]]&gt;0,VALUE(LEFT(Z499,1))*S499,0)</f>
        <v>0</v>
      </c>
      <c r="AB499" s="33">
        <f>IF($AA499&gt;0,VLOOKUP($K499,Ruimtegroepen[],3,FALSE)*VLOOKUP($M499,Vloersoorten[],3,FALSE)*VLOOKUP($Z499,Frequenties[],3,FALSE)*VLOOKUP(#REF!,Locaties[],3,FALSE),0)</f>
        <v>0</v>
      </c>
      <c r="AC499" s="33"/>
      <c r="AD499" s="33"/>
      <c r="AE499" s="33">
        <f>Ruimtestaat[[#This Row],[uren / jaar weekend]]*Tariefsopbouw!$D$40</f>
        <v>0</v>
      </c>
      <c r="AF499" s="79">
        <f>Ruimtestaat[[#This Row],[Prest. (m2 /jaar) weekend]]+Ruimtestaat[[#This Row],[Prest. (m2 /jaar) werkdagen]]</f>
        <v>11400</v>
      </c>
      <c r="AG499" s="79">
        <f>Ruimtestaat[[#This Row],[uren / jaar weekend]]+Ruimtestaat[[#This Row],[uren / jaar werkdagen]]</f>
        <v>0</v>
      </c>
      <c r="AH499" s="80">
        <f>Ruimtestaat[[#This Row],[kosten / jaar weekend]]+Ruimtestaat[[#This Row],[kosten / jaar werkdagen]]</f>
        <v>0</v>
      </c>
    </row>
    <row r="500" spans="1:34" ht="15" customHeight="1">
      <c r="A500" s="256">
        <v>13</v>
      </c>
      <c r="B500" s="171" t="str">
        <f>VLOOKUP(Ruimtestaat[[#This Row],[Code]],Locaties[#All],2,FALSE)</f>
        <v>Neon College – Hengelo</v>
      </c>
      <c r="C500" s="258" t="str">
        <f>VLOOKUP(Ruimtestaat[[#This Row],[Code]],Locaties[#All],4,FALSE)</f>
        <v>Sportlaan Driene 8-10</v>
      </c>
      <c r="D500" s="258" t="str">
        <f>VLOOKUP(Ruimtestaat[[#This Row],[Code]],Locaties[#All],5,FALSE)</f>
        <v>7552 Ha</v>
      </c>
      <c r="E500" s="258" t="str">
        <f>VLOOKUP(Ruimtestaat[[#This Row],[Code]],Locaties[#All],6,FALSE)</f>
        <v>Hengelo</v>
      </c>
      <c r="F500" s="257"/>
      <c r="G500" s="257" t="s">
        <v>563</v>
      </c>
      <c r="H500" s="171"/>
      <c r="I500" s="257" t="s">
        <v>910</v>
      </c>
      <c r="J500" s="259" t="s">
        <v>911</v>
      </c>
      <c r="K500" s="171">
        <v>14</v>
      </c>
      <c r="L500" s="260" t="str">
        <f>VLOOKUP(Ruimtestaat[[#This Row],[Ruimte code]],Ruimtegroepen[#All],2,FALSE)</f>
        <v>Praktijklokalen</v>
      </c>
      <c r="M500" s="212" t="s">
        <v>112</v>
      </c>
      <c r="N500" s="257" t="s">
        <v>776</v>
      </c>
      <c r="O500" s="261">
        <v>57</v>
      </c>
      <c r="P500" s="183"/>
      <c r="Q500" s="212" t="str">
        <f>VLOOKUP(Ruimtestaat[[#This Row],[Ruimte code]],Ruimtegroepen[#All],4,FALSE)</f>
        <v>L  (Lesruimte)</v>
      </c>
      <c r="R500" s="184"/>
      <c r="S500" s="185">
        <v>40</v>
      </c>
      <c r="T500" s="185" t="s">
        <v>17</v>
      </c>
      <c r="U500" s="185">
        <f>IF(S500&gt;0,IF(RIGHT(Ruimtestaat[[#This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00" s="185">
        <f>IF(U500&gt;0,VLOOKUP($K500,Ruimtegroepen[],3,FALSE)*VLOOKUP($M500,Vloersoorten[],3,FALSE)*VLOOKUP($T500,Frequenties[],3,FALSE)*VLOOKUP($A500,Locaties[],3,FALSE),0)</f>
        <v>0</v>
      </c>
      <c r="W500" s="185">
        <f>Ruimtestaat[[#This Row],[Uitvoeringen werkdagen]]*Ruimtestaat[[#This Row],[Oppervlak (netto)]]</f>
        <v>4560</v>
      </c>
      <c r="X500" s="220">
        <f>IF(V500&gt;0,Ruimtestaat[[#This Row],[Prest. (m2 /jaar) werkdagen]]/Ruimtestaat[[#This Row],[Norm (m2/uur) werkdagen]],0)</f>
        <v>0</v>
      </c>
      <c r="Y500" s="221">
        <f>Ruimtestaat[[#This Row],[uren / jaar werkdagen]]*Tariefsopbouw!$D$38</f>
        <v>0</v>
      </c>
      <c r="Z500" s="33"/>
      <c r="AA500" s="33">
        <f>IF(Ruimtestaat[[#This Row],[Frequentie weekend]]&gt;0,VALUE(LEFT(Z500,1))*S500,0)</f>
        <v>0</v>
      </c>
      <c r="AB500" s="33">
        <f>IF($AA500&gt;0,VLOOKUP($K500,Ruimtegroepen[],3,FALSE)*VLOOKUP($M500,Vloersoorten[],3,FALSE)*VLOOKUP($Z500,Frequenties[],3,FALSE)*VLOOKUP(#REF!,Locaties[],3,FALSE),0)</f>
        <v>0</v>
      </c>
      <c r="AC500" s="33"/>
      <c r="AD500" s="33"/>
      <c r="AE500" s="33">
        <f>Ruimtestaat[[#This Row],[uren / jaar weekend]]*Tariefsopbouw!$D$40</f>
        <v>0</v>
      </c>
      <c r="AF500" s="79">
        <f>Ruimtestaat[[#This Row],[Prest. (m2 /jaar) weekend]]+Ruimtestaat[[#This Row],[Prest. (m2 /jaar) werkdagen]]</f>
        <v>4560</v>
      </c>
      <c r="AG500" s="79">
        <f>Ruimtestaat[[#This Row],[uren / jaar weekend]]+Ruimtestaat[[#This Row],[uren / jaar werkdagen]]</f>
        <v>0</v>
      </c>
      <c r="AH500" s="80">
        <f>Ruimtestaat[[#This Row],[kosten / jaar weekend]]+Ruimtestaat[[#This Row],[kosten / jaar werkdagen]]</f>
        <v>0</v>
      </c>
    </row>
    <row r="501" spans="1:34" ht="15" customHeight="1">
      <c r="A501" s="256">
        <v>13</v>
      </c>
      <c r="B501" s="171" t="str">
        <f>VLOOKUP(Ruimtestaat[[#This Row],[Code]],Locaties[#All],2,FALSE)</f>
        <v>Neon College – Hengelo</v>
      </c>
      <c r="C501" s="258" t="str">
        <f>VLOOKUP(Ruimtestaat[[#This Row],[Code]],Locaties[#All],4,FALSE)</f>
        <v>Sportlaan Driene 8-10</v>
      </c>
      <c r="D501" s="258" t="str">
        <f>VLOOKUP(Ruimtestaat[[#This Row],[Code]],Locaties[#All],5,FALSE)</f>
        <v>7552 Ha</v>
      </c>
      <c r="E501" s="258" t="str">
        <f>VLOOKUP(Ruimtestaat[[#This Row],[Code]],Locaties[#All],6,FALSE)</f>
        <v>Hengelo</v>
      </c>
      <c r="F501" s="257"/>
      <c r="G501" s="257" t="s">
        <v>563</v>
      </c>
      <c r="H501" s="171"/>
      <c r="I501" s="257" t="s">
        <v>708</v>
      </c>
      <c r="J501" s="259" t="s">
        <v>574</v>
      </c>
      <c r="K501" s="258">
        <v>6</v>
      </c>
      <c r="L501" s="260" t="str">
        <f>VLOOKUP(Ruimtestaat[[#This Row],[Ruimte code]],Ruimtegroepen[#All],2,FALSE)</f>
        <v>Gangen/hallen</v>
      </c>
      <c r="M501" s="258" t="s">
        <v>598</v>
      </c>
      <c r="N501" s="257" t="s">
        <v>132</v>
      </c>
      <c r="O501" s="261">
        <v>125</v>
      </c>
      <c r="P501" s="183"/>
      <c r="Q501" s="212" t="str">
        <f>VLOOKUP(Ruimtestaat[[#This Row],[Ruimte code]],Ruimtegroepen[#All],4,FALSE)</f>
        <v>V  (Verkeersruimte)</v>
      </c>
      <c r="R501" s="184"/>
      <c r="S501" s="185">
        <v>40</v>
      </c>
      <c r="T501" s="185" t="s">
        <v>2</v>
      </c>
      <c r="U501" s="185">
        <f>IF(S501&gt;0,IF(RIGHT(Ruimtestaat[[#This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1" s="185">
        <f>IF(U501&gt;0,VLOOKUP($K501,Ruimtegroepen[],3,FALSE)*VLOOKUP($M501,Vloersoorten[],3,FALSE)*VLOOKUP($T501,Frequenties[],3,FALSE)*VLOOKUP($A501,Locaties[],3,FALSE),0)</f>
        <v>0</v>
      </c>
      <c r="W501" s="185">
        <f>Ruimtestaat[[#This Row],[Uitvoeringen werkdagen]]*Ruimtestaat[[#This Row],[Oppervlak (netto)]]</f>
        <v>25000</v>
      </c>
      <c r="X501" s="220">
        <f>IF(V501&gt;0,Ruimtestaat[[#This Row],[Prest. (m2 /jaar) werkdagen]]/Ruimtestaat[[#This Row],[Norm (m2/uur) werkdagen]],0)</f>
        <v>0</v>
      </c>
      <c r="Y501" s="221">
        <f>Ruimtestaat[[#This Row],[uren / jaar werkdagen]]*Tariefsopbouw!$D$38</f>
        <v>0</v>
      </c>
      <c r="Z501" s="33"/>
      <c r="AA501" s="33">
        <f>IF(Ruimtestaat[[#This Row],[Frequentie weekend]]&gt;0,VALUE(LEFT(Z501,1))*S501,0)</f>
        <v>0</v>
      </c>
      <c r="AB501" s="33">
        <f>IF($AA501&gt;0,VLOOKUP($K501,Ruimtegroepen[],3,FALSE)*VLOOKUP($M501,Vloersoorten[],3,FALSE)*VLOOKUP($Z501,Frequenties[],3,FALSE)*VLOOKUP(#REF!,Locaties[],3,FALSE),0)</f>
        <v>0</v>
      </c>
      <c r="AC501" s="33"/>
      <c r="AD501" s="33"/>
      <c r="AE501" s="33">
        <f>Ruimtestaat[[#This Row],[uren / jaar weekend]]*Tariefsopbouw!$D$40</f>
        <v>0</v>
      </c>
      <c r="AF501" s="79">
        <f>Ruimtestaat[[#This Row],[Prest. (m2 /jaar) weekend]]+Ruimtestaat[[#This Row],[Prest. (m2 /jaar) werkdagen]]</f>
        <v>25000</v>
      </c>
      <c r="AG501" s="79">
        <f>Ruimtestaat[[#This Row],[uren / jaar weekend]]+Ruimtestaat[[#This Row],[uren / jaar werkdagen]]</f>
        <v>0</v>
      </c>
      <c r="AH501" s="80">
        <f>Ruimtestaat[[#This Row],[kosten / jaar weekend]]+Ruimtestaat[[#This Row],[kosten / jaar werkdagen]]</f>
        <v>0</v>
      </c>
    </row>
    <row r="502" spans="1:34" ht="15" customHeight="1">
      <c r="A502" s="256">
        <v>13</v>
      </c>
      <c r="B502" s="171" t="str">
        <f>VLOOKUP(Ruimtestaat[[#This Row],[Code]],Locaties[#All],2,FALSE)</f>
        <v>Neon College – Hengelo</v>
      </c>
      <c r="C502" s="258" t="str">
        <f>VLOOKUP(Ruimtestaat[[#This Row],[Code]],Locaties[#All],4,FALSE)</f>
        <v>Sportlaan Driene 8-10</v>
      </c>
      <c r="D502" s="258" t="str">
        <f>VLOOKUP(Ruimtestaat[[#This Row],[Code]],Locaties[#All],5,FALSE)</f>
        <v>7552 Ha</v>
      </c>
      <c r="E502" s="258" t="str">
        <f>VLOOKUP(Ruimtestaat[[#This Row],[Code]],Locaties[#All],6,FALSE)</f>
        <v>Hengelo</v>
      </c>
      <c r="F502" s="257"/>
      <c r="G502" s="257" t="s">
        <v>563</v>
      </c>
      <c r="H502" s="171"/>
      <c r="I502" s="257" t="s">
        <v>912</v>
      </c>
      <c r="J502" s="259" t="s">
        <v>913</v>
      </c>
      <c r="K502" s="185">
        <v>16</v>
      </c>
      <c r="L502" s="260" t="str">
        <f>VLOOKUP(Ruimtestaat[[#This Row],[Ruimte code]],Ruimtegroepen[#All],2,FALSE)</f>
        <v>Leslokalen</v>
      </c>
      <c r="M502" s="258" t="s">
        <v>597</v>
      </c>
      <c r="N502" s="257" t="s">
        <v>38</v>
      </c>
      <c r="O502" s="261">
        <v>52</v>
      </c>
      <c r="P502" s="183"/>
      <c r="Q502" s="212" t="str">
        <f>VLOOKUP(Ruimtestaat[[#This Row],[Ruimte code]],Ruimtegroepen[#All],4,FALSE)</f>
        <v>L  (Lesruimte)</v>
      </c>
      <c r="R502" s="184"/>
      <c r="S502" s="185">
        <v>40</v>
      </c>
      <c r="T502" s="185" t="s">
        <v>2</v>
      </c>
      <c r="U502" s="185">
        <f>IF(S502&gt;0,IF(RIGHT(Ruimtestaat[[#This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2" s="185">
        <f>IF(U502&gt;0,VLOOKUP($K502,Ruimtegroepen[],3,FALSE)*VLOOKUP($M502,Vloersoorten[],3,FALSE)*VLOOKUP($T502,Frequenties[],3,FALSE)*VLOOKUP($A502,Locaties[],3,FALSE),0)</f>
        <v>0</v>
      </c>
      <c r="W502" s="185">
        <f>Ruimtestaat[[#This Row],[Uitvoeringen werkdagen]]*Ruimtestaat[[#This Row],[Oppervlak (netto)]]</f>
        <v>10400</v>
      </c>
      <c r="X502" s="220">
        <f>IF(V502&gt;0,Ruimtestaat[[#This Row],[Prest. (m2 /jaar) werkdagen]]/Ruimtestaat[[#This Row],[Norm (m2/uur) werkdagen]],0)</f>
        <v>0</v>
      </c>
      <c r="Y502" s="221">
        <f>Ruimtestaat[[#This Row],[uren / jaar werkdagen]]*Tariefsopbouw!$D$38</f>
        <v>0</v>
      </c>
      <c r="Z502" s="33"/>
      <c r="AA502" s="33">
        <f>IF(Ruimtestaat[[#This Row],[Frequentie weekend]]&gt;0,VALUE(LEFT(Z502,1))*S502,0)</f>
        <v>0</v>
      </c>
      <c r="AB502" s="33">
        <f>IF($AA502&gt;0,VLOOKUP($K502,Ruimtegroepen[],3,FALSE)*VLOOKUP($M502,Vloersoorten[],3,FALSE)*VLOOKUP($Z502,Frequenties[],3,FALSE)*VLOOKUP(#REF!,Locaties[],3,FALSE),0)</f>
        <v>0</v>
      </c>
      <c r="AC502" s="33"/>
      <c r="AD502" s="33"/>
      <c r="AE502" s="33">
        <f>Ruimtestaat[[#This Row],[uren / jaar weekend]]*Tariefsopbouw!$D$40</f>
        <v>0</v>
      </c>
      <c r="AF502" s="79">
        <f>Ruimtestaat[[#This Row],[Prest. (m2 /jaar) weekend]]+Ruimtestaat[[#This Row],[Prest. (m2 /jaar) werkdagen]]</f>
        <v>10400</v>
      </c>
      <c r="AG502" s="79">
        <f>Ruimtestaat[[#This Row],[uren / jaar weekend]]+Ruimtestaat[[#This Row],[uren / jaar werkdagen]]</f>
        <v>0</v>
      </c>
      <c r="AH502" s="80">
        <f>Ruimtestaat[[#This Row],[kosten / jaar weekend]]+Ruimtestaat[[#This Row],[kosten / jaar werkdagen]]</f>
        <v>0</v>
      </c>
    </row>
    <row r="503" spans="1:34" ht="15" customHeight="1">
      <c r="A503" s="256">
        <v>13</v>
      </c>
      <c r="B503" s="171" t="str">
        <f>VLOOKUP(Ruimtestaat[[#This Row],[Code]],Locaties[#All],2,FALSE)</f>
        <v>Neon College – Hengelo</v>
      </c>
      <c r="C503" s="258" t="str">
        <f>VLOOKUP(Ruimtestaat[[#This Row],[Code]],Locaties[#All],4,FALSE)</f>
        <v>Sportlaan Driene 8-10</v>
      </c>
      <c r="D503" s="258" t="str">
        <f>VLOOKUP(Ruimtestaat[[#This Row],[Code]],Locaties[#All],5,FALSE)</f>
        <v>7552 Ha</v>
      </c>
      <c r="E503" s="258" t="str">
        <f>VLOOKUP(Ruimtestaat[[#This Row],[Code]],Locaties[#All],6,FALSE)</f>
        <v>Hengelo</v>
      </c>
      <c r="F503" s="257"/>
      <c r="G503" s="257" t="s">
        <v>563</v>
      </c>
      <c r="H503" s="171"/>
      <c r="I503" s="257" t="s">
        <v>914</v>
      </c>
      <c r="J503" s="259" t="s">
        <v>576</v>
      </c>
      <c r="K503" s="224">
        <v>16</v>
      </c>
      <c r="L503" s="260" t="str">
        <f>VLOOKUP(Ruimtestaat[[#This Row],[Ruimte code]],Ruimtegroepen[#All],2,FALSE)</f>
        <v>Leslokalen</v>
      </c>
      <c r="M503" s="258" t="s">
        <v>597</v>
      </c>
      <c r="N503" s="257" t="s">
        <v>38</v>
      </c>
      <c r="O503" s="261">
        <v>26</v>
      </c>
      <c r="P503" s="183"/>
      <c r="Q503" s="212" t="str">
        <f>VLOOKUP(Ruimtestaat[[#This Row],[Ruimte code]],Ruimtegroepen[#All],4,FALSE)</f>
        <v>L  (Lesruimte)</v>
      </c>
      <c r="R503" s="184"/>
      <c r="S503" s="185">
        <v>40</v>
      </c>
      <c r="T503" s="185" t="s">
        <v>2</v>
      </c>
      <c r="U503" s="185">
        <f>IF(S503&gt;0,IF(RIGHT(Ruimtestaat[[#This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3" s="185">
        <f>IF(U503&gt;0,VLOOKUP($K503,Ruimtegroepen[],3,FALSE)*VLOOKUP($M503,Vloersoorten[],3,FALSE)*VLOOKUP($T503,Frequenties[],3,FALSE)*VLOOKUP($A503,Locaties[],3,FALSE),0)</f>
        <v>0</v>
      </c>
      <c r="W503" s="185">
        <f>Ruimtestaat[[#This Row],[Uitvoeringen werkdagen]]*Ruimtestaat[[#This Row],[Oppervlak (netto)]]</f>
        <v>5200</v>
      </c>
      <c r="X503" s="220">
        <f>IF(V503&gt;0,Ruimtestaat[[#This Row],[Prest. (m2 /jaar) werkdagen]]/Ruimtestaat[[#This Row],[Norm (m2/uur) werkdagen]],0)</f>
        <v>0</v>
      </c>
      <c r="Y503" s="221">
        <f>Ruimtestaat[[#This Row],[uren / jaar werkdagen]]*Tariefsopbouw!$D$38</f>
        <v>0</v>
      </c>
      <c r="Z503" s="33"/>
      <c r="AA503" s="33">
        <f>IF(Ruimtestaat[[#This Row],[Frequentie weekend]]&gt;0,VALUE(LEFT(Z503,1))*S503,0)</f>
        <v>0</v>
      </c>
      <c r="AB503" s="33">
        <f>IF($AA503&gt;0,VLOOKUP($K503,Ruimtegroepen[],3,FALSE)*VLOOKUP($M503,Vloersoorten[],3,FALSE)*VLOOKUP($Z503,Frequenties[],3,FALSE)*VLOOKUP(#REF!,Locaties[],3,FALSE),0)</f>
        <v>0</v>
      </c>
      <c r="AC503" s="33"/>
      <c r="AD503" s="33"/>
      <c r="AE503" s="33">
        <f>Ruimtestaat[[#This Row],[uren / jaar weekend]]*Tariefsopbouw!$D$40</f>
        <v>0</v>
      </c>
      <c r="AF503" s="79">
        <f>Ruimtestaat[[#This Row],[Prest. (m2 /jaar) weekend]]+Ruimtestaat[[#This Row],[Prest. (m2 /jaar) werkdagen]]</f>
        <v>5200</v>
      </c>
      <c r="AG503" s="79">
        <f>Ruimtestaat[[#This Row],[uren / jaar weekend]]+Ruimtestaat[[#This Row],[uren / jaar werkdagen]]</f>
        <v>0</v>
      </c>
      <c r="AH503" s="80">
        <f>Ruimtestaat[[#This Row],[kosten / jaar weekend]]+Ruimtestaat[[#This Row],[kosten / jaar werkdagen]]</f>
        <v>0</v>
      </c>
    </row>
    <row r="504" spans="1:34" ht="15" customHeight="1">
      <c r="A504" s="256">
        <v>13</v>
      </c>
      <c r="B504" s="171" t="str">
        <f>VLOOKUP(Ruimtestaat[[#This Row],[Code]],Locaties[#All],2,FALSE)</f>
        <v>Neon College – Hengelo</v>
      </c>
      <c r="C504" s="258" t="str">
        <f>VLOOKUP(Ruimtestaat[[#This Row],[Code]],Locaties[#All],4,FALSE)</f>
        <v>Sportlaan Driene 8-10</v>
      </c>
      <c r="D504" s="258" t="str">
        <f>VLOOKUP(Ruimtestaat[[#This Row],[Code]],Locaties[#All],5,FALSE)</f>
        <v>7552 Ha</v>
      </c>
      <c r="E504" s="258" t="str">
        <f>VLOOKUP(Ruimtestaat[[#This Row],[Code]],Locaties[#All],6,FALSE)</f>
        <v>Hengelo</v>
      </c>
      <c r="F504" s="257"/>
      <c r="G504" s="257" t="s">
        <v>563</v>
      </c>
      <c r="H504" s="171"/>
      <c r="I504" s="257" t="s">
        <v>915</v>
      </c>
      <c r="J504" s="259" t="s">
        <v>576</v>
      </c>
      <c r="K504" s="171">
        <v>16</v>
      </c>
      <c r="L504" s="260" t="str">
        <f>VLOOKUP(Ruimtestaat[[#This Row],[Ruimte code]],Ruimtegroepen[#All],2,FALSE)</f>
        <v>Leslokalen</v>
      </c>
      <c r="M504" s="258" t="s">
        <v>597</v>
      </c>
      <c r="N504" s="257" t="s">
        <v>38</v>
      </c>
      <c r="O504" s="261">
        <v>26</v>
      </c>
      <c r="P504" s="183"/>
      <c r="Q504" s="212" t="str">
        <f>VLOOKUP(Ruimtestaat[[#This Row],[Ruimte code]],Ruimtegroepen[#All],4,FALSE)</f>
        <v>L  (Lesruimte)</v>
      </c>
      <c r="R504" s="184"/>
      <c r="S504" s="185">
        <v>40</v>
      </c>
      <c r="T504" s="185" t="s">
        <v>2</v>
      </c>
      <c r="U504" s="185">
        <f>IF(S504&gt;0,IF(RIGHT(Ruimtestaat[[#This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4" s="185">
        <f>IF(U504&gt;0,VLOOKUP($K504,Ruimtegroepen[],3,FALSE)*VLOOKUP($M504,Vloersoorten[],3,FALSE)*VLOOKUP($T504,Frequenties[],3,FALSE)*VLOOKUP($A504,Locaties[],3,FALSE),0)</f>
        <v>0</v>
      </c>
      <c r="W504" s="185">
        <f>Ruimtestaat[[#This Row],[Uitvoeringen werkdagen]]*Ruimtestaat[[#This Row],[Oppervlak (netto)]]</f>
        <v>5200</v>
      </c>
      <c r="X504" s="220">
        <f>IF(V504&gt;0,Ruimtestaat[[#This Row],[Prest. (m2 /jaar) werkdagen]]/Ruimtestaat[[#This Row],[Norm (m2/uur) werkdagen]],0)</f>
        <v>0</v>
      </c>
      <c r="Y504" s="221">
        <f>Ruimtestaat[[#This Row],[uren / jaar werkdagen]]*Tariefsopbouw!$D$38</f>
        <v>0</v>
      </c>
      <c r="Z504" s="33"/>
      <c r="AA504" s="33">
        <f>IF(Ruimtestaat[[#This Row],[Frequentie weekend]]&gt;0,VALUE(LEFT(Z504,1))*S504,0)</f>
        <v>0</v>
      </c>
      <c r="AB504" s="33">
        <f>IF($AA504&gt;0,VLOOKUP($K504,Ruimtegroepen[],3,FALSE)*VLOOKUP($M504,Vloersoorten[],3,FALSE)*VLOOKUP($Z504,Frequenties[],3,FALSE)*VLOOKUP(#REF!,Locaties[],3,FALSE),0)</f>
        <v>0</v>
      </c>
      <c r="AC504" s="33"/>
      <c r="AD504" s="33"/>
      <c r="AE504" s="33">
        <f>Ruimtestaat[[#This Row],[uren / jaar weekend]]*Tariefsopbouw!$D$40</f>
        <v>0</v>
      </c>
      <c r="AF504" s="79">
        <f>Ruimtestaat[[#This Row],[Prest. (m2 /jaar) weekend]]+Ruimtestaat[[#This Row],[Prest. (m2 /jaar) werkdagen]]</f>
        <v>5200</v>
      </c>
      <c r="AG504" s="79">
        <f>Ruimtestaat[[#This Row],[uren / jaar weekend]]+Ruimtestaat[[#This Row],[uren / jaar werkdagen]]</f>
        <v>0</v>
      </c>
      <c r="AH504" s="80">
        <f>Ruimtestaat[[#This Row],[kosten / jaar weekend]]+Ruimtestaat[[#This Row],[kosten / jaar werkdagen]]</f>
        <v>0</v>
      </c>
    </row>
    <row r="505" spans="1:34" ht="15" customHeight="1">
      <c r="A505" s="256">
        <v>13</v>
      </c>
      <c r="B505" s="171" t="str">
        <f>VLOOKUP(Ruimtestaat[[#This Row],[Code]],Locaties[#All],2,FALSE)</f>
        <v>Neon College – Hengelo</v>
      </c>
      <c r="C505" s="258" t="str">
        <f>VLOOKUP(Ruimtestaat[[#This Row],[Code]],Locaties[#All],4,FALSE)</f>
        <v>Sportlaan Driene 8-10</v>
      </c>
      <c r="D505" s="258" t="str">
        <f>VLOOKUP(Ruimtestaat[[#This Row],[Code]],Locaties[#All],5,FALSE)</f>
        <v>7552 Ha</v>
      </c>
      <c r="E505" s="258" t="str">
        <f>VLOOKUP(Ruimtestaat[[#This Row],[Code]],Locaties[#All],6,FALSE)</f>
        <v>Hengelo</v>
      </c>
      <c r="F505" s="257"/>
      <c r="G505" s="257" t="s">
        <v>563</v>
      </c>
      <c r="H505" s="171"/>
      <c r="I505" s="257" t="s">
        <v>916</v>
      </c>
      <c r="J505" s="259" t="s">
        <v>571</v>
      </c>
      <c r="K505" s="258">
        <v>2</v>
      </c>
      <c r="L505" s="260" t="str">
        <f>VLOOKUP(Ruimtestaat[[#This Row],[Ruimte code]],Ruimtegroepen[#All],2,FALSE)</f>
        <v>Kantoren</v>
      </c>
      <c r="M505" s="258" t="s">
        <v>597</v>
      </c>
      <c r="N505" s="257" t="s">
        <v>38</v>
      </c>
      <c r="O505" s="261">
        <v>12</v>
      </c>
      <c r="P505" s="183"/>
      <c r="Q505" s="212" t="str">
        <f>VLOOKUP(Ruimtestaat[[#This Row],[Ruimte code]],Ruimtegroepen[#All],4,FALSE)</f>
        <v>B  (Bureauruimte)</v>
      </c>
      <c r="R505" s="184"/>
      <c r="S505" s="185">
        <v>40</v>
      </c>
      <c r="T505" s="185" t="s">
        <v>18</v>
      </c>
      <c r="U505" s="185">
        <f>IF(S505&gt;0,IF(RIGHT(Ruimtestaat[[#This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505" s="185">
        <f>IF(U505&gt;0,VLOOKUP($K505,Ruimtegroepen[],3,FALSE)*VLOOKUP($M505,Vloersoorten[],3,FALSE)*VLOOKUP($T505,Frequenties[],3,FALSE)*VLOOKUP($A505,Locaties[],3,FALSE),0)</f>
        <v>0</v>
      </c>
      <c r="W505" s="185">
        <f>Ruimtestaat[[#This Row],[Uitvoeringen werkdagen]]*Ruimtestaat[[#This Row],[Oppervlak (netto)]]</f>
        <v>1440</v>
      </c>
      <c r="X505" s="220">
        <f>IF(V505&gt;0,Ruimtestaat[[#This Row],[Prest. (m2 /jaar) werkdagen]]/Ruimtestaat[[#This Row],[Norm (m2/uur) werkdagen]],0)</f>
        <v>0</v>
      </c>
      <c r="Y505" s="221">
        <f>Ruimtestaat[[#This Row],[uren / jaar werkdagen]]*Tariefsopbouw!$D$38</f>
        <v>0</v>
      </c>
      <c r="Z505" s="33"/>
      <c r="AA505" s="33">
        <f>IF(Ruimtestaat[[#This Row],[Frequentie weekend]]&gt;0,VALUE(LEFT(Z505,1))*S505,0)</f>
        <v>0</v>
      </c>
      <c r="AB505" s="33">
        <f>IF($AA505&gt;0,VLOOKUP($K505,Ruimtegroepen[],3,FALSE)*VLOOKUP($M505,Vloersoorten[],3,FALSE)*VLOOKUP($Z505,Frequenties[],3,FALSE)*VLOOKUP(#REF!,Locaties[],3,FALSE),0)</f>
        <v>0</v>
      </c>
      <c r="AC505" s="33"/>
      <c r="AD505" s="33"/>
      <c r="AE505" s="33">
        <f>Ruimtestaat[[#This Row],[uren / jaar weekend]]*Tariefsopbouw!$D$40</f>
        <v>0</v>
      </c>
      <c r="AF505" s="79">
        <f>Ruimtestaat[[#This Row],[Prest. (m2 /jaar) weekend]]+Ruimtestaat[[#This Row],[Prest. (m2 /jaar) werkdagen]]</f>
        <v>1440</v>
      </c>
      <c r="AG505" s="79">
        <f>Ruimtestaat[[#This Row],[uren / jaar weekend]]+Ruimtestaat[[#This Row],[uren / jaar werkdagen]]</f>
        <v>0</v>
      </c>
      <c r="AH505" s="80">
        <f>Ruimtestaat[[#This Row],[kosten / jaar weekend]]+Ruimtestaat[[#This Row],[kosten / jaar werkdagen]]</f>
        <v>0</v>
      </c>
    </row>
    <row r="506" spans="1:34" ht="15" customHeight="1">
      <c r="A506" s="256">
        <v>13</v>
      </c>
      <c r="B506" s="171" t="str">
        <f>VLOOKUP(Ruimtestaat[[#This Row],[Code]],Locaties[#All],2,FALSE)</f>
        <v>Neon College – Hengelo</v>
      </c>
      <c r="C506" s="258" t="str">
        <f>VLOOKUP(Ruimtestaat[[#This Row],[Code]],Locaties[#All],4,FALSE)</f>
        <v>Sportlaan Driene 8-10</v>
      </c>
      <c r="D506" s="258" t="str">
        <f>VLOOKUP(Ruimtestaat[[#This Row],[Code]],Locaties[#All],5,FALSE)</f>
        <v>7552 Ha</v>
      </c>
      <c r="E506" s="258" t="str">
        <f>VLOOKUP(Ruimtestaat[[#This Row],[Code]],Locaties[#All],6,FALSE)</f>
        <v>Hengelo</v>
      </c>
      <c r="F506" s="257"/>
      <c r="G506" s="257" t="s">
        <v>563</v>
      </c>
      <c r="H506" s="171"/>
      <c r="I506" s="257" t="s">
        <v>917</v>
      </c>
      <c r="J506" s="259" t="s">
        <v>576</v>
      </c>
      <c r="K506" s="258">
        <v>16</v>
      </c>
      <c r="L506" s="260" t="str">
        <f>VLOOKUP(Ruimtestaat[[#This Row],[Ruimte code]],Ruimtegroepen[#All],2,FALSE)</f>
        <v>Leslokalen</v>
      </c>
      <c r="M506" s="212" t="s">
        <v>597</v>
      </c>
      <c r="N506" s="257" t="s">
        <v>38</v>
      </c>
      <c r="O506" s="261">
        <v>52</v>
      </c>
      <c r="P506" s="183"/>
      <c r="Q506" s="212" t="str">
        <f>VLOOKUP(Ruimtestaat[[#This Row],[Ruimte code]],Ruimtegroepen[#All],4,FALSE)</f>
        <v>L  (Lesruimte)</v>
      </c>
      <c r="R506" s="184"/>
      <c r="S506" s="185">
        <v>40</v>
      </c>
      <c r="T506" s="185" t="s">
        <v>2</v>
      </c>
      <c r="U506" s="185">
        <f>IF(S506&gt;0,IF(RIGHT(Ruimtestaat[[#This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6" s="185">
        <f>IF(U506&gt;0,VLOOKUP($K506,Ruimtegroepen[],3,FALSE)*VLOOKUP($M506,Vloersoorten[],3,FALSE)*VLOOKUP($T506,Frequenties[],3,FALSE)*VLOOKUP($A506,Locaties[],3,FALSE),0)</f>
        <v>0</v>
      </c>
      <c r="W506" s="185">
        <f>Ruimtestaat[[#This Row],[Uitvoeringen werkdagen]]*Ruimtestaat[[#This Row],[Oppervlak (netto)]]</f>
        <v>10400</v>
      </c>
      <c r="X506" s="220">
        <f>IF(V506&gt;0,Ruimtestaat[[#This Row],[Prest. (m2 /jaar) werkdagen]]/Ruimtestaat[[#This Row],[Norm (m2/uur) werkdagen]],0)</f>
        <v>0</v>
      </c>
      <c r="Y506" s="221">
        <f>Ruimtestaat[[#This Row],[uren / jaar werkdagen]]*Tariefsopbouw!$D$38</f>
        <v>0</v>
      </c>
      <c r="Z506" s="33"/>
      <c r="AA506" s="33">
        <f>IF(Ruimtestaat[[#This Row],[Frequentie weekend]]&gt;0,VALUE(LEFT(Z506,1))*S506,0)</f>
        <v>0</v>
      </c>
      <c r="AB506" s="33">
        <f>IF($AA506&gt;0,VLOOKUP($K506,Ruimtegroepen[],3,FALSE)*VLOOKUP($M506,Vloersoorten[],3,FALSE)*VLOOKUP($Z506,Frequenties[],3,FALSE)*VLOOKUP(#REF!,Locaties[],3,FALSE),0)</f>
        <v>0</v>
      </c>
      <c r="AC506" s="33"/>
      <c r="AD506" s="33"/>
      <c r="AE506" s="33">
        <f>Ruimtestaat[[#This Row],[uren / jaar weekend]]*Tariefsopbouw!$D$40</f>
        <v>0</v>
      </c>
      <c r="AF506" s="79">
        <f>Ruimtestaat[[#This Row],[Prest. (m2 /jaar) weekend]]+Ruimtestaat[[#This Row],[Prest. (m2 /jaar) werkdagen]]</f>
        <v>10400</v>
      </c>
      <c r="AG506" s="79">
        <f>Ruimtestaat[[#This Row],[uren / jaar weekend]]+Ruimtestaat[[#This Row],[uren / jaar werkdagen]]</f>
        <v>0</v>
      </c>
      <c r="AH506" s="80">
        <f>Ruimtestaat[[#This Row],[kosten / jaar weekend]]+Ruimtestaat[[#This Row],[kosten / jaar werkdagen]]</f>
        <v>0</v>
      </c>
    </row>
    <row r="507" spans="1:34" ht="15" customHeight="1">
      <c r="A507" s="256">
        <v>13</v>
      </c>
      <c r="B507" s="171" t="str">
        <f>VLOOKUP(Ruimtestaat[[#This Row],[Code]],Locaties[#All],2,FALSE)</f>
        <v>Neon College – Hengelo</v>
      </c>
      <c r="C507" s="258" t="str">
        <f>VLOOKUP(Ruimtestaat[[#This Row],[Code]],Locaties[#All],4,FALSE)</f>
        <v>Sportlaan Driene 8-10</v>
      </c>
      <c r="D507" s="258" t="str">
        <f>VLOOKUP(Ruimtestaat[[#This Row],[Code]],Locaties[#All],5,FALSE)</f>
        <v>7552 Ha</v>
      </c>
      <c r="E507" s="258" t="str">
        <f>VLOOKUP(Ruimtestaat[[#This Row],[Code]],Locaties[#All],6,FALSE)</f>
        <v>Hengelo</v>
      </c>
      <c r="F507" s="257"/>
      <c r="G507" s="257" t="s">
        <v>563</v>
      </c>
      <c r="H507" s="171"/>
      <c r="I507" s="257" t="s">
        <v>918</v>
      </c>
      <c r="J507" s="259" t="s">
        <v>576</v>
      </c>
      <c r="K507" s="171">
        <v>16</v>
      </c>
      <c r="L507" s="260" t="str">
        <f>VLOOKUP(Ruimtestaat[[#This Row],[Ruimte code]],Ruimtegroepen[#All],2,FALSE)</f>
        <v>Leslokalen</v>
      </c>
      <c r="M507" s="212" t="s">
        <v>111</v>
      </c>
      <c r="N507" s="257" t="s">
        <v>605</v>
      </c>
      <c r="O507" s="261">
        <v>35</v>
      </c>
      <c r="P507" s="183"/>
      <c r="Q507" s="212" t="str">
        <f>VLOOKUP(Ruimtestaat[[#This Row],[Ruimte code]],Ruimtegroepen[#All],4,FALSE)</f>
        <v>L  (Lesruimte)</v>
      </c>
      <c r="R507" s="184"/>
      <c r="S507" s="185">
        <v>40</v>
      </c>
      <c r="T507" s="185" t="s">
        <v>2</v>
      </c>
      <c r="U507" s="185">
        <f>IF(S507&gt;0,IF(RIGHT(Ruimtestaat[[#This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7" s="185">
        <f>IF(U507&gt;0,VLOOKUP($K507,Ruimtegroepen[],3,FALSE)*VLOOKUP($M507,Vloersoorten[],3,FALSE)*VLOOKUP($T507,Frequenties[],3,FALSE)*VLOOKUP($A507,Locaties[],3,FALSE),0)</f>
        <v>0</v>
      </c>
      <c r="W507" s="185">
        <f>Ruimtestaat[[#This Row],[Uitvoeringen werkdagen]]*Ruimtestaat[[#This Row],[Oppervlak (netto)]]</f>
        <v>7000</v>
      </c>
      <c r="X507" s="220">
        <f>IF(V507&gt;0,Ruimtestaat[[#This Row],[Prest. (m2 /jaar) werkdagen]]/Ruimtestaat[[#This Row],[Norm (m2/uur) werkdagen]],0)</f>
        <v>0</v>
      </c>
      <c r="Y507" s="221">
        <f>Ruimtestaat[[#This Row],[uren / jaar werkdagen]]*Tariefsopbouw!$D$38</f>
        <v>0</v>
      </c>
      <c r="Z507" s="33"/>
      <c r="AA507" s="33">
        <f>IF(Ruimtestaat[[#This Row],[Frequentie weekend]]&gt;0,VALUE(LEFT(Z507,1))*S507,0)</f>
        <v>0</v>
      </c>
      <c r="AB507" s="33">
        <f>IF($AA507&gt;0,VLOOKUP($K507,Ruimtegroepen[],3,FALSE)*VLOOKUP($M507,Vloersoorten[],3,FALSE)*VLOOKUP($Z507,Frequenties[],3,FALSE)*VLOOKUP(#REF!,Locaties[],3,FALSE),0)</f>
        <v>0</v>
      </c>
      <c r="AC507" s="33"/>
      <c r="AD507" s="33"/>
      <c r="AE507" s="33">
        <f>Ruimtestaat[[#This Row],[uren / jaar weekend]]*Tariefsopbouw!$D$40</f>
        <v>0</v>
      </c>
      <c r="AF507" s="79">
        <f>Ruimtestaat[[#This Row],[Prest. (m2 /jaar) weekend]]+Ruimtestaat[[#This Row],[Prest. (m2 /jaar) werkdagen]]</f>
        <v>7000</v>
      </c>
      <c r="AG507" s="79">
        <f>Ruimtestaat[[#This Row],[uren / jaar weekend]]+Ruimtestaat[[#This Row],[uren / jaar werkdagen]]</f>
        <v>0</v>
      </c>
      <c r="AH507" s="80">
        <f>Ruimtestaat[[#This Row],[kosten / jaar weekend]]+Ruimtestaat[[#This Row],[kosten / jaar werkdagen]]</f>
        <v>0</v>
      </c>
    </row>
    <row r="508" spans="1:34" ht="15" customHeight="1">
      <c r="A508" s="256">
        <v>13</v>
      </c>
      <c r="B508" s="171" t="str">
        <f>VLOOKUP(Ruimtestaat[[#This Row],[Code]],Locaties[#All],2,FALSE)</f>
        <v>Neon College – Hengelo</v>
      </c>
      <c r="C508" s="258" t="str">
        <f>VLOOKUP(Ruimtestaat[[#This Row],[Code]],Locaties[#All],4,FALSE)</f>
        <v>Sportlaan Driene 8-10</v>
      </c>
      <c r="D508" s="258" t="str">
        <f>VLOOKUP(Ruimtestaat[[#This Row],[Code]],Locaties[#All],5,FALSE)</f>
        <v>7552 Ha</v>
      </c>
      <c r="E508" s="258" t="str">
        <f>VLOOKUP(Ruimtestaat[[#This Row],[Code]],Locaties[#All],6,FALSE)</f>
        <v>Hengelo</v>
      </c>
      <c r="F508" s="257"/>
      <c r="G508" s="257" t="s">
        <v>563</v>
      </c>
      <c r="H508" s="171"/>
      <c r="I508" s="257" t="s">
        <v>919</v>
      </c>
      <c r="J508" s="259" t="s">
        <v>569</v>
      </c>
      <c r="K508" s="258">
        <v>5</v>
      </c>
      <c r="L508" s="260" t="str">
        <f>VLOOKUP(Ruimtestaat[[#This Row],[Ruimte code]],Ruimtegroepen[#All],2,FALSE)</f>
        <v>Sanitair</v>
      </c>
      <c r="M508" s="212" t="s">
        <v>111</v>
      </c>
      <c r="N508" s="257" t="s">
        <v>605</v>
      </c>
      <c r="O508" s="261">
        <v>7</v>
      </c>
      <c r="P508" s="183"/>
      <c r="Q508" s="212" t="str">
        <f>VLOOKUP(Ruimtestaat[[#This Row],[Ruimte code]],Ruimtegroepen[#All],4,FALSE)</f>
        <v>S  (Sanitair)</v>
      </c>
      <c r="R508" s="184"/>
      <c r="S508" s="185">
        <v>40</v>
      </c>
      <c r="T508" s="185" t="s">
        <v>2</v>
      </c>
      <c r="U508" s="185">
        <f>IF(S508&gt;0,IF(RIGHT(Ruimtestaat[[#This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8" s="185">
        <f>IF(U508&gt;0,VLOOKUP($K508,Ruimtegroepen[],3,FALSE)*VLOOKUP($M508,Vloersoorten[],3,FALSE)*VLOOKUP($T508,Frequenties[],3,FALSE)*VLOOKUP($A508,Locaties[],3,FALSE),0)</f>
        <v>0</v>
      </c>
      <c r="W508" s="185">
        <f>Ruimtestaat[[#This Row],[Uitvoeringen werkdagen]]*Ruimtestaat[[#This Row],[Oppervlak (netto)]]</f>
        <v>1400</v>
      </c>
      <c r="X508" s="220">
        <f>IF(V508&gt;0,Ruimtestaat[[#This Row],[Prest. (m2 /jaar) werkdagen]]/Ruimtestaat[[#This Row],[Norm (m2/uur) werkdagen]],0)</f>
        <v>0</v>
      </c>
      <c r="Y508" s="221">
        <f>Ruimtestaat[[#This Row],[uren / jaar werkdagen]]*Tariefsopbouw!$D$38</f>
        <v>0</v>
      </c>
      <c r="Z508" s="33"/>
      <c r="AA508" s="33">
        <f>IF(Ruimtestaat[[#This Row],[Frequentie weekend]]&gt;0,VALUE(LEFT(Z508,1))*S508,0)</f>
        <v>0</v>
      </c>
      <c r="AB508" s="33">
        <f>IF($AA508&gt;0,VLOOKUP($K508,Ruimtegroepen[],3,FALSE)*VLOOKUP($M508,Vloersoorten[],3,FALSE)*VLOOKUP($Z508,Frequenties[],3,FALSE)*VLOOKUP(#REF!,Locaties[],3,FALSE),0)</f>
        <v>0</v>
      </c>
      <c r="AC508" s="33"/>
      <c r="AD508" s="33"/>
      <c r="AE508" s="33">
        <f>Ruimtestaat[[#This Row],[uren / jaar weekend]]*Tariefsopbouw!$D$40</f>
        <v>0</v>
      </c>
      <c r="AF508" s="79">
        <f>Ruimtestaat[[#This Row],[Prest. (m2 /jaar) weekend]]+Ruimtestaat[[#This Row],[Prest. (m2 /jaar) werkdagen]]</f>
        <v>1400</v>
      </c>
      <c r="AG508" s="79">
        <f>Ruimtestaat[[#This Row],[uren / jaar weekend]]+Ruimtestaat[[#This Row],[uren / jaar werkdagen]]</f>
        <v>0</v>
      </c>
      <c r="AH508" s="80">
        <f>Ruimtestaat[[#This Row],[kosten / jaar weekend]]+Ruimtestaat[[#This Row],[kosten / jaar werkdagen]]</f>
        <v>0</v>
      </c>
    </row>
    <row r="509" spans="1:34" ht="15" customHeight="1">
      <c r="A509" s="256">
        <v>13</v>
      </c>
      <c r="B509" s="171" t="str">
        <f>VLOOKUP(Ruimtestaat[[#This Row],[Code]],Locaties[#All],2,FALSE)</f>
        <v>Neon College – Hengelo</v>
      </c>
      <c r="C509" s="258" t="str">
        <f>VLOOKUP(Ruimtestaat[[#This Row],[Code]],Locaties[#All],4,FALSE)</f>
        <v>Sportlaan Driene 8-10</v>
      </c>
      <c r="D509" s="258" t="str">
        <f>VLOOKUP(Ruimtestaat[[#This Row],[Code]],Locaties[#All],5,FALSE)</f>
        <v>7552 Ha</v>
      </c>
      <c r="E509" s="258" t="str">
        <f>VLOOKUP(Ruimtestaat[[#This Row],[Code]],Locaties[#All],6,FALSE)</f>
        <v>Hengelo</v>
      </c>
      <c r="F509" s="257"/>
      <c r="G509" s="257" t="s">
        <v>563</v>
      </c>
      <c r="H509" s="171"/>
      <c r="I509" s="257" t="s">
        <v>920</v>
      </c>
      <c r="J509" s="259" t="s">
        <v>130</v>
      </c>
      <c r="K509" s="258">
        <v>15</v>
      </c>
      <c r="L509" s="260" t="str">
        <f>VLOOKUP(Ruimtestaat[[#This Row],[Ruimte code]],Ruimtegroepen[#All],2,FALSE)</f>
        <v>Keuken/pantry</v>
      </c>
      <c r="M509" s="185" t="s">
        <v>598</v>
      </c>
      <c r="N509" s="257" t="s">
        <v>132</v>
      </c>
      <c r="O509" s="261">
        <v>22</v>
      </c>
      <c r="P509" s="183"/>
      <c r="Q509" s="212" t="str">
        <f>VLOOKUP(Ruimtestaat[[#This Row],[Ruimte code]],Ruimtegroepen[#All],4,FALSE)</f>
        <v>V  (Verkeersruimte)</v>
      </c>
      <c r="R509" s="184"/>
      <c r="S509" s="185">
        <v>40</v>
      </c>
      <c r="T509" s="185" t="s">
        <v>2</v>
      </c>
      <c r="U509" s="185">
        <f>IF(S509&gt;0,IF(RIGHT(Ruimtestaat[[#This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9" s="185">
        <f>IF(U509&gt;0,VLOOKUP($K509,Ruimtegroepen[],3,FALSE)*VLOOKUP($M509,Vloersoorten[],3,FALSE)*VLOOKUP($T509,Frequenties[],3,FALSE)*VLOOKUP($A509,Locaties[],3,FALSE),0)</f>
        <v>0</v>
      </c>
      <c r="W509" s="185">
        <f>Ruimtestaat[[#This Row],[Uitvoeringen werkdagen]]*Ruimtestaat[[#This Row],[Oppervlak (netto)]]</f>
        <v>4400</v>
      </c>
      <c r="X509" s="220">
        <f>IF(V509&gt;0,Ruimtestaat[[#This Row],[Prest. (m2 /jaar) werkdagen]]/Ruimtestaat[[#This Row],[Norm (m2/uur) werkdagen]],0)</f>
        <v>0</v>
      </c>
      <c r="Y509" s="221">
        <f>Ruimtestaat[[#This Row],[uren / jaar werkdagen]]*Tariefsopbouw!$D$38</f>
        <v>0</v>
      </c>
      <c r="Z509" s="33"/>
      <c r="AA509" s="33">
        <f>IF(Ruimtestaat[[#This Row],[Frequentie weekend]]&gt;0,VALUE(LEFT(Z509,1))*S509,0)</f>
        <v>0</v>
      </c>
      <c r="AB509" s="33">
        <f>IF($AA509&gt;0,VLOOKUP($K509,Ruimtegroepen[],3,FALSE)*VLOOKUP($M509,Vloersoorten[],3,FALSE)*VLOOKUP($Z509,Frequenties[],3,FALSE)*VLOOKUP(#REF!,Locaties[],3,FALSE),0)</f>
        <v>0</v>
      </c>
      <c r="AC509" s="33"/>
      <c r="AD509" s="33"/>
      <c r="AE509" s="33">
        <f>Ruimtestaat[[#This Row],[uren / jaar weekend]]*Tariefsopbouw!$D$40</f>
        <v>0</v>
      </c>
      <c r="AF509" s="79">
        <f>Ruimtestaat[[#This Row],[Prest. (m2 /jaar) weekend]]+Ruimtestaat[[#This Row],[Prest. (m2 /jaar) werkdagen]]</f>
        <v>4400</v>
      </c>
      <c r="AG509" s="79">
        <f>Ruimtestaat[[#This Row],[uren / jaar weekend]]+Ruimtestaat[[#This Row],[uren / jaar werkdagen]]</f>
        <v>0</v>
      </c>
      <c r="AH509" s="80">
        <f>Ruimtestaat[[#This Row],[kosten / jaar weekend]]+Ruimtestaat[[#This Row],[kosten / jaar werkdagen]]</f>
        <v>0</v>
      </c>
    </row>
    <row r="510" spans="1:34" ht="15" customHeight="1">
      <c r="A510" s="256">
        <v>13</v>
      </c>
      <c r="B510" s="171" t="str">
        <f>VLOOKUP(Ruimtestaat[[#This Row],[Code]],Locaties[#All],2,FALSE)</f>
        <v>Neon College – Hengelo</v>
      </c>
      <c r="C510" s="258" t="str">
        <f>VLOOKUP(Ruimtestaat[[#This Row],[Code]],Locaties[#All],4,FALSE)</f>
        <v>Sportlaan Driene 8-10</v>
      </c>
      <c r="D510" s="258" t="str">
        <f>VLOOKUP(Ruimtestaat[[#This Row],[Code]],Locaties[#All],5,FALSE)</f>
        <v>7552 Ha</v>
      </c>
      <c r="E510" s="258" t="str">
        <f>VLOOKUP(Ruimtestaat[[#This Row],[Code]],Locaties[#All],6,FALSE)</f>
        <v>Hengelo</v>
      </c>
      <c r="F510" s="257"/>
      <c r="G510" s="257" t="s">
        <v>563</v>
      </c>
      <c r="H510" s="171"/>
      <c r="I510" s="257" t="s">
        <v>921</v>
      </c>
      <c r="J510" s="259" t="s">
        <v>586</v>
      </c>
      <c r="K510" s="258">
        <v>20</v>
      </c>
      <c r="L510" s="260" t="str">
        <f>VLOOKUP(Ruimtestaat[[#This Row],[Ruimte code]],Ruimtegroepen[#All],2,FALSE)</f>
        <v>Niet in onderhoud</v>
      </c>
      <c r="M510" s="258" t="s">
        <v>598</v>
      </c>
      <c r="N510" s="257" t="s">
        <v>132</v>
      </c>
      <c r="O510" s="261"/>
      <c r="P510" s="183">
        <v>11</v>
      </c>
      <c r="Q510" s="212" t="str">
        <f>VLOOKUP(Ruimtestaat[[#This Row],[Ruimte code]],Ruimtegroepen[#All],4,FALSE)</f>
        <v>niet in onderhoud</v>
      </c>
      <c r="R510" s="184"/>
      <c r="S510" s="185"/>
      <c r="T510" s="185"/>
      <c r="U510" s="185">
        <f>IF(S510&gt;0,IF(RIGHT(Ruimtestaat[[#This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0" s="185">
        <f>IF(U510&gt;0,VLOOKUP($K510,Ruimtegroepen[],3,FALSE)*VLOOKUP($M510,Vloersoorten[],3,FALSE)*VLOOKUP($T510,Frequenties[],3,FALSE)*VLOOKUP($A510,Locaties[],3,FALSE),0)</f>
        <v>0</v>
      </c>
      <c r="W510" s="185">
        <f>Ruimtestaat[[#This Row],[Uitvoeringen werkdagen]]*Ruimtestaat[[#This Row],[Oppervlak (netto)]]</f>
        <v>0</v>
      </c>
      <c r="X510" s="220">
        <f>IF(V510&gt;0,Ruimtestaat[[#This Row],[Prest. (m2 /jaar) werkdagen]]/Ruimtestaat[[#This Row],[Norm (m2/uur) werkdagen]],0)</f>
        <v>0</v>
      </c>
      <c r="Y510" s="221">
        <f>Ruimtestaat[[#This Row],[uren / jaar werkdagen]]*Tariefsopbouw!$D$38</f>
        <v>0</v>
      </c>
      <c r="Z510" s="33"/>
      <c r="AA510" s="33">
        <f>IF(Ruimtestaat[[#This Row],[Frequentie weekend]]&gt;0,VALUE(LEFT(Z510,1))*S510,0)</f>
        <v>0</v>
      </c>
      <c r="AB510" s="33">
        <f>IF($AA510&gt;0,VLOOKUP($K510,Ruimtegroepen[],3,FALSE)*VLOOKUP($M510,Vloersoorten[],3,FALSE)*VLOOKUP($Z510,Frequenties[],3,FALSE)*VLOOKUP(#REF!,Locaties[],3,FALSE),0)</f>
        <v>0</v>
      </c>
      <c r="AC510" s="33"/>
      <c r="AD510" s="33"/>
      <c r="AE510" s="33">
        <f>Ruimtestaat[[#This Row],[uren / jaar weekend]]*Tariefsopbouw!$D$40</f>
        <v>0</v>
      </c>
      <c r="AF510" s="79">
        <f>Ruimtestaat[[#This Row],[Prest. (m2 /jaar) weekend]]+Ruimtestaat[[#This Row],[Prest. (m2 /jaar) werkdagen]]</f>
        <v>0</v>
      </c>
      <c r="AG510" s="79">
        <f>Ruimtestaat[[#This Row],[uren / jaar weekend]]+Ruimtestaat[[#This Row],[uren / jaar werkdagen]]</f>
        <v>0</v>
      </c>
      <c r="AH510" s="80">
        <f>Ruimtestaat[[#This Row],[kosten / jaar weekend]]+Ruimtestaat[[#This Row],[kosten / jaar werkdagen]]</f>
        <v>0</v>
      </c>
    </row>
    <row r="511" spans="1:34" ht="15" customHeight="1">
      <c r="A511" s="256">
        <v>13</v>
      </c>
      <c r="B511" s="171" t="str">
        <f>VLOOKUP(Ruimtestaat[[#This Row],[Code]],Locaties[#All],2,FALSE)</f>
        <v>Neon College – Hengelo</v>
      </c>
      <c r="C511" s="258" t="str">
        <f>VLOOKUP(Ruimtestaat[[#This Row],[Code]],Locaties[#All],4,FALSE)</f>
        <v>Sportlaan Driene 8-10</v>
      </c>
      <c r="D511" s="258" t="str">
        <f>VLOOKUP(Ruimtestaat[[#This Row],[Code]],Locaties[#All],5,FALSE)</f>
        <v>7552 Ha</v>
      </c>
      <c r="E511" s="258" t="str">
        <f>VLOOKUP(Ruimtestaat[[#This Row],[Code]],Locaties[#All],6,FALSE)</f>
        <v>Hengelo</v>
      </c>
      <c r="F511" s="257"/>
      <c r="G511" s="257" t="s">
        <v>563</v>
      </c>
      <c r="H511" s="171"/>
      <c r="I511" s="257" t="s">
        <v>922</v>
      </c>
      <c r="J511" s="259" t="s">
        <v>911</v>
      </c>
      <c r="K511" s="258">
        <v>16</v>
      </c>
      <c r="L511" s="260" t="str">
        <f>VLOOKUP(Ruimtestaat[[#This Row],[Ruimte code]],Ruimtegroepen[#All],2,FALSE)</f>
        <v>Leslokalen</v>
      </c>
      <c r="M511" s="212" t="s">
        <v>597</v>
      </c>
      <c r="N511" s="257" t="s">
        <v>38</v>
      </c>
      <c r="O511" s="261">
        <v>22</v>
      </c>
      <c r="P511" s="183"/>
      <c r="Q511" s="212" t="str">
        <f>VLOOKUP(Ruimtestaat[[#This Row],[Ruimte code]],Ruimtegroepen[#All],4,FALSE)</f>
        <v>L  (Lesruimte)</v>
      </c>
      <c r="R511" s="184"/>
      <c r="S511" s="185">
        <v>40</v>
      </c>
      <c r="T511" s="185" t="s">
        <v>2</v>
      </c>
      <c r="U511" s="185">
        <f>IF(S511&gt;0,IF(RIGHT(Ruimtestaat[[#This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1" s="185">
        <f>IF(U511&gt;0,VLOOKUP($K511,Ruimtegroepen[],3,FALSE)*VLOOKUP($M511,Vloersoorten[],3,FALSE)*VLOOKUP($T511,Frequenties[],3,FALSE)*VLOOKUP($A511,Locaties[],3,FALSE),0)</f>
        <v>0</v>
      </c>
      <c r="W511" s="185">
        <f>Ruimtestaat[[#This Row],[Uitvoeringen werkdagen]]*Ruimtestaat[[#This Row],[Oppervlak (netto)]]</f>
        <v>4400</v>
      </c>
      <c r="X511" s="220">
        <f>IF(V511&gt;0,Ruimtestaat[[#This Row],[Prest. (m2 /jaar) werkdagen]]/Ruimtestaat[[#This Row],[Norm (m2/uur) werkdagen]],0)</f>
        <v>0</v>
      </c>
      <c r="Y511" s="221">
        <f>Ruimtestaat[[#This Row],[uren / jaar werkdagen]]*Tariefsopbouw!$D$38</f>
        <v>0</v>
      </c>
      <c r="Z511" s="33"/>
      <c r="AA511" s="33">
        <f>IF(Ruimtestaat[[#This Row],[Frequentie weekend]]&gt;0,VALUE(LEFT(Z511,1))*S511,0)</f>
        <v>0</v>
      </c>
      <c r="AB511" s="33">
        <f>IF($AA511&gt;0,VLOOKUP($K511,Ruimtegroepen[],3,FALSE)*VLOOKUP($M511,Vloersoorten[],3,FALSE)*VLOOKUP($Z511,Frequenties[],3,FALSE)*VLOOKUP(#REF!,Locaties[],3,FALSE),0)</f>
        <v>0</v>
      </c>
      <c r="AC511" s="33"/>
      <c r="AD511" s="33"/>
      <c r="AE511" s="33">
        <f>Ruimtestaat[[#This Row],[uren / jaar weekend]]*Tariefsopbouw!$D$40</f>
        <v>0</v>
      </c>
      <c r="AF511" s="79">
        <f>Ruimtestaat[[#This Row],[Prest. (m2 /jaar) weekend]]+Ruimtestaat[[#This Row],[Prest. (m2 /jaar) werkdagen]]</f>
        <v>4400</v>
      </c>
      <c r="AG511" s="79">
        <f>Ruimtestaat[[#This Row],[uren / jaar weekend]]+Ruimtestaat[[#This Row],[uren / jaar werkdagen]]</f>
        <v>0</v>
      </c>
      <c r="AH511" s="80">
        <f>Ruimtestaat[[#This Row],[kosten / jaar weekend]]+Ruimtestaat[[#This Row],[kosten / jaar werkdagen]]</f>
        <v>0</v>
      </c>
    </row>
    <row r="512" spans="1:34" ht="15" customHeight="1">
      <c r="A512" s="256">
        <v>13</v>
      </c>
      <c r="B512" s="171" t="str">
        <f>VLOOKUP(Ruimtestaat[[#This Row],[Code]],Locaties[#All],2,FALSE)</f>
        <v>Neon College – Hengelo</v>
      </c>
      <c r="C512" s="258" t="str">
        <f>VLOOKUP(Ruimtestaat[[#This Row],[Code]],Locaties[#All],4,FALSE)</f>
        <v>Sportlaan Driene 8-10</v>
      </c>
      <c r="D512" s="258" t="str">
        <f>VLOOKUP(Ruimtestaat[[#This Row],[Code]],Locaties[#All],5,FALSE)</f>
        <v>7552 Ha</v>
      </c>
      <c r="E512" s="258" t="str">
        <f>VLOOKUP(Ruimtestaat[[#This Row],[Code]],Locaties[#All],6,FALSE)</f>
        <v>Hengelo</v>
      </c>
      <c r="F512" s="257"/>
      <c r="G512" s="257" t="s">
        <v>563</v>
      </c>
      <c r="H512" s="171"/>
      <c r="I512" s="257" t="s">
        <v>923</v>
      </c>
      <c r="J512" s="259" t="s">
        <v>586</v>
      </c>
      <c r="K512" s="171">
        <v>20</v>
      </c>
      <c r="L512" s="260" t="str">
        <f>VLOOKUP(Ruimtestaat[[#This Row],[Ruimte code]],Ruimtegroepen[#All],2,FALSE)</f>
        <v>Niet in onderhoud</v>
      </c>
      <c r="M512" s="258" t="s">
        <v>597</v>
      </c>
      <c r="N512" s="257" t="s">
        <v>38</v>
      </c>
      <c r="O512" s="261"/>
      <c r="P512" s="183">
        <v>11</v>
      </c>
      <c r="Q512" s="212" t="str">
        <f>VLOOKUP(Ruimtestaat[[#This Row],[Ruimte code]],Ruimtegroepen[#All],4,FALSE)</f>
        <v>niet in onderhoud</v>
      </c>
      <c r="R512" s="184"/>
      <c r="S512" s="185"/>
      <c r="T512" s="185"/>
      <c r="U512" s="185">
        <f>IF(S512&gt;0,IF(RIGHT(Ruimtestaat[[#This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2" s="185">
        <f>IF(U512&gt;0,VLOOKUP($K512,Ruimtegroepen[],3,FALSE)*VLOOKUP($M512,Vloersoorten[],3,FALSE)*VLOOKUP($T512,Frequenties[],3,FALSE)*VLOOKUP($A512,Locaties[],3,FALSE),0)</f>
        <v>0</v>
      </c>
      <c r="W512" s="185">
        <f>Ruimtestaat[[#This Row],[Uitvoeringen werkdagen]]*Ruimtestaat[[#This Row],[Oppervlak (netto)]]</f>
        <v>0</v>
      </c>
      <c r="X512" s="220">
        <f>IF(V512&gt;0,Ruimtestaat[[#This Row],[Prest. (m2 /jaar) werkdagen]]/Ruimtestaat[[#This Row],[Norm (m2/uur) werkdagen]],0)</f>
        <v>0</v>
      </c>
      <c r="Y512" s="221">
        <f>Ruimtestaat[[#This Row],[uren / jaar werkdagen]]*Tariefsopbouw!$D$38</f>
        <v>0</v>
      </c>
      <c r="Z512" s="33"/>
      <c r="AA512" s="33">
        <f>IF(Ruimtestaat[[#This Row],[Frequentie weekend]]&gt;0,VALUE(LEFT(Z512,1))*S512,0)</f>
        <v>0</v>
      </c>
      <c r="AB512" s="33">
        <f>IF($AA512&gt;0,VLOOKUP($K512,Ruimtegroepen[],3,FALSE)*VLOOKUP($M512,Vloersoorten[],3,FALSE)*VLOOKUP($Z512,Frequenties[],3,FALSE)*VLOOKUP(#REF!,Locaties[],3,FALSE),0)</f>
        <v>0</v>
      </c>
      <c r="AC512" s="33"/>
      <c r="AD512" s="33"/>
      <c r="AE512" s="33">
        <f>Ruimtestaat[[#This Row],[uren / jaar weekend]]*Tariefsopbouw!$D$40</f>
        <v>0</v>
      </c>
      <c r="AF512" s="79">
        <f>Ruimtestaat[[#This Row],[Prest. (m2 /jaar) weekend]]+Ruimtestaat[[#This Row],[Prest. (m2 /jaar) werkdagen]]</f>
        <v>0</v>
      </c>
      <c r="AG512" s="79">
        <f>Ruimtestaat[[#This Row],[uren / jaar weekend]]+Ruimtestaat[[#This Row],[uren / jaar werkdagen]]</f>
        <v>0</v>
      </c>
      <c r="AH512" s="80">
        <f>Ruimtestaat[[#This Row],[kosten / jaar weekend]]+Ruimtestaat[[#This Row],[kosten / jaar werkdagen]]</f>
        <v>0</v>
      </c>
    </row>
    <row r="513" spans="1:34" ht="15" customHeight="1">
      <c r="A513" s="256">
        <v>13</v>
      </c>
      <c r="B513" s="171" t="str">
        <f>VLOOKUP(Ruimtestaat[[#This Row],[Code]],Locaties[#All],2,FALSE)</f>
        <v>Neon College – Hengelo</v>
      </c>
      <c r="C513" s="258" t="str">
        <f>VLOOKUP(Ruimtestaat[[#This Row],[Code]],Locaties[#All],4,FALSE)</f>
        <v>Sportlaan Driene 8-10</v>
      </c>
      <c r="D513" s="258" t="str">
        <f>VLOOKUP(Ruimtestaat[[#This Row],[Code]],Locaties[#All],5,FALSE)</f>
        <v>7552 Ha</v>
      </c>
      <c r="E513" s="258" t="str">
        <f>VLOOKUP(Ruimtestaat[[#This Row],[Code]],Locaties[#All],6,FALSE)</f>
        <v>Hengelo</v>
      </c>
      <c r="F513" s="257"/>
      <c r="G513" s="257" t="s">
        <v>563</v>
      </c>
      <c r="H513" s="171"/>
      <c r="I513" s="257" t="s">
        <v>924</v>
      </c>
      <c r="J513" s="259" t="s">
        <v>569</v>
      </c>
      <c r="K513" s="258">
        <v>5</v>
      </c>
      <c r="L513" s="260" t="str">
        <f>VLOOKUP(Ruimtestaat[[#This Row],[Ruimte code]],Ruimtegroepen[#All],2,FALSE)</f>
        <v>Sanitair</v>
      </c>
      <c r="M513" s="212" t="s">
        <v>111</v>
      </c>
      <c r="N513" s="257" t="s">
        <v>605</v>
      </c>
      <c r="O513" s="261">
        <v>20</v>
      </c>
      <c r="P513" s="183"/>
      <c r="Q513" s="212" t="str">
        <f>VLOOKUP(Ruimtestaat[[#This Row],[Ruimte code]],Ruimtegroepen[#All],4,FALSE)</f>
        <v>S  (Sanitair)</v>
      </c>
      <c r="R513" s="184"/>
      <c r="S513" s="185">
        <v>40</v>
      </c>
      <c r="T513" s="185" t="s">
        <v>2</v>
      </c>
      <c r="U513" s="185">
        <f>IF(S513&gt;0,IF(RIGHT(Ruimtestaat[[#This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3" s="185">
        <f>IF(U513&gt;0,VLOOKUP($K513,Ruimtegroepen[],3,FALSE)*VLOOKUP($M513,Vloersoorten[],3,FALSE)*VLOOKUP($T513,Frequenties[],3,FALSE)*VLOOKUP($A513,Locaties[],3,FALSE),0)</f>
        <v>0</v>
      </c>
      <c r="W513" s="185">
        <f>Ruimtestaat[[#This Row],[Uitvoeringen werkdagen]]*Ruimtestaat[[#This Row],[Oppervlak (netto)]]</f>
        <v>4000</v>
      </c>
      <c r="X513" s="220">
        <f>IF(V513&gt;0,Ruimtestaat[[#This Row],[Prest. (m2 /jaar) werkdagen]]/Ruimtestaat[[#This Row],[Norm (m2/uur) werkdagen]],0)</f>
        <v>0</v>
      </c>
      <c r="Y513" s="221">
        <f>Ruimtestaat[[#This Row],[uren / jaar werkdagen]]*Tariefsopbouw!$D$38</f>
        <v>0</v>
      </c>
      <c r="Z513" s="33"/>
      <c r="AA513" s="33">
        <f>IF(Ruimtestaat[[#This Row],[Frequentie weekend]]&gt;0,VALUE(LEFT(Z513,1))*S513,0)</f>
        <v>0</v>
      </c>
      <c r="AB513" s="33">
        <f>IF($AA513&gt;0,VLOOKUP($K513,Ruimtegroepen[],3,FALSE)*VLOOKUP($M513,Vloersoorten[],3,FALSE)*VLOOKUP($Z513,Frequenties[],3,FALSE)*VLOOKUP(#REF!,Locaties[],3,FALSE),0)</f>
        <v>0</v>
      </c>
      <c r="AC513" s="33"/>
      <c r="AD513" s="33"/>
      <c r="AE513" s="33">
        <f>Ruimtestaat[[#This Row],[uren / jaar weekend]]*Tariefsopbouw!$D$40</f>
        <v>0</v>
      </c>
      <c r="AF513" s="79">
        <f>Ruimtestaat[[#This Row],[Prest. (m2 /jaar) weekend]]+Ruimtestaat[[#This Row],[Prest. (m2 /jaar) werkdagen]]</f>
        <v>4000</v>
      </c>
      <c r="AG513" s="79">
        <f>Ruimtestaat[[#This Row],[uren / jaar weekend]]+Ruimtestaat[[#This Row],[uren / jaar werkdagen]]</f>
        <v>0</v>
      </c>
      <c r="AH513" s="80">
        <f>Ruimtestaat[[#This Row],[kosten / jaar weekend]]+Ruimtestaat[[#This Row],[kosten / jaar werkdagen]]</f>
        <v>0</v>
      </c>
    </row>
    <row r="514" spans="1:34" ht="15" customHeight="1">
      <c r="A514" s="256">
        <v>13</v>
      </c>
      <c r="B514" s="171" t="str">
        <f>VLOOKUP(Ruimtestaat[[#This Row],[Code]],Locaties[#All],2,FALSE)</f>
        <v>Neon College – Hengelo</v>
      </c>
      <c r="C514" s="258" t="str">
        <f>VLOOKUP(Ruimtestaat[[#This Row],[Code]],Locaties[#All],4,FALSE)</f>
        <v>Sportlaan Driene 8-10</v>
      </c>
      <c r="D514" s="258" t="str">
        <f>VLOOKUP(Ruimtestaat[[#This Row],[Code]],Locaties[#All],5,FALSE)</f>
        <v>7552 Ha</v>
      </c>
      <c r="E514" s="258" t="str">
        <f>VLOOKUP(Ruimtestaat[[#This Row],[Code]],Locaties[#All],6,FALSE)</f>
        <v>Hengelo</v>
      </c>
      <c r="F514" s="257"/>
      <c r="G514" s="257" t="s">
        <v>563</v>
      </c>
      <c r="H514" s="171"/>
      <c r="I514" s="257" t="s">
        <v>925</v>
      </c>
      <c r="J514" s="259" t="s">
        <v>569</v>
      </c>
      <c r="K514" s="171">
        <v>5</v>
      </c>
      <c r="L514" s="260" t="str">
        <f>VLOOKUP(Ruimtestaat[[#This Row],[Ruimte code]],Ruimtegroepen[#All],2,FALSE)</f>
        <v>Sanitair</v>
      </c>
      <c r="M514" s="212" t="s">
        <v>111</v>
      </c>
      <c r="N514" s="257" t="s">
        <v>605</v>
      </c>
      <c r="O514" s="261">
        <v>5</v>
      </c>
      <c r="P514" s="183"/>
      <c r="Q514" s="212" t="str">
        <f>VLOOKUP(Ruimtestaat[[#This Row],[Ruimte code]],Ruimtegroepen[#All],4,FALSE)</f>
        <v>S  (Sanitair)</v>
      </c>
      <c r="R514" s="184"/>
      <c r="S514" s="185">
        <v>40</v>
      </c>
      <c r="T514" s="185" t="s">
        <v>2</v>
      </c>
      <c r="U514" s="185">
        <f>IF(S514&gt;0,IF(RIGHT(Ruimtestaat[[#This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4" s="185">
        <f>IF(U514&gt;0,VLOOKUP($K514,Ruimtegroepen[],3,FALSE)*VLOOKUP($M514,Vloersoorten[],3,FALSE)*VLOOKUP($T514,Frequenties[],3,FALSE)*VLOOKUP($A514,Locaties[],3,FALSE),0)</f>
        <v>0</v>
      </c>
      <c r="W514" s="185">
        <f>Ruimtestaat[[#This Row],[Uitvoeringen werkdagen]]*Ruimtestaat[[#This Row],[Oppervlak (netto)]]</f>
        <v>1000</v>
      </c>
      <c r="X514" s="220">
        <f>IF(V514&gt;0,Ruimtestaat[[#This Row],[Prest. (m2 /jaar) werkdagen]]/Ruimtestaat[[#This Row],[Norm (m2/uur) werkdagen]],0)</f>
        <v>0</v>
      </c>
      <c r="Y514" s="221">
        <f>Ruimtestaat[[#This Row],[uren / jaar werkdagen]]*Tariefsopbouw!$D$38</f>
        <v>0</v>
      </c>
      <c r="Z514" s="33"/>
      <c r="AA514" s="33">
        <f>IF(Ruimtestaat[[#This Row],[Frequentie weekend]]&gt;0,VALUE(LEFT(Z514,1))*S514,0)</f>
        <v>0</v>
      </c>
      <c r="AB514" s="33">
        <f>IF($AA514&gt;0,VLOOKUP($K514,Ruimtegroepen[],3,FALSE)*VLOOKUP($M514,Vloersoorten[],3,FALSE)*VLOOKUP($Z514,Frequenties[],3,FALSE)*VLOOKUP(#REF!,Locaties[],3,FALSE),0)</f>
        <v>0</v>
      </c>
      <c r="AC514" s="33"/>
      <c r="AD514" s="33"/>
      <c r="AE514" s="33">
        <f>Ruimtestaat[[#This Row],[uren / jaar weekend]]*Tariefsopbouw!$D$40</f>
        <v>0</v>
      </c>
      <c r="AF514" s="79">
        <f>Ruimtestaat[[#This Row],[Prest. (m2 /jaar) weekend]]+Ruimtestaat[[#This Row],[Prest. (m2 /jaar) werkdagen]]</f>
        <v>1000</v>
      </c>
      <c r="AG514" s="79">
        <f>Ruimtestaat[[#This Row],[uren / jaar weekend]]+Ruimtestaat[[#This Row],[uren / jaar werkdagen]]</f>
        <v>0</v>
      </c>
      <c r="AH514" s="80">
        <f>Ruimtestaat[[#This Row],[kosten / jaar weekend]]+Ruimtestaat[[#This Row],[kosten / jaar werkdagen]]</f>
        <v>0</v>
      </c>
    </row>
    <row r="515" spans="1:34" ht="15" customHeight="1">
      <c r="A515" s="256">
        <v>13</v>
      </c>
      <c r="B515" s="171" t="str">
        <f>VLOOKUP(Ruimtestaat[[#This Row],[Code]],Locaties[#All],2,FALSE)</f>
        <v>Neon College – Hengelo</v>
      </c>
      <c r="C515" s="258" t="str">
        <f>VLOOKUP(Ruimtestaat[[#This Row],[Code]],Locaties[#All],4,FALSE)</f>
        <v>Sportlaan Driene 8-10</v>
      </c>
      <c r="D515" s="258" t="str">
        <f>VLOOKUP(Ruimtestaat[[#This Row],[Code]],Locaties[#All],5,FALSE)</f>
        <v>7552 Ha</v>
      </c>
      <c r="E515" s="258" t="str">
        <f>VLOOKUP(Ruimtestaat[[#This Row],[Code]],Locaties[#All],6,FALSE)</f>
        <v>Hengelo</v>
      </c>
      <c r="F515" s="257"/>
      <c r="G515" s="257" t="s">
        <v>563</v>
      </c>
      <c r="H515" s="171"/>
      <c r="I515" s="257" t="s">
        <v>926</v>
      </c>
      <c r="J515" s="259" t="s">
        <v>130</v>
      </c>
      <c r="K515" s="258">
        <v>15</v>
      </c>
      <c r="L515" s="260" t="str">
        <f>VLOOKUP(Ruimtestaat[[#This Row],[Ruimte code]],Ruimtegroepen[#All],2,FALSE)</f>
        <v>Keuken/pantry</v>
      </c>
      <c r="M515" s="258" t="s">
        <v>597</v>
      </c>
      <c r="N515" s="257" t="s">
        <v>38</v>
      </c>
      <c r="O515" s="261">
        <v>15</v>
      </c>
      <c r="P515" s="183"/>
      <c r="Q515" s="212" t="str">
        <f>VLOOKUP(Ruimtestaat[[#This Row],[Ruimte code]],Ruimtegroepen[#All],4,FALSE)</f>
        <v>V  (Verkeersruimte)</v>
      </c>
      <c r="R515" s="184"/>
      <c r="S515" s="185">
        <v>40</v>
      </c>
      <c r="T515" s="185" t="s">
        <v>2</v>
      </c>
      <c r="U515" s="185">
        <f>IF(S515&gt;0,IF(RIGHT(Ruimtestaat[[#This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5" s="185">
        <f>IF(U515&gt;0,VLOOKUP($K515,Ruimtegroepen[],3,FALSE)*VLOOKUP($M515,Vloersoorten[],3,FALSE)*VLOOKUP($T515,Frequenties[],3,FALSE)*VLOOKUP($A515,Locaties[],3,FALSE),0)</f>
        <v>0</v>
      </c>
      <c r="W515" s="185">
        <f>Ruimtestaat[[#This Row],[Uitvoeringen werkdagen]]*Ruimtestaat[[#This Row],[Oppervlak (netto)]]</f>
        <v>3000</v>
      </c>
      <c r="X515" s="220">
        <f>IF(V515&gt;0,Ruimtestaat[[#This Row],[Prest. (m2 /jaar) werkdagen]]/Ruimtestaat[[#This Row],[Norm (m2/uur) werkdagen]],0)</f>
        <v>0</v>
      </c>
      <c r="Y515" s="221">
        <f>Ruimtestaat[[#This Row],[uren / jaar werkdagen]]*Tariefsopbouw!$D$38</f>
        <v>0</v>
      </c>
      <c r="Z515" s="33"/>
      <c r="AA515" s="33">
        <f>IF(Ruimtestaat[[#This Row],[Frequentie weekend]]&gt;0,VALUE(LEFT(Z515,1))*S515,0)</f>
        <v>0</v>
      </c>
      <c r="AB515" s="33">
        <f>IF($AA515&gt;0,VLOOKUP($K515,Ruimtegroepen[],3,FALSE)*VLOOKUP($M515,Vloersoorten[],3,FALSE)*VLOOKUP($Z515,Frequenties[],3,FALSE)*VLOOKUP(#REF!,Locaties[],3,FALSE),0)</f>
        <v>0</v>
      </c>
      <c r="AC515" s="33"/>
      <c r="AD515" s="33"/>
      <c r="AE515" s="33">
        <f>Ruimtestaat[[#This Row],[uren / jaar weekend]]*Tariefsopbouw!$D$40</f>
        <v>0</v>
      </c>
      <c r="AF515" s="79">
        <f>Ruimtestaat[[#This Row],[Prest. (m2 /jaar) weekend]]+Ruimtestaat[[#This Row],[Prest. (m2 /jaar) werkdagen]]</f>
        <v>3000</v>
      </c>
      <c r="AG515" s="79">
        <f>Ruimtestaat[[#This Row],[uren / jaar weekend]]+Ruimtestaat[[#This Row],[uren / jaar werkdagen]]</f>
        <v>0</v>
      </c>
      <c r="AH515" s="80">
        <f>Ruimtestaat[[#This Row],[kosten / jaar weekend]]+Ruimtestaat[[#This Row],[kosten / jaar werkdagen]]</f>
        <v>0</v>
      </c>
    </row>
    <row r="516" spans="1:34" ht="15" customHeight="1">
      <c r="A516" s="256">
        <v>13</v>
      </c>
      <c r="B516" s="171" t="str">
        <f>VLOOKUP(Ruimtestaat[[#This Row],[Code]],Locaties[#All],2,FALSE)</f>
        <v>Neon College – Hengelo</v>
      </c>
      <c r="C516" s="258" t="str">
        <f>VLOOKUP(Ruimtestaat[[#This Row],[Code]],Locaties[#All],4,FALSE)</f>
        <v>Sportlaan Driene 8-10</v>
      </c>
      <c r="D516" s="258" t="str">
        <f>VLOOKUP(Ruimtestaat[[#This Row],[Code]],Locaties[#All],5,FALSE)</f>
        <v>7552 Ha</v>
      </c>
      <c r="E516" s="258" t="str">
        <f>VLOOKUP(Ruimtestaat[[#This Row],[Code]],Locaties[#All],6,FALSE)</f>
        <v>Hengelo</v>
      </c>
      <c r="F516" s="257"/>
      <c r="G516" s="257" t="s">
        <v>563</v>
      </c>
      <c r="H516" s="171"/>
      <c r="I516" s="257" t="s">
        <v>927</v>
      </c>
      <c r="J516" s="259" t="s">
        <v>574</v>
      </c>
      <c r="K516" s="171">
        <v>6</v>
      </c>
      <c r="L516" s="260" t="str">
        <f>VLOOKUP(Ruimtestaat[[#This Row],[Ruimte code]],Ruimtegroepen[#All],2,FALSE)</f>
        <v>Gangen/hallen</v>
      </c>
      <c r="M516" s="258" t="s">
        <v>598</v>
      </c>
      <c r="N516" s="257" t="s">
        <v>132</v>
      </c>
      <c r="O516" s="261">
        <v>16</v>
      </c>
      <c r="P516" s="183"/>
      <c r="Q516" s="212" t="str">
        <f>VLOOKUP(Ruimtestaat[[#This Row],[Ruimte code]],Ruimtegroepen[#All],4,FALSE)</f>
        <v>V  (Verkeersruimte)</v>
      </c>
      <c r="R516" s="184"/>
      <c r="S516" s="185">
        <v>40</v>
      </c>
      <c r="T516" s="185" t="s">
        <v>2</v>
      </c>
      <c r="U516" s="185">
        <f>IF(S516&gt;0,IF(RIGHT(Ruimtestaat[[#This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6" s="185">
        <f>IF(U516&gt;0,VLOOKUP($K516,Ruimtegroepen[],3,FALSE)*VLOOKUP($M516,Vloersoorten[],3,FALSE)*VLOOKUP($T516,Frequenties[],3,FALSE)*VLOOKUP($A516,Locaties[],3,FALSE),0)</f>
        <v>0</v>
      </c>
      <c r="W516" s="185">
        <f>Ruimtestaat[[#This Row],[Uitvoeringen werkdagen]]*Ruimtestaat[[#This Row],[Oppervlak (netto)]]</f>
        <v>3200</v>
      </c>
      <c r="X516" s="220">
        <f>IF(V516&gt;0,Ruimtestaat[[#This Row],[Prest. (m2 /jaar) werkdagen]]/Ruimtestaat[[#This Row],[Norm (m2/uur) werkdagen]],0)</f>
        <v>0</v>
      </c>
      <c r="Y516" s="221">
        <f>Ruimtestaat[[#This Row],[uren / jaar werkdagen]]*Tariefsopbouw!$D$38</f>
        <v>0</v>
      </c>
      <c r="Z516" s="33"/>
      <c r="AA516" s="33">
        <f>IF(Ruimtestaat[[#This Row],[Frequentie weekend]]&gt;0,VALUE(LEFT(Z516,1))*S516,0)</f>
        <v>0</v>
      </c>
      <c r="AB516" s="33">
        <f>IF($AA516&gt;0,VLOOKUP($K516,Ruimtegroepen[],3,FALSE)*VLOOKUP($M516,Vloersoorten[],3,FALSE)*VLOOKUP($Z516,Frequenties[],3,FALSE)*VLOOKUP(#REF!,Locaties[],3,FALSE),0)</f>
        <v>0</v>
      </c>
      <c r="AC516" s="33"/>
      <c r="AD516" s="33"/>
      <c r="AE516" s="33">
        <f>Ruimtestaat[[#This Row],[uren / jaar weekend]]*Tariefsopbouw!$D$40</f>
        <v>0</v>
      </c>
      <c r="AF516" s="79">
        <f>Ruimtestaat[[#This Row],[Prest. (m2 /jaar) weekend]]+Ruimtestaat[[#This Row],[Prest. (m2 /jaar) werkdagen]]</f>
        <v>3200</v>
      </c>
      <c r="AG516" s="79">
        <f>Ruimtestaat[[#This Row],[uren / jaar weekend]]+Ruimtestaat[[#This Row],[uren / jaar werkdagen]]</f>
        <v>0</v>
      </c>
      <c r="AH516" s="80">
        <f>Ruimtestaat[[#This Row],[kosten / jaar weekend]]+Ruimtestaat[[#This Row],[kosten / jaar werkdagen]]</f>
        <v>0</v>
      </c>
    </row>
    <row r="517" spans="1:34" ht="15" customHeight="1">
      <c r="A517" s="256">
        <v>13</v>
      </c>
      <c r="B517" s="171" t="str">
        <f>VLOOKUP(Ruimtestaat[[#This Row],[Code]],Locaties[#All],2,FALSE)</f>
        <v>Neon College – Hengelo</v>
      </c>
      <c r="C517" s="258" t="str">
        <f>VLOOKUP(Ruimtestaat[[#This Row],[Code]],Locaties[#All],4,FALSE)</f>
        <v>Sportlaan Driene 8-10</v>
      </c>
      <c r="D517" s="258" t="str">
        <f>VLOOKUP(Ruimtestaat[[#This Row],[Code]],Locaties[#All],5,FALSE)</f>
        <v>7552 Ha</v>
      </c>
      <c r="E517" s="258" t="str">
        <f>VLOOKUP(Ruimtestaat[[#This Row],[Code]],Locaties[#All],6,FALSE)</f>
        <v>Hengelo</v>
      </c>
      <c r="F517" s="257"/>
      <c r="G517" s="257" t="s">
        <v>563</v>
      </c>
      <c r="H517" s="171"/>
      <c r="I517" s="257" t="s">
        <v>928</v>
      </c>
      <c r="J517" s="213" t="s">
        <v>695</v>
      </c>
      <c r="K517" s="258">
        <v>20</v>
      </c>
      <c r="L517" s="260" t="str">
        <f>VLOOKUP(Ruimtestaat[[#This Row],[Ruimte code]],Ruimtegroepen[#All],2,FALSE)</f>
        <v>Niet in onderhoud</v>
      </c>
      <c r="M517" s="258" t="s">
        <v>598</v>
      </c>
      <c r="N517" s="257" t="s">
        <v>132</v>
      </c>
      <c r="O517" s="261"/>
      <c r="P517" s="183">
        <v>16</v>
      </c>
      <c r="Q517" s="212" t="str">
        <f>VLOOKUP(Ruimtestaat[[#This Row],[Ruimte code]],Ruimtegroepen[#All],4,FALSE)</f>
        <v>niet in onderhoud</v>
      </c>
      <c r="R517" s="184"/>
      <c r="S517" s="185"/>
      <c r="T517" s="185"/>
      <c r="U517" s="185">
        <f>IF(S517&gt;0,IF(RIGHT(Ruimtestaat[[#This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7" s="185">
        <f>IF(U517&gt;0,VLOOKUP($K517,Ruimtegroepen[],3,FALSE)*VLOOKUP($M517,Vloersoorten[],3,FALSE)*VLOOKUP($T517,Frequenties[],3,FALSE)*VLOOKUP($A517,Locaties[],3,FALSE),0)</f>
        <v>0</v>
      </c>
      <c r="W517" s="185">
        <f>Ruimtestaat[[#This Row],[Uitvoeringen werkdagen]]*Ruimtestaat[[#This Row],[Oppervlak (netto)]]</f>
        <v>0</v>
      </c>
      <c r="X517" s="220">
        <f>IF(V517&gt;0,Ruimtestaat[[#This Row],[Prest. (m2 /jaar) werkdagen]]/Ruimtestaat[[#This Row],[Norm (m2/uur) werkdagen]],0)</f>
        <v>0</v>
      </c>
      <c r="Y517" s="221">
        <f>Ruimtestaat[[#This Row],[uren / jaar werkdagen]]*Tariefsopbouw!$D$38</f>
        <v>0</v>
      </c>
      <c r="Z517" s="33"/>
      <c r="AA517" s="33">
        <f>IF(Ruimtestaat[[#This Row],[Frequentie weekend]]&gt;0,VALUE(LEFT(Z517,1))*S517,0)</f>
        <v>0</v>
      </c>
      <c r="AB517" s="33">
        <f>IF($AA517&gt;0,VLOOKUP($K517,Ruimtegroepen[],3,FALSE)*VLOOKUP($M517,Vloersoorten[],3,FALSE)*VLOOKUP($Z517,Frequenties[],3,FALSE)*VLOOKUP(#REF!,Locaties[],3,FALSE),0)</f>
        <v>0</v>
      </c>
      <c r="AC517" s="33"/>
      <c r="AD517" s="33"/>
      <c r="AE517" s="33">
        <f>Ruimtestaat[[#This Row],[uren / jaar weekend]]*Tariefsopbouw!$D$40</f>
        <v>0</v>
      </c>
      <c r="AF517" s="79">
        <f>Ruimtestaat[[#This Row],[Prest. (m2 /jaar) weekend]]+Ruimtestaat[[#This Row],[Prest. (m2 /jaar) werkdagen]]</f>
        <v>0</v>
      </c>
      <c r="AG517" s="79">
        <f>Ruimtestaat[[#This Row],[uren / jaar weekend]]+Ruimtestaat[[#This Row],[uren / jaar werkdagen]]</f>
        <v>0</v>
      </c>
      <c r="AH517" s="80">
        <f>Ruimtestaat[[#This Row],[kosten / jaar weekend]]+Ruimtestaat[[#This Row],[kosten / jaar werkdagen]]</f>
        <v>0</v>
      </c>
    </row>
    <row r="518" spans="1:34" ht="15" customHeight="1">
      <c r="A518" s="256">
        <v>13</v>
      </c>
      <c r="B518" s="171" t="str">
        <f>VLOOKUP(Ruimtestaat[[#This Row],[Code]],Locaties[#All],2,FALSE)</f>
        <v>Neon College – Hengelo</v>
      </c>
      <c r="C518" s="258" t="str">
        <f>VLOOKUP(Ruimtestaat[[#This Row],[Code]],Locaties[#All],4,FALSE)</f>
        <v>Sportlaan Driene 8-10</v>
      </c>
      <c r="D518" s="258" t="str">
        <f>VLOOKUP(Ruimtestaat[[#This Row],[Code]],Locaties[#All],5,FALSE)</f>
        <v>7552 Ha</v>
      </c>
      <c r="E518" s="258" t="str">
        <f>VLOOKUP(Ruimtestaat[[#This Row],[Code]],Locaties[#All],6,FALSE)</f>
        <v>Hengelo</v>
      </c>
      <c r="F518" s="257"/>
      <c r="G518" s="257" t="s">
        <v>563</v>
      </c>
      <c r="H518" s="171"/>
      <c r="I518" s="257" t="s">
        <v>929</v>
      </c>
      <c r="J518" s="259" t="s">
        <v>695</v>
      </c>
      <c r="K518" s="258">
        <v>10</v>
      </c>
      <c r="L518" s="260" t="str">
        <f>VLOOKUP(Ruimtestaat[[#This Row],[Ruimte code]],Ruimtegroepen[#All],2,FALSE)</f>
        <v>Trappenhuizen/lift</v>
      </c>
      <c r="M518" s="212" t="s">
        <v>111</v>
      </c>
      <c r="N518" s="257" t="s">
        <v>626</v>
      </c>
      <c r="O518" s="261">
        <v>16</v>
      </c>
      <c r="P518" s="183"/>
      <c r="Q518" s="212" t="str">
        <f>VLOOKUP(Ruimtestaat[[#This Row],[Ruimte code]],Ruimtegroepen[#All],4,FALSE)</f>
        <v>V  (Verkeersruimte)</v>
      </c>
      <c r="R518" s="184"/>
      <c r="S518" s="185">
        <v>40</v>
      </c>
      <c r="T518" s="185" t="s">
        <v>2</v>
      </c>
      <c r="U518" s="185">
        <f>IF(S518&gt;0,IF(RIGHT(Ruimtestaat[[#This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8" s="185">
        <f>IF(U518&gt;0,VLOOKUP($K518,Ruimtegroepen[],3,FALSE)*VLOOKUP($M518,Vloersoorten[],3,FALSE)*VLOOKUP($T518,Frequenties[],3,FALSE)*VLOOKUP($A518,Locaties[],3,FALSE),0)</f>
        <v>0</v>
      </c>
      <c r="W518" s="185">
        <f>Ruimtestaat[[#This Row],[Uitvoeringen werkdagen]]*Ruimtestaat[[#This Row],[Oppervlak (netto)]]</f>
        <v>3200</v>
      </c>
      <c r="X518" s="220">
        <f>IF(V518&gt;0,Ruimtestaat[[#This Row],[Prest. (m2 /jaar) werkdagen]]/Ruimtestaat[[#This Row],[Norm (m2/uur) werkdagen]],0)</f>
        <v>0</v>
      </c>
      <c r="Y518" s="221">
        <f>Ruimtestaat[[#This Row],[uren / jaar werkdagen]]*Tariefsopbouw!$D$38</f>
        <v>0</v>
      </c>
      <c r="Z518" s="33"/>
      <c r="AA518" s="33">
        <f>IF(Ruimtestaat[[#This Row],[Frequentie weekend]]&gt;0,VALUE(LEFT(Z518,1))*S518,0)</f>
        <v>0</v>
      </c>
      <c r="AB518" s="33">
        <f>IF($AA518&gt;0,VLOOKUP($K518,Ruimtegroepen[],3,FALSE)*VLOOKUP($M518,Vloersoorten[],3,FALSE)*VLOOKUP($Z518,Frequenties[],3,FALSE)*VLOOKUP(#REF!,Locaties[],3,FALSE),0)</f>
        <v>0</v>
      </c>
      <c r="AC518" s="33"/>
      <c r="AD518" s="33"/>
      <c r="AE518" s="33">
        <f>Ruimtestaat[[#This Row],[uren / jaar weekend]]*Tariefsopbouw!$D$40</f>
        <v>0</v>
      </c>
      <c r="AF518" s="79">
        <f>Ruimtestaat[[#This Row],[Prest. (m2 /jaar) weekend]]+Ruimtestaat[[#This Row],[Prest. (m2 /jaar) werkdagen]]</f>
        <v>3200</v>
      </c>
      <c r="AG518" s="79">
        <f>Ruimtestaat[[#This Row],[uren / jaar weekend]]+Ruimtestaat[[#This Row],[uren / jaar werkdagen]]</f>
        <v>0</v>
      </c>
      <c r="AH518" s="80">
        <f>Ruimtestaat[[#This Row],[kosten / jaar weekend]]+Ruimtestaat[[#This Row],[kosten / jaar werkdagen]]</f>
        <v>0</v>
      </c>
    </row>
    <row r="519" spans="1:34" ht="15" customHeight="1">
      <c r="A519" s="256">
        <v>13</v>
      </c>
      <c r="B519" s="171" t="str">
        <f>VLOOKUP(Ruimtestaat[[#This Row],[Code]],Locaties[#All],2,FALSE)</f>
        <v>Neon College – Hengelo</v>
      </c>
      <c r="C519" s="258" t="str">
        <f>VLOOKUP(Ruimtestaat[[#This Row],[Code]],Locaties[#All],4,FALSE)</f>
        <v>Sportlaan Driene 8-10</v>
      </c>
      <c r="D519" s="258" t="str">
        <f>VLOOKUP(Ruimtestaat[[#This Row],[Code]],Locaties[#All],5,FALSE)</f>
        <v>7552 Ha</v>
      </c>
      <c r="E519" s="258" t="str">
        <f>VLOOKUP(Ruimtestaat[[#This Row],[Code]],Locaties[#All],6,FALSE)</f>
        <v>Hengelo</v>
      </c>
      <c r="F519" s="257"/>
      <c r="G519" s="257" t="s">
        <v>564</v>
      </c>
      <c r="H519" s="171"/>
      <c r="I519" s="257" t="s">
        <v>930</v>
      </c>
      <c r="J519" s="259" t="s">
        <v>574</v>
      </c>
      <c r="K519" s="185">
        <v>20</v>
      </c>
      <c r="L519" s="260" t="str">
        <f>VLOOKUP(Ruimtestaat[[#This Row],[Ruimte code]],Ruimtegroepen[#All],2,FALSE)</f>
        <v>Niet in onderhoud</v>
      </c>
      <c r="M519" s="258" t="s">
        <v>598</v>
      </c>
      <c r="N519" s="257" t="s">
        <v>132</v>
      </c>
      <c r="O519" s="261"/>
      <c r="P519" s="261">
        <v>118</v>
      </c>
      <c r="Q519" s="212" t="str">
        <f>VLOOKUP(Ruimtestaat[[#This Row],[Ruimte code]],Ruimtegroepen[#All],4,FALSE)</f>
        <v>niet in onderhoud</v>
      </c>
      <c r="R519" s="184"/>
      <c r="S519" s="185"/>
      <c r="T519" s="185"/>
      <c r="U519" s="185">
        <f>IF(S519&gt;0,IF(RIGHT(Ruimtestaat[[#This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9" s="185">
        <f>IF(U519&gt;0,VLOOKUP($K519,Ruimtegroepen[],3,FALSE)*VLOOKUP($M519,Vloersoorten[],3,FALSE)*VLOOKUP($T519,Frequenties[],3,FALSE)*VLOOKUP($A519,Locaties[],3,FALSE),0)</f>
        <v>0</v>
      </c>
      <c r="W519" s="185">
        <f>Ruimtestaat[[#This Row],[Uitvoeringen werkdagen]]*Ruimtestaat[[#This Row],[Oppervlak (netto)]]</f>
        <v>0</v>
      </c>
      <c r="X519" s="220">
        <f>IF(V519&gt;0,Ruimtestaat[[#This Row],[Prest. (m2 /jaar) werkdagen]]/Ruimtestaat[[#This Row],[Norm (m2/uur) werkdagen]],0)</f>
        <v>0</v>
      </c>
      <c r="Y519" s="221">
        <f>Ruimtestaat[[#This Row],[uren / jaar werkdagen]]*Tariefsopbouw!$D$38</f>
        <v>0</v>
      </c>
      <c r="Z519" s="33"/>
      <c r="AA519" s="33">
        <f>IF(Ruimtestaat[[#This Row],[Frequentie weekend]]&gt;0,VALUE(LEFT(Z519,1))*S519,0)</f>
        <v>0</v>
      </c>
      <c r="AB519" s="33">
        <f>IF($AA519&gt;0,VLOOKUP($K519,Ruimtegroepen[],3,FALSE)*VLOOKUP($M519,Vloersoorten[],3,FALSE)*VLOOKUP($Z519,Frequenties[],3,FALSE)*VLOOKUP(#REF!,Locaties[],3,FALSE),0)</f>
        <v>0</v>
      </c>
      <c r="AC519" s="33"/>
      <c r="AD519" s="33"/>
      <c r="AE519" s="33">
        <f>Ruimtestaat[[#This Row],[uren / jaar weekend]]*Tariefsopbouw!$D$40</f>
        <v>0</v>
      </c>
      <c r="AF519" s="79">
        <f>Ruimtestaat[[#This Row],[Prest. (m2 /jaar) weekend]]+Ruimtestaat[[#This Row],[Prest. (m2 /jaar) werkdagen]]</f>
        <v>0</v>
      </c>
      <c r="AG519" s="79">
        <f>Ruimtestaat[[#This Row],[uren / jaar weekend]]+Ruimtestaat[[#This Row],[uren / jaar werkdagen]]</f>
        <v>0</v>
      </c>
      <c r="AH519" s="80">
        <f>Ruimtestaat[[#This Row],[kosten / jaar weekend]]+Ruimtestaat[[#This Row],[kosten / jaar werkdagen]]</f>
        <v>0</v>
      </c>
    </row>
    <row r="520" spans="1:34" ht="15" customHeight="1">
      <c r="A520" s="256">
        <v>13</v>
      </c>
      <c r="B520" s="171" t="str">
        <f>VLOOKUP(Ruimtestaat[[#This Row],[Code]],Locaties[#All],2,FALSE)</f>
        <v>Neon College – Hengelo</v>
      </c>
      <c r="C520" s="258" t="str">
        <f>VLOOKUP(Ruimtestaat[[#This Row],[Code]],Locaties[#All],4,FALSE)</f>
        <v>Sportlaan Driene 8-10</v>
      </c>
      <c r="D520" s="258" t="str">
        <f>VLOOKUP(Ruimtestaat[[#This Row],[Code]],Locaties[#All],5,FALSE)</f>
        <v>7552 Ha</v>
      </c>
      <c r="E520" s="258" t="str">
        <f>VLOOKUP(Ruimtestaat[[#This Row],[Code]],Locaties[#All],6,FALSE)</f>
        <v>Hengelo</v>
      </c>
      <c r="F520" s="257"/>
      <c r="G520" s="257" t="s">
        <v>564</v>
      </c>
      <c r="H520" s="171"/>
      <c r="I520" s="257">
        <v>1169</v>
      </c>
      <c r="J520" s="259" t="s">
        <v>576</v>
      </c>
      <c r="K520" s="185">
        <v>20</v>
      </c>
      <c r="L520" s="260" t="str">
        <f>VLOOKUP(Ruimtestaat[[#This Row],[Ruimte code]],Ruimtegroepen[#All],2,FALSE)</f>
        <v>Niet in onderhoud</v>
      </c>
      <c r="M520" s="258" t="s">
        <v>597</v>
      </c>
      <c r="N520" s="257" t="s">
        <v>38</v>
      </c>
      <c r="O520" s="261"/>
      <c r="P520" s="261">
        <v>52</v>
      </c>
      <c r="Q520" s="212" t="str">
        <f>VLOOKUP(Ruimtestaat[[#This Row],[Ruimte code]],Ruimtegroepen[#All],4,FALSE)</f>
        <v>niet in onderhoud</v>
      </c>
      <c r="R520" s="184"/>
      <c r="S520" s="185"/>
      <c r="T520" s="185"/>
      <c r="U520" s="185">
        <f>IF(S520&gt;0,IF(RIGHT(Ruimtestaat[[#This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0" s="185">
        <f>IF(U520&gt;0,VLOOKUP($K520,Ruimtegroepen[],3,FALSE)*VLOOKUP($M520,Vloersoorten[],3,FALSE)*VLOOKUP($T520,Frequenties[],3,FALSE)*VLOOKUP($A520,Locaties[],3,FALSE),0)</f>
        <v>0</v>
      </c>
      <c r="W520" s="185">
        <f>Ruimtestaat[[#This Row],[Uitvoeringen werkdagen]]*Ruimtestaat[[#This Row],[Oppervlak (netto)]]</f>
        <v>0</v>
      </c>
      <c r="X520" s="220">
        <f>IF(V520&gt;0,Ruimtestaat[[#This Row],[Prest. (m2 /jaar) werkdagen]]/Ruimtestaat[[#This Row],[Norm (m2/uur) werkdagen]],0)</f>
        <v>0</v>
      </c>
      <c r="Y520" s="221">
        <f>Ruimtestaat[[#This Row],[uren / jaar werkdagen]]*Tariefsopbouw!$D$38</f>
        <v>0</v>
      </c>
      <c r="Z520" s="33"/>
      <c r="AA520" s="33">
        <f>IF(Ruimtestaat[[#This Row],[Frequentie weekend]]&gt;0,VALUE(LEFT(Z520,1))*S520,0)</f>
        <v>0</v>
      </c>
      <c r="AB520" s="33">
        <f>IF($AA520&gt;0,VLOOKUP($K520,Ruimtegroepen[],3,FALSE)*VLOOKUP($M520,Vloersoorten[],3,FALSE)*VLOOKUP($Z520,Frequenties[],3,FALSE)*VLOOKUP(#REF!,Locaties[],3,FALSE),0)</f>
        <v>0</v>
      </c>
      <c r="AC520" s="33"/>
      <c r="AD520" s="33"/>
      <c r="AE520" s="33">
        <f>Ruimtestaat[[#This Row],[uren / jaar weekend]]*Tariefsopbouw!$D$40</f>
        <v>0</v>
      </c>
      <c r="AF520" s="79">
        <f>Ruimtestaat[[#This Row],[Prest. (m2 /jaar) weekend]]+Ruimtestaat[[#This Row],[Prest. (m2 /jaar) werkdagen]]</f>
        <v>0</v>
      </c>
      <c r="AG520" s="79">
        <f>Ruimtestaat[[#This Row],[uren / jaar weekend]]+Ruimtestaat[[#This Row],[uren / jaar werkdagen]]</f>
        <v>0</v>
      </c>
      <c r="AH520" s="80">
        <f>Ruimtestaat[[#This Row],[kosten / jaar weekend]]+Ruimtestaat[[#This Row],[kosten / jaar werkdagen]]</f>
        <v>0</v>
      </c>
    </row>
    <row r="521" spans="1:34" ht="15" customHeight="1">
      <c r="A521" s="256">
        <v>13</v>
      </c>
      <c r="B521" s="171" t="str">
        <f>VLOOKUP(Ruimtestaat[[#This Row],[Code]],Locaties[#All],2,FALSE)</f>
        <v>Neon College – Hengelo</v>
      </c>
      <c r="C521" s="258" t="str">
        <f>VLOOKUP(Ruimtestaat[[#This Row],[Code]],Locaties[#All],4,FALSE)</f>
        <v>Sportlaan Driene 8-10</v>
      </c>
      <c r="D521" s="258" t="str">
        <f>VLOOKUP(Ruimtestaat[[#This Row],[Code]],Locaties[#All],5,FALSE)</f>
        <v>7552 Ha</v>
      </c>
      <c r="E521" s="258" t="str">
        <f>VLOOKUP(Ruimtestaat[[#This Row],[Code]],Locaties[#All],6,FALSE)</f>
        <v>Hengelo</v>
      </c>
      <c r="F521" s="257"/>
      <c r="G521" s="257" t="s">
        <v>564</v>
      </c>
      <c r="H521" s="171"/>
      <c r="I521" s="257">
        <v>1173</v>
      </c>
      <c r="J521" s="259" t="s">
        <v>576</v>
      </c>
      <c r="K521" s="185">
        <v>20</v>
      </c>
      <c r="L521" s="260" t="str">
        <f>VLOOKUP(Ruimtestaat[[#This Row],[Ruimte code]],Ruimtegroepen[#All],2,FALSE)</f>
        <v>Niet in onderhoud</v>
      </c>
      <c r="M521" s="258" t="s">
        <v>597</v>
      </c>
      <c r="N521" s="257" t="s">
        <v>38</v>
      </c>
      <c r="O521" s="261"/>
      <c r="P521" s="261">
        <v>52</v>
      </c>
      <c r="Q521" s="212" t="str">
        <f>VLOOKUP(Ruimtestaat[[#This Row],[Ruimte code]],Ruimtegroepen[#All],4,FALSE)</f>
        <v>niet in onderhoud</v>
      </c>
      <c r="R521" s="184"/>
      <c r="S521" s="185"/>
      <c r="T521" s="185"/>
      <c r="U521" s="185">
        <f>IF(S521&gt;0,IF(RIGHT(Ruimtestaat[[#This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1" s="185">
        <f>IF(U521&gt;0,VLOOKUP($K521,Ruimtegroepen[],3,FALSE)*VLOOKUP($M521,Vloersoorten[],3,FALSE)*VLOOKUP($T521,Frequenties[],3,FALSE)*VLOOKUP($A521,Locaties[],3,FALSE),0)</f>
        <v>0</v>
      </c>
      <c r="W521" s="185">
        <f>Ruimtestaat[[#This Row],[Uitvoeringen werkdagen]]*Ruimtestaat[[#This Row],[Oppervlak (netto)]]</f>
        <v>0</v>
      </c>
      <c r="X521" s="220">
        <f>IF(V521&gt;0,Ruimtestaat[[#This Row],[Prest. (m2 /jaar) werkdagen]]/Ruimtestaat[[#This Row],[Norm (m2/uur) werkdagen]],0)</f>
        <v>0</v>
      </c>
      <c r="Y521" s="221">
        <f>Ruimtestaat[[#This Row],[uren / jaar werkdagen]]*Tariefsopbouw!$D$38</f>
        <v>0</v>
      </c>
      <c r="Z521" s="33"/>
      <c r="AA521" s="33">
        <f>IF(Ruimtestaat[[#This Row],[Frequentie weekend]]&gt;0,VALUE(LEFT(Z521,1))*S521,0)</f>
        <v>0</v>
      </c>
      <c r="AB521" s="33">
        <f>IF($AA521&gt;0,VLOOKUP($K521,Ruimtegroepen[],3,FALSE)*VLOOKUP($M521,Vloersoorten[],3,FALSE)*VLOOKUP($Z521,Frequenties[],3,FALSE)*VLOOKUP(#REF!,Locaties[],3,FALSE),0)</f>
        <v>0</v>
      </c>
      <c r="AC521" s="33"/>
      <c r="AD521" s="33"/>
      <c r="AE521" s="33">
        <f>Ruimtestaat[[#This Row],[uren / jaar weekend]]*Tariefsopbouw!$D$40</f>
        <v>0</v>
      </c>
      <c r="AF521" s="79">
        <f>Ruimtestaat[[#This Row],[Prest. (m2 /jaar) weekend]]+Ruimtestaat[[#This Row],[Prest. (m2 /jaar) werkdagen]]</f>
        <v>0</v>
      </c>
      <c r="AG521" s="79">
        <f>Ruimtestaat[[#This Row],[uren / jaar weekend]]+Ruimtestaat[[#This Row],[uren / jaar werkdagen]]</f>
        <v>0</v>
      </c>
      <c r="AH521" s="80">
        <f>Ruimtestaat[[#This Row],[kosten / jaar weekend]]+Ruimtestaat[[#This Row],[kosten / jaar werkdagen]]</f>
        <v>0</v>
      </c>
    </row>
    <row r="522" spans="1:34" ht="15" customHeight="1">
      <c r="A522" s="256">
        <v>13</v>
      </c>
      <c r="B522" s="171" t="str">
        <f>VLOOKUP(Ruimtestaat[[#This Row],[Code]],Locaties[#All],2,FALSE)</f>
        <v>Neon College – Hengelo</v>
      </c>
      <c r="C522" s="258" t="str">
        <f>VLOOKUP(Ruimtestaat[[#This Row],[Code]],Locaties[#All],4,FALSE)</f>
        <v>Sportlaan Driene 8-10</v>
      </c>
      <c r="D522" s="258" t="str">
        <f>VLOOKUP(Ruimtestaat[[#This Row],[Code]],Locaties[#All],5,FALSE)</f>
        <v>7552 Ha</v>
      </c>
      <c r="E522" s="258" t="str">
        <f>VLOOKUP(Ruimtestaat[[#This Row],[Code]],Locaties[#All],6,FALSE)</f>
        <v>Hengelo</v>
      </c>
      <c r="F522" s="257"/>
      <c r="G522" s="257" t="s">
        <v>564</v>
      </c>
      <c r="H522" s="171"/>
      <c r="I522" s="257">
        <v>1175</v>
      </c>
      <c r="J522" s="259" t="s">
        <v>576</v>
      </c>
      <c r="K522" s="185">
        <v>20</v>
      </c>
      <c r="L522" s="260" t="str">
        <f>VLOOKUP(Ruimtestaat[[#This Row],[Ruimte code]],Ruimtegroepen[#All],2,FALSE)</f>
        <v>Niet in onderhoud</v>
      </c>
      <c r="M522" s="258" t="s">
        <v>597</v>
      </c>
      <c r="N522" s="257" t="s">
        <v>38</v>
      </c>
      <c r="O522" s="261"/>
      <c r="P522" s="261">
        <v>52</v>
      </c>
      <c r="Q522" s="212" t="str">
        <f>VLOOKUP(Ruimtestaat[[#This Row],[Ruimte code]],Ruimtegroepen[#All],4,FALSE)</f>
        <v>niet in onderhoud</v>
      </c>
      <c r="R522" s="184"/>
      <c r="S522" s="185"/>
      <c r="T522" s="185"/>
      <c r="U522" s="185">
        <f>IF(S522&gt;0,IF(RIGHT(Ruimtestaat[[#This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2" s="185">
        <f>IF(U522&gt;0,VLOOKUP($K522,Ruimtegroepen[],3,FALSE)*VLOOKUP($M522,Vloersoorten[],3,FALSE)*VLOOKUP($T522,Frequenties[],3,FALSE)*VLOOKUP($A522,Locaties[],3,FALSE),0)</f>
        <v>0</v>
      </c>
      <c r="W522" s="185">
        <f>Ruimtestaat[[#This Row],[Uitvoeringen werkdagen]]*Ruimtestaat[[#This Row],[Oppervlak (netto)]]</f>
        <v>0</v>
      </c>
      <c r="X522" s="220">
        <f>IF(V522&gt;0,Ruimtestaat[[#This Row],[Prest. (m2 /jaar) werkdagen]]/Ruimtestaat[[#This Row],[Norm (m2/uur) werkdagen]],0)</f>
        <v>0</v>
      </c>
      <c r="Y522" s="221">
        <f>Ruimtestaat[[#This Row],[uren / jaar werkdagen]]*Tariefsopbouw!$D$38</f>
        <v>0</v>
      </c>
      <c r="Z522" s="33"/>
      <c r="AA522" s="33">
        <f>IF(Ruimtestaat[[#This Row],[Frequentie weekend]]&gt;0,VALUE(LEFT(Z522,1))*S522,0)</f>
        <v>0</v>
      </c>
      <c r="AB522" s="33">
        <f>IF($AA522&gt;0,VLOOKUP($K522,Ruimtegroepen[],3,FALSE)*VLOOKUP($M522,Vloersoorten[],3,FALSE)*VLOOKUP($Z522,Frequenties[],3,FALSE)*VLOOKUP(#REF!,Locaties[],3,FALSE),0)</f>
        <v>0</v>
      </c>
      <c r="AC522" s="33"/>
      <c r="AD522" s="33"/>
      <c r="AE522" s="33">
        <f>Ruimtestaat[[#This Row],[uren / jaar weekend]]*Tariefsopbouw!$D$40</f>
        <v>0</v>
      </c>
      <c r="AF522" s="79">
        <f>Ruimtestaat[[#This Row],[Prest. (m2 /jaar) weekend]]+Ruimtestaat[[#This Row],[Prest. (m2 /jaar) werkdagen]]</f>
        <v>0</v>
      </c>
      <c r="AG522" s="79">
        <f>Ruimtestaat[[#This Row],[uren / jaar weekend]]+Ruimtestaat[[#This Row],[uren / jaar werkdagen]]</f>
        <v>0</v>
      </c>
      <c r="AH522" s="80">
        <f>Ruimtestaat[[#This Row],[kosten / jaar weekend]]+Ruimtestaat[[#This Row],[kosten / jaar werkdagen]]</f>
        <v>0</v>
      </c>
    </row>
    <row r="523" spans="1:34" ht="15" customHeight="1">
      <c r="A523" s="256">
        <v>13</v>
      </c>
      <c r="B523" s="171" t="str">
        <f>VLOOKUP(Ruimtestaat[[#This Row],[Code]],Locaties[#All],2,FALSE)</f>
        <v>Neon College – Hengelo</v>
      </c>
      <c r="C523" s="258" t="str">
        <f>VLOOKUP(Ruimtestaat[[#This Row],[Code]],Locaties[#All],4,FALSE)</f>
        <v>Sportlaan Driene 8-10</v>
      </c>
      <c r="D523" s="258" t="str">
        <f>VLOOKUP(Ruimtestaat[[#This Row],[Code]],Locaties[#All],5,FALSE)</f>
        <v>7552 Ha</v>
      </c>
      <c r="E523" s="258" t="str">
        <f>VLOOKUP(Ruimtestaat[[#This Row],[Code]],Locaties[#All],6,FALSE)</f>
        <v>Hengelo</v>
      </c>
      <c r="F523" s="257"/>
      <c r="G523" s="257" t="s">
        <v>564</v>
      </c>
      <c r="H523" s="171"/>
      <c r="I523" s="257">
        <v>1179</v>
      </c>
      <c r="J523" s="259" t="s">
        <v>576</v>
      </c>
      <c r="K523" s="185">
        <v>20</v>
      </c>
      <c r="L523" s="260" t="str">
        <f>VLOOKUP(Ruimtestaat[[#This Row],[Ruimte code]],Ruimtegroepen[#All],2,FALSE)</f>
        <v>Niet in onderhoud</v>
      </c>
      <c r="M523" s="258" t="s">
        <v>597</v>
      </c>
      <c r="N523" s="257" t="s">
        <v>38</v>
      </c>
      <c r="O523" s="261"/>
      <c r="P523" s="261">
        <v>72</v>
      </c>
      <c r="Q523" s="212" t="str">
        <f>VLOOKUP(Ruimtestaat[[#This Row],[Ruimte code]],Ruimtegroepen[#All],4,FALSE)</f>
        <v>niet in onderhoud</v>
      </c>
      <c r="R523" s="184"/>
      <c r="S523" s="185"/>
      <c r="T523" s="185"/>
      <c r="U523" s="185">
        <f>IF(S523&gt;0,IF(RIGHT(Ruimtestaat[[#This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3" s="185">
        <f>IF(U523&gt;0,VLOOKUP($K523,Ruimtegroepen[],3,FALSE)*VLOOKUP($M523,Vloersoorten[],3,FALSE)*VLOOKUP($T523,Frequenties[],3,FALSE)*VLOOKUP($A523,Locaties[],3,FALSE),0)</f>
        <v>0</v>
      </c>
      <c r="W523" s="185">
        <f>Ruimtestaat[[#This Row],[Uitvoeringen werkdagen]]*Ruimtestaat[[#This Row],[Oppervlak (netto)]]</f>
        <v>0</v>
      </c>
      <c r="X523" s="220">
        <f>IF(V523&gt;0,Ruimtestaat[[#This Row],[Prest. (m2 /jaar) werkdagen]]/Ruimtestaat[[#This Row],[Norm (m2/uur) werkdagen]],0)</f>
        <v>0</v>
      </c>
      <c r="Y523" s="221">
        <f>Ruimtestaat[[#This Row],[uren / jaar werkdagen]]*Tariefsopbouw!$D$38</f>
        <v>0</v>
      </c>
      <c r="Z523" s="33"/>
      <c r="AA523" s="33">
        <f>IF(Ruimtestaat[[#This Row],[Frequentie weekend]]&gt;0,VALUE(LEFT(Z523,1))*S523,0)</f>
        <v>0</v>
      </c>
      <c r="AB523" s="33">
        <f>IF($AA523&gt;0,VLOOKUP($K523,Ruimtegroepen[],3,FALSE)*VLOOKUP($M523,Vloersoorten[],3,FALSE)*VLOOKUP($Z523,Frequenties[],3,FALSE)*VLOOKUP(#REF!,Locaties[],3,FALSE),0)</f>
        <v>0</v>
      </c>
      <c r="AC523" s="33"/>
      <c r="AD523" s="33"/>
      <c r="AE523" s="33">
        <f>Ruimtestaat[[#This Row],[uren / jaar weekend]]*Tariefsopbouw!$D$40</f>
        <v>0</v>
      </c>
      <c r="AF523" s="79">
        <f>Ruimtestaat[[#This Row],[Prest. (m2 /jaar) weekend]]+Ruimtestaat[[#This Row],[Prest. (m2 /jaar) werkdagen]]</f>
        <v>0</v>
      </c>
      <c r="AG523" s="79">
        <f>Ruimtestaat[[#This Row],[uren / jaar weekend]]+Ruimtestaat[[#This Row],[uren / jaar werkdagen]]</f>
        <v>0</v>
      </c>
      <c r="AH523" s="80">
        <f>Ruimtestaat[[#This Row],[kosten / jaar weekend]]+Ruimtestaat[[#This Row],[kosten / jaar werkdagen]]</f>
        <v>0</v>
      </c>
    </row>
    <row r="524" spans="1:34" ht="15" customHeight="1">
      <c r="A524" s="256">
        <v>13</v>
      </c>
      <c r="B524" s="171" t="str">
        <f>VLOOKUP(Ruimtestaat[[#This Row],[Code]],Locaties[#All],2,FALSE)</f>
        <v>Neon College – Hengelo</v>
      </c>
      <c r="C524" s="258" t="str">
        <f>VLOOKUP(Ruimtestaat[[#This Row],[Code]],Locaties[#All],4,FALSE)</f>
        <v>Sportlaan Driene 8-10</v>
      </c>
      <c r="D524" s="258" t="str">
        <f>VLOOKUP(Ruimtestaat[[#This Row],[Code]],Locaties[#All],5,FALSE)</f>
        <v>7552 Ha</v>
      </c>
      <c r="E524" s="258" t="str">
        <f>VLOOKUP(Ruimtestaat[[#This Row],[Code]],Locaties[#All],6,FALSE)</f>
        <v>Hengelo</v>
      </c>
      <c r="F524" s="257"/>
      <c r="G524" s="257" t="s">
        <v>564</v>
      </c>
      <c r="H524" s="171"/>
      <c r="I524" s="257">
        <v>1180</v>
      </c>
      <c r="J524" s="259" t="s">
        <v>576</v>
      </c>
      <c r="K524" s="185">
        <v>20</v>
      </c>
      <c r="L524" s="260" t="str">
        <f>VLOOKUP(Ruimtestaat[[#This Row],[Ruimte code]],Ruimtegroepen[#All],2,FALSE)</f>
        <v>Niet in onderhoud</v>
      </c>
      <c r="M524" s="212" t="s">
        <v>597</v>
      </c>
      <c r="N524" s="257" t="s">
        <v>38</v>
      </c>
      <c r="O524" s="261"/>
      <c r="P524" s="261">
        <v>50</v>
      </c>
      <c r="Q524" s="212" t="str">
        <f>VLOOKUP(Ruimtestaat[[#This Row],[Ruimte code]],Ruimtegroepen[#All],4,FALSE)</f>
        <v>niet in onderhoud</v>
      </c>
      <c r="R524" s="184"/>
      <c r="S524" s="185"/>
      <c r="T524" s="185"/>
      <c r="U524" s="185">
        <f>IF(S524&gt;0,IF(RIGHT(Ruimtestaat[[#This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4" s="185">
        <f>IF(U524&gt;0,VLOOKUP($K524,Ruimtegroepen[],3,FALSE)*VLOOKUP($M524,Vloersoorten[],3,FALSE)*VLOOKUP($T524,Frequenties[],3,FALSE)*VLOOKUP($A524,Locaties[],3,FALSE),0)</f>
        <v>0</v>
      </c>
      <c r="W524" s="185">
        <f>Ruimtestaat[[#This Row],[Uitvoeringen werkdagen]]*Ruimtestaat[[#This Row],[Oppervlak (netto)]]</f>
        <v>0</v>
      </c>
      <c r="X524" s="220">
        <f>IF(V524&gt;0,Ruimtestaat[[#This Row],[Prest. (m2 /jaar) werkdagen]]/Ruimtestaat[[#This Row],[Norm (m2/uur) werkdagen]],0)</f>
        <v>0</v>
      </c>
      <c r="Y524" s="221">
        <f>Ruimtestaat[[#This Row],[uren / jaar werkdagen]]*Tariefsopbouw!$D$38</f>
        <v>0</v>
      </c>
      <c r="Z524" s="33"/>
      <c r="AA524" s="33">
        <f>IF(Ruimtestaat[[#This Row],[Frequentie weekend]]&gt;0,VALUE(LEFT(Z524,1))*S524,0)</f>
        <v>0</v>
      </c>
      <c r="AB524" s="33">
        <f>IF($AA524&gt;0,VLOOKUP($K524,Ruimtegroepen[],3,FALSE)*VLOOKUP($M524,Vloersoorten[],3,FALSE)*VLOOKUP($Z524,Frequenties[],3,FALSE)*VLOOKUP(#REF!,Locaties[],3,FALSE),0)</f>
        <v>0</v>
      </c>
      <c r="AC524" s="33"/>
      <c r="AD524" s="33"/>
      <c r="AE524" s="33">
        <f>Ruimtestaat[[#This Row],[uren / jaar weekend]]*Tariefsopbouw!$D$40</f>
        <v>0</v>
      </c>
      <c r="AF524" s="79">
        <f>Ruimtestaat[[#This Row],[Prest. (m2 /jaar) weekend]]+Ruimtestaat[[#This Row],[Prest. (m2 /jaar) werkdagen]]</f>
        <v>0</v>
      </c>
      <c r="AG524" s="79">
        <f>Ruimtestaat[[#This Row],[uren / jaar weekend]]+Ruimtestaat[[#This Row],[uren / jaar werkdagen]]</f>
        <v>0</v>
      </c>
      <c r="AH524" s="80">
        <f>Ruimtestaat[[#This Row],[kosten / jaar weekend]]+Ruimtestaat[[#This Row],[kosten / jaar werkdagen]]</f>
        <v>0</v>
      </c>
    </row>
    <row r="525" spans="1:34" ht="15" customHeight="1">
      <c r="A525" s="256">
        <v>13</v>
      </c>
      <c r="B525" s="171" t="str">
        <f>VLOOKUP(Ruimtestaat[[#This Row],[Code]],Locaties[#All],2,FALSE)</f>
        <v>Neon College – Hengelo</v>
      </c>
      <c r="C525" s="258" t="str">
        <f>VLOOKUP(Ruimtestaat[[#This Row],[Code]],Locaties[#All],4,FALSE)</f>
        <v>Sportlaan Driene 8-10</v>
      </c>
      <c r="D525" s="258" t="str">
        <f>VLOOKUP(Ruimtestaat[[#This Row],[Code]],Locaties[#All],5,FALSE)</f>
        <v>7552 Ha</v>
      </c>
      <c r="E525" s="258" t="str">
        <f>VLOOKUP(Ruimtestaat[[#This Row],[Code]],Locaties[#All],6,FALSE)</f>
        <v>Hengelo</v>
      </c>
      <c r="F525" s="257"/>
      <c r="G525" s="257" t="s">
        <v>564</v>
      </c>
      <c r="H525" s="171"/>
      <c r="I525" s="257">
        <v>1178</v>
      </c>
      <c r="J525" s="259" t="s">
        <v>571</v>
      </c>
      <c r="K525" s="185">
        <v>20</v>
      </c>
      <c r="L525" s="260" t="str">
        <f>VLOOKUP(Ruimtestaat[[#This Row],[Ruimte code]],Ruimtegroepen[#All],2,FALSE)</f>
        <v>Niet in onderhoud</v>
      </c>
      <c r="M525" s="258" t="s">
        <v>597</v>
      </c>
      <c r="N525" s="257" t="s">
        <v>38</v>
      </c>
      <c r="O525" s="261"/>
      <c r="P525" s="261">
        <v>12</v>
      </c>
      <c r="Q525" s="212" t="str">
        <f>VLOOKUP(Ruimtestaat[[#This Row],[Ruimte code]],Ruimtegroepen[#All],4,FALSE)</f>
        <v>niet in onderhoud</v>
      </c>
      <c r="R525" s="184"/>
      <c r="S525" s="185"/>
      <c r="T525" s="185"/>
      <c r="U525" s="185">
        <f>IF(S525&gt;0,IF(RIGHT(Ruimtestaat[[#This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5" s="185">
        <f>IF(U525&gt;0,VLOOKUP($K525,Ruimtegroepen[],3,FALSE)*VLOOKUP($M525,Vloersoorten[],3,FALSE)*VLOOKUP($T525,Frequenties[],3,FALSE)*VLOOKUP($A525,Locaties[],3,FALSE),0)</f>
        <v>0</v>
      </c>
      <c r="W525" s="185">
        <f>Ruimtestaat[[#This Row],[Uitvoeringen werkdagen]]*Ruimtestaat[[#This Row],[Oppervlak (netto)]]</f>
        <v>0</v>
      </c>
      <c r="X525" s="220">
        <f>IF(V525&gt;0,Ruimtestaat[[#This Row],[Prest. (m2 /jaar) werkdagen]]/Ruimtestaat[[#This Row],[Norm (m2/uur) werkdagen]],0)</f>
        <v>0</v>
      </c>
      <c r="Y525" s="221">
        <f>Ruimtestaat[[#This Row],[uren / jaar werkdagen]]*Tariefsopbouw!$D$38</f>
        <v>0</v>
      </c>
      <c r="Z525" s="33"/>
      <c r="AA525" s="33">
        <f>IF(Ruimtestaat[[#This Row],[Frequentie weekend]]&gt;0,VALUE(LEFT(Z525,1))*S525,0)</f>
        <v>0</v>
      </c>
      <c r="AB525" s="33">
        <f>IF($AA525&gt;0,VLOOKUP($K525,Ruimtegroepen[],3,FALSE)*VLOOKUP($M525,Vloersoorten[],3,FALSE)*VLOOKUP($Z525,Frequenties[],3,FALSE)*VLOOKUP(#REF!,Locaties[],3,FALSE),0)</f>
        <v>0</v>
      </c>
      <c r="AC525" s="33"/>
      <c r="AD525" s="33"/>
      <c r="AE525" s="33">
        <f>Ruimtestaat[[#This Row],[uren / jaar weekend]]*Tariefsopbouw!$D$40</f>
        <v>0</v>
      </c>
      <c r="AF525" s="79">
        <f>Ruimtestaat[[#This Row],[Prest. (m2 /jaar) weekend]]+Ruimtestaat[[#This Row],[Prest. (m2 /jaar) werkdagen]]</f>
        <v>0</v>
      </c>
      <c r="AG525" s="79">
        <f>Ruimtestaat[[#This Row],[uren / jaar weekend]]+Ruimtestaat[[#This Row],[uren / jaar werkdagen]]</f>
        <v>0</v>
      </c>
      <c r="AH525" s="80">
        <f>Ruimtestaat[[#This Row],[kosten / jaar weekend]]+Ruimtestaat[[#This Row],[kosten / jaar werkdagen]]</f>
        <v>0</v>
      </c>
    </row>
    <row r="526" spans="1:34" ht="15" customHeight="1">
      <c r="A526" s="256">
        <v>13</v>
      </c>
      <c r="B526" s="171" t="str">
        <f>VLOOKUP(Ruimtestaat[[#This Row],[Code]],Locaties[#All],2,FALSE)</f>
        <v>Neon College – Hengelo</v>
      </c>
      <c r="C526" s="258" t="str">
        <f>VLOOKUP(Ruimtestaat[[#This Row],[Code]],Locaties[#All],4,FALSE)</f>
        <v>Sportlaan Driene 8-10</v>
      </c>
      <c r="D526" s="258" t="str">
        <f>VLOOKUP(Ruimtestaat[[#This Row],[Code]],Locaties[#All],5,FALSE)</f>
        <v>7552 Ha</v>
      </c>
      <c r="E526" s="258" t="str">
        <f>VLOOKUP(Ruimtestaat[[#This Row],[Code]],Locaties[#All],6,FALSE)</f>
        <v>Hengelo</v>
      </c>
      <c r="F526" s="257"/>
      <c r="G526" s="257" t="s">
        <v>564</v>
      </c>
      <c r="H526" s="171"/>
      <c r="I526" s="257">
        <v>1176</v>
      </c>
      <c r="J526" s="259" t="s">
        <v>571</v>
      </c>
      <c r="K526" s="185">
        <v>20</v>
      </c>
      <c r="L526" s="260" t="str">
        <f>VLOOKUP(Ruimtestaat[[#This Row],[Ruimte code]],Ruimtegroepen[#All],2,FALSE)</f>
        <v>Niet in onderhoud</v>
      </c>
      <c r="M526" s="212" t="s">
        <v>597</v>
      </c>
      <c r="N526" s="257" t="s">
        <v>38</v>
      </c>
      <c r="O526" s="261"/>
      <c r="P526" s="261">
        <v>20</v>
      </c>
      <c r="Q526" s="212" t="str">
        <f>VLOOKUP(Ruimtestaat[[#This Row],[Ruimte code]],Ruimtegroepen[#All],4,FALSE)</f>
        <v>niet in onderhoud</v>
      </c>
      <c r="R526" s="184"/>
      <c r="S526" s="185"/>
      <c r="T526" s="185"/>
      <c r="U526" s="185">
        <f>IF(S526&gt;0,IF(RIGHT(Ruimtestaat[[#This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6" s="185">
        <f>IF(U526&gt;0,VLOOKUP($K526,Ruimtegroepen[],3,FALSE)*VLOOKUP($M526,Vloersoorten[],3,FALSE)*VLOOKUP($T526,Frequenties[],3,FALSE)*VLOOKUP($A526,Locaties[],3,FALSE),0)</f>
        <v>0</v>
      </c>
      <c r="W526" s="185">
        <f>Ruimtestaat[[#This Row],[Uitvoeringen werkdagen]]*Ruimtestaat[[#This Row],[Oppervlak (netto)]]</f>
        <v>0</v>
      </c>
      <c r="X526" s="220">
        <f>IF(V526&gt;0,Ruimtestaat[[#This Row],[Prest. (m2 /jaar) werkdagen]]/Ruimtestaat[[#This Row],[Norm (m2/uur) werkdagen]],0)</f>
        <v>0</v>
      </c>
      <c r="Y526" s="221">
        <f>Ruimtestaat[[#This Row],[uren / jaar werkdagen]]*Tariefsopbouw!$D$38</f>
        <v>0</v>
      </c>
      <c r="Z526" s="33"/>
      <c r="AA526" s="33">
        <f>IF(Ruimtestaat[[#This Row],[Frequentie weekend]]&gt;0,VALUE(LEFT(Z526,1))*S526,0)</f>
        <v>0</v>
      </c>
      <c r="AB526" s="33">
        <f>IF($AA526&gt;0,VLOOKUP($K526,Ruimtegroepen[],3,FALSE)*VLOOKUP($M526,Vloersoorten[],3,FALSE)*VLOOKUP($Z526,Frequenties[],3,FALSE)*VLOOKUP(#REF!,Locaties[],3,FALSE),0)</f>
        <v>0</v>
      </c>
      <c r="AC526" s="33"/>
      <c r="AD526" s="33"/>
      <c r="AE526" s="33">
        <f>Ruimtestaat[[#This Row],[uren / jaar weekend]]*Tariefsopbouw!$D$40</f>
        <v>0</v>
      </c>
      <c r="AF526" s="79">
        <f>Ruimtestaat[[#This Row],[Prest. (m2 /jaar) weekend]]+Ruimtestaat[[#This Row],[Prest. (m2 /jaar) werkdagen]]</f>
        <v>0</v>
      </c>
      <c r="AG526" s="79">
        <f>Ruimtestaat[[#This Row],[uren / jaar weekend]]+Ruimtestaat[[#This Row],[uren / jaar werkdagen]]</f>
        <v>0</v>
      </c>
      <c r="AH526" s="80">
        <f>Ruimtestaat[[#This Row],[kosten / jaar weekend]]+Ruimtestaat[[#This Row],[kosten / jaar werkdagen]]</f>
        <v>0</v>
      </c>
    </row>
    <row r="527" spans="1:34" ht="15" customHeight="1">
      <c r="A527" s="256">
        <v>13</v>
      </c>
      <c r="B527" s="171" t="str">
        <f>VLOOKUP(Ruimtestaat[[#This Row],[Code]],Locaties[#All],2,FALSE)</f>
        <v>Neon College – Hengelo</v>
      </c>
      <c r="C527" s="258" t="str">
        <f>VLOOKUP(Ruimtestaat[[#This Row],[Code]],Locaties[#All],4,FALSE)</f>
        <v>Sportlaan Driene 8-10</v>
      </c>
      <c r="D527" s="258" t="str">
        <f>VLOOKUP(Ruimtestaat[[#This Row],[Code]],Locaties[#All],5,FALSE)</f>
        <v>7552 Ha</v>
      </c>
      <c r="E527" s="258" t="str">
        <f>VLOOKUP(Ruimtestaat[[#This Row],[Code]],Locaties[#All],6,FALSE)</f>
        <v>Hengelo</v>
      </c>
      <c r="F527" s="257"/>
      <c r="G527" s="257" t="s">
        <v>564</v>
      </c>
      <c r="H527" s="171"/>
      <c r="I527" s="257">
        <v>1174</v>
      </c>
      <c r="J527" s="259" t="s">
        <v>586</v>
      </c>
      <c r="K527" s="185">
        <v>20</v>
      </c>
      <c r="L527" s="260" t="str">
        <f>VLOOKUP(Ruimtestaat[[#This Row],[Ruimte code]],Ruimtegroepen[#All],2,FALSE)</f>
        <v>Niet in onderhoud</v>
      </c>
      <c r="M527" s="258" t="s">
        <v>598</v>
      </c>
      <c r="N527" s="257" t="s">
        <v>132</v>
      </c>
      <c r="O527" s="261"/>
      <c r="P527" s="183">
        <v>11</v>
      </c>
      <c r="Q527" s="212" t="str">
        <f>VLOOKUP(Ruimtestaat[[#This Row],[Ruimte code]],Ruimtegroepen[#All],4,FALSE)</f>
        <v>niet in onderhoud</v>
      </c>
      <c r="R527" s="184"/>
      <c r="S527" s="185"/>
      <c r="T527" s="185"/>
      <c r="U527" s="185">
        <f>IF(S527&gt;0,IF(RIGHT(Ruimtestaat[[#This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7" s="185">
        <f>IF(U527&gt;0,VLOOKUP($K527,Ruimtegroepen[],3,FALSE)*VLOOKUP($M527,Vloersoorten[],3,FALSE)*VLOOKUP($T527,Frequenties[],3,FALSE)*VLOOKUP($A527,Locaties[],3,FALSE),0)</f>
        <v>0</v>
      </c>
      <c r="W527" s="185">
        <f>Ruimtestaat[[#This Row],[Uitvoeringen werkdagen]]*Ruimtestaat[[#This Row],[Oppervlak (netto)]]</f>
        <v>0</v>
      </c>
      <c r="X527" s="220">
        <f>IF(V527&gt;0,Ruimtestaat[[#This Row],[Prest. (m2 /jaar) werkdagen]]/Ruimtestaat[[#This Row],[Norm (m2/uur) werkdagen]],0)</f>
        <v>0</v>
      </c>
      <c r="Y527" s="221">
        <f>Ruimtestaat[[#This Row],[uren / jaar werkdagen]]*Tariefsopbouw!$D$38</f>
        <v>0</v>
      </c>
      <c r="Z527" s="33"/>
      <c r="AA527" s="33">
        <f>IF(Ruimtestaat[[#This Row],[Frequentie weekend]]&gt;0,VALUE(LEFT(Z527,1))*S527,0)</f>
        <v>0</v>
      </c>
      <c r="AB527" s="33">
        <f>IF($AA527&gt;0,VLOOKUP($K527,Ruimtegroepen[],3,FALSE)*VLOOKUP($M527,Vloersoorten[],3,FALSE)*VLOOKUP($Z527,Frequenties[],3,FALSE)*VLOOKUP(#REF!,Locaties[],3,FALSE),0)</f>
        <v>0</v>
      </c>
      <c r="AC527" s="33"/>
      <c r="AD527" s="33"/>
      <c r="AE527" s="33">
        <f>Ruimtestaat[[#This Row],[uren / jaar weekend]]*Tariefsopbouw!$D$40</f>
        <v>0</v>
      </c>
      <c r="AF527" s="79">
        <f>Ruimtestaat[[#This Row],[Prest. (m2 /jaar) weekend]]+Ruimtestaat[[#This Row],[Prest. (m2 /jaar) werkdagen]]</f>
        <v>0</v>
      </c>
      <c r="AG527" s="79">
        <f>Ruimtestaat[[#This Row],[uren / jaar weekend]]+Ruimtestaat[[#This Row],[uren / jaar werkdagen]]</f>
        <v>0</v>
      </c>
      <c r="AH527" s="80">
        <f>Ruimtestaat[[#This Row],[kosten / jaar weekend]]+Ruimtestaat[[#This Row],[kosten / jaar werkdagen]]</f>
        <v>0</v>
      </c>
    </row>
    <row r="528" spans="1:34" ht="15" customHeight="1">
      <c r="A528" s="256">
        <v>13</v>
      </c>
      <c r="B528" s="171" t="str">
        <f>VLOOKUP(Ruimtestaat[[#This Row],[Code]],Locaties[#All],2,FALSE)</f>
        <v>Neon College – Hengelo</v>
      </c>
      <c r="C528" s="258" t="str">
        <f>VLOOKUP(Ruimtestaat[[#This Row],[Code]],Locaties[#All],4,FALSE)</f>
        <v>Sportlaan Driene 8-10</v>
      </c>
      <c r="D528" s="258" t="str">
        <f>VLOOKUP(Ruimtestaat[[#This Row],[Code]],Locaties[#All],5,FALSE)</f>
        <v>7552 Ha</v>
      </c>
      <c r="E528" s="258" t="str">
        <f>VLOOKUP(Ruimtestaat[[#This Row],[Code]],Locaties[#All],6,FALSE)</f>
        <v>Hengelo</v>
      </c>
      <c r="F528" s="257"/>
      <c r="G528" s="257" t="s">
        <v>564</v>
      </c>
      <c r="H528" s="171"/>
      <c r="I528" s="257">
        <v>1154</v>
      </c>
      <c r="J528" s="259" t="s">
        <v>586</v>
      </c>
      <c r="K528" s="185">
        <v>20</v>
      </c>
      <c r="L528" s="260" t="str">
        <f>VLOOKUP(Ruimtestaat[[#This Row],[Ruimte code]],Ruimtegroepen[#All],2,FALSE)</f>
        <v>Niet in onderhoud</v>
      </c>
      <c r="M528" s="258" t="s">
        <v>597</v>
      </c>
      <c r="N528" s="257" t="s">
        <v>38</v>
      </c>
      <c r="O528" s="261"/>
      <c r="P528" s="183">
        <v>20</v>
      </c>
      <c r="Q528" s="212" t="str">
        <f>VLOOKUP(Ruimtestaat[[#This Row],[Ruimte code]],Ruimtegroepen[#All],4,FALSE)</f>
        <v>niet in onderhoud</v>
      </c>
      <c r="R528" s="184"/>
      <c r="S528" s="185"/>
      <c r="T528" s="185"/>
      <c r="U528" s="185">
        <f>IF(S528&gt;0,IF(RIGHT(Ruimtestaat[[#This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8" s="185">
        <f>IF(U528&gt;0,VLOOKUP($K528,Ruimtegroepen[],3,FALSE)*VLOOKUP($M528,Vloersoorten[],3,FALSE)*VLOOKUP($T528,Frequenties[],3,FALSE)*VLOOKUP($A528,Locaties[],3,FALSE),0)</f>
        <v>0</v>
      </c>
      <c r="W528" s="185">
        <f>Ruimtestaat[[#This Row],[Uitvoeringen werkdagen]]*Ruimtestaat[[#This Row],[Oppervlak (netto)]]</f>
        <v>0</v>
      </c>
      <c r="X528" s="220">
        <f>IF(V528&gt;0,Ruimtestaat[[#This Row],[Prest. (m2 /jaar) werkdagen]]/Ruimtestaat[[#This Row],[Norm (m2/uur) werkdagen]],0)</f>
        <v>0</v>
      </c>
      <c r="Y528" s="221">
        <f>Ruimtestaat[[#This Row],[uren / jaar werkdagen]]*Tariefsopbouw!$D$38</f>
        <v>0</v>
      </c>
      <c r="Z528" s="33"/>
      <c r="AA528" s="33">
        <f>IF(Ruimtestaat[[#This Row],[Frequentie weekend]]&gt;0,VALUE(LEFT(Z528,1))*S528,0)</f>
        <v>0</v>
      </c>
      <c r="AB528" s="33">
        <f>IF($AA528&gt;0,VLOOKUP($K528,Ruimtegroepen[],3,FALSE)*VLOOKUP($M528,Vloersoorten[],3,FALSE)*VLOOKUP($Z528,Frequenties[],3,FALSE)*VLOOKUP(#REF!,Locaties[],3,FALSE),0)</f>
        <v>0</v>
      </c>
      <c r="AC528" s="33"/>
      <c r="AD528" s="33"/>
      <c r="AE528" s="33">
        <f>Ruimtestaat[[#This Row],[uren / jaar weekend]]*Tariefsopbouw!$D$40</f>
        <v>0</v>
      </c>
      <c r="AF528" s="79">
        <f>Ruimtestaat[[#This Row],[Prest. (m2 /jaar) weekend]]+Ruimtestaat[[#This Row],[Prest. (m2 /jaar) werkdagen]]</f>
        <v>0</v>
      </c>
      <c r="AG528" s="79">
        <f>Ruimtestaat[[#This Row],[uren / jaar weekend]]+Ruimtestaat[[#This Row],[uren / jaar werkdagen]]</f>
        <v>0</v>
      </c>
      <c r="AH528" s="80">
        <f>Ruimtestaat[[#This Row],[kosten / jaar weekend]]+Ruimtestaat[[#This Row],[kosten / jaar werkdagen]]</f>
        <v>0</v>
      </c>
    </row>
    <row r="529" spans="1:34" ht="15" customHeight="1">
      <c r="A529" s="256">
        <v>13</v>
      </c>
      <c r="B529" s="171" t="str">
        <f>VLOOKUP(Ruimtestaat[[#This Row],[Code]],Locaties[#All],2,FALSE)</f>
        <v>Neon College – Hengelo</v>
      </c>
      <c r="C529" s="258" t="str">
        <f>VLOOKUP(Ruimtestaat[[#This Row],[Code]],Locaties[#All],4,FALSE)</f>
        <v>Sportlaan Driene 8-10</v>
      </c>
      <c r="D529" s="258" t="str">
        <f>VLOOKUP(Ruimtestaat[[#This Row],[Code]],Locaties[#All],5,FALSE)</f>
        <v>7552 Ha</v>
      </c>
      <c r="E529" s="258" t="str">
        <f>VLOOKUP(Ruimtestaat[[#This Row],[Code]],Locaties[#All],6,FALSE)</f>
        <v>Hengelo</v>
      </c>
      <c r="F529" s="257"/>
      <c r="G529" s="257" t="s">
        <v>564</v>
      </c>
      <c r="H529" s="171"/>
      <c r="I529" s="257">
        <v>1150</v>
      </c>
      <c r="J529" s="259" t="s">
        <v>576</v>
      </c>
      <c r="K529" s="185">
        <v>20</v>
      </c>
      <c r="L529" s="260" t="str">
        <f>VLOOKUP(Ruimtestaat[[#This Row],[Ruimte code]],Ruimtegroepen[#All],2,FALSE)</f>
        <v>Niet in onderhoud</v>
      </c>
      <c r="M529" s="258" t="s">
        <v>597</v>
      </c>
      <c r="N529" s="257" t="s">
        <v>38</v>
      </c>
      <c r="O529" s="261"/>
      <c r="P529" s="261">
        <v>52</v>
      </c>
      <c r="Q529" s="212" t="str">
        <f>VLOOKUP(Ruimtestaat[[#This Row],[Ruimte code]],Ruimtegroepen[#All],4,FALSE)</f>
        <v>niet in onderhoud</v>
      </c>
      <c r="R529" s="184"/>
      <c r="S529" s="185"/>
      <c r="T529" s="185"/>
      <c r="U529" s="185">
        <f>IF(S529&gt;0,IF(RIGHT(Ruimtestaat[[#This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9" s="185">
        <f>IF(U529&gt;0,VLOOKUP($K529,Ruimtegroepen[],3,FALSE)*VLOOKUP($M529,Vloersoorten[],3,FALSE)*VLOOKUP($T529,Frequenties[],3,FALSE)*VLOOKUP($A529,Locaties[],3,FALSE),0)</f>
        <v>0</v>
      </c>
      <c r="W529" s="185">
        <f>Ruimtestaat[[#This Row],[Uitvoeringen werkdagen]]*Ruimtestaat[[#This Row],[Oppervlak (netto)]]</f>
        <v>0</v>
      </c>
      <c r="X529" s="220">
        <f>IF(V529&gt;0,Ruimtestaat[[#This Row],[Prest. (m2 /jaar) werkdagen]]/Ruimtestaat[[#This Row],[Norm (m2/uur) werkdagen]],0)</f>
        <v>0</v>
      </c>
      <c r="Y529" s="221">
        <f>Ruimtestaat[[#This Row],[uren / jaar werkdagen]]*Tariefsopbouw!$D$38</f>
        <v>0</v>
      </c>
      <c r="Z529" s="33"/>
      <c r="AA529" s="33">
        <f>IF(Ruimtestaat[[#This Row],[Frequentie weekend]]&gt;0,VALUE(LEFT(Z529,1))*S529,0)</f>
        <v>0</v>
      </c>
      <c r="AB529" s="33">
        <f>IF($AA529&gt;0,VLOOKUP($K529,Ruimtegroepen[],3,FALSE)*VLOOKUP($M529,Vloersoorten[],3,FALSE)*VLOOKUP($Z529,Frequenties[],3,FALSE)*VLOOKUP(#REF!,Locaties[],3,FALSE),0)</f>
        <v>0</v>
      </c>
      <c r="AC529" s="33"/>
      <c r="AD529" s="33"/>
      <c r="AE529" s="33">
        <f>Ruimtestaat[[#This Row],[uren / jaar weekend]]*Tariefsopbouw!$D$40</f>
        <v>0</v>
      </c>
      <c r="AF529" s="79">
        <f>Ruimtestaat[[#This Row],[Prest. (m2 /jaar) weekend]]+Ruimtestaat[[#This Row],[Prest. (m2 /jaar) werkdagen]]</f>
        <v>0</v>
      </c>
      <c r="AG529" s="79">
        <f>Ruimtestaat[[#This Row],[uren / jaar weekend]]+Ruimtestaat[[#This Row],[uren / jaar werkdagen]]</f>
        <v>0</v>
      </c>
      <c r="AH529" s="80">
        <f>Ruimtestaat[[#This Row],[kosten / jaar weekend]]+Ruimtestaat[[#This Row],[kosten / jaar werkdagen]]</f>
        <v>0</v>
      </c>
    </row>
    <row r="530" spans="1:34" ht="15" customHeight="1">
      <c r="A530" s="256">
        <v>13</v>
      </c>
      <c r="B530" s="171" t="str">
        <f>VLOOKUP(Ruimtestaat[[#This Row],[Code]],Locaties[#All],2,FALSE)</f>
        <v>Neon College – Hengelo</v>
      </c>
      <c r="C530" s="258" t="str">
        <f>VLOOKUP(Ruimtestaat[[#This Row],[Code]],Locaties[#All],4,FALSE)</f>
        <v>Sportlaan Driene 8-10</v>
      </c>
      <c r="D530" s="258" t="str">
        <f>VLOOKUP(Ruimtestaat[[#This Row],[Code]],Locaties[#All],5,FALSE)</f>
        <v>7552 Ha</v>
      </c>
      <c r="E530" s="258" t="str">
        <f>VLOOKUP(Ruimtestaat[[#This Row],[Code]],Locaties[#All],6,FALSE)</f>
        <v>Hengelo</v>
      </c>
      <c r="F530" s="257"/>
      <c r="G530" s="257" t="s">
        <v>564</v>
      </c>
      <c r="H530" s="171"/>
      <c r="I530" s="257">
        <v>1151</v>
      </c>
      <c r="J530" s="259" t="s">
        <v>569</v>
      </c>
      <c r="K530" s="185">
        <v>20</v>
      </c>
      <c r="L530" s="260" t="str">
        <f>VLOOKUP(Ruimtestaat[[#This Row],[Ruimte code]],Ruimtegroepen[#All],2,FALSE)</f>
        <v>Niet in onderhoud</v>
      </c>
      <c r="M530" s="212" t="s">
        <v>111</v>
      </c>
      <c r="N530" s="257" t="s">
        <v>605</v>
      </c>
      <c r="O530" s="261"/>
      <c r="P530" s="261">
        <v>7</v>
      </c>
      <c r="Q530" s="212" t="str">
        <f>VLOOKUP(Ruimtestaat[[#This Row],[Ruimte code]],Ruimtegroepen[#All],4,FALSE)</f>
        <v>niet in onderhoud</v>
      </c>
      <c r="R530" s="184"/>
      <c r="S530" s="185"/>
      <c r="T530" s="185"/>
      <c r="U530" s="185">
        <f>IF(S530&gt;0,IF(RIGHT(Ruimtestaat[[#This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0" s="185">
        <f>IF(U530&gt;0,VLOOKUP($K530,Ruimtegroepen[],3,FALSE)*VLOOKUP($M530,Vloersoorten[],3,FALSE)*VLOOKUP($T530,Frequenties[],3,FALSE)*VLOOKUP($A530,Locaties[],3,FALSE),0)</f>
        <v>0</v>
      </c>
      <c r="W530" s="185">
        <f>Ruimtestaat[[#This Row],[Uitvoeringen werkdagen]]*Ruimtestaat[[#This Row],[Oppervlak (netto)]]</f>
        <v>0</v>
      </c>
      <c r="X530" s="220">
        <f>IF(V530&gt;0,Ruimtestaat[[#This Row],[Prest. (m2 /jaar) werkdagen]]/Ruimtestaat[[#This Row],[Norm (m2/uur) werkdagen]],0)</f>
        <v>0</v>
      </c>
      <c r="Y530" s="221">
        <f>Ruimtestaat[[#This Row],[uren / jaar werkdagen]]*Tariefsopbouw!$D$38</f>
        <v>0</v>
      </c>
      <c r="Z530" s="33"/>
      <c r="AA530" s="33">
        <f>IF(Ruimtestaat[[#This Row],[Frequentie weekend]]&gt;0,VALUE(LEFT(Z530,1))*S530,0)</f>
        <v>0</v>
      </c>
      <c r="AB530" s="33">
        <f>IF($AA530&gt;0,VLOOKUP($K530,Ruimtegroepen[],3,FALSE)*VLOOKUP($M530,Vloersoorten[],3,FALSE)*VLOOKUP($Z530,Frequenties[],3,FALSE)*VLOOKUP(#REF!,Locaties[],3,FALSE),0)</f>
        <v>0</v>
      </c>
      <c r="AC530" s="33"/>
      <c r="AD530" s="33"/>
      <c r="AE530" s="33">
        <f>Ruimtestaat[[#This Row],[uren / jaar weekend]]*Tariefsopbouw!$D$40</f>
        <v>0</v>
      </c>
      <c r="AF530" s="79">
        <f>Ruimtestaat[[#This Row],[Prest. (m2 /jaar) weekend]]+Ruimtestaat[[#This Row],[Prest. (m2 /jaar) werkdagen]]</f>
        <v>0</v>
      </c>
      <c r="AG530" s="79">
        <f>Ruimtestaat[[#This Row],[uren / jaar weekend]]+Ruimtestaat[[#This Row],[uren / jaar werkdagen]]</f>
        <v>0</v>
      </c>
      <c r="AH530" s="80">
        <f>Ruimtestaat[[#This Row],[kosten / jaar weekend]]+Ruimtestaat[[#This Row],[kosten / jaar werkdagen]]</f>
        <v>0</v>
      </c>
    </row>
    <row r="531" spans="1:34" ht="15" customHeight="1">
      <c r="A531" s="256">
        <v>13</v>
      </c>
      <c r="B531" s="171" t="str">
        <f>VLOOKUP(Ruimtestaat[[#This Row],[Code]],Locaties[#All],2,FALSE)</f>
        <v>Neon College – Hengelo</v>
      </c>
      <c r="C531" s="258" t="str">
        <f>VLOOKUP(Ruimtestaat[[#This Row],[Code]],Locaties[#All],4,FALSE)</f>
        <v>Sportlaan Driene 8-10</v>
      </c>
      <c r="D531" s="258" t="str">
        <f>VLOOKUP(Ruimtestaat[[#This Row],[Code]],Locaties[#All],5,FALSE)</f>
        <v>7552 Ha</v>
      </c>
      <c r="E531" s="258" t="str">
        <f>VLOOKUP(Ruimtestaat[[#This Row],[Code]],Locaties[#All],6,FALSE)</f>
        <v>Hengelo</v>
      </c>
      <c r="F531" s="257"/>
      <c r="G531" s="257" t="s">
        <v>564</v>
      </c>
      <c r="H531" s="171"/>
      <c r="I531" s="257">
        <v>1152</v>
      </c>
      <c r="J531" s="259" t="s">
        <v>569</v>
      </c>
      <c r="K531" s="185">
        <v>20</v>
      </c>
      <c r="L531" s="260" t="str">
        <f>VLOOKUP(Ruimtestaat[[#This Row],[Ruimte code]],Ruimtegroepen[#All],2,FALSE)</f>
        <v>Niet in onderhoud</v>
      </c>
      <c r="M531" s="212" t="s">
        <v>111</v>
      </c>
      <c r="N531" s="257" t="s">
        <v>605</v>
      </c>
      <c r="O531" s="261"/>
      <c r="P531" s="261">
        <v>7</v>
      </c>
      <c r="Q531" s="212" t="str">
        <f>VLOOKUP(Ruimtestaat[[#This Row],[Ruimte code]],Ruimtegroepen[#All],4,FALSE)</f>
        <v>niet in onderhoud</v>
      </c>
      <c r="R531" s="184"/>
      <c r="S531" s="185"/>
      <c r="T531" s="185"/>
      <c r="U531" s="185">
        <f>IF(S531&gt;0,IF(RIGHT(Ruimtestaat[[#This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1" s="185">
        <f>IF(U531&gt;0,VLOOKUP($K531,Ruimtegroepen[],3,FALSE)*VLOOKUP($M531,Vloersoorten[],3,FALSE)*VLOOKUP($T531,Frequenties[],3,FALSE)*VLOOKUP($A531,Locaties[],3,FALSE),0)</f>
        <v>0</v>
      </c>
      <c r="W531" s="185">
        <f>Ruimtestaat[[#This Row],[Uitvoeringen werkdagen]]*Ruimtestaat[[#This Row],[Oppervlak (netto)]]</f>
        <v>0</v>
      </c>
      <c r="X531" s="220">
        <f>IF(V531&gt;0,Ruimtestaat[[#This Row],[Prest. (m2 /jaar) werkdagen]]/Ruimtestaat[[#This Row],[Norm (m2/uur) werkdagen]],0)</f>
        <v>0</v>
      </c>
      <c r="Y531" s="221">
        <f>Ruimtestaat[[#This Row],[uren / jaar werkdagen]]*Tariefsopbouw!$D$38</f>
        <v>0</v>
      </c>
      <c r="Z531" s="33"/>
      <c r="AA531" s="33">
        <f>IF(Ruimtestaat[[#This Row],[Frequentie weekend]]&gt;0,VALUE(LEFT(Z531,1))*S531,0)</f>
        <v>0</v>
      </c>
      <c r="AB531" s="33">
        <f>IF($AA531&gt;0,VLOOKUP($K531,Ruimtegroepen[],3,FALSE)*VLOOKUP($M531,Vloersoorten[],3,FALSE)*VLOOKUP($Z531,Frequenties[],3,FALSE)*VLOOKUP(#REF!,Locaties[],3,FALSE),0)</f>
        <v>0</v>
      </c>
      <c r="AC531" s="33"/>
      <c r="AD531" s="33"/>
      <c r="AE531" s="33">
        <f>Ruimtestaat[[#This Row],[uren / jaar weekend]]*Tariefsopbouw!$D$40</f>
        <v>0</v>
      </c>
      <c r="AF531" s="79">
        <f>Ruimtestaat[[#This Row],[Prest. (m2 /jaar) weekend]]+Ruimtestaat[[#This Row],[Prest. (m2 /jaar) werkdagen]]</f>
        <v>0</v>
      </c>
      <c r="AG531" s="79">
        <f>Ruimtestaat[[#This Row],[uren / jaar weekend]]+Ruimtestaat[[#This Row],[uren / jaar werkdagen]]</f>
        <v>0</v>
      </c>
      <c r="AH531" s="80">
        <f>Ruimtestaat[[#This Row],[kosten / jaar weekend]]+Ruimtestaat[[#This Row],[kosten / jaar werkdagen]]</f>
        <v>0</v>
      </c>
    </row>
    <row r="532" spans="1:34" ht="15" customHeight="1">
      <c r="A532" s="256">
        <v>13</v>
      </c>
      <c r="B532" s="171" t="str">
        <f>VLOOKUP(Ruimtestaat[[#This Row],[Code]],Locaties[#All],2,FALSE)</f>
        <v>Neon College – Hengelo</v>
      </c>
      <c r="C532" s="258" t="str">
        <f>VLOOKUP(Ruimtestaat[[#This Row],[Code]],Locaties[#All],4,FALSE)</f>
        <v>Sportlaan Driene 8-10</v>
      </c>
      <c r="D532" s="258" t="str">
        <f>VLOOKUP(Ruimtestaat[[#This Row],[Code]],Locaties[#All],5,FALSE)</f>
        <v>7552 Ha</v>
      </c>
      <c r="E532" s="258" t="str">
        <f>VLOOKUP(Ruimtestaat[[#This Row],[Code]],Locaties[#All],6,FALSE)</f>
        <v>Hengelo</v>
      </c>
      <c r="F532" s="257"/>
      <c r="G532" s="257" t="s">
        <v>564</v>
      </c>
      <c r="H532" s="171"/>
      <c r="I532" s="257" t="s">
        <v>931</v>
      </c>
      <c r="J532" s="259" t="s">
        <v>574</v>
      </c>
      <c r="K532" s="185">
        <v>20</v>
      </c>
      <c r="L532" s="260" t="str">
        <f>VLOOKUP(Ruimtestaat[[#This Row],[Ruimte code]],Ruimtegroepen[#All],2,FALSE)</f>
        <v>Niet in onderhoud</v>
      </c>
      <c r="M532" s="212" t="s">
        <v>597</v>
      </c>
      <c r="N532" s="257" t="s">
        <v>38</v>
      </c>
      <c r="O532" s="261"/>
      <c r="P532" s="261">
        <v>70</v>
      </c>
      <c r="Q532" s="212" t="str">
        <f>VLOOKUP(Ruimtestaat[[#This Row],[Ruimte code]],Ruimtegroepen[#All],4,FALSE)</f>
        <v>niet in onderhoud</v>
      </c>
      <c r="R532" s="184"/>
      <c r="S532" s="185"/>
      <c r="T532" s="185"/>
      <c r="U532" s="185">
        <f>IF(S532&gt;0,IF(RIGHT(Ruimtestaat[[#This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2" s="185">
        <f>IF(U532&gt;0,VLOOKUP($K532,Ruimtegroepen[],3,FALSE)*VLOOKUP($M532,Vloersoorten[],3,FALSE)*VLOOKUP($T532,Frequenties[],3,FALSE)*VLOOKUP($A532,Locaties[],3,FALSE),0)</f>
        <v>0</v>
      </c>
      <c r="W532" s="185">
        <f>Ruimtestaat[[#This Row],[Uitvoeringen werkdagen]]*Ruimtestaat[[#This Row],[Oppervlak (netto)]]</f>
        <v>0</v>
      </c>
      <c r="X532" s="220">
        <f>IF(V532&gt;0,Ruimtestaat[[#This Row],[Prest. (m2 /jaar) werkdagen]]/Ruimtestaat[[#This Row],[Norm (m2/uur) werkdagen]],0)</f>
        <v>0</v>
      </c>
      <c r="Y532" s="221">
        <f>Ruimtestaat[[#This Row],[uren / jaar werkdagen]]*Tariefsopbouw!$D$38</f>
        <v>0</v>
      </c>
      <c r="Z532" s="33"/>
      <c r="AA532" s="33">
        <f>IF(Ruimtestaat[[#This Row],[Frequentie weekend]]&gt;0,VALUE(LEFT(Z532,1))*S532,0)</f>
        <v>0</v>
      </c>
      <c r="AB532" s="33">
        <f>IF($AA532&gt;0,VLOOKUP($K532,Ruimtegroepen[],3,FALSE)*VLOOKUP($M532,Vloersoorten[],3,FALSE)*VLOOKUP($Z532,Frequenties[],3,FALSE)*VLOOKUP(#REF!,Locaties[],3,FALSE),0)</f>
        <v>0</v>
      </c>
      <c r="AC532" s="33"/>
      <c r="AD532" s="33"/>
      <c r="AE532" s="33">
        <f>Ruimtestaat[[#This Row],[uren / jaar weekend]]*Tariefsopbouw!$D$40</f>
        <v>0</v>
      </c>
      <c r="AF532" s="79">
        <f>Ruimtestaat[[#This Row],[Prest. (m2 /jaar) weekend]]+Ruimtestaat[[#This Row],[Prest. (m2 /jaar) werkdagen]]</f>
        <v>0</v>
      </c>
      <c r="AG532" s="79">
        <f>Ruimtestaat[[#This Row],[uren / jaar weekend]]+Ruimtestaat[[#This Row],[uren / jaar werkdagen]]</f>
        <v>0</v>
      </c>
      <c r="AH532" s="80">
        <f>Ruimtestaat[[#This Row],[kosten / jaar weekend]]+Ruimtestaat[[#This Row],[kosten / jaar werkdagen]]</f>
        <v>0</v>
      </c>
    </row>
    <row r="533" spans="1:34" ht="15" customHeight="1">
      <c r="A533" s="256">
        <v>13</v>
      </c>
      <c r="B533" s="171" t="str">
        <f>VLOOKUP(Ruimtestaat[[#This Row],[Code]],Locaties[#All],2,FALSE)</f>
        <v>Neon College – Hengelo</v>
      </c>
      <c r="C533" s="258" t="str">
        <f>VLOOKUP(Ruimtestaat[[#This Row],[Code]],Locaties[#All],4,FALSE)</f>
        <v>Sportlaan Driene 8-10</v>
      </c>
      <c r="D533" s="258" t="str">
        <f>VLOOKUP(Ruimtestaat[[#This Row],[Code]],Locaties[#All],5,FALSE)</f>
        <v>7552 Ha</v>
      </c>
      <c r="E533" s="258" t="str">
        <f>VLOOKUP(Ruimtestaat[[#This Row],[Code]],Locaties[#All],6,FALSE)</f>
        <v>Hengelo</v>
      </c>
      <c r="F533" s="257"/>
      <c r="G533" s="257" t="s">
        <v>564</v>
      </c>
      <c r="H533" s="171"/>
      <c r="I533" s="257">
        <v>1149</v>
      </c>
      <c r="J533" s="259" t="s">
        <v>932</v>
      </c>
      <c r="K533" s="185">
        <v>20</v>
      </c>
      <c r="L533" s="260" t="str">
        <f>VLOOKUP(Ruimtestaat[[#This Row],[Ruimte code]],Ruimtegroepen[#All],2,FALSE)</f>
        <v>Niet in onderhoud</v>
      </c>
      <c r="M533" s="185" t="s">
        <v>597</v>
      </c>
      <c r="N533" s="257" t="s">
        <v>38</v>
      </c>
      <c r="O533" s="261"/>
      <c r="P533" s="261">
        <v>50.5</v>
      </c>
      <c r="Q533" s="212" t="str">
        <f>VLOOKUP(Ruimtestaat[[#This Row],[Ruimte code]],Ruimtegroepen[#All],4,FALSE)</f>
        <v>niet in onderhoud</v>
      </c>
      <c r="R533" s="184"/>
      <c r="S533" s="185"/>
      <c r="T533" s="185"/>
      <c r="U533" s="185">
        <f>IF(S533&gt;0,IF(RIGHT(Ruimtestaat[[#This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3" s="185">
        <f>IF(U533&gt;0,VLOOKUP($K533,Ruimtegroepen[],3,FALSE)*VLOOKUP($M533,Vloersoorten[],3,FALSE)*VLOOKUP($T533,Frequenties[],3,FALSE)*VLOOKUP($A533,Locaties[],3,FALSE),0)</f>
        <v>0</v>
      </c>
      <c r="W533" s="185">
        <f>Ruimtestaat[[#This Row],[Uitvoeringen werkdagen]]*Ruimtestaat[[#This Row],[Oppervlak (netto)]]</f>
        <v>0</v>
      </c>
      <c r="X533" s="220">
        <f>IF(V533&gt;0,Ruimtestaat[[#This Row],[Prest. (m2 /jaar) werkdagen]]/Ruimtestaat[[#This Row],[Norm (m2/uur) werkdagen]],0)</f>
        <v>0</v>
      </c>
      <c r="Y533" s="221">
        <f>Ruimtestaat[[#This Row],[uren / jaar werkdagen]]*Tariefsopbouw!$D$38</f>
        <v>0</v>
      </c>
      <c r="Z533" s="33"/>
      <c r="AA533" s="33">
        <f>IF(Ruimtestaat[[#This Row],[Frequentie weekend]]&gt;0,VALUE(LEFT(Z533,1))*S533,0)</f>
        <v>0</v>
      </c>
      <c r="AB533" s="33">
        <f>IF($AA533&gt;0,VLOOKUP($K533,Ruimtegroepen[],3,FALSE)*VLOOKUP($M533,Vloersoorten[],3,FALSE)*VLOOKUP($Z533,Frequenties[],3,FALSE)*VLOOKUP(#REF!,Locaties[],3,FALSE),0)</f>
        <v>0</v>
      </c>
      <c r="AC533" s="33"/>
      <c r="AD533" s="33"/>
      <c r="AE533" s="33">
        <f>Ruimtestaat[[#This Row],[uren / jaar weekend]]*Tariefsopbouw!$D$40</f>
        <v>0</v>
      </c>
      <c r="AF533" s="79">
        <f>Ruimtestaat[[#This Row],[Prest. (m2 /jaar) weekend]]+Ruimtestaat[[#This Row],[Prest. (m2 /jaar) werkdagen]]</f>
        <v>0</v>
      </c>
      <c r="AG533" s="79">
        <f>Ruimtestaat[[#This Row],[uren / jaar weekend]]+Ruimtestaat[[#This Row],[uren / jaar werkdagen]]</f>
        <v>0</v>
      </c>
      <c r="AH533" s="80">
        <f>Ruimtestaat[[#This Row],[kosten / jaar weekend]]+Ruimtestaat[[#This Row],[kosten / jaar werkdagen]]</f>
        <v>0</v>
      </c>
    </row>
    <row r="534" spans="1:34" ht="15" customHeight="1">
      <c r="A534" s="256">
        <v>13</v>
      </c>
      <c r="B534" s="171" t="str">
        <f>VLOOKUP(Ruimtestaat[[#This Row],[Code]],Locaties[#All],2,FALSE)</f>
        <v>Neon College – Hengelo</v>
      </c>
      <c r="C534" s="258" t="str">
        <f>VLOOKUP(Ruimtestaat[[#This Row],[Code]],Locaties[#All],4,FALSE)</f>
        <v>Sportlaan Driene 8-10</v>
      </c>
      <c r="D534" s="258" t="str">
        <f>VLOOKUP(Ruimtestaat[[#This Row],[Code]],Locaties[#All],5,FALSE)</f>
        <v>7552 Ha</v>
      </c>
      <c r="E534" s="258" t="str">
        <f>VLOOKUP(Ruimtestaat[[#This Row],[Code]],Locaties[#All],6,FALSE)</f>
        <v>Hengelo</v>
      </c>
      <c r="F534" s="257"/>
      <c r="G534" s="257" t="s">
        <v>564</v>
      </c>
      <c r="H534" s="171"/>
      <c r="I534" s="257">
        <v>1140</v>
      </c>
      <c r="J534" s="259" t="s">
        <v>653</v>
      </c>
      <c r="K534" s="185">
        <v>20</v>
      </c>
      <c r="L534" s="260" t="str">
        <f>VLOOKUP(Ruimtestaat[[#This Row],[Ruimte code]],Ruimtegroepen[#All],2,FALSE)</f>
        <v>Niet in onderhoud</v>
      </c>
      <c r="M534" s="212" t="s">
        <v>111</v>
      </c>
      <c r="N534" s="257" t="s">
        <v>605</v>
      </c>
      <c r="O534" s="261"/>
      <c r="P534" s="261">
        <v>4.5</v>
      </c>
      <c r="Q534" s="212" t="str">
        <f>VLOOKUP(Ruimtestaat[[#This Row],[Ruimte code]],Ruimtegroepen[#All],4,FALSE)</f>
        <v>niet in onderhoud</v>
      </c>
      <c r="R534" s="184"/>
      <c r="S534" s="185"/>
      <c r="T534" s="185"/>
      <c r="U534" s="185">
        <f>IF(S534&gt;0,IF(RIGHT(Ruimtestaat[[#This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4" s="185">
        <f>IF(U534&gt;0,VLOOKUP($K534,Ruimtegroepen[],3,FALSE)*VLOOKUP($M534,Vloersoorten[],3,FALSE)*VLOOKUP($T534,Frequenties[],3,FALSE)*VLOOKUP($A534,Locaties[],3,FALSE),0)</f>
        <v>0</v>
      </c>
      <c r="W534" s="185">
        <f>Ruimtestaat[[#This Row],[Uitvoeringen werkdagen]]*Ruimtestaat[[#This Row],[Oppervlak (netto)]]</f>
        <v>0</v>
      </c>
      <c r="X534" s="220">
        <f>IF(V534&gt;0,Ruimtestaat[[#This Row],[Prest. (m2 /jaar) werkdagen]]/Ruimtestaat[[#This Row],[Norm (m2/uur) werkdagen]],0)</f>
        <v>0</v>
      </c>
      <c r="Y534" s="221">
        <f>Ruimtestaat[[#This Row],[uren / jaar werkdagen]]*Tariefsopbouw!$D$38</f>
        <v>0</v>
      </c>
      <c r="Z534" s="33"/>
      <c r="AA534" s="33">
        <f>IF(Ruimtestaat[[#This Row],[Frequentie weekend]]&gt;0,VALUE(LEFT(Z534,1))*S534,0)</f>
        <v>0</v>
      </c>
      <c r="AB534" s="33">
        <f>IF($AA534&gt;0,VLOOKUP($K534,Ruimtegroepen[],3,FALSE)*VLOOKUP($M534,Vloersoorten[],3,FALSE)*VLOOKUP($Z534,Frequenties[],3,FALSE)*VLOOKUP(#REF!,Locaties[],3,FALSE),0)</f>
        <v>0</v>
      </c>
      <c r="AC534" s="33"/>
      <c r="AD534" s="33"/>
      <c r="AE534" s="33">
        <f>Ruimtestaat[[#This Row],[uren / jaar weekend]]*Tariefsopbouw!$D$40</f>
        <v>0</v>
      </c>
      <c r="AF534" s="79">
        <f>Ruimtestaat[[#This Row],[Prest. (m2 /jaar) weekend]]+Ruimtestaat[[#This Row],[Prest. (m2 /jaar) werkdagen]]</f>
        <v>0</v>
      </c>
      <c r="AG534" s="79">
        <f>Ruimtestaat[[#This Row],[uren / jaar weekend]]+Ruimtestaat[[#This Row],[uren / jaar werkdagen]]</f>
        <v>0</v>
      </c>
      <c r="AH534" s="80">
        <f>Ruimtestaat[[#This Row],[kosten / jaar weekend]]+Ruimtestaat[[#This Row],[kosten / jaar werkdagen]]</f>
        <v>0</v>
      </c>
    </row>
    <row r="535" spans="1:34" ht="15" customHeight="1">
      <c r="A535" s="256">
        <v>13</v>
      </c>
      <c r="B535" s="171" t="str">
        <f>VLOOKUP(Ruimtestaat[[#This Row],[Code]],Locaties[#All],2,FALSE)</f>
        <v>Neon College – Hengelo</v>
      </c>
      <c r="C535" s="258" t="str">
        <f>VLOOKUP(Ruimtestaat[[#This Row],[Code]],Locaties[#All],4,FALSE)</f>
        <v>Sportlaan Driene 8-10</v>
      </c>
      <c r="D535" s="258" t="str">
        <f>VLOOKUP(Ruimtestaat[[#This Row],[Code]],Locaties[#All],5,FALSE)</f>
        <v>7552 Ha</v>
      </c>
      <c r="E535" s="258" t="str">
        <f>VLOOKUP(Ruimtestaat[[#This Row],[Code]],Locaties[#All],6,FALSE)</f>
        <v>Hengelo</v>
      </c>
      <c r="F535" s="257"/>
      <c r="G535" s="257" t="s">
        <v>564</v>
      </c>
      <c r="H535" s="171"/>
      <c r="I535" s="257">
        <v>1141</v>
      </c>
      <c r="J535" s="259" t="s">
        <v>569</v>
      </c>
      <c r="K535" s="185">
        <v>20</v>
      </c>
      <c r="L535" s="260" t="str">
        <f>VLOOKUP(Ruimtestaat[[#This Row],[Ruimte code]],Ruimtegroepen[#All],2,FALSE)</f>
        <v>Niet in onderhoud</v>
      </c>
      <c r="M535" s="212" t="s">
        <v>111</v>
      </c>
      <c r="N535" s="257" t="s">
        <v>605</v>
      </c>
      <c r="O535" s="261"/>
      <c r="P535" s="261">
        <v>16</v>
      </c>
      <c r="Q535" s="212" t="str">
        <f>VLOOKUP(Ruimtestaat[[#This Row],[Ruimte code]],Ruimtegroepen[#All],4,FALSE)</f>
        <v>niet in onderhoud</v>
      </c>
      <c r="R535" s="184"/>
      <c r="S535" s="185"/>
      <c r="T535" s="185"/>
      <c r="U535" s="185">
        <f>IF(S535&gt;0,IF(RIGHT(Ruimtestaat[[#This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5" s="185">
        <f>IF(U535&gt;0,VLOOKUP($K535,Ruimtegroepen[],3,FALSE)*VLOOKUP($M535,Vloersoorten[],3,FALSE)*VLOOKUP($T535,Frequenties[],3,FALSE)*VLOOKUP($A535,Locaties[],3,FALSE),0)</f>
        <v>0</v>
      </c>
      <c r="W535" s="185">
        <f>Ruimtestaat[[#This Row],[Uitvoeringen werkdagen]]*Ruimtestaat[[#This Row],[Oppervlak (netto)]]</f>
        <v>0</v>
      </c>
      <c r="X535" s="220">
        <f>IF(V535&gt;0,Ruimtestaat[[#This Row],[Prest. (m2 /jaar) werkdagen]]/Ruimtestaat[[#This Row],[Norm (m2/uur) werkdagen]],0)</f>
        <v>0</v>
      </c>
      <c r="Y535" s="221">
        <f>Ruimtestaat[[#This Row],[uren / jaar werkdagen]]*Tariefsopbouw!$D$38</f>
        <v>0</v>
      </c>
      <c r="Z535" s="33"/>
      <c r="AA535" s="33">
        <f>IF(Ruimtestaat[[#This Row],[Frequentie weekend]]&gt;0,VALUE(LEFT(Z535,1))*S535,0)</f>
        <v>0</v>
      </c>
      <c r="AB535" s="33">
        <f>IF($AA535&gt;0,VLOOKUP($K535,Ruimtegroepen[],3,FALSE)*VLOOKUP($M535,Vloersoorten[],3,FALSE)*VLOOKUP($Z535,Frequenties[],3,FALSE)*VLOOKUP(#REF!,Locaties[],3,FALSE),0)</f>
        <v>0</v>
      </c>
      <c r="AC535" s="33"/>
      <c r="AD535" s="33"/>
      <c r="AE535" s="33">
        <f>Ruimtestaat[[#This Row],[uren / jaar weekend]]*Tariefsopbouw!$D$40</f>
        <v>0</v>
      </c>
      <c r="AF535" s="79">
        <f>Ruimtestaat[[#This Row],[Prest. (m2 /jaar) weekend]]+Ruimtestaat[[#This Row],[Prest. (m2 /jaar) werkdagen]]</f>
        <v>0</v>
      </c>
      <c r="AG535" s="79">
        <f>Ruimtestaat[[#This Row],[uren / jaar weekend]]+Ruimtestaat[[#This Row],[uren / jaar werkdagen]]</f>
        <v>0</v>
      </c>
      <c r="AH535" s="80">
        <f>Ruimtestaat[[#This Row],[kosten / jaar weekend]]+Ruimtestaat[[#This Row],[kosten / jaar werkdagen]]</f>
        <v>0</v>
      </c>
    </row>
    <row r="536" spans="1:34" ht="15" customHeight="1">
      <c r="A536" s="256">
        <v>13</v>
      </c>
      <c r="B536" s="171" t="str">
        <f>VLOOKUP(Ruimtestaat[[#This Row],[Code]],Locaties[#All],2,FALSE)</f>
        <v>Neon College – Hengelo</v>
      </c>
      <c r="C536" s="258" t="str">
        <f>VLOOKUP(Ruimtestaat[[#This Row],[Code]],Locaties[#All],4,FALSE)</f>
        <v>Sportlaan Driene 8-10</v>
      </c>
      <c r="D536" s="258" t="str">
        <f>VLOOKUP(Ruimtestaat[[#This Row],[Code]],Locaties[#All],5,FALSE)</f>
        <v>7552 Ha</v>
      </c>
      <c r="E536" s="258" t="str">
        <f>VLOOKUP(Ruimtestaat[[#This Row],[Code]],Locaties[#All],6,FALSE)</f>
        <v>Hengelo</v>
      </c>
      <c r="F536" s="257"/>
      <c r="G536" s="257" t="s">
        <v>564</v>
      </c>
      <c r="H536" s="171"/>
      <c r="I536" s="257">
        <v>1139</v>
      </c>
      <c r="J536" s="259" t="s">
        <v>571</v>
      </c>
      <c r="K536" s="185">
        <v>20</v>
      </c>
      <c r="L536" s="260" t="str">
        <f>VLOOKUP(Ruimtestaat[[#This Row],[Ruimte code]],Ruimtegroepen[#All],2,FALSE)</f>
        <v>Niet in onderhoud</v>
      </c>
      <c r="M536" s="185" t="s">
        <v>597</v>
      </c>
      <c r="N536" s="257" t="s">
        <v>38</v>
      </c>
      <c r="O536" s="261"/>
      <c r="P536" s="261">
        <v>17</v>
      </c>
      <c r="Q536" s="212" t="str">
        <f>VLOOKUP(Ruimtestaat[[#This Row],[Ruimte code]],Ruimtegroepen[#All],4,FALSE)</f>
        <v>niet in onderhoud</v>
      </c>
      <c r="R536" s="184"/>
      <c r="S536" s="185"/>
      <c r="T536" s="185"/>
      <c r="U536" s="185">
        <f>IF(S536&gt;0,IF(RIGHT(Ruimtestaat[[#This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6" s="185">
        <f>IF(U536&gt;0,VLOOKUP($K536,Ruimtegroepen[],3,FALSE)*VLOOKUP($M536,Vloersoorten[],3,FALSE)*VLOOKUP($T536,Frequenties[],3,FALSE)*VLOOKUP($A536,Locaties[],3,FALSE),0)</f>
        <v>0</v>
      </c>
      <c r="W536" s="185">
        <f>Ruimtestaat[[#This Row],[Uitvoeringen werkdagen]]*Ruimtestaat[[#This Row],[Oppervlak (netto)]]</f>
        <v>0</v>
      </c>
      <c r="X536" s="220">
        <f>IF(V536&gt;0,Ruimtestaat[[#This Row],[Prest. (m2 /jaar) werkdagen]]/Ruimtestaat[[#This Row],[Norm (m2/uur) werkdagen]],0)</f>
        <v>0</v>
      </c>
      <c r="Y536" s="221">
        <f>Ruimtestaat[[#This Row],[uren / jaar werkdagen]]*Tariefsopbouw!$D$38</f>
        <v>0</v>
      </c>
      <c r="Z536" s="33"/>
      <c r="AA536" s="33">
        <f>IF(Ruimtestaat[[#This Row],[Frequentie weekend]]&gt;0,VALUE(LEFT(Z536,1))*S536,0)</f>
        <v>0</v>
      </c>
      <c r="AB536" s="33">
        <f>IF($AA536&gt;0,VLOOKUP($K536,Ruimtegroepen[],3,FALSE)*VLOOKUP($M536,Vloersoorten[],3,FALSE)*VLOOKUP($Z536,Frequenties[],3,FALSE)*VLOOKUP(#REF!,Locaties[],3,FALSE),0)</f>
        <v>0</v>
      </c>
      <c r="AC536" s="33"/>
      <c r="AD536" s="33"/>
      <c r="AE536" s="33">
        <f>Ruimtestaat[[#This Row],[uren / jaar weekend]]*Tariefsopbouw!$D$40</f>
        <v>0</v>
      </c>
      <c r="AF536" s="79">
        <f>Ruimtestaat[[#This Row],[Prest. (m2 /jaar) weekend]]+Ruimtestaat[[#This Row],[Prest. (m2 /jaar) werkdagen]]</f>
        <v>0</v>
      </c>
      <c r="AG536" s="79">
        <f>Ruimtestaat[[#This Row],[uren / jaar weekend]]+Ruimtestaat[[#This Row],[uren / jaar werkdagen]]</f>
        <v>0</v>
      </c>
      <c r="AH536" s="80">
        <f>Ruimtestaat[[#This Row],[kosten / jaar weekend]]+Ruimtestaat[[#This Row],[kosten / jaar werkdagen]]</f>
        <v>0</v>
      </c>
    </row>
    <row r="537" spans="1:34" ht="15" customHeight="1">
      <c r="A537" s="256">
        <v>13</v>
      </c>
      <c r="B537" s="171" t="str">
        <f>VLOOKUP(Ruimtestaat[[#This Row],[Code]],Locaties[#All],2,FALSE)</f>
        <v>Neon College – Hengelo</v>
      </c>
      <c r="C537" s="258" t="str">
        <f>VLOOKUP(Ruimtestaat[[#This Row],[Code]],Locaties[#All],4,FALSE)</f>
        <v>Sportlaan Driene 8-10</v>
      </c>
      <c r="D537" s="258" t="str">
        <f>VLOOKUP(Ruimtestaat[[#This Row],[Code]],Locaties[#All],5,FALSE)</f>
        <v>7552 Ha</v>
      </c>
      <c r="E537" s="258" t="str">
        <f>VLOOKUP(Ruimtestaat[[#This Row],[Code]],Locaties[#All],6,FALSE)</f>
        <v>Hengelo</v>
      </c>
      <c r="F537" s="257"/>
      <c r="G537" s="257" t="s">
        <v>564</v>
      </c>
      <c r="H537" s="171"/>
      <c r="I537" s="257">
        <v>1137</v>
      </c>
      <c r="J537" s="259" t="s">
        <v>571</v>
      </c>
      <c r="K537" s="185">
        <v>20</v>
      </c>
      <c r="L537" s="260" t="str">
        <f>VLOOKUP(Ruimtestaat[[#This Row],[Ruimte code]],Ruimtegroepen[#All],2,FALSE)</f>
        <v>Niet in onderhoud</v>
      </c>
      <c r="M537" s="212" t="s">
        <v>597</v>
      </c>
      <c r="N537" s="257" t="s">
        <v>38</v>
      </c>
      <c r="O537" s="261"/>
      <c r="P537" s="261">
        <v>17</v>
      </c>
      <c r="Q537" s="212" t="str">
        <f>VLOOKUP(Ruimtestaat[[#This Row],[Ruimte code]],Ruimtegroepen[#All],4,FALSE)</f>
        <v>niet in onderhoud</v>
      </c>
      <c r="R537" s="184"/>
      <c r="S537" s="185"/>
      <c r="T537" s="185"/>
      <c r="U537" s="185">
        <f>IF(S537&gt;0,IF(RIGHT(Ruimtestaat[[#This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7" s="185">
        <f>IF(U537&gt;0,VLOOKUP($K537,Ruimtegroepen[],3,FALSE)*VLOOKUP($M537,Vloersoorten[],3,FALSE)*VLOOKUP($T537,Frequenties[],3,FALSE)*VLOOKUP($A537,Locaties[],3,FALSE),0)</f>
        <v>0</v>
      </c>
      <c r="W537" s="185">
        <f>Ruimtestaat[[#This Row],[Uitvoeringen werkdagen]]*Ruimtestaat[[#This Row],[Oppervlak (netto)]]</f>
        <v>0</v>
      </c>
      <c r="X537" s="220">
        <f>IF(V537&gt;0,Ruimtestaat[[#This Row],[Prest. (m2 /jaar) werkdagen]]/Ruimtestaat[[#This Row],[Norm (m2/uur) werkdagen]],0)</f>
        <v>0</v>
      </c>
      <c r="Y537" s="221">
        <f>Ruimtestaat[[#This Row],[uren / jaar werkdagen]]*Tariefsopbouw!$D$38</f>
        <v>0</v>
      </c>
      <c r="Z537" s="33"/>
      <c r="AA537" s="33">
        <f>IF(Ruimtestaat[[#This Row],[Frequentie weekend]]&gt;0,VALUE(LEFT(Z537,1))*S537,0)</f>
        <v>0</v>
      </c>
      <c r="AB537" s="33">
        <f>IF($AA537&gt;0,VLOOKUP($K537,Ruimtegroepen[],3,FALSE)*VLOOKUP($M537,Vloersoorten[],3,FALSE)*VLOOKUP($Z537,Frequenties[],3,FALSE)*VLOOKUP(#REF!,Locaties[],3,FALSE),0)</f>
        <v>0</v>
      </c>
      <c r="AC537" s="33"/>
      <c r="AD537" s="33"/>
      <c r="AE537" s="33">
        <f>Ruimtestaat[[#This Row],[uren / jaar weekend]]*Tariefsopbouw!$D$40</f>
        <v>0</v>
      </c>
      <c r="AF537" s="79">
        <f>Ruimtestaat[[#This Row],[Prest. (m2 /jaar) weekend]]+Ruimtestaat[[#This Row],[Prest. (m2 /jaar) werkdagen]]</f>
        <v>0</v>
      </c>
      <c r="AG537" s="79">
        <f>Ruimtestaat[[#This Row],[uren / jaar weekend]]+Ruimtestaat[[#This Row],[uren / jaar werkdagen]]</f>
        <v>0</v>
      </c>
      <c r="AH537" s="80">
        <f>Ruimtestaat[[#This Row],[kosten / jaar weekend]]+Ruimtestaat[[#This Row],[kosten / jaar werkdagen]]</f>
        <v>0</v>
      </c>
    </row>
    <row r="538" spans="1:34" ht="15" customHeight="1">
      <c r="A538" s="256">
        <v>13</v>
      </c>
      <c r="B538" s="171" t="str">
        <f>VLOOKUP(Ruimtestaat[[#This Row],[Code]],Locaties[#All],2,FALSE)</f>
        <v>Neon College – Hengelo</v>
      </c>
      <c r="C538" s="258" t="str">
        <f>VLOOKUP(Ruimtestaat[[#This Row],[Code]],Locaties[#All],4,FALSE)</f>
        <v>Sportlaan Driene 8-10</v>
      </c>
      <c r="D538" s="258" t="str">
        <f>VLOOKUP(Ruimtestaat[[#This Row],[Code]],Locaties[#All],5,FALSE)</f>
        <v>7552 Ha</v>
      </c>
      <c r="E538" s="258" t="str">
        <f>VLOOKUP(Ruimtestaat[[#This Row],[Code]],Locaties[#All],6,FALSE)</f>
        <v>Hengelo</v>
      </c>
      <c r="F538" s="257"/>
      <c r="G538" s="257" t="s">
        <v>564</v>
      </c>
      <c r="H538" s="171"/>
      <c r="I538" s="257">
        <v>1134</v>
      </c>
      <c r="J538" s="259" t="s">
        <v>576</v>
      </c>
      <c r="K538" s="185">
        <v>20</v>
      </c>
      <c r="L538" s="260" t="str">
        <f>VLOOKUP(Ruimtestaat[[#This Row],[Ruimte code]],Ruimtegroepen[#All],2,FALSE)</f>
        <v>Niet in onderhoud</v>
      </c>
      <c r="M538" s="212" t="s">
        <v>597</v>
      </c>
      <c r="N538" s="257" t="s">
        <v>38</v>
      </c>
      <c r="O538" s="261"/>
      <c r="P538" s="261">
        <v>53</v>
      </c>
      <c r="Q538" s="212" t="str">
        <f>VLOOKUP(Ruimtestaat[[#This Row],[Ruimte code]],Ruimtegroepen[#All],4,FALSE)</f>
        <v>niet in onderhoud</v>
      </c>
      <c r="R538" s="184"/>
      <c r="S538" s="185"/>
      <c r="T538" s="185"/>
      <c r="U538" s="185">
        <f>IF(S538&gt;0,IF(RIGHT(Ruimtestaat[[#This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8" s="185">
        <f>IF(U538&gt;0,VLOOKUP($K538,Ruimtegroepen[],3,FALSE)*VLOOKUP($M538,Vloersoorten[],3,FALSE)*VLOOKUP($T538,Frequenties[],3,FALSE)*VLOOKUP($A538,Locaties[],3,FALSE),0)</f>
        <v>0</v>
      </c>
      <c r="W538" s="185">
        <f>Ruimtestaat[[#This Row],[Uitvoeringen werkdagen]]*Ruimtestaat[[#This Row],[Oppervlak (netto)]]</f>
        <v>0</v>
      </c>
      <c r="X538" s="220">
        <f>IF(V538&gt;0,Ruimtestaat[[#This Row],[Prest. (m2 /jaar) werkdagen]]/Ruimtestaat[[#This Row],[Norm (m2/uur) werkdagen]],0)</f>
        <v>0</v>
      </c>
      <c r="Y538" s="221">
        <f>Ruimtestaat[[#This Row],[uren / jaar werkdagen]]*Tariefsopbouw!$D$38</f>
        <v>0</v>
      </c>
      <c r="Z538" s="33"/>
      <c r="AA538" s="33">
        <f>IF(Ruimtestaat[[#This Row],[Frequentie weekend]]&gt;0,VALUE(LEFT(Z538,1))*S538,0)</f>
        <v>0</v>
      </c>
      <c r="AB538" s="33">
        <f>IF($AA538&gt;0,VLOOKUP($K538,Ruimtegroepen[],3,FALSE)*VLOOKUP($M538,Vloersoorten[],3,FALSE)*VLOOKUP($Z538,Frequenties[],3,FALSE)*VLOOKUP(#REF!,Locaties[],3,FALSE),0)</f>
        <v>0</v>
      </c>
      <c r="AC538" s="33"/>
      <c r="AD538" s="33"/>
      <c r="AE538" s="33">
        <f>Ruimtestaat[[#This Row],[uren / jaar weekend]]*Tariefsopbouw!$D$40</f>
        <v>0</v>
      </c>
      <c r="AF538" s="79">
        <f>Ruimtestaat[[#This Row],[Prest. (m2 /jaar) weekend]]+Ruimtestaat[[#This Row],[Prest. (m2 /jaar) werkdagen]]</f>
        <v>0</v>
      </c>
      <c r="AG538" s="79">
        <f>Ruimtestaat[[#This Row],[uren / jaar weekend]]+Ruimtestaat[[#This Row],[uren / jaar werkdagen]]</f>
        <v>0</v>
      </c>
      <c r="AH538" s="80">
        <f>Ruimtestaat[[#This Row],[kosten / jaar weekend]]+Ruimtestaat[[#This Row],[kosten / jaar werkdagen]]</f>
        <v>0</v>
      </c>
    </row>
    <row r="539" spans="1:34" ht="15" customHeight="1">
      <c r="A539" s="256">
        <v>13</v>
      </c>
      <c r="B539" s="171" t="str">
        <f>VLOOKUP(Ruimtestaat[[#This Row],[Code]],Locaties[#All],2,FALSE)</f>
        <v>Neon College – Hengelo</v>
      </c>
      <c r="C539" s="258" t="str">
        <f>VLOOKUP(Ruimtestaat[[#This Row],[Code]],Locaties[#All],4,FALSE)</f>
        <v>Sportlaan Driene 8-10</v>
      </c>
      <c r="D539" s="258" t="str">
        <f>VLOOKUP(Ruimtestaat[[#This Row],[Code]],Locaties[#All],5,FALSE)</f>
        <v>7552 Ha</v>
      </c>
      <c r="E539" s="258" t="str">
        <f>VLOOKUP(Ruimtestaat[[#This Row],[Code]],Locaties[#All],6,FALSE)</f>
        <v>Hengelo</v>
      </c>
      <c r="F539" s="257"/>
      <c r="G539" s="257" t="s">
        <v>564</v>
      </c>
      <c r="H539" s="171"/>
      <c r="I539" s="257">
        <v>1138</v>
      </c>
      <c r="J539" s="259" t="s">
        <v>576</v>
      </c>
      <c r="K539" s="185">
        <v>20</v>
      </c>
      <c r="L539" s="260" t="str">
        <f>VLOOKUP(Ruimtestaat[[#This Row],[Ruimte code]],Ruimtegroepen[#All],2,FALSE)</f>
        <v>Niet in onderhoud</v>
      </c>
      <c r="M539" s="212" t="s">
        <v>597</v>
      </c>
      <c r="N539" s="257" t="s">
        <v>38</v>
      </c>
      <c r="O539" s="261"/>
      <c r="P539" s="261">
        <v>53</v>
      </c>
      <c r="Q539" s="212" t="str">
        <f>VLOOKUP(Ruimtestaat[[#This Row],[Ruimte code]],Ruimtegroepen[#All],4,FALSE)</f>
        <v>niet in onderhoud</v>
      </c>
      <c r="R539" s="184"/>
      <c r="S539" s="185"/>
      <c r="T539" s="185"/>
      <c r="U539" s="185">
        <f>IF(S539&gt;0,IF(RIGHT(Ruimtestaat[[#This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9" s="185">
        <f>IF(U539&gt;0,VLOOKUP($K539,Ruimtegroepen[],3,FALSE)*VLOOKUP($M539,Vloersoorten[],3,FALSE)*VLOOKUP($T539,Frequenties[],3,FALSE)*VLOOKUP($A539,Locaties[],3,FALSE),0)</f>
        <v>0</v>
      </c>
      <c r="W539" s="185">
        <f>Ruimtestaat[[#This Row],[Uitvoeringen werkdagen]]*Ruimtestaat[[#This Row],[Oppervlak (netto)]]</f>
        <v>0</v>
      </c>
      <c r="X539" s="220">
        <f>IF(V539&gt;0,Ruimtestaat[[#This Row],[Prest. (m2 /jaar) werkdagen]]/Ruimtestaat[[#This Row],[Norm (m2/uur) werkdagen]],0)</f>
        <v>0</v>
      </c>
      <c r="Y539" s="221">
        <f>Ruimtestaat[[#This Row],[uren / jaar werkdagen]]*Tariefsopbouw!$D$38</f>
        <v>0</v>
      </c>
      <c r="Z539" s="33"/>
      <c r="AA539" s="33">
        <f>IF(Ruimtestaat[[#This Row],[Frequentie weekend]]&gt;0,VALUE(LEFT(Z539,1))*S539,0)</f>
        <v>0</v>
      </c>
      <c r="AB539" s="33">
        <f>IF($AA539&gt;0,VLOOKUP($K539,Ruimtegroepen[],3,FALSE)*VLOOKUP($M539,Vloersoorten[],3,FALSE)*VLOOKUP($Z539,Frequenties[],3,FALSE)*VLOOKUP(#REF!,Locaties[],3,FALSE),0)</f>
        <v>0</v>
      </c>
      <c r="AC539" s="33"/>
      <c r="AD539" s="33"/>
      <c r="AE539" s="33">
        <f>Ruimtestaat[[#This Row],[uren / jaar weekend]]*Tariefsopbouw!$D$40</f>
        <v>0</v>
      </c>
      <c r="AF539" s="79">
        <f>Ruimtestaat[[#This Row],[Prest. (m2 /jaar) weekend]]+Ruimtestaat[[#This Row],[Prest. (m2 /jaar) werkdagen]]</f>
        <v>0</v>
      </c>
      <c r="AG539" s="79">
        <f>Ruimtestaat[[#This Row],[uren / jaar weekend]]+Ruimtestaat[[#This Row],[uren / jaar werkdagen]]</f>
        <v>0</v>
      </c>
      <c r="AH539" s="80">
        <f>Ruimtestaat[[#This Row],[kosten / jaar weekend]]+Ruimtestaat[[#This Row],[kosten / jaar werkdagen]]</f>
        <v>0</v>
      </c>
    </row>
    <row r="540" spans="1:34" ht="15" customHeight="1">
      <c r="A540" s="256">
        <v>13</v>
      </c>
      <c r="B540" s="171" t="str">
        <f>VLOOKUP(Ruimtestaat[[#This Row],[Code]],Locaties[#All],2,FALSE)</f>
        <v>Neon College – Hengelo</v>
      </c>
      <c r="C540" s="258" t="str">
        <f>VLOOKUP(Ruimtestaat[[#This Row],[Code]],Locaties[#All],4,FALSE)</f>
        <v>Sportlaan Driene 8-10</v>
      </c>
      <c r="D540" s="258" t="str">
        <f>VLOOKUP(Ruimtestaat[[#This Row],[Code]],Locaties[#All],5,FALSE)</f>
        <v>7552 Ha</v>
      </c>
      <c r="E540" s="258" t="str">
        <f>VLOOKUP(Ruimtestaat[[#This Row],[Code]],Locaties[#All],6,FALSE)</f>
        <v>Hengelo</v>
      </c>
      <c r="F540" s="257"/>
      <c r="G540" s="257" t="s">
        <v>564</v>
      </c>
      <c r="H540" s="171"/>
      <c r="I540" s="257">
        <v>1140</v>
      </c>
      <c r="J540" s="259" t="s">
        <v>571</v>
      </c>
      <c r="K540" s="185">
        <v>20</v>
      </c>
      <c r="L540" s="260" t="str">
        <f>VLOOKUP(Ruimtestaat[[#This Row],[Ruimte code]],Ruimtegroepen[#All],2,FALSE)</f>
        <v>Niet in onderhoud</v>
      </c>
      <c r="M540" s="212" t="s">
        <v>597</v>
      </c>
      <c r="N540" s="257" t="s">
        <v>38</v>
      </c>
      <c r="O540" s="261"/>
      <c r="P540" s="261">
        <v>12.5</v>
      </c>
      <c r="Q540" s="212" t="str">
        <f>VLOOKUP(Ruimtestaat[[#This Row],[Ruimte code]],Ruimtegroepen[#All],4,FALSE)</f>
        <v>niet in onderhoud</v>
      </c>
      <c r="R540" s="184"/>
      <c r="S540" s="185"/>
      <c r="T540" s="185"/>
      <c r="U540" s="185">
        <f>IF(S540&gt;0,IF(RIGHT(Ruimtestaat[[#This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0" s="185">
        <f>IF(U540&gt;0,VLOOKUP($K540,Ruimtegroepen[],3,FALSE)*VLOOKUP($M540,Vloersoorten[],3,FALSE)*VLOOKUP($T540,Frequenties[],3,FALSE)*VLOOKUP($A540,Locaties[],3,FALSE),0)</f>
        <v>0</v>
      </c>
      <c r="W540" s="185">
        <f>Ruimtestaat[[#This Row],[Uitvoeringen werkdagen]]*Ruimtestaat[[#This Row],[Oppervlak (netto)]]</f>
        <v>0</v>
      </c>
      <c r="X540" s="220">
        <f>IF(V540&gt;0,Ruimtestaat[[#This Row],[Prest. (m2 /jaar) werkdagen]]/Ruimtestaat[[#This Row],[Norm (m2/uur) werkdagen]],0)</f>
        <v>0</v>
      </c>
      <c r="Y540" s="221">
        <f>Ruimtestaat[[#This Row],[uren / jaar werkdagen]]*Tariefsopbouw!$D$38</f>
        <v>0</v>
      </c>
      <c r="Z540" s="33"/>
      <c r="AA540" s="33">
        <f>IF(Ruimtestaat[[#This Row],[Frequentie weekend]]&gt;0,VALUE(LEFT(Z540,1))*S540,0)</f>
        <v>0</v>
      </c>
      <c r="AB540" s="33">
        <f>IF($AA540&gt;0,VLOOKUP($K540,Ruimtegroepen[],3,FALSE)*VLOOKUP($M540,Vloersoorten[],3,FALSE)*VLOOKUP($Z540,Frequenties[],3,FALSE)*VLOOKUP(#REF!,Locaties[],3,FALSE),0)</f>
        <v>0</v>
      </c>
      <c r="AC540" s="33"/>
      <c r="AD540" s="33"/>
      <c r="AE540" s="33">
        <f>Ruimtestaat[[#This Row],[uren / jaar weekend]]*Tariefsopbouw!$D$40</f>
        <v>0</v>
      </c>
      <c r="AF540" s="79">
        <f>Ruimtestaat[[#This Row],[Prest. (m2 /jaar) weekend]]+Ruimtestaat[[#This Row],[Prest. (m2 /jaar) werkdagen]]</f>
        <v>0</v>
      </c>
      <c r="AG540" s="79">
        <f>Ruimtestaat[[#This Row],[uren / jaar weekend]]+Ruimtestaat[[#This Row],[uren / jaar werkdagen]]</f>
        <v>0</v>
      </c>
      <c r="AH540" s="80">
        <f>Ruimtestaat[[#This Row],[kosten / jaar weekend]]+Ruimtestaat[[#This Row],[kosten / jaar werkdagen]]</f>
        <v>0</v>
      </c>
    </row>
    <row r="541" spans="1:34" ht="15" customHeight="1">
      <c r="A541" s="256">
        <v>13</v>
      </c>
      <c r="B541" s="171" t="str">
        <f>VLOOKUP(Ruimtestaat[[#This Row],[Code]],Locaties[#All],2,FALSE)</f>
        <v>Neon College – Hengelo</v>
      </c>
      <c r="C541" s="258" t="str">
        <f>VLOOKUP(Ruimtestaat[[#This Row],[Code]],Locaties[#All],4,FALSE)</f>
        <v>Sportlaan Driene 8-10</v>
      </c>
      <c r="D541" s="258" t="str">
        <f>VLOOKUP(Ruimtestaat[[#This Row],[Code]],Locaties[#All],5,FALSE)</f>
        <v>7552 Ha</v>
      </c>
      <c r="E541" s="258" t="str">
        <f>VLOOKUP(Ruimtestaat[[#This Row],[Code]],Locaties[#All],6,FALSE)</f>
        <v>Hengelo</v>
      </c>
      <c r="F541" s="257"/>
      <c r="G541" s="257" t="s">
        <v>564</v>
      </c>
      <c r="H541" s="171"/>
      <c r="I541" s="257" t="s">
        <v>933</v>
      </c>
      <c r="J541" s="259" t="s">
        <v>695</v>
      </c>
      <c r="K541" s="185">
        <v>20</v>
      </c>
      <c r="L541" s="260" t="str">
        <f>VLOOKUP(Ruimtestaat[[#This Row],[Ruimte code]],Ruimtegroepen[#All],2,FALSE)</f>
        <v>Niet in onderhoud</v>
      </c>
      <c r="M541" s="258" t="s">
        <v>597</v>
      </c>
      <c r="N541" s="257" t="s">
        <v>38</v>
      </c>
      <c r="O541" s="261"/>
      <c r="P541" s="261">
        <v>25</v>
      </c>
      <c r="Q541" s="212" t="str">
        <f>VLOOKUP(Ruimtestaat[[#This Row],[Ruimte code]],Ruimtegroepen[#All],4,FALSE)</f>
        <v>niet in onderhoud</v>
      </c>
      <c r="R541" s="184"/>
      <c r="S541" s="185"/>
      <c r="T541" s="185"/>
      <c r="U541" s="185">
        <f>IF(S541&gt;0,IF(RIGHT(Ruimtestaat[[#This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1" s="185">
        <f>IF(U541&gt;0,VLOOKUP($K541,Ruimtegroepen[],3,FALSE)*VLOOKUP($M541,Vloersoorten[],3,FALSE)*VLOOKUP($T541,Frequenties[],3,FALSE)*VLOOKUP($A541,Locaties[],3,FALSE),0)</f>
        <v>0</v>
      </c>
      <c r="W541" s="185">
        <f>Ruimtestaat[[#This Row],[Uitvoeringen werkdagen]]*Ruimtestaat[[#This Row],[Oppervlak (netto)]]</f>
        <v>0</v>
      </c>
      <c r="X541" s="220">
        <f>IF(V541&gt;0,Ruimtestaat[[#This Row],[Prest. (m2 /jaar) werkdagen]]/Ruimtestaat[[#This Row],[Norm (m2/uur) werkdagen]],0)</f>
        <v>0</v>
      </c>
      <c r="Y541" s="221">
        <f>Ruimtestaat[[#This Row],[uren / jaar werkdagen]]*Tariefsopbouw!$D$38</f>
        <v>0</v>
      </c>
      <c r="Z541" s="33"/>
      <c r="AA541" s="33">
        <f>IF(Ruimtestaat[[#This Row],[Frequentie weekend]]&gt;0,VALUE(LEFT(Z541,1))*S541,0)</f>
        <v>0</v>
      </c>
      <c r="AB541" s="33">
        <f>IF($AA541&gt;0,VLOOKUP($K541,Ruimtegroepen[],3,FALSE)*VLOOKUP($M541,Vloersoorten[],3,FALSE)*VLOOKUP($Z541,Frequenties[],3,FALSE)*VLOOKUP(#REF!,Locaties[],3,FALSE),0)</f>
        <v>0</v>
      </c>
      <c r="AC541" s="33"/>
      <c r="AD541" s="33"/>
      <c r="AE541" s="33">
        <f>Ruimtestaat[[#This Row],[uren / jaar weekend]]*Tariefsopbouw!$D$40</f>
        <v>0</v>
      </c>
      <c r="AF541" s="79">
        <f>Ruimtestaat[[#This Row],[Prest. (m2 /jaar) weekend]]+Ruimtestaat[[#This Row],[Prest. (m2 /jaar) werkdagen]]</f>
        <v>0</v>
      </c>
      <c r="AG541" s="79">
        <f>Ruimtestaat[[#This Row],[uren / jaar weekend]]+Ruimtestaat[[#This Row],[uren / jaar werkdagen]]</f>
        <v>0</v>
      </c>
      <c r="AH541" s="80">
        <f>Ruimtestaat[[#This Row],[kosten / jaar weekend]]+Ruimtestaat[[#This Row],[kosten / jaar werkdagen]]</f>
        <v>0</v>
      </c>
    </row>
    <row r="542" spans="1:34" ht="15" customHeight="1">
      <c r="A542" s="256">
        <v>13</v>
      </c>
      <c r="B542" s="171" t="str">
        <f>VLOOKUP(Ruimtestaat[[#This Row],[Code]],Locaties[#All],2,FALSE)</f>
        <v>Neon College – Hengelo</v>
      </c>
      <c r="C542" s="258" t="str">
        <f>VLOOKUP(Ruimtestaat[[#This Row],[Code]],Locaties[#All],4,FALSE)</f>
        <v>Sportlaan Driene 8-10</v>
      </c>
      <c r="D542" s="258" t="str">
        <f>VLOOKUP(Ruimtestaat[[#This Row],[Code]],Locaties[#All],5,FALSE)</f>
        <v>7552 Ha</v>
      </c>
      <c r="E542" s="258" t="str">
        <f>VLOOKUP(Ruimtestaat[[#This Row],[Code]],Locaties[#All],6,FALSE)</f>
        <v>Hengelo</v>
      </c>
      <c r="F542" s="257"/>
      <c r="G542" s="257" t="s">
        <v>564</v>
      </c>
      <c r="H542" s="171"/>
      <c r="I542" s="257" t="s">
        <v>933</v>
      </c>
      <c r="J542" s="259" t="s">
        <v>695</v>
      </c>
      <c r="K542" s="185">
        <v>20</v>
      </c>
      <c r="L542" s="260" t="str">
        <f>VLOOKUP(Ruimtestaat[[#This Row],[Ruimte code]],Ruimtegroepen[#All],2,FALSE)</f>
        <v>Niet in onderhoud</v>
      </c>
      <c r="M542" s="212" t="s">
        <v>111</v>
      </c>
      <c r="N542" s="257" t="s">
        <v>935</v>
      </c>
      <c r="O542" s="261"/>
      <c r="P542" s="261">
        <v>25</v>
      </c>
      <c r="Q542" s="212" t="str">
        <f>VLOOKUP(Ruimtestaat[[#This Row],[Ruimte code]],Ruimtegroepen[#All],4,FALSE)</f>
        <v>niet in onderhoud</v>
      </c>
      <c r="R542" s="184"/>
      <c r="S542" s="185"/>
      <c r="T542" s="185"/>
      <c r="U542" s="185">
        <f>IF(S542&gt;0,IF(RIGHT(Ruimtestaat[[#This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2" s="185">
        <f>IF(U542&gt;0,VLOOKUP($K542,Ruimtegroepen[],3,FALSE)*VLOOKUP($M542,Vloersoorten[],3,FALSE)*VLOOKUP($T542,Frequenties[],3,FALSE)*VLOOKUP($A542,Locaties[],3,FALSE),0)</f>
        <v>0</v>
      </c>
      <c r="W542" s="185">
        <f>Ruimtestaat[[#This Row],[Uitvoeringen werkdagen]]*Ruimtestaat[[#This Row],[Oppervlak (netto)]]</f>
        <v>0</v>
      </c>
      <c r="X542" s="220">
        <f>IF(V542&gt;0,Ruimtestaat[[#This Row],[Prest. (m2 /jaar) werkdagen]]/Ruimtestaat[[#This Row],[Norm (m2/uur) werkdagen]],0)</f>
        <v>0</v>
      </c>
      <c r="Y542" s="221">
        <f>Ruimtestaat[[#This Row],[uren / jaar werkdagen]]*Tariefsopbouw!$D$38</f>
        <v>0</v>
      </c>
      <c r="Z542" s="33"/>
      <c r="AA542" s="33">
        <f>IF(Ruimtestaat[[#This Row],[Frequentie weekend]]&gt;0,VALUE(LEFT(Z542,1))*S542,0)</f>
        <v>0</v>
      </c>
      <c r="AB542" s="33">
        <f>IF($AA542&gt;0,VLOOKUP($K542,Ruimtegroepen[],3,FALSE)*VLOOKUP($M542,Vloersoorten[],3,FALSE)*VLOOKUP($Z542,Frequenties[],3,FALSE)*VLOOKUP(#REF!,Locaties[],3,FALSE),0)</f>
        <v>0</v>
      </c>
      <c r="AC542" s="33"/>
      <c r="AD542" s="33"/>
      <c r="AE542" s="33">
        <f>Ruimtestaat[[#This Row],[uren / jaar weekend]]*Tariefsopbouw!$D$40</f>
        <v>0</v>
      </c>
      <c r="AF542" s="79">
        <f>Ruimtestaat[[#This Row],[Prest. (m2 /jaar) weekend]]+Ruimtestaat[[#This Row],[Prest. (m2 /jaar) werkdagen]]</f>
        <v>0</v>
      </c>
      <c r="AG542" s="79">
        <f>Ruimtestaat[[#This Row],[uren / jaar weekend]]+Ruimtestaat[[#This Row],[uren / jaar werkdagen]]</f>
        <v>0</v>
      </c>
      <c r="AH542" s="80">
        <f>Ruimtestaat[[#This Row],[kosten / jaar weekend]]+Ruimtestaat[[#This Row],[kosten / jaar werkdagen]]</f>
        <v>0</v>
      </c>
    </row>
    <row r="543" spans="1:34" ht="15" customHeight="1">
      <c r="A543" s="256">
        <v>13</v>
      </c>
      <c r="B543" s="171" t="str">
        <f>VLOOKUP(Ruimtestaat[[#This Row],[Code]],Locaties[#All],2,FALSE)</f>
        <v>Neon College – Hengelo</v>
      </c>
      <c r="C543" s="258" t="str">
        <f>VLOOKUP(Ruimtestaat[[#This Row],[Code]],Locaties[#All],4,FALSE)</f>
        <v>Sportlaan Driene 8-10</v>
      </c>
      <c r="D543" s="258" t="str">
        <f>VLOOKUP(Ruimtestaat[[#This Row],[Code]],Locaties[#All],5,FALSE)</f>
        <v>7552 Ha</v>
      </c>
      <c r="E543" s="258" t="str">
        <f>VLOOKUP(Ruimtestaat[[#This Row],[Code]],Locaties[#All],6,FALSE)</f>
        <v>Hengelo</v>
      </c>
      <c r="F543" s="257"/>
      <c r="G543" s="257" t="s">
        <v>564</v>
      </c>
      <c r="H543" s="171"/>
      <c r="I543" s="257">
        <v>1144</v>
      </c>
      <c r="J543" s="259" t="s">
        <v>576</v>
      </c>
      <c r="K543" s="185">
        <v>20</v>
      </c>
      <c r="L543" s="260" t="str">
        <f>VLOOKUP(Ruimtestaat[[#This Row],[Ruimte code]],Ruimtegroepen[#All],2,FALSE)</f>
        <v>Niet in onderhoud</v>
      </c>
      <c r="M543" s="185" t="s">
        <v>597</v>
      </c>
      <c r="N543" s="257" t="s">
        <v>38</v>
      </c>
      <c r="O543" s="261"/>
      <c r="P543" s="261">
        <v>53</v>
      </c>
      <c r="Q543" s="212" t="str">
        <f>VLOOKUP(Ruimtestaat[[#This Row],[Ruimte code]],Ruimtegroepen[#All],4,FALSE)</f>
        <v>niet in onderhoud</v>
      </c>
      <c r="R543" s="184"/>
      <c r="S543" s="185"/>
      <c r="T543" s="185"/>
      <c r="U543" s="185">
        <f>IF(S543&gt;0,IF(RIGHT(Ruimtestaat[[#This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3" s="185">
        <f>IF(U543&gt;0,VLOOKUP($K543,Ruimtegroepen[],3,FALSE)*VLOOKUP($M543,Vloersoorten[],3,FALSE)*VLOOKUP($T543,Frequenties[],3,FALSE)*VLOOKUP($A543,Locaties[],3,FALSE),0)</f>
        <v>0</v>
      </c>
      <c r="W543" s="185">
        <f>Ruimtestaat[[#This Row],[Uitvoeringen werkdagen]]*Ruimtestaat[[#This Row],[Oppervlak (netto)]]</f>
        <v>0</v>
      </c>
      <c r="X543" s="220">
        <f>IF(V543&gt;0,Ruimtestaat[[#This Row],[Prest. (m2 /jaar) werkdagen]]/Ruimtestaat[[#This Row],[Norm (m2/uur) werkdagen]],0)</f>
        <v>0</v>
      </c>
      <c r="Y543" s="221">
        <f>Ruimtestaat[[#This Row],[uren / jaar werkdagen]]*Tariefsopbouw!$D$38</f>
        <v>0</v>
      </c>
      <c r="Z543" s="33"/>
      <c r="AA543" s="33">
        <f>IF(Ruimtestaat[[#This Row],[Frequentie weekend]]&gt;0,VALUE(LEFT(Z543,1))*S543,0)</f>
        <v>0</v>
      </c>
      <c r="AB543" s="33">
        <f>IF($AA543&gt;0,VLOOKUP($K543,Ruimtegroepen[],3,FALSE)*VLOOKUP($M543,Vloersoorten[],3,FALSE)*VLOOKUP($Z543,Frequenties[],3,FALSE)*VLOOKUP(#REF!,Locaties[],3,FALSE),0)</f>
        <v>0</v>
      </c>
      <c r="AC543" s="33"/>
      <c r="AD543" s="33"/>
      <c r="AE543" s="33">
        <f>Ruimtestaat[[#This Row],[uren / jaar weekend]]*Tariefsopbouw!$D$40</f>
        <v>0</v>
      </c>
      <c r="AF543" s="79">
        <f>Ruimtestaat[[#This Row],[Prest. (m2 /jaar) weekend]]+Ruimtestaat[[#This Row],[Prest. (m2 /jaar) werkdagen]]</f>
        <v>0</v>
      </c>
      <c r="AG543" s="79">
        <f>Ruimtestaat[[#This Row],[uren / jaar weekend]]+Ruimtestaat[[#This Row],[uren / jaar werkdagen]]</f>
        <v>0</v>
      </c>
      <c r="AH543" s="80">
        <f>Ruimtestaat[[#This Row],[kosten / jaar weekend]]+Ruimtestaat[[#This Row],[kosten / jaar werkdagen]]</f>
        <v>0</v>
      </c>
    </row>
    <row r="544" spans="1:34" ht="15" customHeight="1">
      <c r="A544" s="256">
        <v>13</v>
      </c>
      <c r="B544" s="171" t="str">
        <f>VLOOKUP(Ruimtestaat[[#This Row],[Code]],Locaties[#All],2,FALSE)</f>
        <v>Neon College – Hengelo</v>
      </c>
      <c r="C544" s="258" t="str">
        <f>VLOOKUP(Ruimtestaat[[#This Row],[Code]],Locaties[#All],4,FALSE)</f>
        <v>Sportlaan Driene 8-10</v>
      </c>
      <c r="D544" s="258" t="str">
        <f>VLOOKUP(Ruimtestaat[[#This Row],[Code]],Locaties[#All],5,FALSE)</f>
        <v>7552 Ha</v>
      </c>
      <c r="E544" s="258" t="str">
        <f>VLOOKUP(Ruimtestaat[[#This Row],[Code]],Locaties[#All],6,FALSE)</f>
        <v>Hengelo</v>
      </c>
      <c r="F544" s="257"/>
      <c r="G544" s="257" t="s">
        <v>564</v>
      </c>
      <c r="H544" s="171"/>
      <c r="I544" s="257">
        <v>1148</v>
      </c>
      <c r="J544" s="259" t="s">
        <v>576</v>
      </c>
      <c r="K544" s="185">
        <v>20</v>
      </c>
      <c r="L544" s="260" t="str">
        <f>VLOOKUP(Ruimtestaat[[#This Row],[Ruimte code]],Ruimtegroepen[#All],2,FALSE)</f>
        <v>Niet in onderhoud</v>
      </c>
      <c r="M544" s="212" t="s">
        <v>597</v>
      </c>
      <c r="N544" s="257" t="s">
        <v>38</v>
      </c>
      <c r="O544" s="261"/>
      <c r="P544" s="261">
        <v>53</v>
      </c>
      <c r="Q544" s="212" t="str">
        <f>VLOOKUP(Ruimtestaat[[#This Row],[Ruimte code]],Ruimtegroepen[#All],4,FALSE)</f>
        <v>niet in onderhoud</v>
      </c>
      <c r="R544" s="184"/>
      <c r="S544" s="185"/>
      <c r="T544" s="185"/>
      <c r="U544" s="185">
        <f>IF(S544&gt;0,IF(RIGHT(Ruimtestaat[[#This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4" s="185">
        <f>IF(U544&gt;0,VLOOKUP($K544,Ruimtegroepen[],3,FALSE)*VLOOKUP($M544,Vloersoorten[],3,FALSE)*VLOOKUP($T544,Frequenties[],3,FALSE)*VLOOKUP($A544,Locaties[],3,FALSE),0)</f>
        <v>0</v>
      </c>
      <c r="W544" s="185">
        <f>Ruimtestaat[[#This Row],[Uitvoeringen werkdagen]]*Ruimtestaat[[#This Row],[Oppervlak (netto)]]</f>
        <v>0</v>
      </c>
      <c r="X544" s="220">
        <f>IF(V544&gt;0,Ruimtestaat[[#This Row],[Prest. (m2 /jaar) werkdagen]]/Ruimtestaat[[#This Row],[Norm (m2/uur) werkdagen]],0)</f>
        <v>0</v>
      </c>
      <c r="Y544" s="221">
        <f>Ruimtestaat[[#This Row],[uren / jaar werkdagen]]*Tariefsopbouw!$D$38</f>
        <v>0</v>
      </c>
      <c r="Z544" s="33"/>
      <c r="AA544" s="33">
        <f>IF(Ruimtestaat[[#This Row],[Frequentie weekend]]&gt;0,VALUE(LEFT(Z544,1))*S544,0)</f>
        <v>0</v>
      </c>
      <c r="AB544" s="33">
        <f>IF($AA544&gt;0,VLOOKUP($K544,Ruimtegroepen[],3,FALSE)*VLOOKUP($M544,Vloersoorten[],3,FALSE)*VLOOKUP($Z544,Frequenties[],3,FALSE)*VLOOKUP(#REF!,Locaties[],3,FALSE),0)</f>
        <v>0</v>
      </c>
      <c r="AC544" s="33"/>
      <c r="AD544" s="33"/>
      <c r="AE544" s="33">
        <f>Ruimtestaat[[#This Row],[uren / jaar weekend]]*Tariefsopbouw!$D$40</f>
        <v>0</v>
      </c>
      <c r="AF544" s="79">
        <f>Ruimtestaat[[#This Row],[Prest. (m2 /jaar) weekend]]+Ruimtestaat[[#This Row],[Prest. (m2 /jaar) werkdagen]]</f>
        <v>0</v>
      </c>
      <c r="AG544" s="79">
        <f>Ruimtestaat[[#This Row],[uren / jaar weekend]]+Ruimtestaat[[#This Row],[uren / jaar werkdagen]]</f>
        <v>0</v>
      </c>
      <c r="AH544" s="80">
        <f>Ruimtestaat[[#This Row],[kosten / jaar weekend]]+Ruimtestaat[[#This Row],[kosten / jaar werkdagen]]</f>
        <v>0</v>
      </c>
    </row>
    <row r="545" spans="1:34" ht="15" customHeight="1">
      <c r="A545" s="256">
        <v>13</v>
      </c>
      <c r="B545" s="171" t="str">
        <f>VLOOKUP(Ruimtestaat[[#This Row],[Code]],Locaties[#All],2,FALSE)</f>
        <v>Neon College – Hengelo</v>
      </c>
      <c r="C545" s="258" t="str">
        <f>VLOOKUP(Ruimtestaat[[#This Row],[Code]],Locaties[#All],4,FALSE)</f>
        <v>Sportlaan Driene 8-10</v>
      </c>
      <c r="D545" s="258" t="str">
        <f>VLOOKUP(Ruimtestaat[[#This Row],[Code]],Locaties[#All],5,FALSE)</f>
        <v>7552 Ha</v>
      </c>
      <c r="E545" s="258" t="str">
        <f>VLOOKUP(Ruimtestaat[[#This Row],[Code]],Locaties[#All],6,FALSE)</f>
        <v>Hengelo</v>
      </c>
      <c r="F545" s="257"/>
      <c r="G545" s="257" t="s">
        <v>564</v>
      </c>
      <c r="H545" s="171"/>
      <c r="I545" s="257">
        <v>1150</v>
      </c>
      <c r="J545" s="259" t="s">
        <v>934</v>
      </c>
      <c r="K545" s="185">
        <v>20</v>
      </c>
      <c r="L545" s="260" t="str">
        <f>VLOOKUP(Ruimtestaat[[#This Row],[Ruimte code]],Ruimtegroepen[#All],2,FALSE)</f>
        <v>Niet in onderhoud</v>
      </c>
      <c r="M545" s="258" t="s">
        <v>597</v>
      </c>
      <c r="N545" s="257" t="s">
        <v>38</v>
      </c>
      <c r="O545" s="261"/>
      <c r="P545" s="261">
        <v>160</v>
      </c>
      <c r="Q545" s="212" t="str">
        <f>VLOOKUP(Ruimtestaat[[#This Row],[Ruimte code]],Ruimtegroepen[#All],4,FALSE)</f>
        <v>niet in onderhoud</v>
      </c>
      <c r="R545" s="184"/>
      <c r="S545" s="185"/>
      <c r="T545" s="185"/>
      <c r="U545" s="185">
        <f>IF(S545&gt;0,IF(RIGHT(Ruimtestaat[[#This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5" s="185">
        <f>IF(U545&gt;0,VLOOKUP($K545,Ruimtegroepen[],3,FALSE)*VLOOKUP($M545,Vloersoorten[],3,FALSE)*VLOOKUP($T545,Frequenties[],3,FALSE)*VLOOKUP($A545,Locaties[],3,FALSE),0)</f>
        <v>0</v>
      </c>
      <c r="W545" s="185">
        <f>Ruimtestaat[[#This Row],[Uitvoeringen werkdagen]]*Ruimtestaat[[#This Row],[Oppervlak (netto)]]</f>
        <v>0</v>
      </c>
      <c r="X545" s="220">
        <f>IF(V545&gt;0,Ruimtestaat[[#This Row],[Prest. (m2 /jaar) werkdagen]]/Ruimtestaat[[#This Row],[Norm (m2/uur) werkdagen]],0)</f>
        <v>0</v>
      </c>
      <c r="Y545" s="221">
        <f>Ruimtestaat[[#This Row],[uren / jaar werkdagen]]*Tariefsopbouw!$D$38</f>
        <v>0</v>
      </c>
      <c r="Z545" s="33"/>
      <c r="AA545" s="33">
        <f>IF(Ruimtestaat[[#This Row],[Frequentie weekend]]&gt;0,VALUE(LEFT(Z545,1))*S545,0)</f>
        <v>0</v>
      </c>
      <c r="AB545" s="33">
        <f>IF($AA545&gt;0,VLOOKUP($K545,Ruimtegroepen[],3,FALSE)*VLOOKUP($M545,Vloersoorten[],3,FALSE)*VLOOKUP($Z545,Frequenties[],3,FALSE)*VLOOKUP(#REF!,Locaties[],3,FALSE),0)</f>
        <v>0</v>
      </c>
      <c r="AC545" s="33"/>
      <c r="AD545" s="33"/>
      <c r="AE545" s="33">
        <f>Ruimtestaat[[#This Row],[uren / jaar weekend]]*Tariefsopbouw!$D$40</f>
        <v>0</v>
      </c>
      <c r="AF545" s="79">
        <f>Ruimtestaat[[#This Row],[Prest. (m2 /jaar) weekend]]+Ruimtestaat[[#This Row],[Prest. (m2 /jaar) werkdagen]]</f>
        <v>0</v>
      </c>
      <c r="AG545" s="79">
        <f>Ruimtestaat[[#This Row],[uren / jaar weekend]]+Ruimtestaat[[#This Row],[uren / jaar werkdagen]]</f>
        <v>0</v>
      </c>
      <c r="AH545" s="80">
        <f>Ruimtestaat[[#This Row],[kosten / jaar weekend]]+Ruimtestaat[[#This Row],[kosten / jaar werkdagen]]</f>
        <v>0</v>
      </c>
    </row>
    <row r="546" spans="1:34" ht="15" customHeight="1">
      <c r="A546" s="256">
        <v>9</v>
      </c>
      <c r="B546" s="171" t="str">
        <f>VLOOKUP(Ruimtestaat[[#This Row],[Code]],Locaties[#All],2,FALSE)</f>
        <v>De Stapsteen (De Zevensprong)</v>
      </c>
      <c r="C546" s="258" t="str">
        <f>VLOOKUP(Ruimtestaat[[#This Row],[Code]],Locaties[#All],4,FALSE)</f>
        <v>Coornhertstraat 3</v>
      </c>
      <c r="D546" s="258" t="str">
        <f>VLOOKUP(Ruimtestaat[[#This Row],[Code]],Locaties[#All],5,FALSE)</f>
        <v>7552 MT</v>
      </c>
      <c r="E546" s="258" t="str">
        <f>VLOOKUP(Ruimtestaat[[#This Row],[Code]],Locaties[#All],6,FALSE)</f>
        <v>Hengelo</v>
      </c>
      <c r="F546" s="257"/>
      <c r="G546" s="257" t="s">
        <v>563</v>
      </c>
      <c r="H546" s="171"/>
      <c r="I546" s="257">
        <v>1</v>
      </c>
      <c r="J546" s="259" t="s">
        <v>40</v>
      </c>
      <c r="K546" s="258">
        <v>7</v>
      </c>
      <c r="L546" s="260" t="str">
        <f>VLOOKUP(Ruimtestaat[[#This Row],[Ruimte code]],Ruimtegroepen[#All],2,FALSE)</f>
        <v>Entree</v>
      </c>
      <c r="M546" s="185" t="s">
        <v>597</v>
      </c>
      <c r="N546" s="257" t="s">
        <v>604</v>
      </c>
      <c r="O546" s="261">
        <v>8</v>
      </c>
      <c r="P546" s="183"/>
      <c r="Q546" s="212" t="str">
        <f>VLOOKUP(Ruimtestaat[[#This Row],[Ruimte code]],Ruimtegroepen[#All],4,FALSE)</f>
        <v>V  (Verkeersruimte)</v>
      </c>
      <c r="R546" s="184"/>
      <c r="S546" s="185">
        <v>40</v>
      </c>
      <c r="T546" s="185" t="s">
        <v>2</v>
      </c>
      <c r="U546" s="185">
        <f>IF(S546&gt;0,IF(RIGHT(Ruimtestaat[[#This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46" s="185">
        <f>IF(U546&gt;0,VLOOKUP($K546,Ruimtegroepen[],3,FALSE)*VLOOKUP($M546,Vloersoorten[],3,FALSE)*VLOOKUP($T546,Frequenties[],3,FALSE)*VLOOKUP($A546,Locaties[],3,FALSE),0)</f>
        <v>0</v>
      </c>
      <c r="W546" s="185">
        <f>Ruimtestaat[[#This Row],[Uitvoeringen werkdagen]]*Ruimtestaat[[#This Row],[Oppervlak (netto)]]</f>
        <v>1600</v>
      </c>
      <c r="X546" s="220">
        <f>IF(V546&gt;0,Ruimtestaat[[#This Row],[Prest. (m2 /jaar) werkdagen]]/Ruimtestaat[[#This Row],[Norm (m2/uur) werkdagen]],0)</f>
        <v>0</v>
      </c>
      <c r="Y546" s="221">
        <f>Ruimtestaat[[#This Row],[uren / jaar werkdagen]]*Tariefsopbouw!$D$38</f>
        <v>0</v>
      </c>
      <c r="Z546" s="33"/>
      <c r="AA546" s="33">
        <f>IF(Ruimtestaat[[#This Row],[Frequentie weekend]]&gt;0,VALUE(LEFT(Z546,1))*S546,0)</f>
        <v>0</v>
      </c>
      <c r="AB546" s="33">
        <f>IF($AA546&gt;0,VLOOKUP($K546,Ruimtegroepen[],3,FALSE)*VLOOKUP($M546,Vloersoorten[],3,FALSE)*VLOOKUP($Z546,Frequenties[],3,FALSE)*VLOOKUP(#REF!,Locaties[],3,FALSE),0)</f>
        <v>0</v>
      </c>
      <c r="AC546" s="33"/>
      <c r="AD546" s="33"/>
      <c r="AE546" s="33">
        <f>Ruimtestaat[[#This Row],[uren / jaar weekend]]*Tariefsopbouw!$D$40</f>
        <v>0</v>
      </c>
      <c r="AF546" s="79">
        <f>Ruimtestaat[[#This Row],[Prest. (m2 /jaar) weekend]]+Ruimtestaat[[#This Row],[Prest. (m2 /jaar) werkdagen]]</f>
        <v>1600</v>
      </c>
      <c r="AG546" s="79">
        <f>Ruimtestaat[[#This Row],[uren / jaar weekend]]+Ruimtestaat[[#This Row],[uren / jaar werkdagen]]</f>
        <v>0</v>
      </c>
      <c r="AH546" s="80">
        <f>Ruimtestaat[[#This Row],[kosten / jaar weekend]]+Ruimtestaat[[#This Row],[kosten / jaar werkdagen]]</f>
        <v>0</v>
      </c>
    </row>
    <row r="547" spans="1:34" ht="15" customHeight="1">
      <c r="A547" s="256">
        <v>9</v>
      </c>
      <c r="B547" s="171" t="str">
        <f>VLOOKUP(Ruimtestaat[[#This Row],[Code]],Locaties[#All],2,FALSE)</f>
        <v>De Stapsteen (De Zevensprong)</v>
      </c>
      <c r="C547" s="258" t="str">
        <f>VLOOKUP(Ruimtestaat[[#This Row],[Code]],Locaties[#All],4,FALSE)</f>
        <v>Coornhertstraat 3</v>
      </c>
      <c r="D547" s="258" t="str">
        <f>VLOOKUP(Ruimtestaat[[#This Row],[Code]],Locaties[#All],5,FALSE)</f>
        <v>7552 MT</v>
      </c>
      <c r="E547" s="258" t="str">
        <f>VLOOKUP(Ruimtestaat[[#This Row],[Code]],Locaties[#All],6,FALSE)</f>
        <v>Hengelo</v>
      </c>
      <c r="F547" s="257"/>
      <c r="G547" s="257" t="s">
        <v>563</v>
      </c>
      <c r="H547" s="171"/>
      <c r="I547" s="257">
        <v>2</v>
      </c>
      <c r="J547" s="259" t="s">
        <v>587</v>
      </c>
      <c r="K547" s="171">
        <v>6</v>
      </c>
      <c r="L547" s="260" t="str">
        <f>VLOOKUP(Ruimtestaat[[#This Row],[Ruimte code]],Ruimtegroepen[#All],2,FALSE)</f>
        <v>Gangen/hallen</v>
      </c>
      <c r="M547" s="258" t="s">
        <v>598</v>
      </c>
      <c r="N547" s="257" t="s">
        <v>132</v>
      </c>
      <c r="O547" s="261">
        <v>73.5</v>
      </c>
      <c r="P547" s="183"/>
      <c r="Q547" s="212" t="str">
        <f>VLOOKUP(Ruimtestaat[[#This Row],[Ruimte code]],Ruimtegroepen[#All],4,FALSE)</f>
        <v>V  (Verkeersruimte)</v>
      </c>
      <c r="R547" s="184"/>
      <c r="S547" s="185">
        <v>40</v>
      </c>
      <c r="T547" s="185" t="s">
        <v>2</v>
      </c>
      <c r="U547" s="185">
        <f>IF(S547&gt;0,IF(RIGHT(Ruimtestaat[[#This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47" s="185">
        <f>IF(U547&gt;0,VLOOKUP($K547,Ruimtegroepen[],3,FALSE)*VLOOKUP($M547,Vloersoorten[],3,FALSE)*VLOOKUP($T547,Frequenties[],3,FALSE)*VLOOKUP($A547,Locaties[],3,FALSE),0)</f>
        <v>0</v>
      </c>
      <c r="W547" s="185">
        <f>Ruimtestaat[[#This Row],[Uitvoeringen werkdagen]]*Ruimtestaat[[#This Row],[Oppervlak (netto)]]</f>
        <v>14700</v>
      </c>
      <c r="X547" s="220">
        <f>IF(V547&gt;0,Ruimtestaat[[#This Row],[Prest. (m2 /jaar) werkdagen]]/Ruimtestaat[[#This Row],[Norm (m2/uur) werkdagen]],0)</f>
        <v>0</v>
      </c>
      <c r="Y547" s="221">
        <f>Ruimtestaat[[#This Row],[uren / jaar werkdagen]]*Tariefsopbouw!$D$38</f>
        <v>0</v>
      </c>
      <c r="Z547" s="33"/>
      <c r="AA547" s="33">
        <f>IF(Ruimtestaat[[#This Row],[Frequentie weekend]]&gt;0,VALUE(LEFT(Z547,1))*S547,0)</f>
        <v>0</v>
      </c>
      <c r="AB547" s="33">
        <f>IF($AA547&gt;0,VLOOKUP($K547,Ruimtegroepen[],3,FALSE)*VLOOKUP($M547,Vloersoorten[],3,FALSE)*VLOOKUP($Z547,Frequenties[],3,FALSE)*VLOOKUP(#REF!,Locaties[],3,FALSE),0)</f>
        <v>0</v>
      </c>
      <c r="AC547" s="33"/>
      <c r="AD547" s="33"/>
      <c r="AE547" s="33">
        <f>Ruimtestaat[[#This Row],[uren / jaar weekend]]*Tariefsopbouw!$D$40</f>
        <v>0</v>
      </c>
      <c r="AF547" s="79">
        <f>Ruimtestaat[[#This Row],[Prest. (m2 /jaar) weekend]]+Ruimtestaat[[#This Row],[Prest. (m2 /jaar) werkdagen]]</f>
        <v>14700</v>
      </c>
      <c r="AG547" s="79">
        <f>Ruimtestaat[[#This Row],[uren / jaar weekend]]+Ruimtestaat[[#This Row],[uren / jaar werkdagen]]</f>
        <v>0</v>
      </c>
      <c r="AH547" s="80">
        <f>Ruimtestaat[[#This Row],[kosten / jaar weekend]]+Ruimtestaat[[#This Row],[kosten / jaar werkdagen]]</f>
        <v>0</v>
      </c>
    </row>
    <row r="548" spans="1:34" ht="15" customHeight="1">
      <c r="A548" s="256">
        <v>9</v>
      </c>
      <c r="B548" s="171" t="str">
        <f>VLOOKUP(Ruimtestaat[[#This Row],[Code]],Locaties[#All],2,FALSE)</f>
        <v>De Stapsteen (De Zevensprong)</v>
      </c>
      <c r="C548" s="258" t="str">
        <f>VLOOKUP(Ruimtestaat[[#This Row],[Code]],Locaties[#All],4,FALSE)</f>
        <v>Coornhertstraat 3</v>
      </c>
      <c r="D548" s="258" t="str">
        <f>VLOOKUP(Ruimtestaat[[#This Row],[Code]],Locaties[#All],5,FALSE)</f>
        <v>7552 MT</v>
      </c>
      <c r="E548" s="258" t="str">
        <f>VLOOKUP(Ruimtestaat[[#This Row],[Code]],Locaties[#All],6,FALSE)</f>
        <v>Hengelo</v>
      </c>
      <c r="F548" s="257"/>
      <c r="G548" s="257" t="s">
        <v>563</v>
      </c>
      <c r="H548" s="171"/>
      <c r="I548" s="257">
        <v>3</v>
      </c>
      <c r="J548" s="259" t="s">
        <v>569</v>
      </c>
      <c r="K548" s="171">
        <v>5</v>
      </c>
      <c r="L548" s="260" t="str">
        <f>VLOOKUP(Ruimtestaat[[#This Row],[Ruimte code]],Ruimtegroepen[#All],2,FALSE)</f>
        <v>Sanitair</v>
      </c>
      <c r="M548" s="212" t="s">
        <v>111</v>
      </c>
      <c r="N548" s="257" t="s">
        <v>605</v>
      </c>
      <c r="O548" s="261">
        <v>5.0999999999999996</v>
      </c>
      <c r="P548" s="183"/>
      <c r="Q548" s="212" t="str">
        <f>VLOOKUP(Ruimtestaat[[#This Row],[Ruimte code]],Ruimtegroepen[#All],4,FALSE)</f>
        <v>S  (Sanitair)</v>
      </c>
      <c r="R548" s="184"/>
      <c r="S548" s="185">
        <v>40</v>
      </c>
      <c r="T548" s="185" t="s">
        <v>2</v>
      </c>
      <c r="U548" s="185">
        <f>IF(S548&gt;0,IF(RIGHT(Ruimtestaat[[#This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48" s="185">
        <f>IF(U548&gt;0,VLOOKUP($K548,Ruimtegroepen[],3,FALSE)*VLOOKUP($M548,Vloersoorten[],3,FALSE)*VLOOKUP($T548,Frequenties[],3,FALSE)*VLOOKUP($A548,Locaties[],3,FALSE),0)</f>
        <v>0</v>
      </c>
      <c r="W548" s="185">
        <f>Ruimtestaat[[#This Row],[Uitvoeringen werkdagen]]*Ruimtestaat[[#This Row],[Oppervlak (netto)]]</f>
        <v>1019.9999999999999</v>
      </c>
      <c r="X548" s="220">
        <f>IF(V548&gt;0,Ruimtestaat[[#This Row],[Prest. (m2 /jaar) werkdagen]]/Ruimtestaat[[#This Row],[Norm (m2/uur) werkdagen]],0)</f>
        <v>0</v>
      </c>
      <c r="Y548" s="221">
        <f>Ruimtestaat[[#This Row],[uren / jaar werkdagen]]*Tariefsopbouw!$D$38</f>
        <v>0</v>
      </c>
      <c r="Z548" s="33"/>
      <c r="AA548" s="33">
        <f>IF(Ruimtestaat[[#This Row],[Frequentie weekend]]&gt;0,VALUE(LEFT(Z548,1))*S548,0)</f>
        <v>0</v>
      </c>
      <c r="AB548" s="33">
        <f>IF($AA548&gt;0,VLOOKUP($K548,Ruimtegroepen[],3,FALSE)*VLOOKUP($M548,Vloersoorten[],3,FALSE)*VLOOKUP($Z548,Frequenties[],3,FALSE)*VLOOKUP(#REF!,Locaties[],3,FALSE),0)</f>
        <v>0</v>
      </c>
      <c r="AC548" s="33"/>
      <c r="AD548" s="33"/>
      <c r="AE548" s="33">
        <f>Ruimtestaat[[#This Row],[uren / jaar weekend]]*Tariefsopbouw!$D$40</f>
        <v>0</v>
      </c>
      <c r="AF548" s="79">
        <f>Ruimtestaat[[#This Row],[Prest. (m2 /jaar) weekend]]+Ruimtestaat[[#This Row],[Prest. (m2 /jaar) werkdagen]]</f>
        <v>1019.9999999999999</v>
      </c>
      <c r="AG548" s="79">
        <f>Ruimtestaat[[#This Row],[uren / jaar weekend]]+Ruimtestaat[[#This Row],[uren / jaar werkdagen]]</f>
        <v>0</v>
      </c>
      <c r="AH548" s="80">
        <f>Ruimtestaat[[#This Row],[kosten / jaar weekend]]+Ruimtestaat[[#This Row],[kosten / jaar werkdagen]]</f>
        <v>0</v>
      </c>
    </row>
    <row r="549" spans="1:34" ht="15" customHeight="1">
      <c r="A549" s="256">
        <v>9</v>
      </c>
      <c r="B549" s="171" t="str">
        <f>VLOOKUP(Ruimtestaat[[#This Row],[Code]],Locaties[#All],2,FALSE)</f>
        <v>De Stapsteen (De Zevensprong)</v>
      </c>
      <c r="C549" s="258" t="str">
        <f>VLOOKUP(Ruimtestaat[[#This Row],[Code]],Locaties[#All],4,FALSE)</f>
        <v>Coornhertstraat 3</v>
      </c>
      <c r="D549" s="258" t="str">
        <f>VLOOKUP(Ruimtestaat[[#This Row],[Code]],Locaties[#All],5,FALSE)</f>
        <v>7552 MT</v>
      </c>
      <c r="E549" s="258" t="str">
        <f>VLOOKUP(Ruimtestaat[[#This Row],[Code]],Locaties[#All],6,FALSE)</f>
        <v>Hengelo</v>
      </c>
      <c r="F549" s="257"/>
      <c r="G549" s="257" t="s">
        <v>563</v>
      </c>
      <c r="H549" s="171"/>
      <c r="I549" s="257">
        <v>4</v>
      </c>
      <c r="J549" s="259" t="s">
        <v>654</v>
      </c>
      <c r="K549" s="258">
        <v>20</v>
      </c>
      <c r="L549" s="260" t="str">
        <f>VLOOKUP(Ruimtestaat[[#This Row],[Ruimte code]],Ruimtegroepen[#All],2,FALSE)</f>
        <v>Niet in onderhoud</v>
      </c>
      <c r="M549" s="258" t="s">
        <v>598</v>
      </c>
      <c r="N549" s="257" t="s">
        <v>132</v>
      </c>
      <c r="O549" s="261"/>
      <c r="P549" s="183">
        <v>1.8</v>
      </c>
      <c r="Q549" s="212" t="str">
        <f>VLOOKUP(Ruimtestaat[[#This Row],[Ruimte code]],Ruimtegroepen[#All],4,FALSE)</f>
        <v>niet in onderhoud</v>
      </c>
      <c r="R549" s="184"/>
      <c r="S549" s="185"/>
      <c r="T549" s="185" t="s">
        <v>3</v>
      </c>
      <c r="U549" s="185">
        <f>IF(S549&gt;0,IF(RIGHT(Ruimtestaat[[#This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9" s="185">
        <f>IF(U549&gt;0,VLOOKUP($K549,Ruimtegroepen[],3,FALSE)*VLOOKUP($M549,Vloersoorten[],3,FALSE)*VLOOKUP($T549,Frequenties[],3,FALSE)*VLOOKUP($A549,Locaties[],3,FALSE),0)</f>
        <v>0</v>
      </c>
      <c r="W549" s="185">
        <f>Ruimtestaat[[#This Row],[Uitvoeringen werkdagen]]*Ruimtestaat[[#This Row],[Oppervlak (netto)]]</f>
        <v>0</v>
      </c>
      <c r="X549" s="220">
        <f>IF(V549&gt;0,Ruimtestaat[[#This Row],[Prest. (m2 /jaar) werkdagen]]/Ruimtestaat[[#This Row],[Norm (m2/uur) werkdagen]],0)</f>
        <v>0</v>
      </c>
      <c r="Y549" s="221">
        <f>Ruimtestaat[[#This Row],[uren / jaar werkdagen]]*Tariefsopbouw!$D$38</f>
        <v>0</v>
      </c>
      <c r="Z549" s="33"/>
      <c r="AA549" s="33">
        <f>IF(Ruimtestaat[[#This Row],[Frequentie weekend]]&gt;0,VALUE(LEFT(Z549,1))*S549,0)</f>
        <v>0</v>
      </c>
      <c r="AB549" s="33">
        <f>IF($AA549&gt;0,VLOOKUP($K549,Ruimtegroepen[],3,FALSE)*VLOOKUP($M549,Vloersoorten[],3,FALSE)*VLOOKUP($Z549,Frequenties[],3,FALSE)*VLOOKUP(#REF!,Locaties[],3,FALSE),0)</f>
        <v>0</v>
      </c>
      <c r="AC549" s="33"/>
      <c r="AD549" s="33"/>
      <c r="AE549" s="33">
        <f>Ruimtestaat[[#This Row],[uren / jaar weekend]]*Tariefsopbouw!$D$40</f>
        <v>0</v>
      </c>
      <c r="AF549" s="79">
        <f>Ruimtestaat[[#This Row],[Prest. (m2 /jaar) weekend]]+Ruimtestaat[[#This Row],[Prest. (m2 /jaar) werkdagen]]</f>
        <v>0</v>
      </c>
      <c r="AG549" s="79">
        <f>Ruimtestaat[[#This Row],[uren / jaar weekend]]+Ruimtestaat[[#This Row],[uren / jaar werkdagen]]</f>
        <v>0</v>
      </c>
      <c r="AH549" s="80">
        <f>Ruimtestaat[[#This Row],[kosten / jaar weekend]]+Ruimtestaat[[#This Row],[kosten / jaar werkdagen]]</f>
        <v>0</v>
      </c>
    </row>
    <row r="550" spans="1:34" ht="15" customHeight="1">
      <c r="A550" s="256">
        <v>9</v>
      </c>
      <c r="B550" s="171" t="str">
        <f>VLOOKUP(Ruimtestaat[[#This Row],[Code]],Locaties[#All],2,FALSE)</f>
        <v>De Stapsteen (De Zevensprong)</v>
      </c>
      <c r="C550" s="258" t="str">
        <f>VLOOKUP(Ruimtestaat[[#This Row],[Code]],Locaties[#All],4,FALSE)</f>
        <v>Coornhertstraat 3</v>
      </c>
      <c r="D550" s="258" t="str">
        <f>VLOOKUP(Ruimtestaat[[#This Row],[Code]],Locaties[#All],5,FALSE)</f>
        <v>7552 MT</v>
      </c>
      <c r="E550" s="258" t="str">
        <f>VLOOKUP(Ruimtestaat[[#This Row],[Code]],Locaties[#All],6,FALSE)</f>
        <v>Hengelo</v>
      </c>
      <c r="F550" s="257"/>
      <c r="G550" s="257" t="s">
        <v>563</v>
      </c>
      <c r="H550" s="171"/>
      <c r="I550" s="257">
        <v>5</v>
      </c>
      <c r="J550" s="259" t="s">
        <v>569</v>
      </c>
      <c r="K550" s="171">
        <v>5</v>
      </c>
      <c r="L550" s="260" t="str">
        <f>VLOOKUP(Ruimtestaat[[#This Row],[Ruimte code]],Ruimtegroepen[#All],2,FALSE)</f>
        <v>Sanitair</v>
      </c>
      <c r="M550" s="212" t="s">
        <v>111</v>
      </c>
      <c r="N550" s="257" t="s">
        <v>605</v>
      </c>
      <c r="O550" s="261">
        <v>3.2</v>
      </c>
      <c r="P550" s="183"/>
      <c r="Q550" s="212" t="str">
        <f>VLOOKUP(Ruimtestaat[[#This Row],[Ruimte code]],Ruimtegroepen[#All],4,FALSE)</f>
        <v>S  (Sanitair)</v>
      </c>
      <c r="R550" s="184"/>
      <c r="S550" s="185">
        <v>40</v>
      </c>
      <c r="T550" s="185" t="s">
        <v>2</v>
      </c>
      <c r="U550" s="185">
        <f>IF(S550&gt;0,IF(RIGHT(Ruimtestaat[[#This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0" s="185">
        <f>IF(U550&gt;0,VLOOKUP($K550,Ruimtegroepen[],3,FALSE)*VLOOKUP($M550,Vloersoorten[],3,FALSE)*VLOOKUP($T550,Frequenties[],3,FALSE)*VLOOKUP($A550,Locaties[],3,FALSE),0)</f>
        <v>0</v>
      </c>
      <c r="W550" s="185">
        <f>Ruimtestaat[[#This Row],[Uitvoeringen werkdagen]]*Ruimtestaat[[#This Row],[Oppervlak (netto)]]</f>
        <v>640</v>
      </c>
      <c r="X550" s="220">
        <f>IF(V550&gt;0,Ruimtestaat[[#This Row],[Prest. (m2 /jaar) werkdagen]]/Ruimtestaat[[#This Row],[Norm (m2/uur) werkdagen]],0)</f>
        <v>0</v>
      </c>
      <c r="Y550" s="221">
        <f>Ruimtestaat[[#This Row],[uren / jaar werkdagen]]*Tariefsopbouw!$D$38</f>
        <v>0</v>
      </c>
      <c r="Z550" s="33"/>
      <c r="AA550" s="33">
        <f>IF(Ruimtestaat[[#This Row],[Frequentie weekend]]&gt;0,VALUE(LEFT(Z550,1))*S550,0)</f>
        <v>0</v>
      </c>
      <c r="AB550" s="33">
        <f>IF($AA550&gt;0,VLOOKUP($K550,Ruimtegroepen[],3,FALSE)*VLOOKUP($M550,Vloersoorten[],3,FALSE)*VLOOKUP($Z550,Frequenties[],3,FALSE)*VLOOKUP(#REF!,Locaties[],3,FALSE),0)</f>
        <v>0</v>
      </c>
      <c r="AC550" s="33"/>
      <c r="AD550" s="33"/>
      <c r="AE550" s="33">
        <f>Ruimtestaat[[#This Row],[uren / jaar weekend]]*Tariefsopbouw!$D$40</f>
        <v>0</v>
      </c>
      <c r="AF550" s="79">
        <f>Ruimtestaat[[#This Row],[Prest. (m2 /jaar) weekend]]+Ruimtestaat[[#This Row],[Prest. (m2 /jaar) werkdagen]]</f>
        <v>640</v>
      </c>
      <c r="AG550" s="79">
        <f>Ruimtestaat[[#This Row],[uren / jaar weekend]]+Ruimtestaat[[#This Row],[uren / jaar werkdagen]]</f>
        <v>0</v>
      </c>
      <c r="AH550" s="80">
        <f>Ruimtestaat[[#This Row],[kosten / jaar weekend]]+Ruimtestaat[[#This Row],[kosten / jaar werkdagen]]</f>
        <v>0</v>
      </c>
    </row>
    <row r="551" spans="1:34" ht="15" customHeight="1">
      <c r="A551" s="256">
        <v>9</v>
      </c>
      <c r="B551" s="171" t="str">
        <f>VLOOKUP(Ruimtestaat[[#This Row],[Code]],Locaties[#All],2,FALSE)</f>
        <v>De Stapsteen (De Zevensprong)</v>
      </c>
      <c r="C551" s="258" t="str">
        <f>VLOOKUP(Ruimtestaat[[#This Row],[Code]],Locaties[#All],4,FALSE)</f>
        <v>Coornhertstraat 3</v>
      </c>
      <c r="D551" s="258" t="str">
        <f>VLOOKUP(Ruimtestaat[[#This Row],[Code]],Locaties[#All],5,FALSE)</f>
        <v>7552 MT</v>
      </c>
      <c r="E551" s="258" t="str">
        <f>VLOOKUP(Ruimtestaat[[#This Row],[Code]],Locaties[#All],6,FALSE)</f>
        <v>Hengelo</v>
      </c>
      <c r="F551" s="257"/>
      <c r="G551" s="257" t="s">
        <v>563</v>
      </c>
      <c r="H551" s="171"/>
      <c r="I551" s="257">
        <v>6</v>
      </c>
      <c r="J551" s="259" t="s">
        <v>689</v>
      </c>
      <c r="K551" s="224">
        <v>4</v>
      </c>
      <c r="L551" s="260" t="str">
        <f>VLOOKUP(Ruimtestaat[[#This Row],[Ruimte code]],Ruimtegroepen[#All],2,FALSE)</f>
        <v>Vergader/spreekkamers</v>
      </c>
      <c r="M551" s="258" t="s">
        <v>597</v>
      </c>
      <c r="N551" s="257" t="s">
        <v>38</v>
      </c>
      <c r="O551" s="261">
        <v>32.200000000000003</v>
      </c>
      <c r="P551" s="183"/>
      <c r="Q551" s="212" t="str">
        <f>VLOOKUP(Ruimtestaat[[#This Row],[Ruimte code]],Ruimtegroepen[#All],4,FALSE)</f>
        <v>B  (Bureauruimte)</v>
      </c>
      <c r="R551" s="184"/>
      <c r="S551" s="185">
        <v>40</v>
      </c>
      <c r="T551" s="185" t="s">
        <v>17</v>
      </c>
      <c r="U551" s="185">
        <f>IF(S551&gt;0,IF(RIGHT(Ruimtestaat[[#This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51" s="185">
        <f>IF(U551&gt;0,VLOOKUP($K551,Ruimtegroepen[],3,FALSE)*VLOOKUP($M551,Vloersoorten[],3,FALSE)*VLOOKUP($T551,Frequenties[],3,FALSE)*VLOOKUP($A551,Locaties[],3,FALSE),0)</f>
        <v>0</v>
      </c>
      <c r="W551" s="185">
        <f>Ruimtestaat[[#This Row],[Uitvoeringen werkdagen]]*Ruimtestaat[[#This Row],[Oppervlak (netto)]]</f>
        <v>2576</v>
      </c>
      <c r="X551" s="220">
        <f>IF(V551&gt;0,Ruimtestaat[[#This Row],[Prest. (m2 /jaar) werkdagen]]/Ruimtestaat[[#This Row],[Norm (m2/uur) werkdagen]],0)</f>
        <v>0</v>
      </c>
      <c r="Y551" s="221">
        <f>Ruimtestaat[[#This Row],[uren / jaar werkdagen]]*Tariefsopbouw!$D$38</f>
        <v>0</v>
      </c>
      <c r="Z551" s="33"/>
      <c r="AA551" s="33">
        <f>IF(Ruimtestaat[[#This Row],[Frequentie weekend]]&gt;0,VALUE(LEFT(Z551,1))*S551,0)</f>
        <v>0</v>
      </c>
      <c r="AB551" s="33">
        <f>IF($AA551&gt;0,VLOOKUP($K551,Ruimtegroepen[],3,FALSE)*VLOOKUP($M551,Vloersoorten[],3,FALSE)*VLOOKUP($Z551,Frequenties[],3,FALSE)*VLOOKUP(#REF!,Locaties[],3,FALSE),0)</f>
        <v>0</v>
      </c>
      <c r="AC551" s="33"/>
      <c r="AD551" s="33"/>
      <c r="AE551" s="33">
        <f>Ruimtestaat[[#This Row],[uren / jaar weekend]]*Tariefsopbouw!$D$40</f>
        <v>0</v>
      </c>
      <c r="AF551" s="79">
        <f>Ruimtestaat[[#This Row],[Prest. (m2 /jaar) weekend]]+Ruimtestaat[[#This Row],[Prest. (m2 /jaar) werkdagen]]</f>
        <v>2576</v>
      </c>
      <c r="AG551" s="79">
        <f>Ruimtestaat[[#This Row],[uren / jaar weekend]]+Ruimtestaat[[#This Row],[uren / jaar werkdagen]]</f>
        <v>0</v>
      </c>
      <c r="AH551" s="80">
        <f>Ruimtestaat[[#This Row],[kosten / jaar weekend]]+Ruimtestaat[[#This Row],[kosten / jaar werkdagen]]</f>
        <v>0</v>
      </c>
    </row>
    <row r="552" spans="1:34" ht="15" customHeight="1">
      <c r="A552" s="256">
        <v>9</v>
      </c>
      <c r="B552" s="171" t="str">
        <f>VLOOKUP(Ruimtestaat[[#This Row],[Code]],Locaties[#All],2,FALSE)</f>
        <v>De Stapsteen (De Zevensprong)</v>
      </c>
      <c r="C552" s="258" t="str">
        <f>VLOOKUP(Ruimtestaat[[#This Row],[Code]],Locaties[#All],4,FALSE)</f>
        <v>Coornhertstraat 3</v>
      </c>
      <c r="D552" s="258" t="str">
        <f>VLOOKUP(Ruimtestaat[[#This Row],[Code]],Locaties[#All],5,FALSE)</f>
        <v>7552 MT</v>
      </c>
      <c r="E552" s="258" t="str">
        <f>VLOOKUP(Ruimtestaat[[#This Row],[Code]],Locaties[#All],6,FALSE)</f>
        <v>Hengelo</v>
      </c>
      <c r="F552" s="257"/>
      <c r="G552" s="257" t="s">
        <v>563</v>
      </c>
      <c r="H552" s="171"/>
      <c r="I552" s="257">
        <v>7</v>
      </c>
      <c r="J552" s="259" t="s">
        <v>689</v>
      </c>
      <c r="K552" s="258">
        <v>4</v>
      </c>
      <c r="L552" s="260" t="str">
        <f>VLOOKUP(Ruimtestaat[[#This Row],[Ruimte code]],Ruimtegroepen[#All],2,FALSE)</f>
        <v>Vergader/spreekkamers</v>
      </c>
      <c r="M552" s="258" t="s">
        <v>597</v>
      </c>
      <c r="N552" s="257" t="s">
        <v>38</v>
      </c>
      <c r="O552" s="261">
        <v>15.3</v>
      </c>
      <c r="P552" s="183"/>
      <c r="Q552" s="212" t="str">
        <f>VLOOKUP(Ruimtestaat[[#This Row],[Ruimte code]],Ruimtegroepen[#All],4,FALSE)</f>
        <v>B  (Bureauruimte)</v>
      </c>
      <c r="R552" s="184"/>
      <c r="S552" s="185">
        <v>40</v>
      </c>
      <c r="T552" s="185" t="s">
        <v>17</v>
      </c>
      <c r="U552" s="185">
        <f>IF(S552&gt;0,IF(RIGHT(Ruimtestaat[[#This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52" s="185">
        <f>IF(U552&gt;0,VLOOKUP($K552,Ruimtegroepen[],3,FALSE)*VLOOKUP($M552,Vloersoorten[],3,FALSE)*VLOOKUP($T552,Frequenties[],3,FALSE)*VLOOKUP($A552,Locaties[],3,FALSE),0)</f>
        <v>0</v>
      </c>
      <c r="W552" s="185">
        <f>Ruimtestaat[[#This Row],[Uitvoeringen werkdagen]]*Ruimtestaat[[#This Row],[Oppervlak (netto)]]</f>
        <v>1224</v>
      </c>
      <c r="X552" s="220">
        <f>IF(V552&gt;0,Ruimtestaat[[#This Row],[Prest. (m2 /jaar) werkdagen]]/Ruimtestaat[[#This Row],[Norm (m2/uur) werkdagen]],0)</f>
        <v>0</v>
      </c>
      <c r="Y552" s="221">
        <f>Ruimtestaat[[#This Row],[uren / jaar werkdagen]]*Tariefsopbouw!$D$38</f>
        <v>0</v>
      </c>
      <c r="Z552" s="33"/>
      <c r="AA552" s="33">
        <f>IF(Ruimtestaat[[#This Row],[Frequentie weekend]]&gt;0,VALUE(LEFT(Z552,1))*S552,0)</f>
        <v>0</v>
      </c>
      <c r="AB552" s="33">
        <f>IF($AA552&gt;0,VLOOKUP($K552,Ruimtegroepen[],3,FALSE)*VLOOKUP($M552,Vloersoorten[],3,FALSE)*VLOOKUP($Z552,Frequenties[],3,FALSE)*VLOOKUP(#REF!,Locaties[],3,FALSE),0)</f>
        <v>0</v>
      </c>
      <c r="AC552" s="33"/>
      <c r="AD552" s="33"/>
      <c r="AE552" s="33">
        <f>Ruimtestaat[[#This Row],[uren / jaar weekend]]*Tariefsopbouw!$D$40</f>
        <v>0</v>
      </c>
      <c r="AF552" s="79">
        <f>Ruimtestaat[[#This Row],[Prest. (m2 /jaar) weekend]]+Ruimtestaat[[#This Row],[Prest. (m2 /jaar) werkdagen]]</f>
        <v>1224</v>
      </c>
      <c r="AG552" s="79">
        <f>Ruimtestaat[[#This Row],[uren / jaar weekend]]+Ruimtestaat[[#This Row],[uren / jaar werkdagen]]</f>
        <v>0</v>
      </c>
      <c r="AH552" s="80">
        <f>Ruimtestaat[[#This Row],[kosten / jaar weekend]]+Ruimtestaat[[#This Row],[kosten / jaar werkdagen]]</f>
        <v>0</v>
      </c>
    </row>
    <row r="553" spans="1:34" ht="15" customHeight="1">
      <c r="A553" s="256">
        <v>9</v>
      </c>
      <c r="B553" s="171" t="str">
        <f>VLOOKUP(Ruimtestaat[[#This Row],[Code]],Locaties[#All],2,FALSE)</f>
        <v>De Stapsteen (De Zevensprong)</v>
      </c>
      <c r="C553" s="258" t="str">
        <f>VLOOKUP(Ruimtestaat[[#This Row],[Code]],Locaties[#All],4,FALSE)</f>
        <v>Coornhertstraat 3</v>
      </c>
      <c r="D553" s="258" t="str">
        <f>VLOOKUP(Ruimtestaat[[#This Row],[Code]],Locaties[#All],5,FALSE)</f>
        <v>7552 MT</v>
      </c>
      <c r="E553" s="258" t="str">
        <f>VLOOKUP(Ruimtestaat[[#This Row],[Code]],Locaties[#All],6,FALSE)</f>
        <v>Hengelo</v>
      </c>
      <c r="F553" s="257"/>
      <c r="G553" s="257" t="s">
        <v>563</v>
      </c>
      <c r="H553" s="171"/>
      <c r="I553" s="257">
        <v>8</v>
      </c>
      <c r="J553" s="259" t="s">
        <v>689</v>
      </c>
      <c r="K553" s="171">
        <v>4</v>
      </c>
      <c r="L553" s="260" t="str">
        <f>VLOOKUP(Ruimtestaat[[#This Row],[Ruimte code]],Ruimtegroepen[#All],2,FALSE)</f>
        <v>Vergader/spreekkamers</v>
      </c>
      <c r="M553" s="258" t="s">
        <v>597</v>
      </c>
      <c r="N553" s="257" t="s">
        <v>38</v>
      </c>
      <c r="O553" s="261">
        <v>15.9</v>
      </c>
      <c r="P553" s="183"/>
      <c r="Q553" s="212" t="str">
        <f>VLOOKUP(Ruimtestaat[[#This Row],[Ruimte code]],Ruimtegroepen[#All],4,FALSE)</f>
        <v>B  (Bureauruimte)</v>
      </c>
      <c r="R553" s="184"/>
      <c r="S553" s="185">
        <v>40</v>
      </c>
      <c r="T553" s="185" t="s">
        <v>17</v>
      </c>
      <c r="U553" s="185">
        <f>IF(S553&gt;0,IF(RIGHT(Ruimtestaat[[#This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53" s="185">
        <f>IF(U553&gt;0,VLOOKUP($K553,Ruimtegroepen[],3,FALSE)*VLOOKUP($M553,Vloersoorten[],3,FALSE)*VLOOKUP($T553,Frequenties[],3,FALSE)*VLOOKUP($A553,Locaties[],3,FALSE),0)</f>
        <v>0</v>
      </c>
      <c r="W553" s="185">
        <f>Ruimtestaat[[#This Row],[Uitvoeringen werkdagen]]*Ruimtestaat[[#This Row],[Oppervlak (netto)]]</f>
        <v>1272</v>
      </c>
      <c r="X553" s="220">
        <f>IF(V553&gt;0,Ruimtestaat[[#This Row],[Prest. (m2 /jaar) werkdagen]]/Ruimtestaat[[#This Row],[Norm (m2/uur) werkdagen]],0)</f>
        <v>0</v>
      </c>
      <c r="Y553" s="221">
        <f>Ruimtestaat[[#This Row],[uren / jaar werkdagen]]*Tariefsopbouw!$D$38</f>
        <v>0</v>
      </c>
      <c r="Z553" s="33"/>
      <c r="AA553" s="33">
        <f>IF(Ruimtestaat[[#This Row],[Frequentie weekend]]&gt;0,VALUE(LEFT(Z553,1))*S553,0)</f>
        <v>0</v>
      </c>
      <c r="AB553" s="33">
        <f>IF($AA553&gt;0,VLOOKUP($K553,Ruimtegroepen[],3,FALSE)*VLOOKUP($M553,Vloersoorten[],3,FALSE)*VLOOKUP($Z553,Frequenties[],3,FALSE)*VLOOKUP(#REF!,Locaties[],3,FALSE),0)</f>
        <v>0</v>
      </c>
      <c r="AC553" s="33"/>
      <c r="AD553" s="33"/>
      <c r="AE553" s="33">
        <f>Ruimtestaat[[#This Row],[uren / jaar weekend]]*Tariefsopbouw!$D$40</f>
        <v>0</v>
      </c>
      <c r="AF553" s="79">
        <f>Ruimtestaat[[#This Row],[Prest. (m2 /jaar) weekend]]+Ruimtestaat[[#This Row],[Prest. (m2 /jaar) werkdagen]]</f>
        <v>1272</v>
      </c>
      <c r="AG553" s="79">
        <f>Ruimtestaat[[#This Row],[uren / jaar weekend]]+Ruimtestaat[[#This Row],[uren / jaar werkdagen]]</f>
        <v>0</v>
      </c>
      <c r="AH553" s="80">
        <f>Ruimtestaat[[#This Row],[kosten / jaar weekend]]+Ruimtestaat[[#This Row],[kosten / jaar werkdagen]]</f>
        <v>0</v>
      </c>
    </row>
    <row r="554" spans="1:34" ht="15" customHeight="1">
      <c r="A554" s="256">
        <v>9</v>
      </c>
      <c r="B554" s="171" t="str">
        <f>VLOOKUP(Ruimtestaat[[#This Row],[Code]],Locaties[#All],2,FALSE)</f>
        <v>De Stapsteen (De Zevensprong)</v>
      </c>
      <c r="C554" s="258" t="str">
        <f>VLOOKUP(Ruimtestaat[[#This Row],[Code]],Locaties[#All],4,FALSE)</f>
        <v>Coornhertstraat 3</v>
      </c>
      <c r="D554" s="258" t="str">
        <f>VLOOKUP(Ruimtestaat[[#This Row],[Code]],Locaties[#All],5,FALSE)</f>
        <v>7552 MT</v>
      </c>
      <c r="E554" s="258" t="str">
        <f>VLOOKUP(Ruimtestaat[[#This Row],[Code]],Locaties[#All],6,FALSE)</f>
        <v>Hengelo</v>
      </c>
      <c r="F554" s="257"/>
      <c r="G554" s="257" t="s">
        <v>563</v>
      </c>
      <c r="H554" s="171"/>
      <c r="I554" s="257">
        <v>9</v>
      </c>
      <c r="J554" s="259" t="s">
        <v>574</v>
      </c>
      <c r="K554" s="171">
        <v>6</v>
      </c>
      <c r="L554" s="260" t="str">
        <f>VLOOKUP(Ruimtestaat[[#This Row],[Ruimte code]],Ruimtegroepen[#All],2,FALSE)</f>
        <v>Gangen/hallen</v>
      </c>
      <c r="M554" s="258" t="s">
        <v>597</v>
      </c>
      <c r="N554" s="257" t="s">
        <v>604</v>
      </c>
      <c r="O554" s="261">
        <v>68</v>
      </c>
      <c r="P554" s="183"/>
      <c r="Q554" s="212" t="str">
        <f>VLOOKUP(Ruimtestaat[[#This Row],[Ruimte code]],Ruimtegroepen[#All],4,FALSE)</f>
        <v>V  (Verkeersruimte)</v>
      </c>
      <c r="R554" s="184"/>
      <c r="S554" s="185">
        <v>40</v>
      </c>
      <c r="T554" s="185" t="s">
        <v>2</v>
      </c>
      <c r="U554" s="185">
        <f>IF(S554&gt;0,IF(RIGHT(Ruimtestaat[[#This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4" s="185">
        <f>IF(U554&gt;0,VLOOKUP($K554,Ruimtegroepen[],3,FALSE)*VLOOKUP($M554,Vloersoorten[],3,FALSE)*VLOOKUP($T554,Frequenties[],3,FALSE)*VLOOKUP($A554,Locaties[],3,FALSE),0)</f>
        <v>0</v>
      </c>
      <c r="W554" s="185">
        <f>Ruimtestaat[[#This Row],[Uitvoeringen werkdagen]]*Ruimtestaat[[#This Row],[Oppervlak (netto)]]</f>
        <v>13600</v>
      </c>
      <c r="X554" s="220">
        <f>IF(V554&gt;0,Ruimtestaat[[#This Row],[Prest. (m2 /jaar) werkdagen]]/Ruimtestaat[[#This Row],[Norm (m2/uur) werkdagen]],0)</f>
        <v>0</v>
      </c>
      <c r="Y554" s="221">
        <f>Ruimtestaat[[#This Row],[uren / jaar werkdagen]]*Tariefsopbouw!$D$38</f>
        <v>0</v>
      </c>
      <c r="Z554" s="33"/>
      <c r="AA554" s="33">
        <f>IF(Ruimtestaat[[#This Row],[Frequentie weekend]]&gt;0,VALUE(LEFT(Z554,1))*S554,0)</f>
        <v>0</v>
      </c>
      <c r="AB554" s="33">
        <f>IF($AA554&gt;0,VLOOKUP($K554,Ruimtegroepen[],3,FALSE)*VLOOKUP($M554,Vloersoorten[],3,FALSE)*VLOOKUP($Z554,Frequenties[],3,FALSE)*VLOOKUP(#REF!,Locaties[],3,FALSE),0)</f>
        <v>0</v>
      </c>
      <c r="AC554" s="33"/>
      <c r="AD554" s="33"/>
      <c r="AE554" s="33">
        <f>Ruimtestaat[[#This Row],[uren / jaar weekend]]*Tariefsopbouw!$D$40</f>
        <v>0</v>
      </c>
      <c r="AF554" s="79">
        <f>Ruimtestaat[[#This Row],[Prest. (m2 /jaar) weekend]]+Ruimtestaat[[#This Row],[Prest. (m2 /jaar) werkdagen]]</f>
        <v>13600</v>
      </c>
      <c r="AG554" s="79">
        <f>Ruimtestaat[[#This Row],[uren / jaar weekend]]+Ruimtestaat[[#This Row],[uren / jaar werkdagen]]</f>
        <v>0</v>
      </c>
      <c r="AH554" s="80">
        <f>Ruimtestaat[[#This Row],[kosten / jaar weekend]]+Ruimtestaat[[#This Row],[kosten / jaar werkdagen]]</f>
        <v>0</v>
      </c>
    </row>
    <row r="555" spans="1:34" ht="15" customHeight="1">
      <c r="A555" s="256">
        <v>9</v>
      </c>
      <c r="B555" s="171" t="str">
        <f>VLOOKUP(Ruimtestaat[[#This Row],[Code]],Locaties[#All],2,FALSE)</f>
        <v>De Stapsteen (De Zevensprong)</v>
      </c>
      <c r="C555" s="258" t="str">
        <f>VLOOKUP(Ruimtestaat[[#This Row],[Code]],Locaties[#All],4,FALSE)</f>
        <v>Coornhertstraat 3</v>
      </c>
      <c r="D555" s="258" t="str">
        <f>VLOOKUP(Ruimtestaat[[#This Row],[Code]],Locaties[#All],5,FALSE)</f>
        <v>7552 MT</v>
      </c>
      <c r="E555" s="258" t="str">
        <f>VLOOKUP(Ruimtestaat[[#This Row],[Code]],Locaties[#All],6,FALSE)</f>
        <v>Hengelo</v>
      </c>
      <c r="F555" s="257"/>
      <c r="G555" s="257" t="s">
        <v>563</v>
      </c>
      <c r="H555" s="171"/>
      <c r="I555" s="257">
        <v>10</v>
      </c>
      <c r="J555" s="259" t="s">
        <v>574</v>
      </c>
      <c r="K555" s="171">
        <v>6</v>
      </c>
      <c r="L555" s="260" t="str">
        <f>VLOOKUP(Ruimtestaat[[#This Row],[Ruimte code]],Ruimtegroepen[#All],2,FALSE)</f>
        <v>Gangen/hallen</v>
      </c>
      <c r="M555" s="185" t="s">
        <v>598</v>
      </c>
      <c r="N555" s="257" t="s">
        <v>132</v>
      </c>
      <c r="O555" s="261">
        <v>43.7</v>
      </c>
      <c r="P555" s="183"/>
      <c r="Q555" s="212" t="str">
        <f>VLOOKUP(Ruimtestaat[[#This Row],[Ruimte code]],Ruimtegroepen[#All],4,FALSE)</f>
        <v>V  (Verkeersruimte)</v>
      </c>
      <c r="R555" s="184"/>
      <c r="S555" s="185">
        <v>40</v>
      </c>
      <c r="T555" s="185" t="s">
        <v>2</v>
      </c>
      <c r="U555" s="185">
        <f>IF(S555&gt;0,IF(RIGHT(Ruimtestaat[[#This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5" s="185">
        <f>IF(U555&gt;0,VLOOKUP($K555,Ruimtegroepen[],3,FALSE)*VLOOKUP($M555,Vloersoorten[],3,FALSE)*VLOOKUP($T555,Frequenties[],3,FALSE)*VLOOKUP($A555,Locaties[],3,FALSE),0)</f>
        <v>0</v>
      </c>
      <c r="W555" s="185">
        <f>Ruimtestaat[[#This Row],[Uitvoeringen werkdagen]]*Ruimtestaat[[#This Row],[Oppervlak (netto)]]</f>
        <v>8740</v>
      </c>
      <c r="X555" s="220">
        <f>IF(V555&gt;0,Ruimtestaat[[#This Row],[Prest. (m2 /jaar) werkdagen]]/Ruimtestaat[[#This Row],[Norm (m2/uur) werkdagen]],0)</f>
        <v>0</v>
      </c>
      <c r="Y555" s="221">
        <f>Ruimtestaat[[#This Row],[uren / jaar werkdagen]]*Tariefsopbouw!$D$38</f>
        <v>0</v>
      </c>
      <c r="Z555" s="33"/>
      <c r="AA555" s="33">
        <f>IF(Ruimtestaat[[#This Row],[Frequentie weekend]]&gt;0,VALUE(LEFT(Z555,1))*S555,0)</f>
        <v>0</v>
      </c>
      <c r="AB555" s="33">
        <f>IF($AA555&gt;0,VLOOKUP($K555,Ruimtegroepen[],3,FALSE)*VLOOKUP($M555,Vloersoorten[],3,FALSE)*VLOOKUP($Z555,Frequenties[],3,FALSE)*VLOOKUP(#REF!,Locaties[],3,FALSE),0)</f>
        <v>0</v>
      </c>
      <c r="AC555" s="33"/>
      <c r="AD555" s="33"/>
      <c r="AE555" s="33">
        <f>Ruimtestaat[[#This Row],[uren / jaar weekend]]*Tariefsopbouw!$D$40</f>
        <v>0</v>
      </c>
      <c r="AF555" s="79">
        <f>Ruimtestaat[[#This Row],[Prest. (m2 /jaar) weekend]]+Ruimtestaat[[#This Row],[Prest. (m2 /jaar) werkdagen]]</f>
        <v>8740</v>
      </c>
      <c r="AG555" s="79">
        <f>Ruimtestaat[[#This Row],[uren / jaar weekend]]+Ruimtestaat[[#This Row],[uren / jaar werkdagen]]</f>
        <v>0</v>
      </c>
      <c r="AH555" s="80">
        <f>Ruimtestaat[[#This Row],[kosten / jaar weekend]]+Ruimtestaat[[#This Row],[kosten / jaar werkdagen]]</f>
        <v>0</v>
      </c>
    </row>
    <row r="556" spans="1:34" ht="15" customHeight="1">
      <c r="A556" s="256">
        <v>9</v>
      </c>
      <c r="B556" s="171" t="str">
        <f>VLOOKUP(Ruimtestaat[[#This Row],[Code]],Locaties[#All],2,FALSE)</f>
        <v>De Stapsteen (De Zevensprong)</v>
      </c>
      <c r="C556" s="258" t="str">
        <f>VLOOKUP(Ruimtestaat[[#This Row],[Code]],Locaties[#All],4,FALSE)</f>
        <v>Coornhertstraat 3</v>
      </c>
      <c r="D556" s="258" t="str">
        <f>VLOOKUP(Ruimtestaat[[#This Row],[Code]],Locaties[#All],5,FALSE)</f>
        <v>7552 MT</v>
      </c>
      <c r="E556" s="258" t="str">
        <f>VLOOKUP(Ruimtestaat[[#This Row],[Code]],Locaties[#All],6,FALSE)</f>
        <v>Hengelo</v>
      </c>
      <c r="F556" s="257"/>
      <c r="G556" s="257" t="s">
        <v>563</v>
      </c>
      <c r="H556" s="171"/>
      <c r="I556" s="257">
        <v>11</v>
      </c>
      <c r="J556" s="259" t="s">
        <v>573</v>
      </c>
      <c r="K556" s="171">
        <v>20</v>
      </c>
      <c r="L556" s="260" t="str">
        <f>VLOOKUP(Ruimtestaat[[#This Row],[Ruimte code]],Ruimtegroepen[#All],2,FALSE)</f>
        <v>Niet in onderhoud</v>
      </c>
      <c r="M556" s="212" t="s">
        <v>111</v>
      </c>
      <c r="N556" s="257" t="s">
        <v>128</v>
      </c>
      <c r="O556" s="261"/>
      <c r="P556" s="183">
        <v>12.1</v>
      </c>
      <c r="Q556" s="212" t="str">
        <f>VLOOKUP(Ruimtestaat[[#This Row],[Ruimte code]],Ruimtegroepen[#All],4,FALSE)</f>
        <v>niet in onderhoud</v>
      </c>
      <c r="R556" s="184"/>
      <c r="S556" s="185"/>
      <c r="T556" s="185" t="s">
        <v>3</v>
      </c>
      <c r="U556" s="185">
        <f>IF(S556&gt;0,IF(RIGHT(Ruimtestaat[[#This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56" s="185">
        <f>IF(U556&gt;0,VLOOKUP($K556,Ruimtegroepen[],3,FALSE)*VLOOKUP($M556,Vloersoorten[],3,FALSE)*VLOOKUP($T556,Frequenties[],3,FALSE)*VLOOKUP($A556,Locaties[],3,FALSE),0)</f>
        <v>0</v>
      </c>
      <c r="W556" s="185">
        <f>Ruimtestaat[[#This Row],[Uitvoeringen werkdagen]]*Ruimtestaat[[#This Row],[Oppervlak (netto)]]</f>
        <v>0</v>
      </c>
      <c r="X556" s="220">
        <f>IF(V556&gt;0,Ruimtestaat[[#This Row],[Prest. (m2 /jaar) werkdagen]]/Ruimtestaat[[#This Row],[Norm (m2/uur) werkdagen]],0)</f>
        <v>0</v>
      </c>
      <c r="Y556" s="221">
        <f>Ruimtestaat[[#This Row],[uren / jaar werkdagen]]*Tariefsopbouw!$D$38</f>
        <v>0</v>
      </c>
      <c r="Z556" s="33"/>
      <c r="AA556" s="33">
        <f>IF(Ruimtestaat[[#This Row],[Frequentie weekend]]&gt;0,VALUE(LEFT(Z556,1))*S556,0)</f>
        <v>0</v>
      </c>
      <c r="AB556" s="33">
        <f>IF($AA556&gt;0,VLOOKUP($K556,Ruimtegroepen[],3,FALSE)*VLOOKUP($M556,Vloersoorten[],3,FALSE)*VLOOKUP($Z556,Frequenties[],3,FALSE)*VLOOKUP(#REF!,Locaties[],3,FALSE),0)</f>
        <v>0</v>
      </c>
      <c r="AC556" s="33"/>
      <c r="AD556" s="33"/>
      <c r="AE556" s="33">
        <f>Ruimtestaat[[#This Row],[uren / jaar weekend]]*Tariefsopbouw!$D$40</f>
        <v>0</v>
      </c>
      <c r="AF556" s="79">
        <f>Ruimtestaat[[#This Row],[Prest. (m2 /jaar) weekend]]+Ruimtestaat[[#This Row],[Prest. (m2 /jaar) werkdagen]]</f>
        <v>0</v>
      </c>
      <c r="AG556" s="79">
        <f>Ruimtestaat[[#This Row],[uren / jaar weekend]]+Ruimtestaat[[#This Row],[uren / jaar werkdagen]]</f>
        <v>0</v>
      </c>
      <c r="AH556" s="80">
        <f>Ruimtestaat[[#This Row],[kosten / jaar weekend]]+Ruimtestaat[[#This Row],[kosten / jaar werkdagen]]</f>
        <v>0</v>
      </c>
    </row>
    <row r="557" spans="1:34" ht="15" customHeight="1">
      <c r="A557" s="256">
        <v>9</v>
      </c>
      <c r="B557" s="171" t="str">
        <f>VLOOKUP(Ruimtestaat[[#This Row],[Code]],Locaties[#All],2,FALSE)</f>
        <v>De Stapsteen (De Zevensprong)</v>
      </c>
      <c r="C557" s="258" t="str">
        <f>VLOOKUP(Ruimtestaat[[#This Row],[Code]],Locaties[#All],4,FALSE)</f>
        <v>Coornhertstraat 3</v>
      </c>
      <c r="D557" s="258" t="str">
        <f>VLOOKUP(Ruimtestaat[[#This Row],[Code]],Locaties[#All],5,FALSE)</f>
        <v>7552 MT</v>
      </c>
      <c r="E557" s="258" t="str">
        <f>VLOOKUP(Ruimtestaat[[#This Row],[Code]],Locaties[#All],6,FALSE)</f>
        <v>Hengelo</v>
      </c>
      <c r="F557" s="257"/>
      <c r="G557" s="257" t="s">
        <v>563</v>
      </c>
      <c r="H557" s="171"/>
      <c r="I557" s="257">
        <v>12</v>
      </c>
      <c r="J557" s="259" t="s">
        <v>585</v>
      </c>
      <c r="K557" s="258">
        <v>1</v>
      </c>
      <c r="L557" s="260" t="str">
        <f>VLOOKUP(Ruimtestaat[[#This Row],[Ruimte code]],Ruimtegroepen[#All],2,FALSE)</f>
        <v>Magazijnen/bergingen</v>
      </c>
      <c r="M557" s="185" t="s">
        <v>598</v>
      </c>
      <c r="N557" s="257" t="s">
        <v>132</v>
      </c>
      <c r="O557" s="261">
        <v>22</v>
      </c>
      <c r="P557" s="183"/>
      <c r="Q557" s="212" t="str">
        <f>VLOOKUP(Ruimtestaat[[#This Row],[Ruimte code]],Ruimtegroepen[#All],4,FALSE)</f>
        <v>V  (Verkeersruimte)</v>
      </c>
      <c r="R557" s="184"/>
      <c r="S557" s="185">
        <v>40</v>
      </c>
      <c r="T557" s="185" t="s">
        <v>16</v>
      </c>
      <c r="U557" s="185">
        <f>IF(S557&gt;0,IF(RIGHT(Ruimtestaat[[#This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557" s="185">
        <f>IF(U557&gt;0,VLOOKUP($K557,Ruimtegroepen[],3,FALSE)*VLOOKUP($M557,Vloersoorten[],3,FALSE)*VLOOKUP($T557,Frequenties[],3,FALSE)*VLOOKUP($A557,Locaties[],3,FALSE),0)</f>
        <v>0</v>
      </c>
      <c r="W557" s="185">
        <f>Ruimtestaat[[#This Row],[Uitvoeringen werkdagen]]*Ruimtestaat[[#This Row],[Oppervlak (netto)]]</f>
        <v>264</v>
      </c>
      <c r="X557" s="220">
        <f>IF(V557&gt;0,Ruimtestaat[[#This Row],[Prest. (m2 /jaar) werkdagen]]/Ruimtestaat[[#This Row],[Norm (m2/uur) werkdagen]],0)</f>
        <v>0</v>
      </c>
      <c r="Y557" s="221">
        <f>Ruimtestaat[[#This Row],[uren / jaar werkdagen]]*Tariefsopbouw!$D$38</f>
        <v>0</v>
      </c>
      <c r="Z557" s="33"/>
      <c r="AA557" s="33">
        <f>IF(Ruimtestaat[[#This Row],[Frequentie weekend]]&gt;0,VALUE(LEFT(Z557,1))*S557,0)</f>
        <v>0</v>
      </c>
      <c r="AB557" s="33">
        <f>IF($AA557&gt;0,VLOOKUP($K557,Ruimtegroepen[],3,FALSE)*VLOOKUP($M557,Vloersoorten[],3,FALSE)*VLOOKUP($Z557,Frequenties[],3,FALSE)*VLOOKUP(#REF!,Locaties[],3,FALSE),0)</f>
        <v>0</v>
      </c>
      <c r="AC557" s="33"/>
      <c r="AD557" s="33"/>
      <c r="AE557" s="33">
        <f>Ruimtestaat[[#This Row],[uren / jaar weekend]]*Tariefsopbouw!$D$40</f>
        <v>0</v>
      </c>
      <c r="AF557" s="79">
        <f>Ruimtestaat[[#This Row],[Prest. (m2 /jaar) weekend]]+Ruimtestaat[[#This Row],[Prest. (m2 /jaar) werkdagen]]</f>
        <v>264</v>
      </c>
      <c r="AG557" s="79">
        <f>Ruimtestaat[[#This Row],[uren / jaar weekend]]+Ruimtestaat[[#This Row],[uren / jaar werkdagen]]</f>
        <v>0</v>
      </c>
      <c r="AH557" s="80">
        <f>Ruimtestaat[[#This Row],[kosten / jaar weekend]]+Ruimtestaat[[#This Row],[kosten / jaar werkdagen]]</f>
        <v>0</v>
      </c>
    </row>
    <row r="558" spans="1:34" ht="15" customHeight="1">
      <c r="A558" s="256">
        <v>9</v>
      </c>
      <c r="B558" s="171" t="str">
        <f>VLOOKUP(Ruimtestaat[[#This Row],[Code]],Locaties[#All],2,FALSE)</f>
        <v>De Stapsteen (De Zevensprong)</v>
      </c>
      <c r="C558" s="258" t="str">
        <f>VLOOKUP(Ruimtestaat[[#This Row],[Code]],Locaties[#All],4,FALSE)</f>
        <v>Coornhertstraat 3</v>
      </c>
      <c r="D558" s="258" t="str">
        <f>VLOOKUP(Ruimtestaat[[#This Row],[Code]],Locaties[#All],5,FALSE)</f>
        <v>7552 MT</v>
      </c>
      <c r="E558" s="258" t="str">
        <f>VLOOKUP(Ruimtestaat[[#This Row],[Code]],Locaties[#All],6,FALSE)</f>
        <v>Hengelo</v>
      </c>
      <c r="F558" s="257"/>
      <c r="G558" s="257" t="s">
        <v>563</v>
      </c>
      <c r="H558" s="171"/>
      <c r="I558" s="257">
        <v>13</v>
      </c>
      <c r="J558" s="259" t="s">
        <v>22</v>
      </c>
      <c r="K558" s="171">
        <v>5</v>
      </c>
      <c r="L558" s="260" t="str">
        <f>VLOOKUP(Ruimtestaat[[#This Row],[Ruimte code]],Ruimtegroepen[#All],2,FALSE)</f>
        <v>Sanitair</v>
      </c>
      <c r="M558" s="212" t="s">
        <v>111</v>
      </c>
      <c r="N558" s="257" t="s">
        <v>605</v>
      </c>
      <c r="O558" s="261">
        <v>7.9</v>
      </c>
      <c r="P558" s="183"/>
      <c r="Q558" s="212" t="str">
        <f>VLOOKUP(Ruimtestaat[[#This Row],[Ruimte code]],Ruimtegroepen[#All],4,FALSE)</f>
        <v>S  (Sanitair)</v>
      </c>
      <c r="R558" s="184"/>
      <c r="S558" s="185">
        <v>40</v>
      </c>
      <c r="T558" s="185" t="s">
        <v>2</v>
      </c>
      <c r="U558" s="185">
        <f>IF(S558&gt;0,IF(RIGHT(Ruimtestaat[[#This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8" s="185">
        <f>IF(U558&gt;0,VLOOKUP($K558,Ruimtegroepen[],3,FALSE)*VLOOKUP($M558,Vloersoorten[],3,FALSE)*VLOOKUP($T558,Frequenties[],3,FALSE)*VLOOKUP($A558,Locaties[],3,FALSE),0)</f>
        <v>0</v>
      </c>
      <c r="W558" s="185">
        <f>Ruimtestaat[[#This Row],[Uitvoeringen werkdagen]]*Ruimtestaat[[#This Row],[Oppervlak (netto)]]</f>
        <v>1580</v>
      </c>
      <c r="X558" s="220">
        <f>IF(V558&gt;0,Ruimtestaat[[#This Row],[Prest. (m2 /jaar) werkdagen]]/Ruimtestaat[[#This Row],[Norm (m2/uur) werkdagen]],0)</f>
        <v>0</v>
      </c>
      <c r="Y558" s="221">
        <f>Ruimtestaat[[#This Row],[uren / jaar werkdagen]]*Tariefsopbouw!$D$38</f>
        <v>0</v>
      </c>
      <c r="Z558" s="33"/>
      <c r="AA558" s="33">
        <f>IF(Ruimtestaat[[#This Row],[Frequentie weekend]]&gt;0,VALUE(LEFT(Z558,1))*S558,0)</f>
        <v>0</v>
      </c>
      <c r="AB558" s="33">
        <f>IF($AA558&gt;0,VLOOKUP($K558,Ruimtegroepen[],3,FALSE)*VLOOKUP($M558,Vloersoorten[],3,FALSE)*VLOOKUP($Z558,Frequenties[],3,FALSE)*VLOOKUP(#REF!,Locaties[],3,FALSE),0)</f>
        <v>0</v>
      </c>
      <c r="AC558" s="33"/>
      <c r="AD558" s="33"/>
      <c r="AE558" s="33">
        <f>Ruimtestaat[[#This Row],[uren / jaar weekend]]*Tariefsopbouw!$D$40</f>
        <v>0</v>
      </c>
      <c r="AF558" s="79">
        <f>Ruimtestaat[[#This Row],[Prest. (m2 /jaar) weekend]]+Ruimtestaat[[#This Row],[Prest. (m2 /jaar) werkdagen]]</f>
        <v>1580</v>
      </c>
      <c r="AG558" s="79">
        <f>Ruimtestaat[[#This Row],[uren / jaar weekend]]+Ruimtestaat[[#This Row],[uren / jaar werkdagen]]</f>
        <v>0</v>
      </c>
      <c r="AH558" s="80">
        <f>Ruimtestaat[[#This Row],[kosten / jaar weekend]]+Ruimtestaat[[#This Row],[kosten / jaar werkdagen]]</f>
        <v>0</v>
      </c>
    </row>
    <row r="559" spans="1:34" ht="15" customHeight="1">
      <c r="A559" s="256">
        <v>9</v>
      </c>
      <c r="B559" s="171" t="str">
        <f>VLOOKUP(Ruimtestaat[[#This Row],[Code]],Locaties[#All],2,FALSE)</f>
        <v>De Stapsteen (De Zevensprong)</v>
      </c>
      <c r="C559" s="258" t="str">
        <f>VLOOKUP(Ruimtestaat[[#This Row],[Code]],Locaties[#All],4,FALSE)</f>
        <v>Coornhertstraat 3</v>
      </c>
      <c r="D559" s="258" t="str">
        <f>VLOOKUP(Ruimtestaat[[#This Row],[Code]],Locaties[#All],5,FALSE)</f>
        <v>7552 MT</v>
      </c>
      <c r="E559" s="258" t="str">
        <f>VLOOKUP(Ruimtestaat[[#This Row],[Code]],Locaties[#All],6,FALSE)</f>
        <v>Hengelo</v>
      </c>
      <c r="F559" s="257"/>
      <c r="G559" s="257" t="s">
        <v>563</v>
      </c>
      <c r="H559" s="171"/>
      <c r="I559" s="257">
        <v>14</v>
      </c>
      <c r="J559" s="259" t="s">
        <v>579</v>
      </c>
      <c r="K559" s="171">
        <v>17</v>
      </c>
      <c r="L559" s="260" t="str">
        <f>VLOOKUP(Ruimtestaat[[#This Row],[Ruimte code]],Ruimtegroepen[#All],2,FALSE)</f>
        <v>Toestelberging</v>
      </c>
      <c r="M559" s="185" t="s">
        <v>112</v>
      </c>
      <c r="N559" s="257" t="s">
        <v>596</v>
      </c>
      <c r="O559" s="261">
        <v>17.100000000000001</v>
      </c>
      <c r="P559" s="183"/>
      <c r="Q559" s="212" t="str">
        <f>VLOOKUP(Ruimtestaat[[#This Row],[Ruimte code]],Ruimtegroepen[#All],4,FALSE)</f>
        <v>V  (Verkeersruimte)</v>
      </c>
      <c r="R559" s="184"/>
      <c r="S559" s="185">
        <v>40</v>
      </c>
      <c r="T559" s="185" t="s">
        <v>16</v>
      </c>
      <c r="U559" s="185">
        <f>IF(S559&gt;0,IF(RIGHT(Ruimtestaat[[#This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559" s="185">
        <f>IF(U559&gt;0,VLOOKUP($K559,Ruimtegroepen[],3,FALSE)*VLOOKUP($M559,Vloersoorten[],3,FALSE)*VLOOKUP($T559,Frequenties[],3,FALSE)*VLOOKUP($A559,Locaties[],3,FALSE),0)</f>
        <v>0</v>
      </c>
      <c r="W559" s="185">
        <f>Ruimtestaat[[#This Row],[Uitvoeringen werkdagen]]*Ruimtestaat[[#This Row],[Oppervlak (netto)]]</f>
        <v>205.20000000000002</v>
      </c>
      <c r="X559" s="220">
        <f>IF(V559&gt;0,Ruimtestaat[[#This Row],[Prest. (m2 /jaar) werkdagen]]/Ruimtestaat[[#This Row],[Norm (m2/uur) werkdagen]],0)</f>
        <v>0</v>
      </c>
      <c r="Y559" s="221">
        <f>Ruimtestaat[[#This Row],[uren / jaar werkdagen]]*Tariefsopbouw!$D$38</f>
        <v>0</v>
      </c>
      <c r="Z559" s="33"/>
      <c r="AA559" s="33">
        <f>IF(Ruimtestaat[[#This Row],[Frequentie weekend]]&gt;0,VALUE(LEFT(Z559,1))*S559,0)</f>
        <v>0</v>
      </c>
      <c r="AB559" s="33">
        <f>IF($AA559&gt;0,VLOOKUP($K559,Ruimtegroepen[],3,FALSE)*VLOOKUP($M559,Vloersoorten[],3,FALSE)*VLOOKUP($Z559,Frequenties[],3,FALSE)*VLOOKUP(#REF!,Locaties[],3,FALSE),0)</f>
        <v>0</v>
      </c>
      <c r="AC559" s="33"/>
      <c r="AD559" s="33"/>
      <c r="AE559" s="33">
        <f>Ruimtestaat[[#This Row],[uren / jaar weekend]]*Tariefsopbouw!$D$40</f>
        <v>0</v>
      </c>
      <c r="AF559" s="79">
        <f>Ruimtestaat[[#This Row],[Prest. (m2 /jaar) weekend]]+Ruimtestaat[[#This Row],[Prest. (m2 /jaar) werkdagen]]</f>
        <v>205.20000000000002</v>
      </c>
      <c r="AG559" s="79">
        <f>Ruimtestaat[[#This Row],[uren / jaar weekend]]+Ruimtestaat[[#This Row],[uren / jaar werkdagen]]</f>
        <v>0</v>
      </c>
      <c r="AH559" s="80">
        <f>Ruimtestaat[[#This Row],[kosten / jaar weekend]]+Ruimtestaat[[#This Row],[kosten / jaar werkdagen]]</f>
        <v>0</v>
      </c>
    </row>
    <row r="560" spans="1:34" ht="15" customHeight="1">
      <c r="A560" s="256">
        <v>9</v>
      </c>
      <c r="B560" s="171" t="str">
        <f>VLOOKUP(Ruimtestaat[[#This Row],[Code]],Locaties[#All],2,FALSE)</f>
        <v>De Stapsteen (De Zevensprong)</v>
      </c>
      <c r="C560" s="258" t="str">
        <f>VLOOKUP(Ruimtestaat[[#This Row],[Code]],Locaties[#All],4,FALSE)</f>
        <v>Coornhertstraat 3</v>
      </c>
      <c r="D560" s="258" t="str">
        <f>VLOOKUP(Ruimtestaat[[#This Row],[Code]],Locaties[#All],5,FALSE)</f>
        <v>7552 MT</v>
      </c>
      <c r="E560" s="258" t="str">
        <f>VLOOKUP(Ruimtestaat[[#This Row],[Code]],Locaties[#All],6,FALSE)</f>
        <v>Hengelo</v>
      </c>
      <c r="F560" s="257"/>
      <c r="G560" s="257" t="s">
        <v>563</v>
      </c>
      <c r="H560" s="171"/>
      <c r="I560" s="257">
        <v>15</v>
      </c>
      <c r="J560" s="259" t="s">
        <v>580</v>
      </c>
      <c r="K560" s="258">
        <v>18</v>
      </c>
      <c r="L560" s="260" t="str">
        <f>VLOOKUP(Ruimtestaat[[#This Row],[Ruimte code]],Ruimtegroepen[#All],2,FALSE)</f>
        <v>Gymzaal</v>
      </c>
      <c r="M560" s="185" t="s">
        <v>112</v>
      </c>
      <c r="N560" s="257" t="s">
        <v>596</v>
      </c>
      <c r="O560" s="261">
        <v>120</v>
      </c>
      <c r="P560" s="183"/>
      <c r="Q560" s="212" t="str">
        <f>VLOOKUP(Ruimtestaat[[#This Row],[Ruimte code]],Ruimtegroepen[#All],4,FALSE)</f>
        <v>Sp  (Sportruimte)</v>
      </c>
      <c r="R560" s="184"/>
      <c r="S560" s="185">
        <v>40</v>
      </c>
      <c r="T560" s="185" t="s">
        <v>20</v>
      </c>
      <c r="U560" s="185">
        <f>IF(S560&gt;0,IF(RIGHT(Ruimtestaat[[#This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0" s="185">
        <f>IF(U560&gt;0,VLOOKUP($K560,Ruimtegroepen[],3,FALSE)*VLOOKUP($M560,Vloersoorten[],3,FALSE)*VLOOKUP($T560,Frequenties[],3,FALSE)*VLOOKUP($A560,Locaties[],3,FALSE),0)</f>
        <v>0</v>
      </c>
      <c r="W560" s="185">
        <f>Ruimtestaat[[#This Row],[Uitvoeringen werkdagen]]*Ruimtestaat[[#This Row],[Oppervlak (netto)]]</f>
        <v>19200</v>
      </c>
      <c r="X560" s="220">
        <f>IF(V560&gt;0,Ruimtestaat[[#This Row],[Prest. (m2 /jaar) werkdagen]]/Ruimtestaat[[#This Row],[Norm (m2/uur) werkdagen]],0)</f>
        <v>0</v>
      </c>
      <c r="Y560" s="221">
        <f>Ruimtestaat[[#This Row],[uren / jaar werkdagen]]*Tariefsopbouw!$D$38</f>
        <v>0</v>
      </c>
      <c r="Z560" s="33"/>
      <c r="AA560" s="33">
        <f>IF(Ruimtestaat[[#This Row],[Frequentie weekend]]&gt;0,VALUE(LEFT(Z560,1))*S560,0)</f>
        <v>0</v>
      </c>
      <c r="AB560" s="33">
        <f>IF($AA560&gt;0,VLOOKUP($K560,Ruimtegroepen[],3,FALSE)*VLOOKUP($M560,Vloersoorten[],3,FALSE)*VLOOKUP($Z560,Frequenties[],3,FALSE)*VLOOKUP(#REF!,Locaties[],3,FALSE),0)</f>
        <v>0</v>
      </c>
      <c r="AC560" s="33"/>
      <c r="AD560" s="33"/>
      <c r="AE560" s="33">
        <f>Ruimtestaat[[#This Row],[uren / jaar weekend]]*Tariefsopbouw!$D$40</f>
        <v>0</v>
      </c>
      <c r="AF560" s="79">
        <f>Ruimtestaat[[#This Row],[Prest. (m2 /jaar) weekend]]+Ruimtestaat[[#This Row],[Prest. (m2 /jaar) werkdagen]]</f>
        <v>19200</v>
      </c>
      <c r="AG560" s="79">
        <f>Ruimtestaat[[#This Row],[uren / jaar weekend]]+Ruimtestaat[[#This Row],[uren / jaar werkdagen]]</f>
        <v>0</v>
      </c>
      <c r="AH560" s="80">
        <f>Ruimtestaat[[#This Row],[kosten / jaar weekend]]+Ruimtestaat[[#This Row],[kosten / jaar werkdagen]]</f>
        <v>0</v>
      </c>
    </row>
    <row r="561" spans="1:34" ht="15" customHeight="1">
      <c r="A561" s="256">
        <v>9</v>
      </c>
      <c r="B561" s="171" t="str">
        <f>VLOOKUP(Ruimtestaat[[#This Row],[Code]],Locaties[#All],2,FALSE)</f>
        <v>De Stapsteen (De Zevensprong)</v>
      </c>
      <c r="C561" s="258" t="str">
        <f>VLOOKUP(Ruimtestaat[[#This Row],[Code]],Locaties[#All],4,FALSE)</f>
        <v>Coornhertstraat 3</v>
      </c>
      <c r="D561" s="258" t="str">
        <f>VLOOKUP(Ruimtestaat[[#This Row],[Code]],Locaties[#All],5,FALSE)</f>
        <v>7552 MT</v>
      </c>
      <c r="E561" s="258" t="str">
        <f>VLOOKUP(Ruimtestaat[[#This Row],[Code]],Locaties[#All],6,FALSE)</f>
        <v>Hengelo</v>
      </c>
      <c r="F561" s="257"/>
      <c r="G561" s="257" t="s">
        <v>563</v>
      </c>
      <c r="H561" s="171"/>
      <c r="I561" s="257">
        <v>16</v>
      </c>
      <c r="J561" s="259" t="s">
        <v>690</v>
      </c>
      <c r="K561" s="171">
        <v>19</v>
      </c>
      <c r="L561" s="260" t="str">
        <f>VLOOKUP(Ruimtestaat[[#This Row],[Ruimte code]],Ruimtegroepen[#All],2,FALSE)</f>
        <v>Kleedruimten</v>
      </c>
      <c r="M561" s="212" t="s">
        <v>111</v>
      </c>
      <c r="N561" s="257" t="s">
        <v>605</v>
      </c>
      <c r="O561" s="261">
        <v>12</v>
      </c>
      <c r="P561" s="183"/>
      <c r="Q561" s="212" t="str">
        <f>VLOOKUP(Ruimtestaat[[#This Row],[Ruimte code]],Ruimtegroepen[#All],4,FALSE)</f>
        <v>V  (Verkeersruimte)</v>
      </c>
      <c r="R561" s="184"/>
      <c r="S561" s="185">
        <v>40</v>
      </c>
      <c r="T561" s="185" t="s">
        <v>20</v>
      </c>
      <c r="U561" s="185">
        <f>IF(S561&gt;0,IF(RIGHT(Ruimtestaat[[#This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1" s="185">
        <f>IF(U561&gt;0,VLOOKUP($K561,Ruimtegroepen[],3,FALSE)*VLOOKUP($M561,Vloersoorten[],3,FALSE)*VLOOKUP($T561,Frequenties[],3,FALSE)*VLOOKUP($A561,Locaties[],3,FALSE),0)</f>
        <v>0</v>
      </c>
      <c r="W561" s="185">
        <f>Ruimtestaat[[#This Row],[Uitvoeringen werkdagen]]*Ruimtestaat[[#This Row],[Oppervlak (netto)]]</f>
        <v>1920</v>
      </c>
      <c r="X561" s="220">
        <f>IF(V561&gt;0,Ruimtestaat[[#This Row],[Prest. (m2 /jaar) werkdagen]]/Ruimtestaat[[#This Row],[Norm (m2/uur) werkdagen]],0)</f>
        <v>0</v>
      </c>
      <c r="Y561" s="221">
        <f>Ruimtestaat[[#This Row],[uren / jaar werkdagen]]*Tariefsopbouw!$D$38</f>
        <v>0</v>
      </c>
      <c r="Z561" s="33"/>
      <c r="AA561" s="33">
        <f>IF(Ruimtestaat[[#This Row],[Frequentie weekend]]&gt;0,VALUE(LEFT(Z561,1))*S561,0)</f>
        <v>0</v>
      </c>
      <c r="AB561" s="33">
        <f>IF($AA561&gt;0,VLOOKUP($K561,Ruimtegroepen[],3,FALSE)*VLOOKUP($M561,Vloersoorten[],3,FALSE)*VLOOKUP($Z561,Frequenties[],3,FALSE)*VLOOKUP(#REF!,Locaties[],3,FALSE),0)</f>
        <v>0</v>
      </c>
      <c r="AC561" s="33"/>
      <c r="AD561" s="33"/>
      <c r="AE561" s="33">
        <f>Ruimtestaat[[#This Row],[uren / jaar weekend]]*Tariefsopbouw!$D$40</f>
        <v>0</v>
      </c>
      <c r="AF561" s="79">
        <f>Ruimtestaat[[#This Row],[Prest. (m2 /jaar) weekend]]+Ruimtestaat[[#This Row],[Prest. (m2 /jaar) werkdagen]]</f>
        <v>1920</v>
      </c>
      <c r="AG561" s="79">
        <f>Ruimtestaat[[#This Row],[uren / jaar weekend]]+Ruimtestaat[[#This Row],[uren / jaar werkdagen]]</f>
        <v>0</v>
      </c>
      <c r="AH561" s="80">
        <f>Ruimtestaat[[#This Row],[kosten / jaar weekend]]+Ruimtestaat[[#This Row],[kosten / jaar werkdagen]]</f>
        <v>0</v>
      </c>
    </row>
    <row r="562" spans="1:34" ht="15" customHeight="1">
      <c r="A562" s="256">
        <v>9</v>
      </c>
      <c r="B562" s="171" t="str">
        <f>VLOOKUP(Ruimtestaat[[#This Row],[Code]],Locaties[#All],2,FALSE)</f>
        <v>De Stapsteen (De Zevensprong)</v>
      </c>
      <c r="C562" s="258" t="str">
        <f>VLOOKUP(Ruimtestaat[[#This Row],[Code]],Locaties[#All],4,FALSE)</f>
        <v>Coornhertstraat 3</v>
      </c>
      <c r="D562" s="258" t="str">
        <f>VLOOKUP(Ruimtestaat[[#This Row],[Code]],Locaties[#All],5,FALSE)</f>
        <v>7552 MT</v>
      </c>
      <c r="E562" s="258" t="str">
        <f>VLOOKUP(Ruimtestaat[[#This Row],[Code]],Locaties[#All],6,FALSE)</f>
        <v>Hengelo</v>
      </c>
      <c r="F562" s="257"/>
      <c r="G562" s="257" t="s">
        <v>563</v>
      </c>
      <c r="H562" s="171"/>
      <c r="I562" s="257">
        <v>18</v>
      </c>
      <c r="J562" s="259" t="s">
        <v>569</v>
      </c>
      <c r="K562" s="171">
        <v>5</v>
      </c>
      <c r="L562" s="260" t="str">
        <f>VLOOKUP(Ruimtestaat[[#This Row],[Ruimte code]],Ruimtegroepen[#All],2,FALSE)</f>
        <v>Sanitair</v>
      </c>
      <c r="M562" s="212" t="s">
        <v>111</v>
      </c>
      <c r="N562" s="257" t="s">
        <v>605</v>
      </c>
      <c r="O562" s="261">
        <v>4</v>
      </c>
      <c r="P562" s="183"/>
      <c r="Q562" s="212" t="str">
        <f>VLOOKUP(Ruimtestaat[[#This Row],[Ruimte code]],Ruimtegroepen[#All],4,FALSE)</f>
        <v>S  (Sanitair)</v>
      </c>
      <c r="R562" s="184"/>
      <c r="S562" s="185">
        <v>40</v>
      </c>
      <c r="T562" s="185" t="s">
        <v>2</v>
      </c>
      <c r="U562" s="185">
        <f>IF(S562&gt;0,IF(RIGHT(Ruimtestaat[[#This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2" s="185">
        <f>IF(U562&gt;0,VLOOKUP($K562,Ruimtegroepen[],3,FALSE)*VLOOKUP($M562,Vloersoorten[],3,FALSE)*VLOOKUP($T562,Frequenties[],3,FALSE)*VLOOKUP($A562,Locaties[],3,FALSE),0)</f>
        <v>0</v>
      </c>
      <c r="W562" s="185">
        <f>Ruimtestaat[[#This Row],[Uitvoeringen werkdagen]]*Ruimtestaat[[#This Row],[Oppervlak (netto)]]</f>
        <v>800</v>
      </c>
      <c r="X562" s="220">
        <f>IF(V562&gt;0,Ruimtestaat[[#This Row],[Prest. (m2 /jaar) werkdagen]]/Ruimtestaat[[#This Row],[Norm (m2/uur) werkdagen]],0)</f>
        <v>0</v>
      </c>
      <c r="Y562" s="221">
        <f>Ruimtestaat[[#This Row],[uren / jaar werkdagen]]*Tariefsopbouw!$D$38</f>
        <v>0</v>
      </c>
      <c r="Z562" s="33"/>
      <c r="AA562" s="33">
        <f>IF(Ruimtestaat[[#This Row],[Frequentie weekend]]&gt;0,VALUE(LEFT(Z562,1))*S562,0)</f>
        <v>0</v>
      </c>
      <c r="AB562" s="33">
        <f>IF($AA562&gt;0,VLOOKUP($K562,Ruimtegroepen[],3,FALSE)*VLOOKUP($M562,Vloersoorten[],3,FALSE)*VLOOKUP($Z562,Frequenties[],3,FALSE)*VLOOKUP(#REF!,Locaties[],3,FALSE),0)</f>
        <v>0</v>
      </c>
      <c r="AC562" s="33"/>
      <c r="AD562" s="33"/>
      <c r="AE562" s="33">
        <f>Ruimtestaat[[#This Row],[uren / jaar weekend]]*Tariefsopbouw!$D$40</f>
        <v>0</v>
      </c>
      <c r="AF562" s="79">
        <f>Ruimtestaat[[#This Row],[Prest. (m2 /jaar) weekend]]+Ruimtestaat[[#This Row],[Prest. (m2 /jaar) werkdagen]]</f>
        <v>800</v>
      </c>
      <c r="AG562" s="79">
        <f>Ruimtestaat[[#This Row],[uren / jaar weekend]]+Ruimtestaat[[#This Row],[uren / jaar werkdagen]]</f>
        <v>0</v>
      </c>
      <c r="AH562" s="80">
        <f>Ruimtestaat[[#This Row],[kosten / jaar weekend]]+Ruimtestaat[[#This Row],[kosten / jaar werkdagen]]</f>
        <v>0</v>
      </c>
    </row>
    <row r="563" spans="1:34" ht="15" customHeight="1">
      <c r="A563" s="256">
        <v>9</v>
      </c>
      <c r="B563" s="171" t="str">
        <f>VLOOKUP(Ruimtestaat[[#This Row],[Code]],Locaties[#All],2,FALSE)</f>
        <v>De Stapsteen (De Zevensprong)</v>
      </c>
      <c r="C563" s="258" t="str">
        <f>VLOOKUP(Ruimtestaat[[#This Row],[Code]],Locaties[#All],4,FALSE)</f>
        <v>Coornhertstraat 3</v>
      </c>
      <c r="D563" s="258" t="str">
        <f>VLOOKUP(Ruimtestaat[[#This Row],[Code]],Locaties[#All],5,FALSE)</f>
        <v>7552 MT</v>
      </c>
      <c r="E563" s="258" t="str">
        <f>VLOOKUP(Ruimtestaat[[#This Row],[Code]],Locaties[#All],6,FALSE)</f>
        <v>Hengelo</v>
      </c>
      <c r="F563" s="257"/>
      <c r="G563" s="257" t="s">
        <v>563</v>
      </c>
      <c r="H563" s="171"/>
      <c r="I563" s="257">
        <v>19</v>
      </c>
      <c r="J563" s="259" t="s">
        <v>602</v>
      </c>
      <c r="K563" s="171">
        <v>19</v>
      </c>
      <c r="L563" s="260" t="str">
        <f>VLOOKUP(Ruimtestaat[[#This Row],[Ruimte code]],Ruimtegroepen[#All],2,FALSE)</f>
        <v>Kleedruimten</v>
      </c>
      <c r="M563" s="212" t="s">
        <v>111</v>
      </c>
      <c r="N563" s="257" t="s">
        <v>605</v>
      </c>
      <c r="O563" s="261">
        <v>11.9</v>
      </c>
      <c r="P563" s="183"/>
      <c r="Q563" s="212" t="str">
        <f>VLOOKUP(Ruimtestaat[[#This Row],[Ruimte code]],Ruimtegroepen[#All],4,FALSE)</f>
        <v>V  (Verkeersruimte)</v>
      </c>
      <c r="R563" s="184"/>
      <c r="S563" s="185">
        <v>40</v>
      </c>
      <c r="T563" s="185" t="s">
        <v>20</v>
      </c>
      <c r="U563" s="185">
        <f>IF(S563&gt;0,IF(RIGHT(Ruimtestaat[[#This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3" s="185">
        <f>IF(U563&gt;0,VLOOKUP($K563,Ruimtegroepen[],3,FALSE)*VLOOKUP($M563,Vloersoorten[],3,FALSE)*VLOOKUP($T563,Frequenties[],3,FALSE)*VLOOKUP($A563,Locaties[],3,FALSE),0)</f>
        <v>0</v>
      </c>
      <c r="W563" s="185">
        <f>Ruimtestaat[[#This Row],[Uitvoeringen werkdagen]]*Ruimtestaat[[#This Row],[Oppervlak (netto)]]</f>
        <v>1904</v>
      </c>
      <c r="X563" s="220">
        <f>IF(V563&gt;0,Ruimtestaat[[#This Row],[Prest. (m2 /jaar) werkdagen]]/Ruimtestaat[[#This Row],[Norm (m2/uur) werkdagen]],0)</f>
        <v>0</v>
      </c>
      <c r="Y563" s="221">
        <f>Ruimtestaat[[#This Row],[uren / jaar werkdagen]]*Tariefsopbouw!$D$38</f>
        <v>0</v>
      </c>
      <c r="Z563" s="33"/>
      <c r="AA563" s="33">
        <f>IF(Ruimtestaat[[#This Row],[Frequentie weekend]]&gt;0,VALUE(LEFT(Z563,1))*S563,0)</f>
        <v>0</v>
      </c>
      <c r="AB563" s="33">
        <f>IF($AA563&gt;0,VLOOKUP($K563,Ruimtegroepen[],3,FALSE)*VLOOKUP($M563,Vloersoorten[],3,FALSE)*VLOOKUP($Z563,Frequenties[],3,FALSE)*VLOOKUP(#REF!,Locaties[],3,FALSE),0)</f>
        <v>0</v>
      </c>
      <c r="AC563" s="33"/>
      <c r="AD563" s="33"/>
      <c r="AE563" s="33">
        <f>Ruimtestaat[[#This Row],[uren / jaar weekend]]*Tariefsopbouw!$D$40</f>
        <v>0</v>
      </c>
      <c r="AF563" s="79">
        <f>Ruimtestaat[[#This Row],[Prest. (m2 /jaar) weekend]]+Ruimtestaat[[#This Row],[Prest. (m2 /jaar) werkdagen]]</f>
        <v>1904</v>
      </c>
      <c r="AG563" s="79">
        <f>Ruimtestaat[[#This Row],[uren / jaar weekend]]+Ruimtestaat[[#This Row],[uren / jaar werkdagen]]</f>
        <v>0</v>
      </c>
      <c r="AH563" s="80">
        <f>Ruimtestaat[[#This Row],[kosten / jaar weekend]]+Ruimtestaat[[#This Row],[kosten / jaar werkdagen]]</f>
        <v>0</v>
      </c>
    </row>
    <row r="564" spans="1:34" ht="15" customHeight="1">
      <c r="A564" s="256">
        <v>9</v>
      </c>
      <c r="B564" s="171" t="str">
        <f>VLOOKUP(Ruimtestaat[[#This Row],[Code]],Locaties[#All],2,FALSE)</f>
        <v>De Stapsteen (De Zevensprong)</v>
      </c>
      <c r="C564" s="258" t="str">
        <f>VLOOKUP(Ruimtestaat[[#This Row],[Code]],Locaties[#All],4,FALSE)</f>
        <v>Coornhertstraat 3</v>
      </c>
      <c r="D564" s="258" t="str">
        <f>VLOOKUP(Ruimtestaat[[#This Row],[Code]],Locaties[#All],5,FALSE)</f>
        <v>7552 MT</v>
      </c>
      <c r="E564" s="258" t="str">
        <f>VLOOKUP(Ruimtestaat[[#This Row],[Code]],Locaties[#All],6,FALSE)</f>
        <v>Hengelo</v>
      </c>
      <c r="F564" s="257"/>
      <c r="G564" s="257" t="s">
        <v>563</v>
      </c>
      <c r="H564" s="171"/>
      <c r="I564" s="257">
        <v>20</v>
      </c>
      <c r="J564" s="259" t="s">
        <v>601</v>
      </c>
      <c r="K564" s="258">
        <v>19</v>
      </c>
      <c r="L564" s="260" t="str">
        <f>VLOOKUP(Ruimtestaat[[#This Row],[Ruimte code]],Ruimtegroepen[#All],2,FALSE)</f>
        <v>Kleedruimten</v>
      </c>
      <c r="M564" s="212" t="s">
        <v>111</v>
      </c>
      <c r="N564" s="257" t="s">
        <v>605</v>
      </c>
      <c r="O564" s="261">
        <v>23</v>
      </c>
      <c r="P564" s="183"/>
      <c r="Q564" s="212" t="str">
        <f>VLOOKUP(Ruimtestaat[[#This Row],[Ruimte code]],Ruimtegroepen[#All],4,FALSE)</f>
        <v>V  (Verkeersruimte)</v>
      </c>
      <c r="R564" s="184"/>
      <c r="S564" s="185">
        <v>40</v>
      </c>
      <c r="T564" s="185" t="s">
        <v>20</v>
      </c>
      <c r="U564" s="185">
        <f>IF(S564&gt;0,IF(RIGHT(Ruimtestaat[[#This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4" s="185">
        <f>IF(U564&gt;0,VLOOKUP($K564,Ruimtegroepen[],3,FALSE)*VLOOKUP($M564,Vloersoorten[],3,FALSE)*VLOOKUP($T564,Frequenties[],3,FALSE)*VLOOKUP($A564,Locaties[],3,FALSE),0)</f>
        <v>0</v>
      </c>
      <c r="W564" s="185">
        <f>Ruimtestaat[[#This Row],[Uitvoeringen werkdagen]]*Ruimtestaat[[#This Row],[Oppervlak (netto)]]</f>
        <v>3680</v>
      </c>
      <c r="X564" s="220">
        <f>IF(V564&gt;0,Ruimtestaat[[#This Row],[Prest. (m2 /jaar) werkdagen]]/Ruimtestaat[[#This Row],[Norm (m2/uur) werkdagen]],0)</f>
        <v>0</v>
      </c>
      <c r="Y564" s="221">
        <f>Ruimtestaat[[#This Row],[uren / jaar werkdagen]]*Tariefsopbouw!$D$38</f>
        <v>0</v>
      </c>
      <c r="Z564" s="33"/>
      <c r="AA564" s="33">
        <f>IF(Ruimtestaat[[#This Row],[Frequentie weekend]]&gt;0,VALUE(LEFT(Z564,1))*S564,0)</f>
        <v>0</v>
      </c>
      <c r="AB564" s="33">
        <f>IF($AA564&gt;0,VLOOKUP($K564,Ruimtegroepen[],3,FALSE)*VLOOKUP($M564,Vloersoorten[],3,FALSE)*VLOOKUP($Z564,Frequenties[],3,FALSE)*VLOOKUP(#REF!,Locaties[],3,FALSE),0)</f>
        <v>0</v>
      </c>
      <c r="AC564" s="33"/>
      <c r="AD564" s="33"/>
      <c r="AE564" s="33">
        <f>Ruimtestaat[[#This Row],[uren / jaar weekend]]*Tariefsopbouw!$D$40</f>
        <v>0</v>
      </c>
      <c r="AF564" s="79">
        <f>Ruimtestaat[[#This Row],[Prest. (m2 /jaar) weekend]]+Ruimtestaat[[#This Row],[Prest. (m2 /jaar) werkdagen]]</f>
        <v>3680</v>
      </c>
      <c r="AG564" s="79">
        <f>Ruimtestaat[[#This Row],[uren / jaar weekend]]+Ruimtestaat[[#This Row],[uren / jaar werkdagen]]</f>
        <v>0</v>
      </c>
      <c r="AH564" s="80">
        <f>Ruimtestaat[[#This Row],[kosten / jaar weekend]]+Ruimtestaat[[#This Row],[kosten / jaar werkdagen]]</f>
        <v>0</v>
      </c>
    </row>
    <row r="565" spans="1:34" ht="15" customHeight="1">
      <c r="A565" s="256">
        <v>9</v>
      </c>
      <c r="B565" s="171" t="str">
        <f>VLOOKUP(Ruimtestaat[[#This Row],[Code]],Locaties[#All],2,FALSE)</f>
        <v>De Stapsteen (De Zevensprong)</v>
      </c>
      <c r="C565" s="258" t="str">
        <f>VLOOKUP(Ruimtestaat[[#This Row],[Code]],Locaties[#All],4,FALSE)</f>
        <v>Coornhertstraat 3</v>
      </c>
      <c r="D565" s="258" t="str">
        <f>VLOOKUP(Ruimtestaat[[#This Row],[Code]],Locaties[#All],5,FALSE)</f>
        <v>7552 MT</v>
      </c>
      <c r="E565" s="258" t="str">
        <f>VLOOKUP(Ruimtestaat[[#This Row],[Code]],Locaties[#All],6,FALSE)</f>
        <v>Hengelo</v>
      </c>
      <c r="F565" s="257"/>
      <c r="G565" s="257" t="s">
        <v>563</v>
      </c>
      <c r="H565" s="171"/>
      <c r="I565" s="257">
        <v>21</v>
      </c>
      <c r="J565" s="259" t="s">
        <v>583</v>
      </c>
      <c r="K565" s="258">
        <v>20</v>
      </c>
      <c r="L565" s="260" t="str">
        <f>VLOOKUP(Ruimtestaat[[#This Row],[Ruimte code]],Ruimtegroepen[#All],2,FALSE)</f>
        <v>Niet in onderhoud</v>
      </c>
      <c r="M565" s="258" t="s">
        <v>598</v>
      </c>
      <c r="N565" s="257" t="s">
        <v>132</v>
      </c>
      <c r="O565" s="261"/>
      <c r="P565" s="183">
        <v>8.1</v>
      </c>
      <c r="Q565" s="212" t="str">
        <f>VLOOKUP(Ruimtestaat[[#This Row],[Ruimte code]],Ruimtegroepen[#All],4,FALSE)</f>
        <v>niet in onderhoud</v>
      </c>
      <c r="R565" s="184"/>
      <c r="S565" s="185"/>
      <c r="T565" s="185" t="s">
        <v>3</v>
      </c>
      <c r="U565" s="185">
        <f>IF(S565&gt;0,IF(RIGHT(Ruimtestaat[[#This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65" s="185">
        <f>IF(U565&gt;0,VLOOKUP($K565,Ruimtegroepen[],3,FALSE)*VLOOKUP($M565,Vloersoorten[],3,FALSE)*VLOOKUP($T565,Frequenties[],3,FALSE)*VLOOKUP($A565,Locaties[],3,FALSE),0)</f>
        <v>0</v>
      </c>
      <c r="W565" s="185">
        <f>Ruimtestaat[[#This Row],[Uitvoeringen werkdagen]]*Ruimtestaat[[#This Row],[Oppervlak (netto)]]</f>
        <v>0</v>
      </c>
      <c r="X565" s="220">
        <f>IF(V565&gt;0,Ruimtestaat[[#This Row],[Prest. (m2 /jaar) werkdagen]]/Ruimtestaat[[#This Row],[Norm (m2/uur) werkdagen]],0)</f>
        <v>0</v>
      </c>
      <c r="Y565" s="221">
        <f>Ruimtestaat[[#This Row],[uren / jaar werkdagen]]*Tariefsopbouw!$D$38</f>
        <v>0</v>
      </c>
      <c r="Z565" s="33"/>
      <c r="AA565" s="33">
        <f>IF(Ruimtestaat[[#This Row],[Frequentie weekend]]&gt;0,VALUE(LEFT(Z565,1))*S565,0)</f>
        <v>0</v>
      </c>
      <c r="AB565" s="33">
        <f>IF($AA565&gt;0,VLOOKUP($K565,Ruimtegroepen[],3,FALSE)*VLOOKUP($M565,Vloersoorten[],3,FALSE)*VLOOKUP($Z565,Frequenties[],3,FALSE)*VLOOKUP(#REF!,Locaties[],3,FALSE),0)</f>
        <v>0</v>
      </c>
      <c r="AC565" s="33"/>
      <c r="AD565" s="33"/>
      <c r="AE565" s="33">
        <f>Ruimtestaat[[#This Row],[uren / jaar weekend]]*Tariefsopbouw!$D$40</f>
        <v>0</v>
      </c>
      <c r="AF565" s="79">
        <f>Ruimtestaat[[#This Row],[Prest. (m2 /jaar) weekend]]+Ruimtestaat[[#This Row],[Prest. (m2 /jaar) werkdagen]]</f>
        <v>0</v>
      </c>
      <c r="AG565" s="79">
        <f>Ruimtestaat[[#This Row],[uren / jaar weekend]]+Ruimtestaat[[#This Row],[uren / jaar werkdagen]]</f>
        <v>0</v>
      </c>
      <c r="AH565" s="80">
        <f>Ruimtestaat[[#This Row],[kosten / jaar weekend]]+Ruimtestaat[[#This Row],[kosten / jaar werkdagen]]</f>
        <v>0</v>
      </c>
    </row>
    <row r="566" spans="1:34" ht="15" customHeight="1">
      <c r="A566" s="256">
        <v>9</v>
      </c>
      <c r="B566" s="171" t="str">
        <f>VLOOKUP(Ruimtestaat[[#This Row],[Code]],Locaties[#All],2,FALSE)</f>
        <v>De Stapsteen (De Zevensprong)</v>
      </c>
      <c r="C566" s="258" t="str">
        <f>VLOOKUP(Ruimtestaat[[#This Row],[Code]],Locaties[#All],4,FALSE)</f>
        <v>Coornhertstraat 3</v>
      </c>
      <c r="D566" s="258" t="str">
        <f>VLOOKUP(Ruimtestaat[[#This Row],[Code]],Locaties[#All],5,FALSE)</f>
        <v>7552 MT</v>
      </c>
      <c r="E566" s="258" t="str">
        <f>VLOOKUP(Ruimtestaat[[#This Row],[Code]],Locaties[#All],6,FALSE)</f>
        <v>Hengelo</v>
      </c>
      <c r="F566" s="257"/>
      <c r="G566" s="257" t="s">
        <v>563</v>
      </c>
      <c r="H566" s="171"/>
      <c r="I566" s="257">
        <v>22</v>
      </c>
      <c r="J566" s="259" t="s">
        <v>568</v>
      </c>
      <c r="K566" s="258">
        <v>6</v>
      </c>
      <c r="L566" s="260" t="str">
        <f>VLOOKUP(Ruimtestaat[[#This Row],[Ruimte code]],Ruimtegroepen[#All],2,FALSE)</f>
        <v>Gangen/hallen</v>
      </c>
      <c r="M566" s="258" t="s">
        <v>598</v>
      </c>
      <c r="N566" s="257" t="s">
        <v>132</v>
      </c>
      <c r="O566" s="261">
        <v>2.2000000000000002</v>
      </c>
      <c r="P566" s="183"/>
      <c r="Q566" s="212" t="str">
        <f>VLOOKUP(Ruimtestaat[[#This Row],[Ruimte code]],Ruimtegroepen[#All],4,FALSE)</f>
        <v>V  (Verkeersruimte)</v>
      </c>
      <c r="R566" s="184"/>
      <c r="S566" s="185">
        <v>40</v>
      </c>
      <c r="T566" s="185" t="s">
        <v>2</v>
      </c>
      <c r="U566" s="185">
        <f>IF(S566&gt;0,IF(RIGHT(Ruimtestaat[[#This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6" s="185">
        <f>IF(U566&gt;0,VLOOKUP($K566,Ruimtegroepen[],3,FALSE)*VLOOKUP($M566,Vloersoorten[],3,FALSE)*VLOOKUP($T566,Frequenties[],3,FALSE)*VLOOKUP($A566,Locaties[],3,FALSE),0)</f>
        <v>0</v>
      </c>
      <c r="W566" s="185">
        <f>Ruimtestaat[[#This Row],[Uitvoeringen werkdagen]]*Ruimtestaat[[#This Row],[Oppervlak (netto)]]</f>
        <v>440.00000000000006</v>
      </c>
      <c r="X566" s="220">
        <f>IF(V566&gt;0,Ruimtestaat[[#This Row],[Prest. (m2 /jaar) werkdagen]]/Ruimtestaat[[#This Row],[Norm (m2/uur) werkdagen]],0)</f>
        <v>0</v>
      </c>
      <c r="Y566" s="221">
        <f>Ruimtestaat[[#This Row],[uren / jaar werkdagen]]*Tariefsopbouw!$D$38</f>
        <v>0</v>
      </c>
      <c r="Z566" s="33"/>
      <c r="AA566" s="33">
        <f>IF(Ruimtestaat[[#This Row],[Frequentie weekend]]&gt;0,VALUE(LEFT(Z566,1))*S566,0)</f>
        <v>0</v>
      </c>
      <c r="AB566" s="33">
        <f>IF($AA566&gt;0,VLOOKUP($K566,Ruimtegroepen[],3,FALSE)*VLOOKUP($M566,Vloersoorten[],3,FALSE)*VLOOKUP($Z566,Frequenties[],3,FALSE)*VLOOKUP(#REF!,Locaties[],3,FALSE),0)</f>
        <v>0</v>
      </c>
      <c r="AC566" s="33"/>
      <c r="AD566" s="33"/>
      <c r="AE566" s="33">
        <f>Ruimtestaat[[#This Row],[uren / jaar weekend]]*Tariefsopbouw!$D$40</f>
        <v>0</v>
      </c>
      <c r="AF566" s="79">
        <f>Ruimtestaat[[#This Row],[Prest. (m2 /jaar) weekend]]+Ruimtestaat[[#This Row],[Prest. (m2 /jaar) werkdagen]]</f>
        <v>440.00000000000006</v>
      </c>
      <c r="AG566" s="79">
        <f>Ruimtestaat[[#This Row],[uren / jaar weekend]]+Ruimtestaat[[#This Row],[uren / jaar werkdagen]]</f>
        <v>0</v>
      </c>
      <c r="AH566" s="80">
        <f>Ruimtestaat[[#This Row],[kosten / jaar weekend]]+Ruimtestaat[[#This Row],[kosten / jaar werkdagen]]</f>
        <v>0</v>
      </c>
    </row>
    <row r="567" spans="1:34" ht="15" customHeight="1">
      <c r="A567" s="256">
        <v>9</v>
      </c>
      <c r="B567" s="171" t="str">
        <f>VLOOKUP(Ruimtestaat[[#This Row],[Code]],Locaties[#All],2,FALSE)</f>
        <v>De Stapsteen (De Zevensprong)</v>
      </c>
      <c r="C567" s="258" t="str">
        <f>VLOOKUP(Ruimtestaat[[#This Row],[Code]],Locaties[#All],4,FALSE)</f>
        <v>Coornhertstraat 3</v>
      </c>
      <c r="D567" s="258" t="str">
        <f>VLOOKUP(Ruimtestaat[[#This Row],[Code]],Locaties[#All],5,FALSE)</f>
        <v>7552 MT</v>
      </c>
      <c r="E567" s="258" t="str">
        <f>VLOOKUP(Ruimtestaat[[#This Row],[Code]],Locaties[#All],6,FALSE)</f>
        <v>Hengelo</v>
      </c>
      <c r="F567" s="257"/>
      <c r="G567" s="257" t="s">
        <v>563</v>
      </c>
      <c r="H567" s="171"/>
      <c r="I567" s="257">
        <v>23</v>
      </c>
      <c r="J567" s="259" t="s">
        <v>691</v>
      </c>
      <c r="K567" s="171">
        <v>2</v>
      </c>
      <c r="L567" s="260" t="str">
        <f>VLOOKUP(Ruimtestaat[[#This Row],[Ruimte code]],Ruimtegroepen[#All],2,FALSE)</f>
        <v>Kantoren</v>
      </c>
      <c r="M567" s="258" t="s">
        <v>598</v>
      </c>
      <c r="N567" s="257" t="s">
        <v>132</v>
      </c>
      <c r="O567" s="261">
        <v>15.9</v>
      </c>
      <c r="P567" s="183"/>
      <c r="Q567" s="212" t="str">
        <f>VLOOKUP(Ruimtestaat[[#This Row],[Ruimte code]],Ruimtegroepen[#All],4,FALSE)</f>
        <v>B  (Bureauruimte)</v>
      </c>
      <c r="R567" s="184"/>
      <c r="S567" s="185">
        <v>40</v>
      </c>
      <c r="T567" s="185" t="s">
        <v>17</v>
      </c>
      <c r="U567" s="185">
        <f>IF(S567&gt;0,IF(RIGHT(Ruimtestaat[[#This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67" s="185">
        <f>IF(U567&gt;0,VLOOKUP($K567,Ruimtegroepen[],3,FALSE)*VLOOKUP($M567,Vloersoorten[],3,FALSE)*VLOOKUP($T567,Frequenties[],3,FALSE)*VLOOKUP($A567,Locaties[],3,FALSE),0)</f>
        <v>0</v>
      </c>
      <c r="W567" s="185">
        <f>Ruimtestaat[[#This Row],[Uitvoeringen werkdagen]]*Ruimtestaat[[#This Row],[Oppervlak (netto)]]</f>
        <v>1272</v>
      </c>
      <c r="X567" s="220">
        <f>IF(V567&gt;0,Ruimtestaat[[#This Row],[Prest. (m2 /jaar) werkdagen]]/Ruimtestaat[[#This Row],[Norm (m2/uur) werkdagen]],0)</f>
        <v>0</v>
      </c>
      <c r="Y567" s="221">
        <f>Ruimtestaat[[#This Row],[uren / jaar werkdagen]]*Tariefsopbouw!$D$38</f>
        <v>0</v>
      </c>
      <c r="Z567" s="33"/>
      <c r="AA567" s="33">
        <f>IF(Ruimtestaat[[#This Row],[Frequentie weekend]]&gt;0,VALUE(LEFT(Z567,1))*S567,0)</f>
        <v>0</v>
      </c>
      <c r="AB567" s="33">
        <f>IF($AA567&gt;0,VLOOKUP($K567,Ruimtegroepen[],3,FALSE)*VLOOKUP($M567,Vloersoorten[],3,FALSE)*VLOOKUP($Z567,Frequenties[],3,FALSE)*VLOOKUP(#REF!,Locaties[],3,FALSE),0)</f>
        <v>0</v>
      </c>
      <c r="AC567" s="33"/>
      <c r="AD567" s="33"/>
      <c r="AE567" s="33">
        <f>Ruimtestaat[[#This Row],[uren / jaar weekend]]*Tariefsopbouw!$D$40</f>
        <v>0</v>
      </c>
      <c r="AF567" s="79">
        <f>Ruimtestaat[[#This Row],[Prest. (m2 /jaar) weekend]]+Ruimtestaat[[#This Row],[Prest. (m2 /jaar) werkdagen]]</f>
        <v>1272</v>
      </c>
      <c r="AG567" s="79">
        <f>Ruimtestaat[[#This Row],[uren / jaar weekend]]+Ruimtestaat[[#This Row],[uren / jaar werkdagen]]</f>
        <v>0</v>
      </c>
      <c r="AH567" s="80">
        <f>Ruimtestaat[[#This Row],[kosten / jaar weekend]]+Ruimtestaat[[#This Row],[kosten / jaar werkdagen]]</f>
        <v>0</v>
      </c>
    </row>
    <row r="568" spans="1:34" ht="15" customHeight="1">
      <c r="A568" s="256">
        <v>9</v>
      </c>
      <c r="B568" s="171" t="str">
        <f>VLOOKUP(Ruimtestaat[[#This Row],[Code]],Locaties[#All],2,FALSE)</f>
        <v>De Stapsteen (De Zevensprong)</v>
      </c>
      <c r="C568" s="258" t="str">
        <f>VLOOKUP(Ruimtestaat[[#This Row],[Code]],Locaties[#All],4,FALSE)</f>
        <v>Coornhertstraat 3</v>
      </c>
      <c r="D568" s="258" t="str">
        <f>VLOOKUP(Ruimtestaat[[#This Row],[Code]],Locaties[#All],5,FALSE)</f>
        <v>7552 MT</v>
      </c>
      <c r="E568" s="258" t="str">
        <f>VLOOKUP(Ruimtestaat[[#This Row],[Code]],Locaties[#All],6,FALSE)</f>
        <v>Hengelo</v>
      </c>
      <c r="F568" s="257"/>
      <c r="G568" s="257" t="s">
        <v>563</v>
      </c>
      <c r="H568" s="171"/>
      <c r="I568" s="257">
        <v>24</v>
      </c>
      <c r="J568" s="259" t="s">
        <v>683</v>
      </c>
      <c r="K568" s="171">
        <v>5</v>
      </c>
      <c r="L568" s="260" t="str">
        <f>VLOOKUP(Ruimtestaat[[#This Row],[Ruimte code]],Ruimtegroepen[#All],2,FALSE)</f>
        <v>Sanitair</v>
      </c>
      <c r="M568" s="212" t="s">
        <v>111</v>
      </c>
      <c r="N568" s="257" t="s">
        <v>605</v>
      </c>
      <c r="O568" s="261">
        <v>12.1</v>
      </c>
      <c r="P568" s="183"/>
      <c r="Q568" s="212" t="str">
        <f>VLOOKUP(Ruimtestaat[[#This Row],[Ruimte code]],Ruimtegroepen[#All],4,FALSE)</f>
        <v>S  (Sanitair)</v>
      </c>
      <c r="R568" s="184"/>
      <c r="S568" s="185">
        <v>40</v>
      </c>
      <c r="T568" s="185" t="s">
        <v>2</v>
      </c>
      <c r="U568" s="185">
        <f>IF(S568&gt;0,IF(RIGHT(Ruimtestaat[[#This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8" s="185">
        <f>IF(U568&gt;0,VLOOKUP($K568,Ruimtegroepen[],3,FALSE)*VLOOKUP($M568,Vloersoorten[],3,FALSE)*VLOOKUP($T568,Frequenties[],3,FALSE)*VLOOKUP($A568,Locaties[],3,FALSE),0)</f>
        <v>0</v>
      </c>
      <c r="W568" s="185">
        <f>Ruimtestaat[[#This Row],[Uitvoeringen werkdagen]]*Ruimtestaat[[#This Row],[Oppervlak (netto)]]</f>
        <v>2420</v>
      </c>
      <c r="X568" s="220">
        <f>IF(V568&gt;0,Ruimtestaat[[#This Row],[Prest. (m2 /jaar) werkdagen]]/Ruimtestaat[[#This Row],[Norm (m2/uur) werkdagen]],0)</f>
        <v>0</v>
      </c>
      <c r="Y568" s="221">
        <f>Ruimtestaat[[#This Row],[uren / jaar werkdagen]]*Tariefsopbouw!$D$38</f>
        <v>0</v>
      </c>
      <c r="Z568" s="33"/>
      <c r="AA568" s="33">
        <f>IF(Ruimtestaat[[#This Row],[Frequentie weekend]]&gt;0,VALUE(LEFT(Z568,1))*S568,0)</f>
        <v>0</v>
      </c>
      <c r="AB568" s="33">
        <f>IF($AA568&gt;0,VLOOKUP($K568,Ruimtegroepen[],3,FALSE)*VLOOKUP($M568,Vloersoorten[],3,FALSE)*VLOOKUP($Z568,Frequenties[],3,FALSE)*VLOOKUP(#REF!,Locaties[],3,FALSE),0)</f>
        <v>0</v>
      </c>
      <c r="AC568" s="33"/>
      <c r="AD568" s="33"/>
      <c r="AE568" s="33">
        <f>Ruimtestaat[[#This Row],[uren / jaar weekend]]*Tariefsopbouw!$D$40</f>
        <v>0</v>
      </c>
      <c r="AF568" s="79">
        <f>Ruimtestaat[[#This Row],[Prest. (m2 /jaar) weekend]]+Ruimtestaat[[#This Row],[Prest. (m2 /jaar) werkdagen]]</f>
        <v>2420</v>
      </c>
      <c r="AG568" s="79">
        <f>Ruimtestaat[[#This Row],[uren / jaar weekend]]+Ruimtestaat[[#This Row],[uren / jaar werkdagen]]</f>
        <v>0</v>
      </c>
      <c r="AH568" s="80">
        <f>Ruimtestaat[[#This Row],[kosten / jaar weekend]]+Ruimtestaat[[#This Row],[kosten / jaar werkdagen]]</f>
        <v>0</v>
      </c>
    </row>
    <row r="569" spans="1:34" ht="15" customHeight="1">
      <c r="A569" s="256">
        <v>9</v>
      </c>
      <c r="B569" s="171" t="str">
        <f>VLOOKUP(Ruimtestaat[[#This Row],[Code]],Locaties[#All],2,FALSE)</f>
        <v>De Stapsteen (De Zevensprong)</v>
      </c>
      <c r="C569" s="258" t="str">
        <f>VLOOKUP(Ruimtestaat[[#This Row],[Code]],Locaties[#All],4,FALSE)</f>
        <v>Coornhertstraat 3</v>
      </c>
      <c r="D569" s="258" t="str">
        <f>VLOOKUP(Ruimtestaat[[#This Row],[Code]],Locaties[#All],5,FALSE)</f>
        <v>7552 MT</v>
      </c>
      <c r="E569" s="258" t="str">
        <f>VLOOKUP(Ruimtestaat[[#This Row],[Code]],Locaties[#All],6,FALSE)</f>
        <v>Hengelo</v>
      </c>
      <c r="F569" s="257"/>
      <c r="G569" s="257" t="s">
        <v>563</v>
      </c>
      <c r="H569" s="171"/>
      <c r="I569" s="257">
        <v>25</v>
      </c>
      <c r="J569" s="259" t="s">
        <v>692</v>
      </c>
      <c r="K569" s="171">
        <v>18</v>
      </c>
      <c r="L569" s="260" t="str">
        <f>VLOOKUP(Ruimtestaat[[#This Row],[Ruimte code]],Ruimtegroepen[#All],2,FALSE)</f>
        <v>Gymzaal</v>
      </c>
      <c r="M569" s="258" t="s">
        <v>598</v>
      </c>
      <c r="N569" s="257" t="s">
        <v>132</v>
      </c>
      <c r="O569" s="261">
        <v>71.5</v>
      </c>
      <c r="P569" s="183"/>
      <c r="Q569" s="212" t="str">
        <f>VLOOKUP(Ruimtestaat[[#This Row],[Ruimte code]],Ruimtegroepen[#All],4,FALSE)</f>
        <v>Sp  (Sportruimte)</v>
      </c>
      <c r="R569" s="184"/>
      <c r="S569" s="185">
        <v>40</v>
      </c>
      <c r="T569" s="185" t="s">
        <v>20</v>
      </c>
      <c r="U569" s="185">
        <f>IF(S569&gt;0,IF(RIGHT(Ruimtestaat[[#This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9" s="185">
        <f>IF(U569&gt;0,VLOOKUP($K569,Ruimtegroepen[],3,FALSE)*VLOOKUP($M569,Vloersoorten[],3,FALSE)*VLOOKUP($T569,Frequenties[],3,FALSE)*VLOOKUP($A569,Locaties[],3,FALSE),0)</f>
        <v>0</v>
      </c>
      <c r="W569" s="185">
        <f>Ruimtestaat[[#This Row],[Uitvoeringen werkdagen]]*Ruimtestaat[[#This Row],[Oppervlak (netto)]]</f>
        <v>11440</v>
      </c>
      <c r="X569" s="220">
        <f>IF(V569&gt;0,Ruimtestaat[[#This Row],[Prest. (m2 /jaar) werkdagen]]/Ruimtestaat[[#This Row],[Norm (m2/uur) werkdagen]],0)</f>
        <v>0</v>
      </c>
      <c r="Y569" s="221">
        <f>Ruimtestaat[[#This Row],[uren / jaar werkdagen]]*Tariefsopbouw!$D$38</f>
        <v>0</v>
      </c>
      <c r="Z569" s="33"/>
      <c r="AA569" s="33">
        <f>IF(Ruimtestaat[[#This Row],[Frequentie weekend]]&gt;0,VALUE(LEFT(Z569,1))*S569,0)</f>
        <v>0</v>
      </c>
      <c r="AB569" s="33">
        <f>IF($AA569&gt;0,VLOOKUP($K569,Ruimtegroepen[],3,FALSE)*VLOOKUP($M569,Vloersoorten[],3,FALSE)*VLOOKUP($Z569,Frequenties[],3,FALSE)*VLOOKUP(#REF!,Locaties[],3,FALSE),0)</f>
        <v>0</v>
      </c>
      <c r="AC569" s="33"/>
      <c r="AD569" s="33"/>
      <c r="AE569" s="33">
        <f>Ruimtestaat[[#This Row],[uren / jaar weekend]]*Tariefsopbouw!$D$40</f>
        <v>0</v>
      </c>
      <c r="AF569" s="79">
        <f>Ruimtestaat[[#This Row],[Prest. (m2 /jaar) weekend]]+Ruimtestaat[[#This Row],[Prest. (m2 /jaar) werkdagen]]</f>
        <v>11440</v>
      </c>
      <c r="AG569" s="79">
        <f>Ruimtestaat[[#This Row],[uren / jaar weekend]]+Ruimtestaat[[#This Row],[uren / jaar werkdagen]]</f>
        <v>0</v>
      </c>
      <c r="AH569" s="80">
        <f>Ruimtestaat[[#This Row],[kosten / jaar weekend]]+Ruimtestaat[[#This Row],[kosten / jaar werkdagen]]</f>
        <v>0</v>
      </c>
    </row>
    <row r="570" spans="1:34" ht="15" customHeight="1">
      <c r="A570" s="256">
        <v>9</v>
      </c>
      <c r="B570" s="171" t="str">
        <f>VLOOKUP(Ruimtestaat[[#This Row],[Code]],Locaties[#All],2,FALSE)</f>
        <v>De Stapsteen (De Zevensprong)</v>
      </c>
      <c r="C570" s="258" t="str">
        <f>VLOOKUP(Ruimtestaat[[#This Row],[Code]],Locaties[#All],4,FALSE)</f>
        <v>Coornhertstraat 3</v>
      </c>
      <c r="D570" s="258" t="str">
        <f>VLOOKUP(Ruimtestaat[[#This Row],[Code]],Locaties[#All],5,FALSE)</f>
        <v>7552 MT</v>
      </c>
      <c r="E570" s="258" t="str">
        <f>VLOOKUP(Ruimtestaat[[#This Row],[Code]],Locaties[#All],6,FALSE)</f>
        <v>Hengelo</v>
      </c>
      <c r="F570" s="257"/>
      <c r="G570" s="257" t="s">
        <v>563</v>
      </c>
      <c r="H570" s="171"/>
      <c r="I570" s="257">
        <v>26</v>
      </c>
      <c r="J570" s="259" t="s">
        <v>576</v>
      </c>
      <c r="K570" s="171">
        <v>16</v>
      </c>
      <c r="L570" s="260" t="str">
        <f>VLOOKUP(Ruimtestaat[[#This Row],[Ruimte code]],Ruimtegroepen[#All],2,FALSE)</f>
        <v>Leslokalen</v>
      </c>
      <c r="M570" s="258" t="s">
        <v>598</v>
      </c>
      <c r="N570" s="257" t="s">
        <v>132</v>
      </c>
      <c r="O570" s="261">
        <v>57.9</v>
      </c>
      <c r="P570" s="183"/>
      <c r="Q570" s="212" t="str">
        <f>VLOOKUP(Ruimtestaat[[#This Row],[Ruimte code]],Ruimtegroepen[#All],4,FALSE)</f>
        <v>L  (Lesruimte)</v>
      </c>
      <c r="R570" s="184"/>
      <c r="S570" s="185">
        <v>40</v>
      </c>
      <c r="T570" s="185" t="s">
        <v>20</v>
      </c>
      <c r="U570" s="185">
        <f>IF(S570&gt;0,IF(RIGHT(Ruimtestaat[[#This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0" s="185">
        <f>IF(U570&gt;0,VLOOKUP($K570,Ruimtegroepen[],3,FALSE)*VLOOKUP($M570,Vloersoorten[],3,FALSE)*VLOOKUP($T570,Frequenties[],3,FALSE)*VLOOKUP($A570,Locaties[],3,FALSE),0)</f>
        <v>0</v>
      </c>
      <c r="W570" s="185">
        <f>Ruimtestaat[[#This Row],[Uitvoeringen werkdagen]]*Ruimtestaat[[#This Row],[Oppervlak (netto)]]</f>
        <v>9264</v>
      </c>
      <c r="X570" s="220">
        <f>IF(V570&gt;0,Ruimtestaat[[#This Row],[Prest. (m2 /jaar) werkdagen]]/Ruimtestaat[[#This Row],[Norm (m2/uur) werkdagen]],0)</f>
        <v>0</v>
      </c>
      <c r="Y570" s="221">
        <f>Ruimtestaat[[#This Row],[uren / jaar werkdagen]]*Tariefsopbouw!$D$38</f>
        <v>0</v>
      </c>
      <c r="Z570" s="33"/>
      <c r="AA570" s="33">
        <f>IF(Ruimtestaat[[#This Row],[Frequentie weekend]]&gt;0,VALUE(LEFT(Z570,1))*S570,0)</f>
        <v>0</v>
      </c>
      <c r="AB570" s="33">
        <f>IF($AA570&gt;0,VLOOKUP($K570,Ruimtegroepen[],3,FALSE)*VLOOKUP($M570,Vloersoorten[],3,FALSE)*VLOOKUP($Z570,Frequenties[],3,FALSE)*VLOOKUP(#REF!,Locaties[],3,FALSE),0)</f>
        <v>0</v>
      </c>
      <c r="AC570" s="33"/>
      <c r="AD570" s="33"/>
      <c r="AE570" s="33">
        <f>Ruimtestaat[[#This Row],[uren / jaar weekend]]*Tariefsopbouw!$D$40</f>
        <v>0</v>
      </c>
      <c r="AF570" s="79">
        <f>Ruimtestaat[[#This Row],[Prest. (m2 /jaar) weekend]]+Ruimtestaat[[#This Row],[Prest. (m2 /jaar) werkdagen]]</f>
        <v>9264</v>
      </c>
      <c r="AG570" s="79">
        <f>Ruimtestaat[[#This Row],[uren / jaar weekend]]+Ruimtestaat[[#This Row],[uren / jaar werkdagen]]</f>
        <v>0</v>
      </c>
      <c r="AH570" s="80">
        <f>Ruimtestaat[[#This Row],[kosten / jaar weekend]]+Ruimtestaat[[#This Row],[kosten / jaar werkdagen]]</f>
        <v>0</v>
      </c>
    </row>
    <row r="571" spans="1:34" ht="15" customHeight="1">
      <c r="A571" s="256">
        <v>9</v>
      </c>
      <c r="B571" s="171" t="str">
        <f>VLOOKUP(Ruimtestaat[[#This Row],[Code]],Locaties[#All],2,FALSE)</f>
        <v>De Stapsteen (De Zevensprong)</v>
      </c>
      <c r="C571" s="258" t="str">
        <f>VLOOKUP(Ruimtestaat[[#This Row],[Code]],Locaties[#All],4,FALSE)</f>
        <v>Coornhertstraat 3</v>
      </c>
      <c r="D571" s="258" t="str">
        <f>VLOOKUP(Ruimtestaat[[#This Row],[Code]],Locaties[#All],5,FALSE)</f>
        <v>7552 MT</v>
      </c>
      <c r="E571" s="258" t="str">
        <f>VLOOKUP(Ruimtestaat[[#This Row],[Code]],Locaties[#All],6,FALSE)</f>
        <v>Hengelo</v>
      </c>
      <c r="F571" s="257"/>
      <c r="G571" s="257" t="s">
        <v>563</v>
      </c>
      <c r="H571" s="171"/>
      <c r="I571" s="257">
        <v>27</v>
      </c>
      <c r="J571" s="259" t="s">
        <v>576</v>
      </c>
      <c r="K571" s="171">
        <v>16</v>
      </c>
      <c r="L571" s="260" t="str">
        <f>VLOOKUP(Ruimtestaat[[#This Row],[Ruimte code]],Ruimtegroepen[#All],2,FALSE)</f>
        <v>Leslokalen</v>
      </c>
      <c r="M571" s="258" t="s">
        <v>598</v>
      </c>
      <c r="N571" s="257" t="s">
        <v>132</v>
      </c>
      <c r="O571" s="261">
        <v>57.9</v>
      </c>
      <c r="P571" s="183"/>
      <c r="Q571" s="212" t="str">
        <f>VLOOKUP(Ruimtestaat[[#This Row],[Ruimte code]],Ruimtegroepen[#All],4,FALSE)</f>
        <v>L  (Lesruimte)</v>
      </c>
      <c r="R571" s="184"/>
      <c r="S571" s="185">
        <v>40</v>
      </c>
      <c r="T571" s="185" t="s">
        <v>20</v>
      </c>
      <c r="U571" s="185">
        <f>IF(S571&gt;0,IF(RIGHT(Ruimtestaat[[#This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1" s="185">
        <f>IF(U571&gt;0,VLOOKUP($K571,Ruimtegroepen[],3,FALSE)*VLOOKUP($M571,Vloersoorten[],3,FALSE)*VLOOKUP($T571,Frequenties[],3,FALSE)*VLOOKUP($A571,Locaties[],3,FALSE),0)</f>
        <v>0</v>
      </c>
      <c r="W571" s="185">
        <f>Ruimtestaat[[#This Row],[Uitvoeringen werkdagen]]*Ruimtestaat[[#This Row],[Oppervlak (netto)]]</f>
        <v>9264</v>
      </c>
      <c r="X571" s="220">
        <f>IF(V571&gt;0,Ruimtestaat[[#This Row],[Prest. (m2 /jaar) werkdagen]]/Ruimtestaat[[#This Row],[Norm (m2/uur) werkdagen]],0)</f>
        <v>0</v>
      </c>
      <c r="Y571" s="221">
        <f>Ruimtestaat[[#This Row],[uren / jaar werkdagen]]*Tariefsopbouw!$D$38</f>
        <v>0</v>
      </c>
      <c r="Z571" s="33"/>
      <c r="AA571" s="33">
        <f>IF(Ruimtestaat[[#This Row],[Frequentie weekend]]&gt;0,VALUE(LEFT(Z571,1))*S571,0)</f>
        <v>0</v>
      </c>
      <c r="AB571" s="33">
        <f>IF($AA571&gt;0,VLOOKUP($K571,Ruimtegroepen[],3,FALSE)*VLOOKUP($M571,Vloersoorten[],3,FALSE)*VLOOKUP($Z571,Frequenties[],3,FALSE)*VLOOKUP(#REF!,Locaties[],3,FALSE),0)</f>
        <v>0</v>
      </c>
      <c r="AC571" s="33"/>
      <c r="AD571" s="33"/>
      <c r="AE571" s="33">
        <f>Ruimtestaat[[#This Row],[uren / jaar weekend]]*Tariefsopbouw!$D$40</f>
        <v>0</v>
      </c>
      <c r="AF571" s="79">
        <f>Ruimtestaat[[#This Row],[Prest. (m2 /jaar) weekend]]+Ruimtestaat[[#This Row],[Prest. (m2 /jaar) werkdagen]]</f>
        <v>9264</v>
      </c>
      <c r="AG571" s="79">
        <f>Ruimtestaat[[#This Row],[uren / jaar weekend]]+Ruimtestaat[[#This Row],[uren / jaar werkdagen]]</f>
        <v>0</v>
      </c>
      <c r="AH571" s="80">
        <f>Ruimtestaat[[#This Row],[kosten / jaar weekend]]+Ruimtestaat[[#This Row],[kosten / jaar werkdagen]]</f>
        <v>0</v>
      </c>
    </row>
    <row r="572" spans="1:34" ht="15" customHeight="1">
      <c r="A572" s="256">
        <v>9</v>
      </c>
      <c r="B572" s="171" t="str">
        <f>VLOOKUP(Ruimtestaat[[#This Row],[Code]],Locaties[#All],2,FALSE)</f>
        <v>De Stapsteen (De Zevensprong)</v>
      </c>
      <c r="C572" s="258" t="str">
        <f>VLOOKUP(Ruimtestaat[[#This Row],[Code]],Locaties[#All],4,FALSE)</f>
        <v>Coornhertstraat 3</v>
      </c>
      <c r="D572" s="258" t="str">
        <f>VLOOKUP(Ruimtestaat[[#This Row],[Code]],Locaties[#All],5,FALSE)</f>
        <v>7552 MT</v>
      </c>
      <c r="E572" s="258" t="str">
        <f>VLOOKUP(Ruimtestaat[[#This Row],[Code]],Locaties[#All],6,FALSE)</f>
        <v>Hengelo</v>
      </c>
      <c r="F572" s="257"/>
      <c r="G572" s="257" t="s">
        <v>563</v>
      </c>
      <c r="H572" s="171"/>
      <c r="I572" s="257">
        <v>28</v>
      </c>
      <c r="J572" s="259" t="s">
        <v>576</v>
      </c>
      <c r="K572" s="171">
        <v>16</v>
      </c>
      <c r="L572" s="260" t="str">
        <f>VLOOKUP(Ruimtestaat[[#This Row],[Ruimte code]],Ruimtegroepen[#All],2,FALSE)</f>
        <v>Leslokalen</v>
      </c>
      <c r="M572" s="258" t="s">
        <v>598</v>
      </c>
      <c r="N572" s="257" t="s">
        <v>132</v>
      </c>
      <c r="O572" s="261">
        <v>57.9</v>
      </c>
      <c r="P572" s="183"/>
      <c r="Q572" s="212" t="str">
        <f>VLOOKUP(Ruimtestaat[[#This Row],[Ruimte code]],Ruimtegroepen[#All],4,FALSE)</f>
        <v>L  (Lesruimte)</v>
      </c>
      <c r="R572" s="184"/>
      <c r="S572" s="185">
        <v>40</v>
      </c>
      <c r="T572" s="185" t="s">
        <v>20</v>
      </c>
      <c r="U572" s="185">
        <f>IF(S572&gt;0,IF(RIGHT(Ruimtestaat[[#This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2" s="185">
        <f>IF(U572&gt;0,VLOOKUP($K572,Ruimtegroepen[],3,FALSE)*VLOOKUP($M572,Vloersoorten[],3,FALSE)*VLOOKUP($T572,Frequenties[],3,FALSE)*VLOOKUP($A572,Locaties[],3,FALSE),0)</f>
        <v>0</v>
      </c>
      <c r="W572" s="185">
        <f>Ruimtestaat[[#This Row],[Uitvoeringen werkdagen]]*Ruimtestaat[[#This Row],[Oppervlak (netto)]]</f>
        <v>9264</v>
      </c>
      <c r="X572" s="220">
        <f>IF(V572&gt;0,Ruimtestaat[[#This Row],[Prest. (m2 /jaar) werkdagen]]/Ruimtestaat[[#This Row],[Norm (m2/uur) werkdagen]],0)</f>
        <v>0</v>
      </c>
      <c r="Y572" s="221">
        <f>Ruimtestaat[[#This Row],[uren / jaar werkdagen]]*Tariefsopbouw!$D$38</f>
        <v>0</v>
      </c>
      <c r="Z572" s="33"/>
      <c r="AA572" s="33">
        <f>IF(Ruimtestaat[[#This Row],[Frequentie weekend]]&gt;0,VALUE(LEFT(Z572,1))*S572,0)</f>
        <v>0</v>
      </c>
      <c r="AB572" s="33">
        <f>IF($AA572&gt;0,VLOOKUP($K572,Ruimtegroepen[],3,FALSE)*VLOOKUP($M572,Vloersoorten[],3,FALSE)*VLOOKUP($Z572,Frequenties[],3,FALSE)*VLOOKUP(#REF!,Locaties[],3,FALSE),0)</f>
        <v>0</v>
      </c>
      <c r="AC572" s="33"/>
      <c r="AD572" s="33"/>
      <c r="AE572" s="33">
        <f>Ruimtestaat[[#This Row],[uren / jaar weekend]]*Tariefsopbouw!$D$40</f>
        <v>0</v>
      </c>
      <c r="AF572" s="79">
        <f>Ruimtestaat[[#This Row],[Prest. (m2 /jaar) weekend]]+Ruimtestaat[[#This Row],[Prest. (m2 /jaar) werkdagen]]</f>
        <v>9264</v>
      </c>
      <c r="AG572" s="79">
        <f>Ruimtestaat[[#This Row],[uren / jaar weekend]]+Ruimtestaat[[#This Row],[uren / jaar werkdagen]]</f>
        <v>0</v>
      </c>
      <c r="AH572" s="80">
        <f>Ruimtestaat[[#This Row],[kosten / jaar weekend]]+Ruimtestaat[[#This Row],[kosten / jaar werkdagen]]</f>
        <v>0</v>
      </c>
    </row>
    <row r="573" spans="1:34" ht="15" customHeight="1">
      <c r="A573" s="256">
        <v>9</v>
      </c>
      <c r="B573" s="171" t="str">
        <f>VLOOKUP(Ruimtestaat[[#This Row],[Code]],Locaties[#All],2,FALSE)</f>
        <v>De Stapsteen (De Zevensprong)</v>
      </c>
      <c r="C573" s="258" t="str">
        <f>VLOOKUP(Ruimtestaat[[#This Row],[Code]],Locaties[#All],4,FALSE)</f>
        <v>Coornhertstraat 3</v>
      </c>
      <c r="D573" s="258" t="str">
        <f>VLOOKUP(Ruimtestaat[[#This Row],[Code]],Locaties[#All],5,FALSE)</f>
        <v>7552 MT</v>
      </c>
      <c r="E573" s="258" t="str">
        <f>VLOOKUP(Ruimtestaat[[#This Row],[Code]],Locaties[#All],6,FALSE)</f>
        <v>Hengelo</v>
      </c>
      <c r="F573" s="257"/>
      <c r="G573" s="257" t="s">
        <v>563</v>
      </c>
      <c r="H573" s="171"/>
      <c r="I573" s="257">
        <v>29</v>
      </c>
      <c r="J573" s="259" t="s">
        <v>574</v>
      </c>
      <c r="K573" s="258">
        <v>20</v>
      </c>
      <c r="L573" s="260" t="str">
        <f>VLOOKUP(Ruimtestaat[[#This Row],[Ruimte code]],Ruimtegroepen[#All],2,FALSE)</f>
        <v>Niet in onderhoud</v>
      </c>
      <c r="M573" s="258" t="s">
        <v>598</v>
      </c>
      <c r="N573" s="257" t="s">
        <v>132</v>
      </c>
      <c r="O573" s="261"/>
      <c r="P573" s="183">
        <v>70</v>
      </c>
      <c r="Q573" s="212" t="str">
        <f>VLOOKUP(Ruimtestaat[[#This Row],[Ruimte code]],Ruimtegroepen[#All],4,FALSE)</f>
        <v>niet in onderhoud</v>
      </c>
      <c r="R573" s="184"/>
      <c r="S573" s="185"/>
      <c r="T573" s="185"/>
      <c r="U573" s="185">
        <f>IF(S573&gt;0,IF(RIGHT(Ruimtestaat[[#This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73" s="185">
        <f>IF(U573&gt;0,VLOOKUP($K573,Ruimtegroepen[],3,FALSE)*VLOOKUP($M573,Vloersoorten[],3,FALSE)*VLOOKUP($T573,Frequenties[],3,FALSE)*VLOOKUP($A573,Locaties[],3,FALSE),0)</f>
        <v>0</v>
      </c>
      <c r="W573" s="185">
        <f>Ruimtestaat[[#This Row],[Uitvoeringen werkdagen]]*Ruimtestaat[[#This Row],[Oppervlak (netto)]]</f>
        <v>0</v>
      </c>
      <c r="X573" s="220">
        <f>IF(V573&gt;0,Ruimtestaat[[#This Row],[Prest. (m2 /jaar) werkdagen]]/Ruimtestaat[[#This Row],[Norm (m2/uur) werkdagen]],0)</f>
        <v>0</v>
      </c>
      <c r="Y573" s="221">
        <f>Ruimtestaat[[#This Row],[uren / jaar werkdagen]]*Tariefsopbouw!$D$38</f>
        <v>0</v>
      </c>
      <c r="Z573" s="33"/>
      <c r="AA573" s="33">
        <f>IF(Ruimtestaat[[#This Row],[Frequentie weekend]]&gt;0,VALUE(LEFT(Z573,1))*S573,0)</f>
        <v>0</v>
      </c>
      <c r="AB573" s="33">
        <f>IF($AA573&gt;0,VLOOKUP($K573,Ruimtegroepen[],3,FALSE)*VLOOKUP($M573,Vloersoorten[],3,FALSE)*VLOOKUP($Z573,Frequenties[],3,FALSE)*VLOOKUP(#REF!,Locaties[],3,FALSE),0)</f>
        <v>0</v>
      </c>
      <c r="AC573" s="33"/>
      <c r="AD573" s="33"/>
      <c r="AE573" s="33">
        <f>Ruimtestaat[[#This Row],[uren / jaar weekend]]*Tariefsopbouw!$D$40</f>
        <v>0</v>
      </c>
      <c r="AF573" s="79">
        <f>Ruimtestaat[[#This Row],[Prest. (m2 /jaar) weekend]]+Ruimtestaat[[#This Row],[Prest. (m2 /jaar) werkdagen]]</f>
        <v>0</v>
      </c>
      <c r="AG573" s="79">
        <f>Ruimtestaat[[#This Row],[uren / jaar weekend]]+Ruimtestaat[[#This Row],[uren / jaar werkdagen]]</f>
        <v>0</v>
      </c>
      <c r="AH573" s="80">
        <f>Ruimtestaat[[#This Row],[kosten / jaar weekend]]+Ruimtestaat[[#This Row],[kosten / jaar werkdagen]]</f>
        <v>0</v>
      </c>
    </row>
    <row r="574" spans="1:34" ht="15" customHeight="1">
      <c r="A574" s="256">
        <v>9</v>
      </c>
      <c r="B574" s="171" t="str">
        <f>VLOOKUP(Ruimtestaat[[#This Row],[Code]],Locaties[#All],2,FALSE)</f>
        <v>De Stapsteen (De Zevensprong)</v>
      </c>
      <c r="C574" s="258" t="str">
        <f>VLOOKUP(Ruimtestaat[[#This Row],[Code]],Locaties[#All],4,FALSE)</f>
        <v>Coornhertstraat 3</v>
      </c>
      <c r="D574" s="258" t="str">
        <f>VLOOKUP(Ruimtestaat[[#This Row],[Code]],Locaties[#All],5,FALSE)</f>
        <v>7552 MT</v>
      </c>
      <c r="E574" s="258" t="str">
        <f>VLOOKUP(Ruimtestaat[[#This Row],[Code]],Locaties[#All],6,FALSE)</f>
        <v>Hengelo</v>
      </c>
      <c r="F574" s="257"/>
      <c r="G574" s="257" t="s">
        <v>563</v>
      </c>
      <c r="H574" s="171"/>
      <c r="I574" s="257">
        <v>30</v>
      </c>
      <c r="J574" s="259" t="s">
        <v>130</v>
      </c>
      <c r="K574" s="224">
        <v>15</v>
      </c>
      <c r="L574" s="260" t="str">
        <f>VLOOKUP(Ruimtestaat[[#This Row],[Ruimte code]],Ruimtegroepen[#All],2,FALSE)</f>
        <v>Keuken/pantry</v>
      </c>
      <c r="M574" s="212" t="s">
        <v>111</v>
      </c>
      <c r="N574" s="257" t="s">
        <v>606</v>
      </c>
      <c r="O574" s="261">
        <v>14.3</v>
      </c>
      <c r="P574" s="183"/>
      <c r="Q574" s="212" t="str">
        <f>VLOOKUP(Ruimtestaat[[#This Row],[Ruimte code]],Ruimtegroepen[#All],4,FALSE)</f>
        <v>V  (Verkeersruimte)</v>
      </c>
      <c r="R574" s="184"/>
      <c r="S574" s="185">
        <v>40</v>
      </c>
      <c r="T574" s="185" t="s">
        <v>2</v>
      </c>
      <c r="U574" s="185">
        <f>IF(S574&gt;0,IF(RIGHT(Ruimtestaat[[#This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74" s="185">
        <f>IF(U574&gt;0,VLOOKUP($K574,Ruimtegroepen[],3,FALSE)*VLOOKUP($M574,Vloersoorten[],3,FALSE)*VLOOKUP($T574,Frequenties[],3,FALSE)*VLOOKUP($A574,Locaties[],3,FALSE),0)</f>
        <v>0</v>
      </c>
      <c r="W574" s="185">
        <f>Ruimtestaat[[#This Row],[Uitvoeringen werkdagen]]*Ruimtestaat[[#This Row],[Oppervlak (netto)]]</f>
        <v>2860</v>
      </c>
      <c r="X574" s="220">
        <f>IF(V574&gt;0,Ruimtestaat[[#This Row],[Prest. (m2 /jaar) werkdagen]]/Ruimtestaat[[#This Row],[Norm (m2/uur) werkdagen]],0)</f>
        <v>0</v>
      </c>
      <c r="Y574" s="221">
        <f>Ruimtestaat[[#This Row],[uren / jaar werkdagen]]*Tariefsopbouw!$D$38</f>
        <v>0</v>
      </c>
      <c r="Z574" s="33"/>
      <c r="AA574" s="33">
        <f>IF(Ruimtestaat[[#This Row],[Frequentie weekend]]&gt;0,VALUE(LEFT(Z574,1))*S574,0)</f>
        <v>0</v>
      </c>
      <c r="AB574" s="33">
        <f>IF($AA574&gt;0,VLOOKUP($K574,Ruimtegroepen[],3,FALSE)*VLOOKUP($M574,Vloersoorten[],3,FALSE)*VLOOKUP($Z574,Frequenties[],3,FALSE)*VLOOKUP(#REF!,Locaties[],3,FALSE),0)</f>
        <v>0</v>
      </c>
      <c r="AC574" s="33"/>
      <c r="AD574" s="33"/>
      <c r="AE574" s="33">
        <f>Ruimtestaat[[#This Row],[uren / jaar weekend]]*Tariefsopbouw!$D$40</f>
        <v>0</v>
      </c>
      <c r="AF574" s="79">
        <f>Ruimtestaat[[#This Row],[Prest. (m2 /jaar) weekend]]+Ruimtestaat[[#This Row],[Prest. (m2 /jaar) werkdagen]]</f>
        <v>2860</v>
      </c>
      <c r="AG574" s="79">
        <f>Ruimtestaat[[#This Row],[uren / jaar weekend]]+Ruimtestaat[[#This Row],[uren / jaar werkdagen]]</f>
        <v>0</v>
      </c>
      <c r="AH574" s="80">
        <f>Ruimtestaat[[#This Row],[kosten / jaar weekend]]+Ruimtestaat[[#This Row],[kosten / jaar werkdagen]]</f>
        <v>0</v>
      </c>
    </row>
    <row r="575" spans="1:34" ht="15" customHeight="1">
      <c r="A575" s="256">
        <v>9</v>
      </c>
      <c r="B575" s="171" t="str">
        <f>VLOOKUP(Ruimtestaat[[#This Row],[Code]],Locaties[#All],2,FALSE)</f>
        <v>De Stapsteen (De Zevensprong)</v>
      </c>
      <c r="C575" s="258" t="str">
        <f>VLOOKUP(Ruimtestaat[[#This Row],[Code]],Locaties[#All],4,FALSE)</f>
        <v>Coornhertstraat 3</v>
      </c>
      <c r="D575" s="258" t="str">
        <f>VLOOKUP(Ruimtestaat[[#This Row],[Code]],Locaties[#All],5,FALSE)</f>
        <v>7552 MT</v>
      </c>
      <c r="E575" s="258" t="str">
        <f>VLOOKUP(Ruimtestaat[[#This Row],[Code]],Locaties[#All],6,FALSE)</f>
        <v>Hengelo</v>
      </c>
      <c r="F575" s="257"/>
      <c r="G575" s="257" t="s">
        <v>563</v>
      </c>
      <c r="H575" s="171"/>
      <c r="I575" s="257">
        <v>31</v>
      </c>
      <c r="J575" s="259" t="s">
        <v>571</v>
      </c>
      <c r="K575" s="171">
        <v>2</v>
      </c>
      <c r="L575" s="260" t="str">
        <f>VLOOKUP(Ruimtestaat[[#This Row],[Ruimte code]],Ruimtegroepen[#All],2,FALSE)</f>
        <v>Kantoren</v>
      </c>
      <c r="M575" s="212" t="s">
        <v>597</v>
      </c>
      <c r="N575" s="257" t="s">
        <v>38</v>
      </c>
      <c r="O575" s="261">
        <v>13</v>
      </c>
      <c r="P575" s="183"/>
      <c r="Q575" s="212" t="str">
        <f>VLOOKUP(Ruimtestaat[[#This Row],[Ruimte code]],Ruimtegroepen[#All],4,FALSE)</f>
        <v>B  (Bureauruimte)</v>
      </c>
      <c r="R575" s="184"/>
      <c r="S575" s="185">
        <v>40</v>
      </c>
      <c r="T575" s="185" t="s">
        <v>17</v>
      </c>
      <c r="U575" s="185">
        <f>IF(S575&gt;0,IF(RIGHT(Ruimtestaat[[#This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75" s="185">
        <f>IF(U575&gt;0,VLOOKUP($K575,Ruimtegroepen[],3,FALSE)*VLOOKUP($M575,Vloersoorten[],3,FALSE)*VLOOKUP($T575,Frequenties[],3,FALSE)*VLOOKUP($A575,Locaties[],3,FALSE),0)</f>
        <v>0</v>
      </c>
      <c r="W575" s="185">
        <f>Ruimtestaat[[#This Row],[Uitvoeringen werkdagen]]*Ruimtestaat[[#This Row],[Oppervlak (netto)]]</f>
        <v>1040</v>
      </c>
      <c r="X575" s="220">
        <f>IF(V575&gt;0,Ruimtestaat[[#This Row],[Prest. (m2 /jaar) werkdagen]]/Ruimtestaat[[#This Row],[Norm (m2/uur) werkdagen]],0)</f>
        <v>0</v>
      </c>
      <c r="Y575" s="221">
        <f>Ruimtestaat[[#This Row],[uren / jaar werkdagen]]*Tariefsopbouw!$D$38</f>
        <v>0</v>
      </c>
      <c r="Z575" s="33"/>
      <c r="AA575" s="33">
        <f>IF(Ruimtestaat[[#This Row],[Frequentie weekend]]&gt;0,VALUE(LEFT(Z575,1))*S575,0)</f>
        <v>0</v>
      </c>
      <c r="AB575" s="33">
        <f>IF($AA575&gt;0,VLOOKUP($K575,Ruimtegroepen[],3,FALSE)*VLOOKUP($M575,Vloersoorten[],3,FALSE)*VLOOKUP($Z575,Frequenties[],3,FALSE)*VLOOKUP(#REF!,Locaties[],3,FALSE),0)</f>
        <v>0</v>
      </c>
      <c r="AC575" s="33"/>
      <c r="AD575" s="33"/>
      <c r="AE575" s="33">
        <f>Ruimtestaat[[#This Row],[uren / jaar weekend]]*Tariefsopbouw!$D$40</f>
        <v>0</v>
      </c>
      <c r="AF575" s="79">
        <f>Ruimtestaat[[#This Row],[Prest. (m2 /jaar) weekend]]+Ruimtestaat[[#This Row],[Prest. (m2 /jaar) werkdagen]]</f>
        <v>1040</v>
      </c>
      <c r="AG575" s="79">
        <f>Ruimtestaat[[#This Row],[uren / jaar weekend]]+Ruimtestaat[[#This Row],[uren / jaar werkdagen]]</f>
        <v>0</v>
      </c>
      <c r="AH575" s="80">
        <f>Ruimtestaat[[#This Row],[kosten / jaar weekend]]+Ruimtestaat[[#This Row],[kosten / jaar werkdagen]]</f>
        <v>0</v>
      </c>
    </row>
    <row r="576" spans="1:34" ht="15" customHeight="1">
      <c r="A576" s="256">
        <v>9</v>
      </c>
      <c r="B576" s="171" t="str">
        <f>VLOOKUP(Ruimtestaat[[#This Row],[Code]],Locaties[#All],2,FALSE)</f>
        <v>De Stapsteen (De Zevensprong)</v>
      </c>
      <c r="C576" s="258" t="str">
        <f>VLOOKUP(Ruimtestaat[[#This Row],[Code]],Locaties[#All],4,FALSE)</f>
        <v>Coornhertstraat 3</v>
      </c>
      <c r="D576" s="258" t="str">
        <f>VLOOKUP(Ruimtestaat[[#This Row],[Code]],Locaties[#All],5,FALSE)</f>
        <v>7552 MT</v>
      </c>
      <c r="E576" s="258" t="str">
        <f>VLOOKUP(Ruimtestaat[[#This Row],[Code]],Locaties[#All],6,FALSE)</f>
        <v>Hengelo</v>
      </c>
      <c r="F576" s="257"/>
      <c r="G576" s="257" t="s">
        <v>563</v>
      </c>
      <c r="H576" s="171"/>
      <c r="I576" s="257">
        <v>32</v>
      </c>
      <c r="J576" s="259" t="s">
        <v>571</v>
      </c>
      <c r="K576" s="258">
        <v>2</v>
      </c>
      <c r="L576" s="260" t="str">
        <f>VLOOKUP(Ruimtestaat[[#This Row],[Ruimte code]],Ruimtegroepen[#All],2,FALSE)</f>
        <v>Kantoren</v>
      </c>
      <c r="M576" s="212" t="s">
        <v>597</v>
      </c>
      <c r="N576" s="257" t="s">
        <v>38</v>
      </c>
      <c r="O576" s="261">
        <v>20.7</v>
      </c>
      <c r="P576" s="183"/>
      <c r="Q576" s="212" t="str">
        <f>VLOOKUP(Ruimtestaat[[#This Row],[Ruimte code]],Ruimtegroepen[#All],4,FALSE)</f>
        <v>B  (Bureauruimte)</v>
      </c>
      <c r="R576" s="184"/>
      <c r="S576" s="185">
        <v>40</v>
      </c>
      <c r="T576" s="185" t="s">
        <v>17</v>
      </c>
      <c r="U576" s="185">
        <f>IF(S576&gt;0,IF(RIGHT(Ruimtestaat[[#This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76" s="185">
        <f>IF(U576&gt;0,VLOOKUP($K576,Ruimtegroepen[],3,FALSE)*VLOOKUP($M576,Vloersoorten[],3,FALSE)*VLOOKUP($T576,Frequenties[],3,FALSE)*VLOOKUP($A576,Locaties[],3,FALSE),0)</f>
        <v>0</v>
      </c>
      <c r="W576" s="185">
        <f>Ruimtestaat[[#This Row],[Uitvoeringen werkdagen]]*Ruimtestaat[[#This Row],[Oppervlak (netto)]]</f>
        <v>1656</v>
      </c>
      <c r="X576" s="220">
        <f>IF(V576&gt;0,Ruimtestaat[[#This Row],[Prest. (m2 /jaar) werkdagen]]/Ruimtestaat[[#This Row],[Norm (m2/uur) werkdagen]],0)</f>
        <v>0</v>
      </c>
      <c r="Y576" s="221">
        <f>Ruimtestaat[[#This Row],[uren / jaar werkdagen]]*Tariefsopbouw!$D$38</f>
        <v>0</v>
      </c>
      <c r="Z576" s="33"/>
      <c r="AA576" s="33">
        <f>IF(Ruimtestaat[[#This Row],[Frequentie weekend]]&gt;0,VALUE(LEFT(Z576,1))*S576,0)</f>
        <v>0</v>
      </c>
      <c r="AB576" s="33">
        <f>IF($AA576&gt;0,VLOOKUP($K576,Ruimtegroepen[],3,FALSE)*VLOOKUP($M576,Vloersoorten[],3,FALSE)*VLOOKUP($Z576,Frequenties[],3,FALSE)*VLOOKUP(#REF!,Locaties[],3,FALSE),0)</f>
        <v>0</v>
      </c>
      <c r="AC576" s="33"/>
      <c r="AD576" s="33"/>
      <c r="AE576" s="33">
        <f>Ruimtestaat[[#This Row],[uren / jaar weekend]]*Tariefsopbouw!$D$40</f>
        <v>0</v>
      </c>
      <c r="AF576" s="79">
        <f>Ruimtestaat[[#This Row],[Prest. (m2 /jaar) weekend]]+Ruimtestaat[[#This Row],[Prest. (m2 /jaar) werkdagen]]</f>
        <v>1656</v>
      </c>
      <c r="AG576" s="79">
        <f>Ruimtestaat[[#This Row],[uren / jaar weekend]]+Ruimtestaat[[#This Row],[uren / jaar werkdagen]]</f>
        <v>0</v>
      </c>
      <c r="AH576" s="80">
        <f>Ruimtestaat[[#This Row],[kosten / jaar weekend]]+Ruimtestaat[[#This Row],[kosten / jaar werkdagen]]</f>
        <v>0</v>
      </c>
    </row>
    <row r="577" spans="1:34" ht="15" customHeight="1">
      <c r="A577" s="256">
        <v>9</v>
      </c>
      <c r="B577" s="171" t="str">
        <f>VLOOKUP(Ruimtestaat[[#This Row],[Code]],Locaties[#All],2,FALSE)</f>
        <v>De Stapsteen (De Zevensprong)</v>
      </c>
      <c r="C577" s="258" t="str">
        <f>VLOOKUP(Ruimtestaat[[#This Row],[Code]],Locaties[#All],4,FALSE)</f>
        <v>Coornhertstraat 3</v>
      </c>
      <c r="D577" s="258" t="str">
        <f>VLOOKUP(Ruimtestaat[[#This Row],[Code]],Locaties[#All],5,FALSE)</f>
        <v>7552 MT</v>
      </c>
      <c r="E577" s="258" t="str">
        <f>VLOOKUP(Ruimtestaat[[#This Row],[Code]],Locaties[#All],6,FALSE)</f>
        <v>Hengelo</v>
      </c>
      <c r="F577" s="257"/>
      <c r="G577" s="257" t="s">
        <v>563</v>
      </c>
      <c r="H577" s="171"/>
      <c r="I577" s="257">
        <v>33</v>
      </c>
      <c r="J577" s="259" t="s">
        <v>575</v>
      </c>
      <c r="K577" s="258">
        <v>20</v>
      </c>
      <c r="L577" s="260" t="str">
        <f>VLOOKUP(Ruimtestaat[[#This Row],[Ruimte code]],Ruimtegroepen[#All],2,FALSE)</f>
        <v>Niet in onderhoud</v>
      </c>
      <c r="M577" s="258" t="s">
        <v>597</v>
      </c>
      <c r="N577" s="257" t="s">
        <v>38</v>
      </c>
      <c r="O577" s="261"/>
      <c r="P577" s="183">
        <v>60</v>
      </c>
      <c r="Q577" s="212" t="str">
        <f>VLOOKUP(Ruimtestaat[[#This Row],[Ruimte code]],Ruimtegroepen[#All],4,FALSE)</f>
        <v>niet in onderhoud</v>
      </c>
      <c r="R577" s="184"/>
      <c r="S577" s="185"/>
      <c r="T577" s="185"/>
      <c r="U577" s="185">
        <f>IF(S577&gt;0,IF(RIGHT(Ruimtestaat[[#This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77" s="185">
        <f>IF(U577&gt;0,VLOOKUP($K577,Ruimtegroepen[],3,FALSE)*VLOOKUP($M577,Vloersoorten[],3,FALSE)*VLOOKUP($T577,Frequenties[],3,FALSE)*VLOOKUP($A577,Locaties[],3,FALSE),0)</f>
        <v>0</v>
      </c>
      <c r="W577" s="185">
        <f>Ruimtestaat[[#This Row],[Uitvoeringen werkdagen]]*Ruimtestaat[[#This Row],[Oppervlak (netto)]]</f>
        <v>0</v>
      </c>
      <c r="X577" s="220">
        <f>IF(V577&gt;0,Ruimtestaat[[#This Row],[Prest. (m2 /jaar) werkdagen]]/Ruimtestaat[[#This Row],[Norm (m2/uur) werkdagen]],0)</f>
        <v>0</v>
      </c>
      <c r="Y577" s="221">
        <f>Ruimtestaat[[#This Row],[uren / jaar werkdagen]]*Tariefsopbouw!$D$38</f>
        <v>0</v>
      </c>
      <c r="Z577" s="33"/>
      <c r="AA577" s="33">
        <f>IF(Ruimtestaat[[#This Row],[Frequentie weekend]]&gt;0,VALUE(LEFT(Z577,1))*S577,0)</f>
        <v>0</v>
      </c>
      <c r="AB577" s="33">
        <f>IF($AA577&gt;0,VLOOKUP($K577,Ruimtegroepen[],3,FALSE)*VLOOKUP($M577,Vloersoorten[],3,FALSE)*VLOOKUP($Z577,Frequenties[],3,FALSE)*VLOOKUP(#REF!,Locaties[],3,FALSE),0)</f>
        <v>0</v>
      </c>
      <c r="AC577" s="33"/>
      <c r="AD577" s="33"/>
      <c r="AE577" s="33">
        <f>Ruimtestaat[[#This Row],[uren / jaar weekend]]*Tariefsopbouw!$D$40</f>
        <v>0</v>
      </c>
      <c r="AF577" s="79">
        <f>Ruimtestaat[[#This Row],[Prest. (m2 /jaar) weekend]]+Ruimtestaat[[#This Row],[Prest. (m2 /jaar) werkdagen]]</f>
        <v>0</v>
      </c>
      <c r="AG577" s="79">
        <f>Ruimtestaat[[#This Row],[uren / jaar weekend]]+Ruimtestaat[[#This Row],[uren / jaar werkdagen]]</f>
        <v>0</v>
      </c>
      <c r="AH577" s="80">
        <f>Ruimtestaat[[#This Row],[kosten / jaar weekend]]+Ruimtestaat[[#This Row],[kosten / jaar werkdagen]]</f>
        <v>0</v>
      </c>
    </row>
    <row r="578" spans="1:34" ht="15" customHeight="1">
      <c r="A578" s="256">
        <v>9</v>
      </c>
      <c r="B578" s="171" t="str">
        <f>VLOOKUP(Ruimtestaat[[#This Row],[Code]],Locaties[#All],2,FALSE)</f>
        <v>De Stapsteen (De Zevensprong)</v>
      </c>
      <c r="C578" s="258" t="str">
        <f>VLOOKUP(Ruimtestaat[[#This Row],[Code]],Locaties[#All],4,FALSE)</f>
        <v>Coornhertstraat 3</v>
      </c>
      <c r="D578" s="258" t="str">
        <f>VLOOKUP(Ruimtestaat[[#This Row],[Code]],Locaties[#All],5,FALSE)</f>
        <v>7552 MT</v>
      </c>
      <c r="E578" s="258" t="str">
        <f>VLOOKUP(Ruimtestaat[[#This Row],[Code]],Locaties[#All],6,FALSE)</f>
        <v>Hengelo</v>
      </c>
      <c r="F578" s="257"/>
      <c r="G578" s="257" t="s">
        <v>563</v>
      </c>
      <c r="H578" s="171"/>
      <c r="I578" s="257">
        <v>34</v>
      </c>
      <c r="J578" s="259" t="s">
        <v>576</v>
      </c>
      <c r="K578" s="258">
        <v>16</v>
      </c>
      <c r="L578" s="260" t="str">
        <f>VLOOKUP(Ruimtestaat[[#This Row],[Ruimte code]],Ruimtegroepen[#All],2,FALSE)</f>
        <v>Leslokalen</v>
      </c>
      <c r="M578" s="258" t="s">
        <v>598</v>
      </c>
      <c r="N578" s="257" t="s">
        <v>132</v>
      </c>
      <c r="O578" s="261">
        <v>57.9</v>
      </c>
      <c r="P578" s="183"/>
      <c r="Q578" s="212" t="str">
        <f>VLOOKUP(Ruimtestaat[[#This Row],[Ruimte code]],Ruimtegroepen[#All],4,FALSE)</f>
        <v>L  (Lesruimte)</v>
      </c>
      <c r="R578" s="184"/>
      <c r="S578" s="185">
        <v>40</v>
      </c>
      <c r="T578" s="185" t="s">
        <v>20</v>
      </c>
      <c r="U578" s="185">
        <f>IF(S578&gt;0,IF(RIGHT(Ruimtestaat[[#This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8" s="185">
        <f>IF(U578&gt;0,VLOOKUP($K578,Ruimtegroepen[],3,FALSE)*VLOOKUP($M578,Vloersoorten[],3,FALSE)*VLOOKUP($T578,Frequenties[],3,FALSE)*VLOOKUP($A578,Locaties[],3,FALSE),0)</f>
        <v>0</v>
      </c>
      <c r="W578" s="185">
        <f>Ruimtestaat[[#This Row],[Uitvoeringen werkdagen]]*Ruimtestaat[[#This Row],[Oppervlak (netto)]]</f>
        <v>9264</v>
      </c>
      <c r="X578" s="220">
        <f>IF(V578&gt;0,Ruimtestaat[[#This Row],[Prest. (m2 /jaar) werkdagen]]/Ruimtestaat[[#This Row],[Norm (m2/uur) werkdagen]],0)</f>
        <v>0</v>
      </c>
      <c r="Y578" s="221">
        <f>Ruimtestaat[[#This Row],[uren / jaar werkdagen]]*Tariefsopbouw!$D$38</f>
        <v>0</v>
      </c>
      <c r="Z578" s="33"/>
      <c r="AA578" s="33">
        <f>IF(Ruimtestaat[[#This Row],[Frequentie weekend]]&gt;0,VALUE(LEFT(Z578,1))*S578,0)</f>
        <v>0</v>
      </c>
      <c r="AB578" s="33">
        <f>IF($AA578&gt;0,VLOOKUP($K578,Ruimtegroepen[],3,FALSE)*VLOOKUP($M578,Vloersoorten[],3,FALSE)*VLOOKUP($Z578,Frequenties[],3,FALSE)*VLOOKUP(#REF!,Locaties[],3,FALSE),0)</f>
        <v>0</v>
      </c>
      <c r="AC578" s="33"/>
      <c r="AD578" s="33"/>
      <c r="AE578" s="33">
        <f>Ruimtestaat[[#This Row],[uren / jaar weekend]]*Tariefsopbouw!$D$40</f>
        <v>0</v>
      </c>
      <c r="AF578" s="79">
        <f>Ruimtestaat[[#This Row],[Prest. (m2 /jaar) weekend]]+Ruimtestaat[[#This Row],[Prest. (m2 /jaar) werkdagen]]</f>
        <v>9264</v>
      </c>
      <c r="AG578" s="79">
        <f>Ruimtestaat[[#This Row],[uren / jaar weekend]]+Ruimtestaat[[#This Row],[uren / jaar werkdagen]]</f>
        <v>0</v>
      </c>
      <c r="AH578" s="80">
        <f>Ruimtestaat[[#This Row],[kosten / jaar weekend]]+Ruimtestaat[[#This Row],[kosten / jaar werkdagen]]</f>
        <v>0</v>
      </c>
    </row>
    <row r="579" spans="1:34" ht="15" customHeight="1">
      <c r="A579" s="256">
        <v>9</v>
      </c>
      <c r="B579" s="171" t="str">
        <f>VLOOKUP(Ruimtestaat[[#This Row],[Code]],Locaties[#All],2,FALSE)</f>
        <v>De Stapsteen (De Zevensprong)</v>
      </c>
      <c r="C579" s="258" t="str">
        <f>VLOOKUP(Ruimtestaat[[#This Row],[Code]],Locaties[#All],4,FALSE)</f>
        <v>Coornhertstraat 3</v>
      </c>
      <c r="D579" s="258" t="str">
        <f>VLOOKUP(Ruimtestaat[[#This Row],[Code]],Locaties[#All],5,FALSE)</f>
        <v>7552 MT</v>
      </c>
      <c r="E579" s="258" t="str">
        <f>VLOOKUP(Ruimtestaat[[#This Row],[Code]],Locaties[#All],6,FALSE)</f>
        <v>Hengelo</v>
      </c>
      <c r="F579" s="257"/>
      <c r="G579" s="257" t="s">
        <v>563</v>
      </c>
      <c r="H579" s="171"/>
      <c r="I579" s="257">
        <v>35</v>
      </c>
      <c r="J579" s="259" t="s">
        <v>576</v>
      </c>
      <c r="K579" s="258">
        <v>16</v>
      </c>
      <c r="L579" s="260" t="str">
        <f>VLOOKUP(Ruimtestaat[[#This Row],[Ruimte code]],Ruimtegroepen[#All],2,FALSE)</f>
        <v>Leslokalen</v>
      </c>
      <c r="M579" s="185" t="s">
        <v>598</v>
      </c>
      <c r="N579" s="257" t="s">
        <v>132</v>
      </c>
      <c r="O579" s="261">
        <v>57.9</v>
      </c>
      <c r="P579" s="183"/>
      <c r="Q579" s="212" t="str">
        <f>VLOOKUP(Ruimtestaat[[#This Row],[Ruimte code]],Ruimtegroepen[#All],4,FALSE)</f>
        <v>L  (Lesruimte)</v>
      </c>
      <c r="R579" s="184"/>
      <c r="S579" s="185">
        <v>40</v>
      </c>
      <c r="T579" s="185" t="s">
        <v>20</v>
      </c>
      <c r="U579" s="185">
        <f>IF(S579&gt;0,IF(RIGHT(Ruimtestaat[[#This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9" s="185">
        <f>IF(U579&gt;0,VLOOKUP($K579,Ruimtegroepen[],3,FALSE)*VLOOKUP($M579,Vloersoorten[],3,FALSE)*VLOOKUP($T579,Frequenties[],3,FALSE)*VLOOKUP($A579,Locaties[],3,FALSE),0)</f>
        <v>0</v>
      </c>
      <c r="W579" s="185">
        <f>Ruimtestaat[[#This Row],[Uitvoeringen werkdagen]]*Ruimtestaat[[#This Row],[Oppervlak (netto)]]</f>
        <v>9264</v>
      </c>
      <c r="X579" s="220">
        <f>IF(V579&gt;0,Ruimtestaat[[#This Row],[Prest. (m2 /jaar) werkdagen]]/Ruimtestaat[[#This Row],[Norm (m2/uur) werkdagen]],0)</f>
        <v>0</v>
      </c>
      <c r="Y579" s="221">
        <f>Ruimtestaat[[#This Row],[uren / jaar werkdagen]]*Tariefsopbouw!$D$38</f>
        <v>0</v>
      </c>
      <c r="Z579" s="33"/>
      <c r="AA579" s="33">
        <f>IF(Ruimtestaat[[#This Row],[Frequentie weekend]]&gt;0,VALUE(LEFT(Z579,1))*S579,0)</f>
        <v>0</v>
      </c>
      <c r="AB579" s="33">
        <f>IF($AA579&gt;0,VLOOKUP($K579,Ruimtegroepen[],3,FALSE)*VLOOKUP($M579,Vloersoorten[],3,FALSE)*VLOOKUP($Z579,Frequenties[],3,FALSE)*VLOOKUP(#REF!,Locaties[],3,FALSE),0)</f>
        <v>0</v>
      </c>
      <c r="AC579" s="33"/>
      <c r="AD579" s="33"/>
      <c r="AE579" s="33">
        <f>Ruimtestaat[[#This Row],[uren / jaar weekend]]*Tariefsopbouw!$D$40</f>
        <v>0</v>
      </c>
      <c r="AF579" s="79">
        <f>Ruimtestaat[[#This Row],[Prest. (m2 /jaar) weekend]]+Ruimtestaat[[#This Row],[Prest. (m2 /jaar) werkdagen]]</f>
        <v>9264</v>
      </c>
      <c r="AG579" s="79">
        <f>Ruimtestaat[[#This Row],[uren / jaar weekend]]+Ruimtestaat[[#This Row],[uren / jaar werkdagen]]</f>
        <v>0</v>
      </c>
      <c r="AH579" s="80">
        <f>Ruimtestaat[[#This Row],[kosten / jaar weekend]]+Ruimtestaat[[#This Row],[kosten / jaar werkdagen]]</f>
        <v>0</v>
      </c>
    </row>
    <row r="580" spans="1:34" ht="15" customHeight="1">
      <c r="A580" s="256">
        <v>9</v>
      </c>
      <c r="B580" s="171" t="str">
        <f>VLOOKUP(Ruimtestaat[[#This Row],[Code]],Locaties[#All],2,FALSE)</f>
        <v>De Stapsteen (De Zevensprong)</v>
      </c>
      <c r="C580" s="258" t="str">
        <f>VLOOKUP(Ruimtestaat[[#This Row],[Code]],Locaties[#All],4,FALSE)</f>
        <v>Coornhertstraat 3</v>
      </c>
      <c r="D580" s="258" t="str">
        <f>VLOOKUP(Ruimtestaat[[#This Row],[Code]],Locaties[#All],5,FALSE)</f>
        <v>7552 MT</v>
      </c>
      <c r="E580" s="258" t="str">
        <f>VLOOKUP(Ruimtestaat[[#This Row],[Code]],Locaties[#All],6,FALSE)</f>
        <v>Hengelo</v>
      </c>
      <c r="F580" s="257"/>
      <c r="G580" s="257" t="s">
        <v>563</v>
      </c>
      <c r="H580" s="171"/>
      <c r="I580" s="257">
        <v>36</v>
      </c>
      <c r="J580" s="259" t="s">
        <v>623</v>
      </c>
      <c r="K580" s="258">
        <v>20</v>
      </c>
      <c r="L580" s="260" t="str">
        <f>VLOOKUP(Ruimtestaat[[#This Row],[Ruimte code]],Ruimtegroepen[#All],2,FALSE)</f>
        <v>Niet in onderhoud</v>
      </c>
      <c r="M580" s="258" t="s">
        <v>598</v>
      </c>
      <c r="N580" s="257" t="s">
        <v>132</v>
      </c>
      <c r="O580" s="261"/>
      <c r="P580" s="183">
        <v>2.7</v>
      </c>
      <c r="Q580" s="212" t="str">
        <f>VLOOKUP(Ruimtestaat[[#This Row],[Ruimte code]],Ruimtegroepen[#All],4,FALSE)</f>
        <v>niet in onderhoud</v>
      </c>
      <c r="R580" s="184"/>
      <c r="S580" s="185"/>
      <c r="T580" s="185"/>
      <c r="U580" s="185">
        <f>IF(S580&gt;0,IF(RIGHT(Ruimtestaat[[#This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0" s="185">
        <f>IF(U580&gt;0,VLOOKUP($K580,Ruimtegroepen[],3,FALSE)*VLOOKUP($M580,Vloersoorten[],3,FALSE)*VLOOKUP($T580,Frequenties[],3,FALSE)*VLOOKUP($A580,Locaties[],3,FALSE),0)</f>
        <v>0</v>
      </c>
      <c r="W580" s="185">
        <f>Ruimtestaat[[#This Row],[Uitvoeringen werkdagen]]*Ruimtestaat[[#This Row],[Oppervlak (netto)]]</f>
        <v>0</v>
      </c>
      <c r="X580" s="220">
        <f>IF(V580&gt;0,Ruimtestaat[[#This Row],[Prest. (m2 /jaar) werkdagen]]/Ruimtestaat[[#This Row],[Norm (m2/uur) werkdagen]],0)</f>
        <v>0</v>
      </c>
      <c r="Y580" s="221">
        <f>Ruimtestaat[[#This Row],[uren / jaar werkdagen]]*Tariefsopbouw!$D$38</f>
        <v>0</v>
      </c>
      <c r="Z580" s="33"/>
      <c r="AA580" s="33">
        <f>IF(Ruimtestaat[[#This Row],[Frequentie weekend]]&gt;0,VALUE(LEFT(Z580,1))*S580,0)</f>
        <v>0</v>
      </c>
      <c r="AB580" s="33">
        <f>IF($AA580&gt;0,VLOOKUP($K580,Ruimtegroepen[],3,FALSE)*VLOOKUP($M580,Vloersoorten[],3,FALSE)*VLOOKUP($Z580,Frequenties[],3,FALSE)*VLOOKUP(#REF!,Locaties[],3,FALSE),0)</f>
        <v>0</v>
      </c>
      <c r="AC580" s="33"/>
      <c r="AD580" s="33"/>
      <c r="AE580" s="33">
        <f>Ruimtestaat[[#This Row],[uren / jaar weekend]]*Tariefsopbouw!$D$40</f>
        <v>0</v>
      </c>
      <c r="AF580" s="79">
        <f>Ruimtestaat[[#This Row],[Prest. (m2 /jaar) weekend]]+Ruimtestaat[[#This Row],[Prest. (m2 /jaar) werkdagen]]</f>
        <v>0</v>
      </c>
      <c r="AG580" s="79">
        <f>Ruimtestaat[[#This Row],[uren / jaar weekend]]+Ruimtestaat[[#This Row],[uren / jaar werkdagen]]</f>
        <v>0</v>
      </c>
      <c r="AH580" s="80">
        <f>Ruimtestaat[[#This Row],[kosten / jaar weekend]]+Ruimtestaat[[#This Row],[kosten / jaar werkdagen]]</f>
        <v>0</v>
      </c>
    </row>
    <row r="581" spans="1:34" ht="15" customHeight="1">
      <c r="A581" s="256">
        <v>9</v>
      </c>
      <c r="B581" s="171" t="str">
        <f>VLOOKUP(Ruimtestaat[[#This Row],[Code]],Locaties[#All],2,FALSE)</f>
        <v>De Stapsteen (De Zevensprong)</v>
      </c>
      <c r="C581" s="258" t="str">
        <f>VLOOKUP(Ruimtestaat[[#This Row],[Code]],Locaties[#All],4,FALSE)</f>
        <v>Coornhertstraat 3</v>
      </c>
      <c r="D581" s="258" t="str">
        <f>VLOOKUP(Ruimtestaat[[#This Row],[Code]],Locaties[#All],5,FALSE)</f>
        <v>7552 MT</v>
      </c>
      <c r="E581" s="258" t="str">
        <f>VLOOKUP(Ruimtestaat[[#This Row],[Code]],Locaties[#All],6,FALSE)</f>
        <v>Hengelo</v>
      </c>
      <c r="F581" s="257"/>
      <c r="G581" s="257" t="s">
        <v>563</v>
      </c>
      <c r="H581" s="171"/>
      <c r="I581" s="257">
        <v>37</v>
      </c>
      <c r="J581" s="259" t="s">
        <v>586</v>
      </c>
      <c r="K581" s="171">
        <v>20</v>
      </c>
      <c r="L581" s="260" t="str">
        <f>VLOOKUP(Ruimtestaat[[#This Row],[Ruimte code]],Ruimtegroepen[#All],2,FALSE)</f>
        <v>Niet in onderhoud</v>
      </c>
      <c r="M581" s="258" t="s">
        <v>598</v>
      </c>
      <c r="N581" s="257" t="s">
        <v>132</v>
      </c>
      <c r="O581" s="261"/>
      <c r="P581" s="183">
        <v>10.3</v>
      </c>
      <c r="Q581" s="212" t="str">
        <f>VLOOKUP(Ruimtestaat[[#This Row],[Ruimte code]],Ruimtegroepen[#All],4,FALSE)</f>
        <v>niet in onderhoud</v>
      </c>
      <c r="R581" s="184"/>
      <c r="S581" s="185"/>
      <c r="T581" s="185"/>
      <c r="U581" s="185">
        <f>IF(S581&gt;0,IF(RIGHT(Ruimtestaat[[#This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1" s="185">
        <f>IF(U581&gt;0,VLOOKUP($K581,Ruimtegroepen[],3,FALSE)*VLOOKUP($M581,Vloersoorten[],3,FALSE)*VLOOKUP($T581,Frequenties[],3,FALSE)*VLOOKUP($A581,Locaties[],3,FALSE),0)</f>
        <v>0</v>
      </c>
      <c r="W581" s="185">
        <f>Ruimtestaat[[#This Row],[Uitvoeringen werkdagen]]*Ruimtestaat[[#This Row],[Oppervlak (netto)]]</f>
        <v>0</v>
      </c>
      <c r="X581" s="220">
        <f>IF(V581&gt;0,Ruimtestaat[[#This Row],[Prest. (m2 /jaar) werkdagen]]/Ruimtestaat[[#This Row],[Norm (m2/uur) werkdagen]],0)</f>
        <v>0</v>
      </c>
      <c r="Y581" s="221">
        <f>Ruimtestaat[[#This Row],[uren / jaar werkdagen]]*Tariefsopbouw!$D$38</f>
        <v>0</v>
      </c>
      <c r="Z581" s="33"/>
      <c r="AA581" s="33">
        <f>IF(Ruimtestaat[[#This Row],[Frequentie weekend]]&gt;0,VALUE(LEFT(Z581,1))*S581,0)</f>
        <v>0</v>
      </c>
      <c r="AB581" s="33">
        <f>IF($AA581&gt;0,VLOOKUP($K581,Ruimtegroepen[],3,FALSE)*VLOOKUP($M581,Vloersoorten[],3,FALSE)*VLOOKUP($Z581,Frequenties[],3,FALSE)*VLOOKUP(#REF!,Locaties[],3,FALSE),0)</f>
        <v>0</v>
      </c>
      <c r="AC581" s="33"/>
      <c r="AD581" s="33"/>
      <c r="AE581" s="33">
        <f>Ruimtestaat[[#This Row],[uren / jaar weekend]]*Tariefsopbouw!$D$40</f>
        <v>0</v>
      </c>
      <c r="AF581" s="79">
        <f>Ruimtestaat[[#This Row],[Prest. (m2 /jaar) weekend]]+Ruimtestaat[[#This Row],[Prest. (m2 /jaar) werkdagen]]</f>
        <v>0</v>
      </c>
      <c r="AG581" s="79">
        <f>Ruimtestaat[[#This Row],[uren / jaar weekend]]+Ruimtestaat[[#This Row],[uren / jaar werkdagen]]</f>
        <v>0</v>
      </c>
      <c r="AH581" s="80">
        <f>Ruimtestaat[[#This Row],[kosten / jaar weekend]]+Ruimtestaat[[#This Row],[kosten / jaar werkdagen]]</f>
        <v>0</v>
      </c>
    </row>
    <row r="582" spans="1:34" ht="15" customHeight="1">
      <c r="A582" s="256">
        <v>9</v>
      </c>
      <c r="B582" s="171" t="str">
        <f>VLOOKUP(Ruimtestaat[[#This Row],[Code]],Locaties[#All],2,FALSE)</f>
        <v>De Stapsteen (De Zevensprong)</v>
      </c>
      <c r="C582" s="258" t="str">
        <f>VLOOKUP(Ruimtestaat[[#This Row],[Code]],Locaties[#All],4,FALSE)</f>
        <v>Coornhertstraat 3</v>
      </c>
      <c r="D582" s="258" t="str">
        <f>VLOOKUP(Ruimtestaat[[#This Row],[Code]],Locaties[#All],5,FALSE)</f>
        <v>7552 MT</v>
      </c>
      <c r="E582" s="258" t="str">
        <f>VLOOKUP(Ruimtestaat[[#This Row],[Code]],Locaties[#All],6,FALSE)</f>
        <v>Hengelo</v>
      </c>
      <c r="F582" s="257"/>
      <c r="G582" s="257" t="s">
        <v>563</v>
      </c>
      <c r="H582" s="171"/>
      <c r="I582" s="257">
        <v>38</v>
      </c>
      <c r="J582" s="259" t="s">
        <v>683</v>
      </c>
      <c r="K582" s="185">
        <v>20</v>
      </c>
      <c r="L582" s="260" t="str">
        <f>VLOOKUP(Ruimtestaat[[#This Row],[Ruimte code]],Ruimtegroepen[#All],2,FALSE)</f>
        <v>Niet in onderhoud</v>
      </c>
      <c r="M582" s="212" t="s">
        <v>111</v>
      </c>
      <c r="N582" s="257" t="s">
        <v>605</v>
      </c>
      <c r="O582" s="261"/>
      <c r="P582" s="183">
        <v>5.6</v>
      </c>
      <c r="Q582" s="212" t="str">
        <f>VLOOKUP(Ruimtestaat[[#This Row],[Ruimte code]],Ruimtegroepen[#All],4,FALSE)</f>
        <v>niet in onderhoud</v>
      </c>
      <c r="R582" s="184"/>
      <c r="S582" s="185"/>
      <c r="T582" s="185"/>
      <c r="U582" s="185">
        <f>IF(S582&gt;0,IF(RIGHT(Ruimtestaat[[#This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2" s="185">
        <f>IF(U582&gt;0,VLOOKUP($K582,Ruimtegroepen[],3,FALSE)*VLOOKUP($M582,Vloersoorten[],3,FALSE)*VLOOKUP($T582,Frequenties[],3,FALSE)*VLOOKUP($A582,Locaties[],3,FALSE),0)</f>
        <v>0</v>
      </c>
      <c r="W582" s="185">
        <f>Ruimtestaat[[#This Row],[Uitvoeringen werkdagen]]*Ruimtestaat[[#This Row],[Oppervlak (netto)]]</f>
        <v>0</v>
      </c>
      <c r="X582" s="220">
        <f>IF(V582&gt;0,Ruimtestaat[[#This Row],[Prest. (m2 /jaar) werkdagen]]/Ruimtestaat[[#This Row],[Norm (m2/uur) werkdagen]],0)</f>
        <v>0</v>
      </c>
      <c r="Y582" s="221">
        <f>Ruimtestaat[[#This Row],[uren / jaar werkdagen]]*Tariefsopbouw!$D$38</f>
        <v>0</v>
      </c>
      <c r="Z582" s="33"/>
      <c r="AA582" s="33">
        <f>IF(Ruimtestaat[[#This Row],[Frequentie weekend]]&gt;0,VALUE(LEFT(Z582,1))*S582,0)</f>
        <v>0</v>
      </c>
      <c r="AB582" s="33">
        <f>IF($AA582&gt;0,VLOOKUP($K582,Ruimtegroepen[],3,FALSE)*VLOOKUP($M582,Vloersoorten[],3,FALSE)*VLOOKUP($Z582,Frequenties[],3,FALSE)*VLOOKUP(#REF!,Locaties[],3,FALSE),0)</f>
        <v>0</v>
      </c>
      <c r="AC582" s="33"/>
      <c r="AD582" s="33"/>
      <c r="AE582" s="33">
        <f>Ruimtestaat[[#This Row],[uren / jaar weekend]]*Tariefsopbouw!$D$40</f>
        <v>0</v>
      </c>
      <c r="AF582" s="79">
        <f>Ruimtestaat[[#This Row],[Prest. (m2 /jaar) weekend]]+Ruimtestaat[[#This Row],[Prest. (m2 /jaar) werkdagen]]</f>
        <v>0</v>
      </c>
      <c r="AG582" s="79">
        <f>Ruimtestaat[[#This Row],[uren / jaar weekend]]+Ruimtestaat[[#This Row],[uren / jaar werkdagen]]</f>
        <v>0</v>
      </c>
      <c r="AH582" s="80">
        <f>Ruimtestaat[[#This Row],[kosten / jaar weekend]]+Ruimtestaat[[#This Row],[kosten / jaar werkdagen]]</f>
        <v>0</v>
      </c>
    </row>
    <row r="583" spans="1:34" ht="15" customHeight="1">
      <c r="A583" s="256">
        <v>9</v>
      </c>
      <c r="B583" s="171" t="str">
        <f>VLOOKUP(Ruimtestaat[[#This Row],[Code]],Locaties[#All],2,FALSE)</f>
        <v>De Stapsteen (De Zevensprong)</v>
      </c>
      <c r="C583" s="258" t="str">
        <f>VLOOKUP(Ruimtestaat[[#This Row],[Code]],Locaties[#All],4,FALSE)</f>
        <v>Coornhertstraat 3</v>
      </c>
      <c r="D583" s="258" t="str">
        <f>VLOOKUP(Ruimtestaat[[#This Row],[Code]],Locaties[#All],5,FALSE)</f>
        <v>7552 MT</v>
      </c>
      <c r="E583" s="258" t="str">
        <f>VLOOKUP(Ruimtestaat[[#This Row],[Code]],Locaties[#All],6,FALSE)</f>
        <v>Hengelo</v>
      </c>
      <c r="F583" s="257"/>
      <c r="G583" s="257" t="s">
        <v>563</v>
      </c>
      <c r="H583" s="171"/>
      <c r="I583" s="257">
        <v>39</v>
      </c>
      <c r="J583" s="259" t="s">
        <v>574</v>
      </c>
      <c r="K583" s="185">
        <v>20</v>
      </c>
      <c r="L583" s="260" t="str">
        <f>VLOOKUP(Ruimtestaat[[#This Row],[Ruimte code]],Ruimtegroepen[#All],2,FALSE)</f>
        <v>Niet in onderhoud</v>
      </c>
      <c r="M583" s="258" t="s">
        <v>598</v>
      </c>
      <c r="N583" s="257" t="s">
        <v>132</v>
      </c>
      <c r="O583" s="261"/>
      <c r="P583" s="183">
        <v>29.6</v>
      </c>
      <c r="Q583" s="212" t="str">
        <f>VLOOKUP(Ruimtestaat[[#This Row],[Ruimte code]],Ruimtegroepen[#All],4,FALSE)</f>
        <v>niet in onderhoud</v>
      </c>
      <c r="R583" s="184"/>
      <c r="S583" s="185"/>
      <c r="T583" s="185"/>
      <c r="U583" s="185">
        <f>IF(S583&gt;0,IF(RIGHT(Ruimtestaat[[#This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3" s="185">
        <f>IF(U583&gt;0,VLOOKUP($K583,Ruimtegroepen[],3,FALSE)*VLOOKUP($M583,Vloersoorten[],3,FALSE)*VLOOKUP($T583,Frequenties[],3,FALSE)*VLOOKUP($A583,Locaties[],3,FALSE),0)</f>
        <v>0</v>
      </c>
      <c r="W583" s="185">
        <f>Ruimtestaat[[#This Row],[Uitvoeringen werkdagen]]*Ruimtestaat[[#This Row],[Oppervlak (netto)]]</f>
        <v>0</v>
      </c>
      <c r="X583" s="220">
        <f>IF(V583&gt;0,Ruimtestaat[[#This Row],[Prest. (m2 /jaar) werkdagen]]/Ruimtestaat[[#This Row],[Norm (m2/uur) werkdagen]],0)</f>
        <v>0</v>
      </c>
      <c r="Y583" s="221">
        <f>Ruimtestaat[[#This Row],[uren / jaar werkdagen]]*Tariefsopbouw!$D$38</f>
        <v>0</v>
      </c>
      <c r="Z583" s="33"/>
      <c r="AA583" s="33">
        <f>IF(Ruimtestaat[[#This Row],[Frequentie weekend]]&gt;0,VALUE(LEFT(Z583,1))*S583,0)</f>
        <v>0</v>
      </c>
      <c r="AB583" s="33">
        <f>IF($AA583&gt;0,VLOOKUP($K583,Ruimtegroepen[],3,FALSE)*VLOOKUP($M583,Vloersoorten[],3,FALSE)*VLOOKUP($Z583,Frequenties[],3,FALSE)*VLOOKUP(#REF!,Locaties[],3,FALSE),0)</f>
        <v>0</v>
      </c>
      <c r="AC583" s="33"/>
      <c r="AD583" s="33"/>
      <c r="AE583" s="33">
        <f>Ruimtestaat[[#This Row],[uren / jaar weekend]]*Tariefsopbouw!$D$40</f>
        <v>0</v>
      </c>
      <c r="AF583" s="79">
        <f>Ruimtestaat[[#This Row],[Prest. (m2 /jaar) weekend]]+Ruimtestaat[[#This Row],[Prest. (m2 /jaar) werkdagen]]</f>
        <v>0</v>
      </c>
      <c r="AG583" s="79">
        <f>Ruimtestaat[[#This Row],[uren / jaar weekend]]+Ruimtestaat[[#This Row],[uren / jaar werkdagen]]</f>
        <v>0</v>
      </c>
      <c r="AH583" s="80">
        <f>Ruimtestaat[[#This Row],[kosten / jaar weekend]]+Ruimtestaat[[#This Row],[kosten / jaar werkdagen]]</f>
        <v>0</v>
      </c>
    </row>
    <row r="584" spans="1:34" ht="15" customHeight="1">
      <c r="A584" s="256">
        <v>9</v>
      </c>
      <c r="B584" s="171" t="str">
        <f>VLOOKUP(Ruimtestaat[[#This Row],[Code]],Locaties[#All],2,FALSE)</f>
        <v>De Stapsteen (De Zevensprong)</v>
      </c>
      <c r="C584" s="258" t="str">
        <f>VLOOKUP(Ruimtestaat[[#This Row],[Code]],Locaties[#All],4,FALSE)</f>
        <v>Coornhertstraat 3</v>
      </c>
      <c r="D584" s="258" t="str">
        <f>VLOOKUP(Ruimtestaat[[#This Row],[Code]],Locaties[#All],5,FALSE)</f>
        <v>7552 MT</v>
      </c>
      <c r="E584" s="258" t="str">
        <f>VLOOKUP(Ruimtestaat[[#This Row],[Code]],Locaties[#All],6,FALSE)</f>
        <v>Hengelo</v>
      </c>
      <c r="F584" s="257"/>
      <c r="G584" s="257" t="s">
        <v>563</v>
      </c>
      <c r="H584" s="171"/>
      <c r="I584" s="257">
        <v>40</v>
      </c>
      <c r="J584" s="259" t="s">
        <v>683</v>
      </c>
      <c r="K584" s="171">
        <v>5</v>
      </c>
      <c r="L584" s="260" t="str">
        <f>VLOOKUP(Ruimtestaat[[#This Row],[Ruimte code]],Ruimtegroepen[#All],2,FALSE)</f>
        <v>Sanitair</v>
      </c>
      <c r="M584" s="212" t="s">
        <v>111</v>
      </c>
      <c r="N584" s="257" t="s">
        <v>605</v>
      </c>
      <c r="O584" s="261">
        <v>5.2</v>
      </c>
      <c r="P584" s="183"/>
      <c r="Q584" s="212" t="str">
        <f>VLOOKUP(Ruimtestaat[[#This Row],[Ruimte code]],Ruimtegroepen[#All],4,FALSE)</f>
        <v>S  (Sanitair)</v>
      </c>
      <c r="R584" s="184"/>
      <c r="S584" s="185">
        <v>40</v>
      </c>
      <c r="T584" s="185" t="s">
        <v>2</v>
      </c>
      <c r="U584" s="185">
        <f>IF(S584&gt;0,IF(RIGHT(Ruimtestaat[[#This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84" s="185">
        <f>IF(U584&gt;0,VLOOKUP($K584,Ruimtegroepen[],3,FALSE)*VLOOKUP($M584,Vloersoorten[],3,FALSE)*VLOOKUP($T584,Frequenties[],3,FALSE)*VLOOKUP($A584,Locaties[],3,FALSE),0)</f>
        <v>0</v>
      </c>
      <c r="W584" s="185">
        <f>Ruimtestaat[[#This Row],[Uitvoeringen werkdagen]]*Ruimtestaat[[#This Row],[Oppervlak (netto)]]</f>
        <v>1040</v>
      </c>
      <c r="X584" s="220">
        <f>IF(V584&gt;0,Ruimtestaat[[#This Row],[Prest. (m2 /jaar) werkdagen]]/Ruimtestaat[[#This Row],[Norm (m2/uur) werkdagen]],0)</f>
        <v>0</v>
      </c>
      <c r="Y584" s="221">
        <f>Ruimtestaat[[#This Row],[uren / jaar werkdagen]]*Tariefsopbouw!$D$38</f>
        <v>0</v>
      </c>
      <c r="Z584" s="33"/>
      <c r="AA584" s="33">
        <f>IF(Ruimtestaat[[#This Row],[Frequentie weekend]]&gt;0,VALUE(LEFT(Z584,1))*S584,0)</f>
        <v>0</v>
      </c>
      <c r="AB584" s="33">
        <f>IF($AA584&gt;0,VLOOKUP($K584,Ruimtegroepen[],3,FALSE)*VLOOKUP($M584,Vloersoorten[],3,FALSE)*VLOOKUP($Z584,Frequenties[],3,FALSE)*VLOOKUP(#REF!,Locaties[],3,FALSE),0)</f>
        <v>0</v>
      </c>
      <c r="AC584" s="33"/>
      <c r="AD584" s="33"/>
      <c r="AE584" s="33">
        <f>Ruimtestaat[[#This Row],[uren / jaar weekend]]*Tariefsopbouw!$D$40</f>
        <v>0</v>
      </c>
      <c r="AF584" s="79">
        <f>Ruimtestaat[[#This Row],[Prest. (m2 /jaar) weekend]]+Ruimtestaat[[#This Row],[Prest. (m2 /jaar) werkdagen]]</f>
        <v>1040</v>
      </c>
      <c r="AG584" s="79">
        <f>Ruimtestaat[[#This Row],[uren / jaar weekend]]+Ruimtestaat[[#This Row],[uren / jaar werkdagen]]</f>
        <v>0</v>
      </c>
      <c r="AH584" s="80">
        <f>Ruimtestaat[[#This Row],[kosten / jaar weekend]]+Ruimtestaat[[#This Row],[kosten / jaar werkdagen]]</f>
        <v>0</v>
      </c>
    </row>
    <row r="585" spans="1:34" ht="15" customHeight="1">
      <c r="A585" s="256">
        <v>9</v>
      </c>
      <c r="B585" s="171" t="str">
        <f>VLOOKUP(Ruimtestaat[[#This Row],[Code]],Locaties[#All],2,FALSE)</f>
        <v>De Stapsteen (De Zevensprong)</v>
      </c>
      <c r="C585" s="258" t="str">
        <f>VLOOKUP(Ruimtestaat[[#This Row],[Code]],Locaties[#All],4,FALSE)</f>
        <v>Coornhertstraat 3</v>
      </c>
      <c r="D585" s="258" t="str">
        <f>VLOOKUP(Ruimtestaat[[#This Row],[Code]],Locaties[#All],5,FALSE)</f>
        <v>7552 MT</v>
      </c>
      <c r="E585" s="258" t="str">
        <f>VLOOKUP(Ruimtestaat[[#This Row],[Code]],Locaties[#All],6,FALSE)</f>
        <v>Hengelo</v>
      </c>
      <c r="F585" s="257"/>
      <c r="G585" s="257" t="s">
        <v>563</v>
      </c>
      <c r="H585" s="171"/>
      <c r="I585" s="257">
        <v>41</v>
      </c>
      <c r="J585" s="259" t="s">
        <v>576</v>
      </c>
      <c r="K585" s="185">
        <v>16</v>
      </c>
      <c r="L585" s="260" t="str">
        <f>VLOOKUP(Ruimtestaat[[#This Row],[Ruimte code]],Ruimtegroepen[#All],2,FALSE)</f>
        <v>Leslokalen</v>
      </c>
      <c r="M585" s="258" t="s">
        <v>598</v>
      </c>
      <c r="N585" s="257" t="s">
        <v>132</v>
      </c>
      <c r="O585" s="261">
        <v>59.6</v>
      </c>
      <c r="P585" s="183"/>
      <c r="Q585" s="212" t="str">
        <f>VLOOKUP(Ruimtestaat[[#This Row],[Ruimte code]],Ruimtegroepen[#All],4,FALSE)</f>
        <v>L  (Lesruimte)</v>
      </c>
      <c r="R585" s="184"/>
      <c r="S585" s="185">
        <v>40</v>
      </c>
      <c r="T585" s="185" t="s">
        <v>20</v>
      </c>
      <c r="U585" s="185">
        <f>IF(S585&gt;0,IF(RIGHT(Ruimtestaat[[#This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85" s="185">
        <f>IF(U585&gt;0,VLOOKUP($K585,Ruimtegroepen[],3,FALSE)*VLOOKUP($M585,Vloersoorten[],3,FALSE)*VLOOKUP($T585,Frequenties[],3,FALSE)*VLOOKUP($A585,Locaties[],3,FALSE),0)</f>
        <v>0</v>
      </c>
      <c r="W585" s="185">
        <f>Ruimtestaat[[#This Row],[Uitvoeringen werkdagen]]*Ruimtestaat[[#This Row],[Oppervlak (netto)]]</f>
        <v>9536</v>
      </c>
      <c r="X585" s="220">
        <f>IF(V585&gt;0,Ruimtestaat[[#This Row],[Prest. (m2 /jaar) werkdagen]]/Ruimtestaat[[#This Row],[Norm (m2/uur) werkdagen]],0)</f>
        <v>0</v>
      </c>
      <c r="Y585" s="221">
        <f>Ruimtestaat[[#This Row],[uren / jaar werkdagen]]*Tariefsopbouw!$D$38</f>
        <v>0</v>
      </c>
      <c r="Z585" s="33"/>
      <c r="AA585" s="33">
        <f>IF(Ruimtestaat[[#This Row],[Frequentie weekend]]&gt;0,VALUE(LEFT(Z585,1))*S585,0)</f>
        <v>0</v>
      </c>
      <c r="AB585" s="33">
        <f>IF($AA585&gt;0,VLOOKUP($K585,Ruimtegroepen[],3,FALSE)*VLOOKUP($M585,Vloersoorten[],3,FALSE)*VLOOKUP($Z585,Frequenties[],3,FALSE)*VLOOKUP(#REF!,Locaties[],3,FALSE),0)</f>
        <v>0</v>
      </c>
      <c r="AC585" s="33"/>
      <c r="AD585" s="33"/>
      <c r="AE585" s="33">
        <f>Ruimtestaat[[#This Row],[uren / jaar weekend]]*Tariefsopbouw!$D$40</f>
        <v>0</v>
      </c>
      <c r="AF585" s="79">
        <f>Ruimtestaat[[#This Row],[Prest. (m2 /jaar) weekend]]+Ruimtestaat[[#This Row],[Prest. (m2 /jaar) werkdagen]]</f>
        <v>9536</v>
      </c>
      <c r="AG585" s="79">
        <f>Ruimtestaat[[#This Row],[uren / jaar weekend]]+Ruimtestaat[[#This Row],[uren / jaar werkdagen]]</f>
        <v>0</v>
      </c>
      <c r="AH585" s="80">
        <f>Ruimtestaat[[#This Row],[kosten / jaar weekend]]+Ruimtestaat[[#This Row],[kosten / jaar werkdagen]]</f>
        <v>0</v>
      </c>
    </row>
    <row r="586" spans="1:34" ht="15" customHeight="1">
      <c r="A586" s="256">
        <v>9</v>
      </c>
      <c r="B586" s="171" t="str">
        <f>VLOOKUP(Ruimtestaat[[#This Row],[Code]],Locaties[#All],2,FALSE)</f>
        <v>De Stapsteen (De Zevensprong)</v>
      </c>
      <c r="C586" s="258" t="str">
        <f>VLOOKUP(Ruimtestaat[[#This Row],[Code]],Locaties[#All],4,FALSE)</f>
        <v>Coornhertstraat 3</v>
      </c>
      <c r="D586" s="258" t="str">
        <f>VLOOKUP(Ruimtestaat[[#This Row],[Code]],Locaties[#All],5,FALSE)</f>
        <v>7552 MT</v>
      </c>
      <c r="E586" s="258" t="str">
        <f>VLOOKUP(Ruimtestaat[[#This Row],[Code]],Locaties[#All],6,FALSE)</f>
        <v>Hengelo</v>
      </c>
      <c r="F586" s="257"/>
      <c r="G586" s="257" t="s">
        <v>563</v>
      </c>
      <c r="H586" s="171"/>
      <c r="I586" s="257">
        <v>42</v>
      </c>
      <c r="J586" s="259" t="s">
        <v>576</v>
      </c>
      <c r="K586" s="171">
        <v>16</v>
      </c>
      <c r="L586" s="260" t="str">
        <f>VLOOKUP(Ruimtestaat[[#This Row],[Ruimte code]],Ruimtegroepen[#All],2,FALSE)</f>
        <v>Leslokalen</v>
      </c>
      <c r="M586" s="258" t="s">
        <v>598</v>
      </c>
      <c r="N586" s="257" t="s">
        <v>132</v>
      </c>
      <c r="O586" s="261">
        <v>57.8</v>
      </c>
      <c r="P586" s="183"/>
      <c r="Q586" s="212" t="str">
        <f>VLOOKUP(Ruimtestaat[[#This Row],[Ruimte code]],Ruimtegroepen[#All],4,FALSE)</f>
        <v>L  (Lesruimte)</v>
      </c>
      <c r="R586" s="184"/>
      <c r="S586" s="185">
        <v>40</v>
      </c>
      <c r="T586" s="185" t="s">
        <v>20</v>
      </c>
      <c r="U586" s="185">
        <f>IF(S586&gt;0,IF(RIGHT(Ruimtestaat[[#This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86" s="185">
        <f>IF(U586&gt;0,VLOOKUP($K586,Ruimtegroepen[],3,FALSE)*VLOOKUP($M586,Vloersoorten[],3,FALSE)*VLOOKUP($T586,Frequenties[],3,FALSE)*VLOOKUP($A586,Locaties[],3,FALSE),0)</f>
        <v>0</v>
      </c>
      <c r="W586" s="185">
        <f>Ruimtestaat[[#This Row],[Uitvoeringen werkdagen]]*Ruimtestaat[[#This Row],[Oppervlak (netto)]]</f>
        <v>9248</v>
      </c>
      <c r="X586" s="220">
        <f>IF(V586&gt;0,Ruimtestaat[[#This Row],[Prest. (m2 /jaar) werkdagen]]/Ruimtestaat[[#This Row],[Norm (m2/uur) werkdagen]],0)</f>
        <v>0</v>
      </c>
      <c r="Y586" s="221">
        <f>Ruimtestaat[[#This Row],[uren / jaar werkdagen]]*Tariefsopbouw!$D$38</f>
        <v>0</v>
      </c>
      <c r="Z586" s="33"/>
      <c r="AA586" s="33">
        <f>IF(Ruimtestaat[[#This Row],[Frequentie weekend]]&gt;0,VALUE(LEFT(Z586,1))*S586,0)</f>
        <v>0</v>
      </c>
      <c r="AB586" s="33">
        <f>IF($AA586&gt;0,VLOOKUP($K586,Ruimtegroepen[],3,FALSE)*VLOOKUP($M586,Vloersoorten[],3,FALSE)*VLOOKUP($Z586,Frequenties[],3,FALSE)*VLOOKUP(#REF!,Locaties[],3,FALSE),0)</f>
        <v>0</v>
      </c>
      <c r="AC586" s="33"/>
      <c r="AD586" s="33"/>
      <c r="AE586" s="33">
        <f>Ruimtestaat[[#This Row],[uren / jaar weekend]]*Tariefsopbouw!$D$40</f>
        <v>0</v>
      </c>
      <c r="AF586" s="79">
        <f>Ruimtestaat[[#This Row],[Prest. (m2 /jaar) weekend]]+Ruimtestaat[[#This Row],[Prest. (m2 /jaar) werkdagen]]</f>
        <v>9248</v>
      </c>
      <c r="AG586" s="79">
        <f>Ruimtestaat[[#This Row],[uren / jaar weekend]]+Ruimtestaat[[#This Row],[uren / jaar werkdagen]]</f>
        <v>0</v>
      </c>
      <c r="AH586" s="80">
        <f>Ruimtestaat[[#This Row],[kosten / jaar weekend]]+Ruimtestaat[[#This Row],[kosten / jaar werkdagen]]</f>
        <v>0</v>
      </c>
    </row>
    <row r="587" spans="1:34" ht="15" customHeight="1">
      <c r="A587" s="256">
        <v>9</v>
      </c>
      <c r="B587" s="171" t="str">
        <f>VLOOKUP(Ruimtestaat[[#This Row],[Code]],Locaties[#All],2,FALSE)</f>
        <v>De Stapsteen (De Zevensprong)</v>
      </c>
      <c r="C587" s="258" t="str">
        <f>VLOOKUP(Ruimtestaat[[#This Row],[Code]],Locaties[#All],4,FALSE)</f>
        <v>Coornhertstraat 3</v>
      </c>
      <c r="D587" s="258" t="str">
        <f>VLOOKUP(Ruimtestaat[[#This Row],[Code]],Locaties[#All],5,FALSE)</f>
        <v>7552 MT</v>
      </c>
      <c r="E587" s="258" t="str">
        <f>VLOOKUP(Ruimtestaat[[#This Row],[Code]],Locaties[#All],6,FALSE)</f>
        <v>Hengelo</v>
      </c>
      <c r="F587" s="257"/>
      <c r="G587" s="257" t="s">
        <v>563</v>
      </c>
      <c r="H587" s="171"/>
      <c r="I587" s="257">
        <v>43</v>
      </c>
      <c r="J587" s="259" t="s">
        <v>576</v>
      </c>
      <c r="K587" s="171">
        <v>16</v>
      </c>
      <c r="L587" s="260" t="str">
        <f>VLOOKUP(Ruimtestaat[[#This Row],[Ruimte code]],Ruimtegroepen[#All],2,FALSE)</f>
        <v>Leslokalen</v>
      </c>
      <c r="M587" s="258" t="s">
        <v>598</v>
      </c>
      <c r="N587" s="257" t="s">
        <v>132</v>
      </c>
      <c r="O587" s="261">
        <v>57.1</v>
      </c>
      <c r="P587" s="183"/>
      <c r="Q587" s="212" t="str">
        <f>VLOOKUP(Ruimtestaat[[#This Row],[Ruimte code]],Ruimtegroepen[#All],4,FALSE)</f>
        <v>L  (Lesruimte)</v>
      </c>
      <c r="R587" s="184"/>
      <c r="S587" s="185">
        <v>40</v>
      </c>
      <c r="T587" s="185" t="s">
        <v>20</v>
      </c>
      <c r="U587" s="185">
        <f>IF(S587&gt;0,IF(RIGHT(Ruimtestaat[[#This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87" s="185">
        <f>IF(U587&gt;0,VLOOKUP($K587,Ruimtegroepen[],3,FALSE)*VLOOKUP($M587,Vloersoorten[],3,FALSE)*VLOOKUP($T587,Frequenties[],3,FALSE)*VLOOKUP($A587,Locaties[],3,FALSE),0)</f>
        <v>0</v>
      </c>
      <c r="W587" s="185">
        <f>Ruimtestaat[[#This Row],[Uitvoeringen werkdagen]]*Ruimtestaat[[#This Row],[Oppervlak (netto)]]</f>
        <v>9136</v>
      </c>
      <c r="X587" s="220">
        <f>IF(V587&gt;0,Ruimtestaat[[#This Row],[Prest. (m2 /jaar) werkdagen]]/Ruimtestaat[[#This Row],[Norm (m2/uur) werkdagen]],0)</f>
        <v>0</v>
      </c>
      <c r="Y587" s="221">
        <f>Ruimtestaat[[#This Row],[uren / jaar werkdagen]]*Tariefsopbouw!$D$38</f>
        <v>0</v>
      </c>
      <c r="Z587" s="33"/>
      <c r="AA587" s="33">
        <f>IF(Ruimtestaat[[#This Row],[Frequentie weekend]]&gt;0,VALUE(LEFT(Z587,1))*S587,0)</f>
        <v>0</v>
      </c>
      <c r="AB587" s="33">
        <f>IF($AA587&gt;0,VLOOKUP($K587,Ruimtegroepen[],3,FALSE)*VLOOKUP($M587,Vloersoorten[],3,FALSE)*VLOOKUP($Z587,Frequenties[],3,FALSE)*VLOOKUP(#REF!,Locaties[],3,FALSE),0)</f>
        <v>0</v>
      </c>
      <c r="AC587" s="33"/>
      <c r="AD587" s="33"/>
      <c r="AE587" s="33">
        <f>Ruimtestaat[[#This Row],[uren / jaar weekend]]*Tariefsopbouw!$D$40</f>
        <v>0</v>
      </c>
      <c r="AF587" s="79">
        <f>Ruimtestaat[[#This Row],[Prest. (m2 /jaar) weekend]]+Ruimtestaat[[#This Row],[Prest. (m2 /jaar) werkdagen]]</f>
        <v>9136</v>
      </c>
      <c r="AG587" s="79">
        <f>Ruimtestaat[[#This Row],[uren / jaar weekend]]+Ruimtestaat[[#This Row],[uren / jaar werkdagen]]</f>
        <v>0</v>
      </c>
      <c r="AH587" s="80">
        <f>Ruimtestaat[[#This Row],[kosten / jaar weekend]]+Ruimtestaat[[#This Row],[kosten / jaar werkdagen]]</f>
        <v>0</v>
      </c>
    </row>
    <row r="588" spans="1:34" ht="15" customHeight="1">
      <c r="A588" s="256">
        <v>9</v>
      </c>
      <c r="B588" s="171" t="str">
        <f>VLOOKUP(Ruimtestaat[[#This Row],[Code]],Locaties[#All],2,FALSE)</f>
        <v>De Stapsteen (De Zevensprong)</v>
      </c>
      <c r="C588" s="258" t="str">
        <f>VLOOKUP(Ruimtestaat[[#This Row],[Code]],Locaties[#All],4,FALSE)</f>
        <v>Coornhertstraat 3</v>
      </c>
      <c r="D588" s="258" t="str">
        <f>VLOOKUP(Ruimtestaat[[#This Row],[Code]],Locaties[#All],5,FALSE)</f>
        <v>7552 MT</v>
      </c>
      <c r="E588" s="258" t="str">
        <f>VLOOKUP(Ruimtestaat[[#This Row],[Code]],Locaties[#All],6,FALSE)</f>
        <v>Hengelo</v>
      </c>
      <c r="F588" s="257"/>
      <c r="G588" s="257" t="s">
        <v>563</v>
      </c>
      <c r="H588" s="171"/>
      <c r="I588" s="257">
        <v>44</v>
      </c>
      <c r="J588" s="259" t="s">
        <v>586</v>
      </c>
      <c r="K588" s="171">
        <v>20</v>
      </c>
      <c r="L588" s="260" t="str">
        <f>VLOOKUP(Ruimtestaat[[#This Row],[Ruimte code]],Ruimtegroepen[#All],2,FALSE)</f>
        <v>Niet in onderhoud</v>
      </c>
      <c r="M588" s="258" t="s">
        <v>598</v>
      </c>
      <c r="N588" s="257" t="s">
        <v>132</v>
      </c>
      <c r="O588" s="261"/>
      <c r="P588" s="183">
        <v>14</v>
      </c>
      <c r="Q588" s="212" t="str">
        <f>VLOOKUP(Ruimtestaat[[#This Row],[Ruimte code]],Ruimtegroepen[#All],4,FALSE)</f>
        <v>niet in onderhoud</v>
      </c>
      <c r="R588" s="184"/>
      <c r="S588" s="185"/>
      <c r="T588" s="185"/>
      <c r="U588" s="185">
        <f>IF(S588&gt;0,IF(RIGHT(Ruimtestaat[[#This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8" s="185">
        <f>IF(U588&gt;0,VLOOKUP($K588,Ruimtegroepen[],3,FALSE)*VLOOKUP($M588,Vloersoorten[],3,FALSE)*VLOOKUP($T588,Frequenties[],3,FALSE)*VLOOKUP($A588,Locaties[],3,FALSE),0)</f>
        <v>0</v>
      </c>
      <c r="W588" s="185">
        <f>Ruimtestaat[[#This Row],[Uitvoeringen werkdagen]]*Ruimtestaat[[#This Row],[Oppervlak (netto)]]</f>
        <v>0</v>
      </c>
      <c r="X588" s="220">
        <f>IF(V588&gt;0,Ruimtestaat[[#This Row],[Prest. (m2 /jaar) werkdagen]]/Ruimtestaat[[#This Row],[Norm (m2/uur) werkdagen]],0)</f>
        <v>0</v>
      </c>
      <c r="Y588" s="221">
        <f>Ruimtestaat[[#This Row],[uren / jaar werkdagen]]*Tariefsopbouw!$D$38</f>
        <v>0</v>
      </c>
      <c r="Z588" s="33"/>
      <c r="AA588" s="33">
        <f>IF(Ruimtestaat[[#This Row],[Frequentie weekend]]&gt;0,VALUE(LEFT(Z588,1))*S588,0)</f>
        <v>0</v>
      </c>
      <c r="AB588" s="33">
        <f>IF($AA588&gt;0,VLOOKUP($K588,Ruimtegroepen[],3,FALSE)*VLOOKUP($M588,Vloersoorten[],3,FALSE)*VLOOKUP($Z588,Frequenties[],3,FALSE)*VLOOKUP(#REF!,Locaties[],3,FALSE),0)</f>
        <v>0</v>
      </c>
      <c r="AC588" s="33"/>
      <c r="AD588" s="33"/>
      <c r="AE588" s="33">
        <f>Ruimtestaat[[#This Row],[uren / jaar weekend]]*Tariefsopbouw!$D$40</f>
        <v>0</v>
      </c>
      <c r="AF588" s="79">
        <f>Ruimtestaat[[#This Row],[Prest. (m2 /jaar) weekend]]+Ruimtestaat[[#This Row],[Prest. (m2 /jaar) werkdagen]]</f>
        <v>0</v>
      </c>
      <c r="AG588" s="79">
        <f>Ruimtestaat[[#This Row],[uren / jaar weekend]]+Ruimtestaat[[#This Row],[uren / jaar werkdagen]]</f>
        <v>0</v>
      </c>
      <c r="AH588" s="80">
        <f>Ruimtestaat[[#This Row],[kosten / jaar weekend]]+Ruimtestaat[[#This Row],[kosten / jaar werkdagen]]</f>
        <v>0</v>
      </c>
    </row>
    <row r="589" spans="1:34" ht="15" customHeight="1">
      <c r="A589" s="256">
        <v>9</v>
      </c>
      <c r="B589" s="171" t="str">
        <f>VLOOKUP(Ruimtestaat[[#This Row],[Code]],Locaties[#All],2,FALSE)</f>
        <v>De Stapsteen (De Zevensprong)</v>
      </c>
      <c r="C589" s="258" t="str">
        <f>VLOOKUP(Ruimtestaat[[#This Row],[Code]],Locaties[#All],4,FALSE)</f>
        <v>Coornhertstraat 3</v>
      </c>
      <c r="D589" s="258" t="str">
        <f>VLOOKUP(Ruimtestaat[[#This Row],[Code]],Locaties[#All],5,FALSE)</f>
        <v>7552 MT</v>
      </c>
      <c r="E589" s="258" t="str">
        <f>VLOOKUP(Ruimtestaat[[#This Row],[Code]],Locaties[#All],6,FALSE)</f>
        <v>Hengelo</v>
      </c>
      <c r="F589" s="257"/>
      <c r="G589" s="257" t="s">
        <v>563</v>
      </c>
      <c r="H589" s="171"/>
      <c r="I589" s="257">
        <v>45</v>
      </c>
      <c r="J589" s="259" t="s">
        <v>693</v>
      </c>
      <c r="K589" s="171">
        <v>20</v>
      </c>
      <c r="L589" s="260" t="str">
        <f>VLOOKUP(Ruimtestaat[[#This Row],[Ruimte code]],Ruimtegroepen[#All],2,FALSE)</f>
        <v>Niet in onderhoud</v>
      </c>
      <c r="M589" s="212" t="s">
        <v>111</v>
      </c>
      <c r="N589" s="257" t="s">
        <v>128</v>
      </c>
      <c r="O589" s="261"/>
      <c r="P589" s="183">
        <v>41</v>
      </c>
      <c r="Q589" s="212" t="str">
        <f>VLOOKUP(Ruimtestaat[[#This Row],[Ruimte code]],Ruimtegroepen[#All],4,FALSE)</f>
        <v>niet in onderhoud</v>
      </c>
      <c r="R589" s="184"/>
      <c r="S589" s="185"/>
      <c r="T589" s="185" t="s">
        <v>3</v>
      </c>
      <c r="U589" s="185">
        <f>IF(S589&gt;0,IF(RIGHT(Ruimtestaat[[#This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9" s="185">
        <f>IF(U589&gt;0,VLOOKUP($K589,Ruimtegroepen[],3,FALSE)*VLOOKUP($M589,Vloersoorten[],3,FALSE)*VLOOKUP($T589,Frequenties[],3,FALSE)*VLOOKUP($A589,Locaties[],3,FALSE),0)</f>
        <v>0</v>
      </c>
      <c r="W589" s="185">
        <f>Ruimtestaat[[#This Row],[Uitvoeringen werkdagen]]*Ruimtestaat[[#This Row],[Oppervlak (netto)]]</f>
        <v>0</v>
      </c>
      <c r="X589" s="220">
        <f>IF(V589&gt;0,Ruimtestaat[[#This Row],[Prest. (m2 /jaar) werkdagen]]/Ruimtestaat[[#This Row],[Norm (m2/uur) werkdagen]],0)</f>
        <v>0</v>
      </c>
      <c r="Y589" s="221">
        <f>Ruimtestaat[[#This Row],[uren / jaar werkdagen]]*Tariefsopbouw!$D$38</f>
        <v>0</v>
      </c>
      <c r="Z589" s="33"/>
      <c r="AA589" s="33">
        <f>IF(Ruimtestaat[[#This Row],[Frequentie weekend]]&gt;0,VALUE(LEFT(Z589,1))*S589,0)</f>
        <v>0</v>
      </c>
      <c r="AB589" s="33">
        <f>IF($AA589&gt;0,VLOOKUP($K589,Ruimtegroepen[],3,FALSE)*VLOOKUP($M589,Vloersoorten[],3,FALSE)*VLOOKUP($Z589,Frequenties[],3,FALSE)*VLOOKUP(#REF!,Locaties[],3,FALSE),0)</f>
        <v>0</v>
      </c>
      <c r="AC589" s="33"/>
      <c r="AD589" s="33"/>
      <c r="AE589" s="33">
        <f>Ruimtestaat[[#This Row],[uren / jaar weekend]]*Tariefsopbouw!$D$40</f>
        <v>0</v>
      </c>
      <c r="AF589" s="79">
        <f>Ruimtestaat[[#This Row],[Prest. (m2 /jaar) weekend]]+Ruimtestaat[[#This Row],[Prest. (m2 /jaar) werkdagen]]</f>
        <v>0</v>
      </c>
      <c r="AG589" s="79">
        <f>Ruimtestaat[[#This Row],[uren / jaar weekend]]+Ruimtestaat[[#This Row],[uren / jaar werkdagen]]</f>
        <v>0</v>
      </c>
      <c r="AH589" s="80">
        <f>Ruimtestaat[[#This Row],[kosten / jaar weekend]]+Ruimtestaat[[#This Row],[kosten / jaar werkdagen]]</f>
        <v>0</v>
      </c>
    </row>
    <row r="590" spans="1:34" ht="15" customHeight="1">
      <c r="A590" s="256">
        <v>9</v>
      </c>
      <c r="B590" s="171" t="str">
        <f>VLOOKUP(Ruimtestaat[[#This Row],[Code]],Locaties[#All],2,FALSE)</f>
        <v>De Stapsteen (De Zevensprong)</v>
      </c>
      <c r="C590" s="258" t="str">
        <f>VLOOKUP(Ruimtestaat[[#This Row],[Code]],Locaties[#All],4,FALSE)</f>
        <v>Coornhertstraat 3</v>
      </c>
      <c r="D590" s="258" t="str">
        <f>VLOOKUP(Ruimtestaat[[#This Row],[Code]],Locaties[#All],5,FALSE)</f>
        <v>7552 MT</v>
      </c>
      <c r="E590" s="258" t="str">
        <f>VLOOKUP(Ruimtestaat[[#This Row],[Code]],Locaties[#All],6,FALSE)</f>
        <v>Hengelo</v>
      </c>
      <c r="F590" s="257"/>
      <c r="G590" s="257" t="s">
        <v>563</v>
      </c>
      <c r="H590" s="171"/>
      <c r="I590" s="257">
        <v>46</v>
      </c>
      <c r="J590" s="259" t="s">
        <v>585</v>
      </c>
      <c r="K590" s="258">
        <v>20</v>
      </c>
      <c r="L590" s="260" t="str">
        <f>VLOOKUP(Ruimtestaat[[#This Row],[Ruimte code]],Ruimtegroepen[#All],2,FALSE)</f>
        <v>Niet in onderhoud</v>
      </c>
      <c r="M590" s="212" t="s">
        <v>111</v>
      </c>
      <c r="N590" s="257" t="s">
        <v>128</v>
      </c>
      <c r="O590" s="261"/>
      <c r="P590" s="183">
        <v>7</v>
      </c>
      <c r="Q590" s="212" t="str">
        <f>VLOOKUP(Ruimtestaat[[#This Row],[Ruimte code]],Ruimtegroepen[#All],4,FALSE)</f>
        <v>niet in onderhoud</v>
      </c>
      <c r="R590" s="184"/>
      <c r="S590" s="185"/>
      <c r="T590" s="185" t="s">
        <v>3</v>
      </c>
      <c r="U590" s="185">
        <f>IF(S590&gt;0,IF(RIGHT(Ruimtestaat[[#This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0" s="185">
        <f>IF(U590&gt;0,VLOOKUP($K590,Ruimtegroepen[],3,FALSE)*VLOOKUP($M590,Vloersoorten[],3,FALSE)*VLOOKUP($T590,Frequenties[],3,FALSE)*VLOOKUP($A590,Locaties[],3,FALSE),0)</f>
        <v>0</v>
      </c>
      <c r="W590" s="185">
        <f>Ruimtestaat[[#This Row],[Uitvoeringen werkdagen]]*Ruimtestaat[[#This Row],[Oppervlak (netto)]]</f>
        <v>0</v>
      </c>
      <c r="X590" s="220">
        <f>IF(V590&gt;0,Ruimtestaat[[#This Row],[Prest. (m2 /jaar) werkdagen]]/Ruimtestaat[[#This Row],[Norm (m2/uur) werkdagen]],0)</f>
        <v>0</v>
      </c>
      <c r="Y590" s="221">
        <f>Ruimtestaat[[#This Row],[uren / jaar werkdagen]]*Tariefsopbouw!$D$38</f>
        <v>0</v>
      </c>
      <c r="Z590" s="33"/>
      <c r="AA590" s="33">
        <f>IF(Ruimtestaat[[#This Row],[Frequentie weekend]]&gt;0,VALUE(LEFT(Z590,1))*S590,0)</f>
        <v>0</v>
      </c>
      <c r="AB590" s="33">
        <f>IF($AA590&gt;0,VLOOKUP($K590,Ruimtegroepen[],3,FALSE)*VLOOKUP($M590,Vloersoorten[],3,FALSE)*VLOOKUP($Z590,Frequenties[],3,FALSE)*VLOOKUP(#REF!,Locaties[],3,FALSE),0)</f>
        <v>0</v>
      </c>
      <c r="AC590" s="33"/>
      <c r="AD590" s="33"/>
      <c r="AE590" s="33">
        <f>Ruimtestaat[[#This Row],[uren / jaar weekend]]*Tariefsopbouw!$D$40</f>
        <v>0</v>
      </c>
      <c r="AF590" s="79">
        <f>Ruimtestaat[[#This Row],[Prest. (m2 /jaar) weekend]]+Ruimtestaat[[#This Row],[Prest. (m2 /jaar) werkdagen]]</f>
        <v>0</v>
      </c>
      <c r="AG590" s="79">
        <f>Ruimtestaat[[#This Row],[uren / jaar weekend]]+Ruimtestaat[[#This Row],[uren / jaar werkdagen]]</f>
        <v>0</v>
      </c>
      <c r="AH590" s="80">
        <f>Ruimtestaat[[#This Row],[kosten / jaar weekend]]+Ruimtestaat[[#This Row],[kosten / jaar werkdagen]]</f>
        <v>0</v>
      </c>
    </row>
    <row r="591" spans="1:34" ht="15" customHeight="1">
      <c r="A591" s="256">
        <v>9</v>
      </c>
      <c r="B591" s="171" t="str">
        <f>VLOOKUP(Ruimtestaat[[#This Row],[Code]],Locaties[#All],2,FALSE)</f>
        <v>De Stapsteen (De Zevensprong)</v>
      </c>
      <c r="C591" s="258" t="str">
        <f>VLOOKUP(Ruimtestaat[[#This Row],[Code]],Locaties[#All],4,FALSE)</f>
        <v>Coornhertstraat 3</v>
      </c>
      <c r="D591" s="258" t="str">
        <f>VLOOKUP(Ruimtestaat[[#This Row],[Code]],Locaties[#All],5,FALSE)</f>
        <v>7552 MT</v>
      </c>
      <c r="E591" s="258" t="str">
        <f>VLOOKUP(Ruimtestaat[[#This Row],[Code]],Locaties[#All],6,FALSE)</f>
        <v>Hengelo</v>
      </c>
      <c r="F591" s="257"/>
      <c r="G591" s="257" t="s">
        <v>563</v>
      </c>
      <c r="H591" s="171"/>
      <c r="I591" s="257">
        <v>47</v>
      </c>
      <c r="J591" s="259" t="s">
        <v>585</v>
      </c>
      <c r="K591" s="171">
        <v>20</v>
      </c>
      <c r="L591" s="260" t="str">
        <f>VLOOKUP(Ruimtestaat[[#This Row],[Ruimte code]],Ruimtegroepen[#All],2,FALSE)</f>
        <v>Niet in onderhoud</v>
      </c>
      <c r="M591" s="212" t="s">
        <v>111</v>
      </c>
      <c r="N591" s="257" t="s">
        <v>128</v>
      </c>
      <c r="O591" s="261"/>
      <c r="P591" s="183">
        <v>7</v>
      </c>
      <c r="Q591" s="212" t="str">
        <f>VLOOKUP(Ruimtestaat[[#This Row],[Ruimte code]],Ruimtegroepen[#All],4,FALSE)</f>
        <v>niet in onderhoud</v>
      </c>
      <c r="R591" s="184"/>
      <c r="S591" s="185"/>
      <c r="T591" s="185" t="s">
        <v>3</v>
      </c>
      <c r="U591" s="185">
        <f>IF(S591&gt;0,IF(RIGHT(Ruimtestaat[[#This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1" s="185">
        <f>IF(U591&gt;0,VLOOKUP($K591,Ruimtegroepen[],3,FALSE)*VLOOKUP($M591,Vloersoorten[],3,FALSE)*VLOOKUP($T591,Frequenties[],3,FALSE)*VLOOKUP($A591,Locaties[],3,FALSE),0)</f>
        <v>0</v>
      </c>
      <c r="W591" s="185">
        <f>Ruimtestaat[[#This Row],[Uitvoeringen werkdagen]]*Ruimtestaat[[#This Row],[Oppervlak (netto)]]</f>
        <v>0</v>
      </c>
      <c r="X591" s="220">
        <f>IF(V591&gt;0,Ruimtestaat[[#This Row],[Prest. (m2 /jaar) werkdagen]]/Ruimtestaat[[#This Row],[Norm (m2/uur) werkdagen]],0)</f>
        <v>0</v>
      </c>
      <c r="Y591" s="221">
        <f>Ruimtestaat[[#This Row],[uren / jaar werkdagen]]*Tariefsopbouw!$D$38</f>
        <v>0</v>
      </c>
      <c r="Z591" s="33"/>
      <c r="AA591" s="33">
        <f>IF(Ruimtestaat[[#This Row],[Frequentie weekend]]&gt;0,VALUE(LEFT(Z591,1))*S591,0)</f>
        <v>0</v>
      </c>
      <c r="AB591" s="33">
        <f>IF($AA591&gt;0,VLOOKUP($K591,Ruimtegroepen[],3,FALSE)*VLOOKUP($M591,Vloersoorten[],3,FALSE)*VLOOKUP($Z591,Frequenties[],3,FALSE)*VLOOKUP(#REF!,Locaties[],3,FALSE),0)</f>
        <v>0</v>
      </c>
      <c r="AC591" s="33"/>
      <c r="AD591" s="33"/>
      <c r="AE591" s="33">
        <f>Ruimtestaat[[#This Row],[uren / jaar weekend]]*Tariefsopbouw!$D$40</f>
        <v>0</v>
      </c>
      <c r="AF591" s="79">
        <f>Ruimtestaat[[#This Row],[Prest. (m2 /jaar) weekend]]+Ruimtestaat[[#This Row],[Prest. (m2 /jaar) werkdagen]]</f>
        <v>0</v>
      </c>
      <c r="AG591" s="79">
        <f>Ruimtestaat[[#This Row],[uren / jaar weekend]]+Ruimtestaat[[#This Row],[uren / jaar werkdagen]]</f>
        <v>0</v>
      </c>
      <c r="AH591" s="80">
        <f>Ruimtestaat[[#This Row],[kosten / jaar weekend]]+Ruimtestaat[[#This Row],[kosten / jaar werkdagen]]</f>
        <v>0</v>
      </c>
    </row>
    <row r="592" spans="1:34" ht="15" customHeight="1">
      <c r="A592" s="256">
        <v>9</v>
      </c>
      <c r="B592" s="171" t="str">
        <f>VLOOKUP(Ruimtestaat[[#This Row],[Code]],Locaties[#All],2,FALSE)</f>
        <v>De Stapsteen (De Zevensprong)</v>
      </c>
      <c r="C592" s="258" t="str">
        <f>VLOOKUP(Ruimtestaat[[#This Row],[Code]],Locaties[#All],4,FALSE)</f>
        <v>Coornhertstraat 3</v>
      </c>
      <c r="D592" s="258" t="str">
        <f>VLOOKUP(Ruimtestaat[[#This Row],[Code]],Locaties[#All],5,FALSE)</f>
        <v>7552 MT</v>
      </c>
      <c r="E592" s="258" t="str">
        <f>VLOOKUP(Ruimtestaat[[#This Row],[Code]],Locaties[#All],6,FALSE)</f>
        <v>Hengelo</v>
      </c>
      <c r="F592" s="257"/>
      <c r="G592" s="257" t="s">
        <v>563</v>
      </c>
      <c r="H592" s="171"/>
      <c r="I592" s="257">
        <v>48</v>
      </c>
      <c r="J592" s="259" t="s">
        <v>585</v>
      </c>
      <c r="K592" s="171">
        <v>20</v>
      </c>
      <c r="L592" s="260" t="str">
        <f>VLOOKUP(Ruimtestaat[[#This Row],[Ruimte code]],Ruimtegroepen[#All],2,FALSE)</f>
        <v>Niet in onderhoud</v>
      </c>
      <c r="M592" s="212" t="s">
        <v>111</v>
      </c>
      <c r="N592" s="257" t="s">
        <v>128</v>
      </c>
      <c r="O592" s="261"/>
      <c r="P592" s="183">
        <v>7</v>
      </c>
      <c r="Q592" s="212" t="str">
        <f>VLOOKUP(Ruimtestaat[[#This Row],[Ruimte code]],Ruimtegroepen[#All],4,FALSE)</f>
        <v>niet in onderhoud</v>
      </c>
      <c r="R592" s="184"/>
      <c r="S592" s="185"/>
      <c r="T592" s="185" t="s">
        <v>3</v>
      </c>
      <c r="U592" s="185">
        <f>IF(S592&gt;0,IF(RIGHT(Ruimtestaat[[#This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2" s="185">
        <f>IF(U592&gt;0,VLOOKUP($K592,Ruimtegroepen[],3,FALSE)*VLOOKUP($M592,Vloersoorten[],3,FALSE)*VLOOKUP($T592,Frequenties[],3,FALSE)*VLOOKUP($A592,Locaties[],3,FALSE),0)</f>
        <v>0</v>
      </c>
      <c r="W592" s="185">
        <f>Ruimtestaat[[#This Row],[Uitvoeringen werkdagen]]*Ruimtestaat[[#This Row],[Oppervlak (netto)]]</f>
        <v>0</v>
      </c>
      <c r="X592" s="220">
        <f>IF(V592&gt;0,Ruimtestaat[[#This Row],[Prest. (m2 /jaar) werkdagen]]/Ruimtestaat[[#This Row],[Norm (m2/uur) werkdagen]],0)</f>
        <v>0</v>
      </c>
      <c r="Y592" s="221">
        <f>Ruimtestaat[[#This Row],[uren / jaar werkdagen]]*Tariefsopbouw!$D$38</f>
        <v>0</v>
      </c>
      <c r="Z592" s="33"/>
      <c r="AA592" s="33">
        <f>IF(Ruimtestaat[[#This Row],[Frequentie weekend]]&gt;0,VALUE(LEFT(Z592,1))*S592,0)</f>
        <v>0</v>
      </c>
      <c r="AB592" s="33">
        <f>IF($AA592&gt;0,VLOOKUP($K592,Ruimtegroepen[],3,FALSE)*VLOOKUP($M592,Vloersoorten[],3,FALSE)*VLOOKUP($Z592,Frequenties[],3,FALSE)*VLOOKUP(#REF!,Locaties[],3,FALSE),0)</f>
        <v>0</v>
      </c>
      <c r="AC592" s="33"/>
      <c r="AD592" s="33"/>
      <c r="AE592" s="33">
        <f>Ruimtestaat[[#This Row],[uren / jaar weekend]]*Tariefsopbouw!$D$40</f>
        <v>0</v>
      </c>
      <c r="AF592" s="79">
        <f>Ruimtestaat[[#This Row],[Prest. (m2 /jaar) weekend]]+Ruimtestaat[[#This Row],[Prest. (m2 /jaar) werkdagen]]</f>
        <v>0</v>
      </c>
      <c r="AG592" s="79">
        <f>Ruimtestaat[[#This Row],[uren / jaar weekend]]+Ruimtestaat[[#This Row],[uren / jaar werkdagen]]</f>
        <v>0</v>
      </c>
      <c r="AH592" s="80">
        <f>Ruimtestaat[[#This Row],[kosten / jaar weekend]]+Ruimtestaat[[#This Row],[kosten / jaar werkdagen]]</f>
        <v>0</v>
      </c>
    </row>
    <row r="593" spans="1:34" ht="15" customHeight="1">
      <c r="A593" s="256">
        <v>7</v>
      </c>
      <c r="B593" s="171" t="str">
        <f>VLOOKUP(Ruimtestaat[[#This Row],[Code]],Locaties[#All],2,FALSE)</f>
        <v>De Kapstok AGL</v>
      </c>
      <c r="C593" s="258" t="str">
        <f>VLOOKUP(Ruimtestaat[[#This Row],[Code]],Locaties[#All],4,FALSE)</f>
        <v>Krabbenbosweg 91</v>
      </c>
      <c r="D593" s="258" t="str">
        <f>VLOOKUP(Ruimtestaat[[#This Row],[Code]],Locaties[#All],5,FALSE)</f>
        <v>7555ED</v>
      </c>
      <c r="E593" s="258" t="str">
        <f>VLOOKUP(Ruimtestaat[[#This Row],[Code]],Locaties[#All],6,FALSE)</f>
        <v>Hengelo</v>
      </c>
      <c r="F593" s="257" t="s">
        <v>628</v>
      </c>
      <c r="G593" s="257" t="s">
        <v>563</v>
      </c>
      <c r="H593" s="171"/>
      <c r="I593" s="257" t="s">
        <v>631</v>
      </c>
      <c r="J593" s="259" t="s">
        <v>646</v>
      </c>
      <c r="K593" s="171">
        <v>6</v>
      </c>
      <c r="L593" s="260" t="str">
        <f>VLOOKUP(Ruimtestaat[[#This Row],[Ruimte code]],Ruimtegroepen[#All],2,FALSE)</f>
        <v>Gangen/hallen</v>
      </c>
      <c r="M593" s="258" t="s">
        <v>598</v>
      </c>
      <c r="N593" s="257" t="s">
        <v>132</v>
      </c>
      <c r="O593" s="261">
        <v>116.4</v>
      </c>
      <c r="P593" s="183"/>
      <c r="Q593" s="212" t="str">
        <f>VLOOKUP(Ruimtestaat[[#This Row],[Ruimte code]],Ruimtegroepen[#All],4,FALSE)</f>
        <v>V  (Verkeersruimte)</v>
      </c>
      <c r="R593" s="184"/>
      <c r="S593" s="185">
        <v>40</v>
      </c>
      <c r="T593" s="185" t="s">
        <v>2</v>
      </c>
      <c r="U593" s="185">
        <f>IF(S593&gt;0,IF(RIGHT(Ruimtestaat[[#This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3" s="185">
        <f>IF(U593&gt;0,VLOOKUP($K593,Ruimtegroepen[],3,FALSE)*VLOOKUP($M593,Vloersoorten[],3,FALSE)*VLOOKUP($T593,Frequenties[],3,FALSE)*VLOOKUP($A593,Locaties[],3,FALSE),0)</f>
        <v>0</v>
      </c>
      <c r="W593" s="185">
        <f>Ruimtestaat[[#This Row],[Uitvoeringen werkdagen]]*Ruimtestaat[[#This Row],[Oppervlak (netto)]]</f>
        <v>23280</v>
      </c>
      <c r="X593" s="220">
        <f>IF(V593&gt;0,Ruimtestaat[[#This Row],[Prest. (m2 /jaar) werkdagen]]/Ruimtestaat[[#This Row],[Norm (m2/uur) werkdagen]],0)</f>
        <v>0</v>
      </c>
      <c r="Y593" s="221">
        <f>Ruimtestaat[[#This Row],[uren / jaar werkdagen]]*Tariefsopbouw!$D$38</f>
        <v>0</v>
      </c>
      <c r="Z593" s="33"/>
      <c r="AA593" s="33">
        <f>IF(Ruimtestaat[[#This Row],[Frequentie weekend]]&gt;0,VALUE(LEFT(Z593,1))*S593,0)</f>
        <v>0</v>
      </c>
      <c r="AB593" s="33">
        <f>IF($AA593&gt;0,VLOOKUP($K593,Ruimtegroepen[],3,FALSE)*VLOOKUP($M593,Vloersoorten[],3,FALSE)*VLOOKUP($Z593,Frequenties[],3,FALSE)*VLOOKUP(#REF!,Locaties[],3,FALSE),0)</f>
        <v>0</v>
      </c>
      <c r="AC593" s="33"/>
      <c r="AD593" s="33"/>
      <c r="AE593" s="33">
        <f>Ruimtestaat[[#This Row],[uren / jaar weekend]]*Tariefsopbouw!$D$40</f>
        <v>0</v>
      </c>
      <c r="AF593" s="79">
        <f>Ruimtestaat[[#This Row],[Prest. (m2 /jaar) weekend]]+Ruimtestaat[[#This Row],[Prest. (m2 /jaar) werkdagen]]</f>
        <v>23280</v>
      </c>
      <c r="AG593" s="79">
        <f>Ruimtestaat[[#This Row],[uren / jaar weekend]]+Ruimtestaat[[#This Row],[uren / jaar werkdagen]]</f>
        <v>0</v>
      </c>
      <c r="AH593" s="80">
        <f>Ruimtestaat[[#This Row],[kosten / jaar weekend]]+Ruimtestaat[[#This Row],[kosten / jaar werkdagen]]</f>
        <v>0</v>
      </c>
    </row>
    <row r="594" spans="1:34" ht="15" customHeight="1">
      <c r="A594" s="256">
        <v>7</v>
      </c>
      <c r="B594" s="171" t="str">
        <f>VLOOKUP(Ruimtestaat[[#This Row],[Code]],Locaties[#All],2,FALSE)</f>
        <v>De Kapstok AGL</v>
      </c>
      <c r="C594" s="258" t="str">
        <f>VLOOKUP(Ruimtestaat[[#This Row],[Code]],Locaties[#All],4,FALSE)</f>
        <v>Krabbenbosweg 91</v>
      </c>
      <c r="D594" s="258" t="str">
        <f>VLOOKUP(Ruimtestaat[[#This Row],[Code]],Locaties[#All],5,FALSE)</f>
        <v>7555ED</v>
      </c>
      <c r="E594" s="258" t="str">
        <f>VLOOKUP(Ruimtestaat[[#This Row],[Code]],Locaties[#All],6,FALSE)</f>
        <v>Hengelo</v>
      </c>
      <c r="F594" s="257" t="s">
        <v>628</v>
      </c>
      <c r="G594" s="257" t="s">
        <v>563</v>
      </c>
      <c r="H594" s="171"/>
      <c r="I594" s="257" t="s">
        <v>632</v>
      </c>
      <c r="J594" s="259" t="s">
        <v>647</v>
      </c>
      <c r="K594" s="171">
        <v>12</v>
      </c>
      <c r="L594" s="260" t="str">
        <f>VLOOKUP(Ruimtestaat[[#This Row],[Ruimte code]],Ruimtegroepen[#All],2,FALSE)</f>
        <v>Kantine</v>
      </c>
      <c r="M594" s="258" t="s">
        <v>598</v>
      </c>
      <c r="N594" s="257" t="s">
        <v>132</v>
      </c>
      <c r="O594" s="261">
        <v>48.6</v>
      </c>
      <c r="P594" s="183"/>
      <c r="Q594" s="212" t="str">
        <f>VLOOKUP(Ruimtestaat[[#This Row],[Ruimte code]],Ruimtegroepen[#All],4,FALSE)</f>
        <v>V  (Verkeersruimte)</v>
      </c>
      <c r="R594" s="184"/>
      <c r="S594" s="185">
        <v>40</v>
      </c>
      <c r="T594" s="185" t="s">
        <v>2</v>
      </c>
      <c r="U594" s="185">
        <f>IF(S594&gt;0,IF(RIGHT(Ruimtestaat[[#This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4" s="185">
        <f>IF(U594&gt;0,VLOOKUP($K594,Ruimtegroepen[],3,FALSE)*VLOOKUP($M594,Vloersoorten[],3,FALSE)*VLOOKUP($T594,Frequenties[],3,FALSE)*VLOOKUP($A594,Locaties[],3,FALSE),0)</f>
        <v>0</v>
      </c>
      <c r="W594" s="185">
        <f>Ruimtestaat[[#This Row],[Uitvoeringen werkdagen]]*Ruimtestaat[[#This Row],[Oppervlak (netto)]]</f>
        <v>9720</v>
      </c>
      <c r="X594" s="220">
        <f>IF(V594&gt;0,Ruimtestaat[[#This Row],[Prest. (m2 /jaar) werkdagen]]/Ruimtestaat[[#This Row],[Norm (m2/uur) werkdagen]],0)</f>
        <v>0</v>
      </c>
      <c r="Y594" s="221">
        <f>Ruimtestaat[[#This Row],[uren / jaar werkdagen]]*Tariefsopbouw!$D$38</f>
        <v>0</v>
      </c>
      <c r="Z594" s="33"/>
      <c r="AA594" s="33">
        <f>IF(Ruimtestaat[[#This Row],[Frequentie weekend]]&gt;0,VALUE(LEFT(Z594,1))*S594,0)</f>
        <v>0</v>
      </c>
      <c r="AB594" s="33">
        <f>IF($AA594&gt;0,VLOOKUP($K594,Ruimtegroepen[],3,FALSE)*VLOOKUP($M594,Vloersoorten[],3,FALSE)*VLOOKUP($Z594,Frequenties[],3,FALSE)*VLOOKUP(#REF!,Locaties[],3,FALSE),0)</f>
        <v>0</v>
      </c>
      <c r="AC594" s="33"/>
      <c r="AD594" s="33"/>
      <c r="AE594" s="33">
        <f>Ruimtestaat[[#This Row],[uren / jaar weekend]]*Tariefsopbouw!$D$40</f>
        <v>0</v>
      </c>
      <c r="AF594" s="79">
        <f>Ruimtestaat[[#This Row],[Prest. (m2 /jaar) weekend]]+Ruimtestaat[[#This Row],[Prest. (m2 /jaar) werkdagen]]</f>
        <v>9720</v>
      </c>
      <c r="AG594" s="79">
        <f>Ruimtestaat[[#This Row],[uren / jaar weekend]]+Ruimtestaat[[#This Row],[uren / jaar werkdagen]]</f>
        <v>0</v>
      </c>
      <c r="AH594" s="80">
        <f>Ruimtestaat[[#This Row],[kosten / jaar weekend]]+Ruimtestaat[[#This Row],[kosten / jaar werkdagen]]</f>
        <v>0</v>
      </c>
    </row>
    <row r="595" spans="1:34" ht="15" customHeight="1">
      <c r="A595" s="256">
        <v>7</v>
      </c>
      <c r="B595" s="171" t="str">
        <f>VLOOKUP(Ruimtestaat[[#This Row],[Code]],Locaties[#All],2,FALSE)</f>
        <v>De Kapstok AGL</v>
      </c>
      <c r="C595" s="258" t="str">
        <f>VLOOKUP(Ruimtestaat[[#This Row],[Code]],Locaties[#All],4,FALSE)</f>
        <v>Krabbenbosweg 91</v>
      </c>
      <c r="D595" s="258" t="str">
        <f>VLOOKUP(Ruimtestaat[[#This Row],[Code]],Locaties[#All],5,FALSE)</f>
        <v>7555ED</v>
      </c>
      <c r="E595" s="258" t="str">
        <f>VLOOKUP(Ruimtestaat[[#This Row],[Code]],Locaties[#All],6,FALSE)</f>
        <v>Hengelo</v>
      </c>
      <c r="F595" s="257" t="s">
        <v>628</v>
      </c>
      <c r="G595" s="257" t="s">
        <v>563</v>
      </c>
      <c r="H595" s="171"/>
      <c r="I595" s="257" t="s">
        <v>633</v>
      </c>
      <c r="J595" s="259" t="s">
        <v>648</v>
      </c>
      <c r="K595" s="258">
        <v>2</v>
      </c>
      <c r="L595" s="260" t="str">
        <f>VLOOKUP(Ruimtestaat[[#This Row],[Ruimte code]],Ruimtegroepen[#All],2,FALSE)</f>
        <v>Kantoren</v>
      </c>
      <c r="M595" s="258" t="s">
        <v>598</v>
      </c>
      <c r="N595" s="257" t="s">
        <v>132</v>
      </c>
      <c r="O595" s="261">
        <v>12</v>
      </c>
      <c r="P595" s="183"/>
      <c r="Q595" s="212" t="str">
        <f>VLOOKUP(Ruimtestaat[[#This Row],[Ruimte code]],Ruimtegroepen[#All],4,FALSE)</f>
        <v>B  (Bureauruimte)</v>
      </c>
      <c r="R595" s="184"/>
      <c r="S595" s="185">
        <v>40</v>
      </c>
      <c r="T595" s="185" t="s">
        <v>18</v>
      </c>
      <c r="U595" s="185">
        <f>IF(S595&gt;0,IF(RIGHT(Ruimtestaat[[#This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595" s="185">
        <f>IF(U595&gt;0,VLOOKUP($K595,Ruimtegroepen[],3,FALSE)*VLOOKUP($M595,Vloersoorten[],3,FALSE)*VLOOKUP($T595,Frequenties[],3,FALSE)*VLOOKUP($A595,Locaties[],3,FALSE),0)</f>
        <v>0</v>
      </c>
      <c r="W595" s="185">
        <f>Ruimtestaat[[#This Row],[Uitvoeringen werkdagen]]*Ruimtestaat[[#This Row],[Oppervlak (netto)]]</f>
        <v>1440</v>
      </c>
      <c r="X595" s="220">
        <f>IF(V595&gt;0,Ruimtestaat[[#This Row],[Prest. (m2 /jaar) werkdagen]]/Ruimtestaat[[#This Row],[Norm (m2/uur) werkdagen]],0)</f>
        <v>0</v>
      </c>
      <c r="Y595" s="221">
        <f>Ruimtestaat[[#This Row],[uren / jaar werkdagen]]*Tariefsopbouw!$D$38</f>
        <v>0</v>
      </c>
      <c r="Z595" s="33"/>
      <c r="AA595" s="33">
        <f>IF(Ruimtestaat[[#This Row],[Frequentie weekend]]&gt;0,VALUE(LEFT(Z595,1))*S595,0)</f>
        <v>0</v>
      </c>
      <c r="AB595" s="33">
        <f>IF($AA595&gt;0,VLOOKUP($K595,Ruimtegroepen[],3,FALSE)*VLOOKUP($M595,Vloersoorten[],3,FALSE)*VLOOKUP($Z595,Frequenties[],3,FALSE)*VLOOKUP(#REF!,Locaties[],3,FALSE),0)</f>
        <v>0</v>
      </c>
      <c r="AC595" s="33"/>
      <c r="AD595" s="33"/>
      <c r="AE595" s="33">
        <f>Ruimtestaat[[#This Row],[uren / jaar weekend]]*Tariefsopbouw!$D$40</f>
        <v>0</v>
      </c>
      <c r="AF595" s="79">
        <f>Ruimtestaat[[#This Row],[Prest. (m2 /jaar) weekend]]+Ruimtestaat[[#This Row],[Prest. (m2 /jaar) werkdagen]]</f>
        <v>1440</v>
      </c>
      <c r="AG595" s="79">
        <f>Ruimtestaat[[#This Row],[uren / jaar weekend]]+Ruimtestaat[[#This Row],[uren / jaar werkdagen]]</f>
        <v>0</v>
      </c>
      <c r="AH595" s="80">
        <f>Ruimtestaat[[#This Row],[kosten / jaar weekend]]+Ruimtestaat[[#This Row],[kosten / jaar werkdagen]]</f>
        <v>0</v>
      </c>
    </row>
    <row r="596" spans="1:34" ht="15" customHeight="1">
      <c r="A596" s="256">
        <v>7</v>
      </c>
      <c r="B596" s="171" t="str">
        <f>VLOOKUP(Ruimtestaat[[#This Row],[Code]],Locaties[#All],2,FALSE)</f>
        <v>De Kapstok AGL</v>
      </c>
      <c r="C596" s="258" t="str">
        <f>VLOOKUP(Ruimtestaat[[#This Row],[Code]],Locaties[#All],4,FALSE)</f>
        <v>Krabbenbosweg 91</v>
      </c>
      <c r="D596" s="258" t="str">
        <f>VLOOKUP(Ruimtestaat[[#This Row],[Code]],Locaties[#All],5,FALSE)</f>
        <v>7555ED</v>
      </c>
      <c r="E596" s="258" t="str">
        <f>VLOOKUP(Ruimtestaat[[#This Row],[Code]],Locaties[#All],6,FALSE)</f>
        <v>Hengelo</v>
      </c>
      <c r="F596" s="257" t="s">
        <v>628</v>
      </c>
      <c r="G596" s="257" t="s">
        <v>563</v>
      </c>
      <c r="H596" s="171"/>
      <c r="I596" s="257" t="s">
        <v>634</v>
      </c>
      <c r="J596" s="259" t="s">
        <v>585</v>
      </c>
      <c r="K596" s="171">
        <v>20</v>
      </c>
      <c r="L596" s="260" t="str">
        <f>VLOOKUP(Ruimtestaat[[#This Row],[Ruimte code]],Ruimtegroepen[#All],2,FALSE)</f>
        <v>Niet in onderhoud</v>
      </c>
      <c r="M596" s="258" t="s">
        <v>598</v>
      </c>
      <c r="N596" s="257" t="s">
        <v>132</v>
      </c>
      <c r="O596" s="261"/>
      <c r="P596" s="183">
        <v>12.5</v>
      </c>
      <c r="Q596" s="212" t="str">
        <f>VLOOKUP(Ruimtestaat[[#This Row],[Ruimte code]],Ruimtegroepen[#All],4,FALSE)</f>
        <v>niet in onderhoud</v>
      </c>
      <c r="R596" s="184"/>
      <c r="S596" s="185"/>
      <c r="T596" s="185"/>
      <c r="U596" s="185">
        <f>IF(S596&gt;0,IF(RIGHT(Ruimtestaat[[#This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6" s="185">
        <f>IF(U596&gt;0,VLOOKUP($K596,Ruimtegroepen[],3,FALSE)*VLOOKUP($M596,Vloersoorten[],3,FALSE)*VLOOKUP($T596,Frequenties[],3,FALSE)*VLOOKUP($A596,Locaties[],3,FALSE),0)</f>
        <v>0</v>
      </c>
      <c r="W596" s="185">
        <f>Ruimtestaat[[#This Row],[Uitvoeringen werkdagen]]*Ruimtestaat[[#This Row],[Oppervlak (netto)]]</f>
        <v>0</v>
      </c>
      <c r="X596" s="220">
        <f>IF(V596&gt;0,Ruimtestaat[[#This Row],[Prest. (m2 /jaar) werkdagen]]/Ruimtestaat[[#This Row],[Norm (m2/uur) werkdagen]],0)</f>
        <v>0</v>
      </c>
      <c r="Y596" s="221">
        <f>Ruimtestaat[[#This Row],[uren / jaar werkdagen]]*Tariefsopbouw!$D$38</f>
        <v>0</v>
      </c>
      <c r="Z596" s="33"/>
      <c r="AA596" s="33">
        <f>IF(Ruimtestaat[[#This Row],[Frequentie weekend]]&gt;0,VALUE(LEFT(Z596,1))*S596,0)</f>
        <v>0</v>
      </c>
      <c r="AB596" s="33">
        <f>IF($AA596&gt;0,VLOOKUP($K596,Ruimtegroepen[],3,FALSE)*VLOOKUP($M596,Vloersoorten[],3,FALSE)*VLOOKUP($Z596,Frequenties[],3,FALSE)*VLOOKUP(#REF!,Locaties[],3,FALSE),0)</f>
        <v>0</v>
      </c>
      <c r="AC596" s="33"/>
      <c r="AD596" s="33"/>
      <c r="AE596" s="33">
        <f>Ruimtestaat[[#This Row],[uren / jaar weekend]]*Tariefsopbouw!$D$40</f>
        <v>0</v>
      </c>
      <c r="AF596" s="79">
        <f>Ruimtestaat[[#This Row],[Prest. (m2 /jaar) weekend]]+Ruimtestaat[[#This Row],[Prest. (m2 /jaar) werkdagen]]</f>
        <v>0</v>
      </c>
      <c r="AG596" s="79">
        <f>Ruimtestaat[[#This Row],[uren / jaar weekend]]+Ruimtestaat[[#This Row],[uren / jaar werkdagen]]</f>
        <v>0</v>
      </c>
      <c r="AH596" s="80">
        <f>Ruimtestaat[[#This Row],[kosten / jaar weekend]]+Ruimtestaat[[#This Row],[kosten / jaar werkdagen]]</f>
        <v>0</v>
      </c>
    </row>
    <row r="597" spans="1:34" ht="15" customHeight="1">
      <c r="A597" s="256">
        <v>7</v>
      </c>
      <c r="B597" s="171" t="str">
        <f>VLOOKUP(Ruimtestaat[[#This Row],[Code]],Locaties[#All],2,FALSE)</f>
        <v>De Kapstok AGL</v>
      </c>
      <c r="C597" s="258" t="str">
        <f>VLOOKUP(Ruimtestaat[[#This Row],[Code]],Locaties[#All],4,FALSE)</f>
        <v>Krabbenbosweg 91</v>
      </c>
      <c r="D597" s="258" t="str">
        <f>VLOOKUP(Ruimtestaat[[#This Row],[Code]],Locaties[#All],5,FALSE)</f>
        <v>7555ED</v>
      </c>
      <c r="E597" s="258" t="str">
        <f>VLOOKUP(Ruimtestaat[[#This Row],[Code]],Locaties[#All],6,FALSE)</f>
        <v>Hengelo</v>
      </c>
      <c r="F597" s="257" t="s">
        <v>628</v>
      </c>
      <c r="G597" s="257" t="s">
        <v>563</v>
      </c>
      <c r="H597" s="171"/>
      <c r="I597" s="257" t="s">
        <v>635</v>
      </c>
      <c r="J597" s="259" t="s">
        <v>649</v>
      </c>
      <c r="K597" s="171">
        <v>15</v>
      </c>
      <c r="L597" s="260" t="str">
        <f>VLOOKUP(Ruimtestaat[[#This Row],[Ruimte code]],Ruimtegroepen[#All],2,FALSE)</f>
        <v>Keuken/pantry</v>
      </c>
      <c r="M597" s="258" t="s">
        <v>598</v>
      </c>
      <c r="N597" s="257" t="s">
        <v>132</v>
      </c>
      <c r="O597" s="261">
        <v>12</v>
      </c>
      <c r="P597" s="183"/>
      <c r="Q597" s="212" t="str">
        <f>VLOOKUP(Ruimtestaat[[#This Row],[Ruimte code]],Ruimtegroepen[#All],4,FALSE)</f>
        <v>V  (Verkeersruimte)</v>
      </c>
      <c r="R597" s="184"/>
      <c r="S597" s="185">
        <v>40</v>
      </c>
      <c r="T597" s="185" t="s">
        <v>2</v>
      </c>
      <c r="U597" s="185">
        <f>IF(S597&gt;0,IF(RIGHT(Ruimtestaat[[#This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7" s="185">
        <f>IF(U597&gt;0,VLOOKUP($K597,Ruimtegroepen[],3,FALSE)*VLOOKUP($M597,Vloersoorten[],3,FALSE)*VLOOKUP($T597,Frequenties[],3,FALSE)*VLOOKUP($A597,Locaties[],3,FALSE),0)</f>
        <v>0</v>
      </c>
      <c r="W597" s="185">
        <f>Ruimtestaat[[#This Row],[Uitvoeringen werkdagen]]*Ruimtestaat[[#This Row],[Oppervlak (netto)]]</f>
        <v>2400</v>
      </c>
      <c r="X597" s="220">
        <f>IF(V597&gt;0,Ruimtestaat[[#This Row],[Prest. (m2 /jaar) werkdagen]]/Ruimtestaat[[#This Row],[Norm (m2/uur) werkdagen]],0)</f>
        <v>0</v>
      </c>
      <c r="Y597" s="221">
        <f>Ruimtestaat[[#This Row],[uren / jaar werkdagen]]*Tariefsopbouw!$D$38</f>
        <v>0</v>
      </c>
      <c r="Z597" s="33"/>
      <c r="AA597" s="33">
        <f>IF(Ruimtestaat[[#This Row],[Frequentie weekend]]&gt;0,VALUE(LEFT(Z597,1))*S597,0)</f>
        <v>0</v>
      </c>
      <c r="AB597" s="33">
        <f>IF($AA597&gt;0,VLOOKUP($K597,Ruimtegroepen[],3,FALSE)*VLOOKUP($M597,Vloersoorten[],3,FALSE)*VLOOKUP($Z597,Frequenties[],3,FALSE)*VLOOKUP(#REF!,Locaties[],3,FALSE),0)</f>
        <v>0</v>
      </c>
      <c r="AC597" s="33"/>
      <c r="AD597" s="33"/>
      <c r="AE597" s="33">
        <f>Ruimtestaat[[#This Row],[uren / jaar weekend]]*Tariefsopbouw!$D$40</f>
        <v>0</v>
      </c>
      <c r="AF597" s="79">
        <f>Ruimtestaat[[#This Row],[Prest. (m2 /jaar) weekend]]+Ruimtestaat[[#This Row],[Prest. (m2 /jaar) werkdagen]]</f>
        <v>2400</v>
      </c>
      <c r="AG597" s="79">
        <f>Ruimtestaat[[#This Row],[uren / jaar weekend]]+Ruimtestaat[[#This Row],[uren / jaar werkdagen]]</f>
        <v>0</v>
      </c>
      <c r="AH597" s="80">
        <f>Ruimtestaat[[#This Row],[kosten / jaar weekend]]+Ruimtestaat[[#This Row],[kosten / jaar werkdagen]]</f>
        <v>0</v>
      </c>
    </row>
    <row r="598" spans="1:34" ht="15" customHeight="1">
      <c r="A598" s="256">
        <v>7</v>
      </c>
      <c r="B598" s="171" t="str">
        <f>VLOOKUP(Ruimtestaat[[#This Row],[Code]],Locaties[#All],2,FALSE)</f>
        <v>De Kapstok AGL</v>
      </c>
      <c r="C598" s="258" t="str">
        <f>VLOOKUP(Ruimtestaat[[#This Row],[Code]],Locaties[#All],4,FALSE)</f>
        <v>Krabbenbosweg 91</v>
      </c>
      <c r="D598" s="258" t="str">
        <f>VLOOKUP(Ruimtestaat[[#This Row],[Code]],Locaties[#All],5,FALSE)</f>
        <v>7555ED</v>
      </c>
      <c r="E598" s="258" t="str">
        <f>VLOOKUP(Ruimtestaat[[#This Row],[Code]],Locaties[#All],6,FALSE)</f>
        <v>Hengelo</v>
      </c>
      <c r="F598" s="257" t="s">
        <v>628</v>
      </c>
      <c r="G598" s="257" t="s">
        <v>563</v>
      </c>
      <c r="H598" s="171"/>
      <c r="I598" s="257" t="s">
        <v>636</v>
      </c>
      <c r="J598" s="259" t="s">
        <v>600</v>
      </c>
      <c r="K598" s="171">
        <v>15</v>
      </c>
      <c r="L598" s="260" t="str">
        <f>VLOOKUP(Ruimtestaat[[#This Row],[Ruimte code]],Ruimtegroepen[#All],2,FALSE)</f>
        <v>Keuken/pantry</v>
      </c>
      <c r="M598" s="258" t="s">
        <v>598</v>
      </c>
      <c r="N598" s="257" t="s">
        <v>132</v>
      </c>
      <c r="O598" s="261">
        <v>6.6</v>
      </c>
      <c r="P598" s="183"/>
      <c r="Q598" s="212" t="str">
        <f>VLOOKUP(Ruimtestaat[[#This Row],[Ruimte code]],Ruimtegroepen[#All],4,FALSE)</f>
        <v>V  (Verkeersruimte)</v>
      </c>
      <c r="R598" s="184"/>
      <c r="S598" s="185">
        <v>40</v>
      </c>
      <c r="T598" s="185" t="s">
        <v>2</v>
      </c>
      <c r="U598" s="185">
        <f>IF(S598&gt;0,IF(RIGHT(Ruimtestaat[[#This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8" s="185">
        <f>IF(U598&gt;0,VLOOKUP($K598,Ruimtegroepen[],3,FALSE)*VLOOKUP($M598,Vloersoorten[],3,FALSE)*VLOOKUP($T598,Frequenties[],3,FALSE)*VLOOKUP($A598,Locaties[],3,FALSE),0)</f>
        <v>0</v>
      </c>
      <c r="W598" s="185">
        <f>Ruimtestaat[[#This Row],[Uitvoeringen werkdagen]]*Ruimtestaat[[#This Row],[Oppervlak (netto)]]</f>
        <v>1320</v>
      </c>
      <c r="X598" s="220">
        <f>IF(V598&gt;0,Ruimtestaat[[#This Row],[Prest. (m2 /jaar) werkdagen]]/Ruimtestaat[[#This Row],[Norm (m2/uur) werkdagen]],0)</f>
        <v>0</v>
      </c>
      <c r="Y598" s="221">
        <f>Ruimtestaat[[#This Row],[uren / jaar werkdagen]]*Tariefsopbouw!$D$38</f>
        <v>0</v>
      </c>
      <c r="Z598" s="33"/>
      <c r="AA598" s="33">
        <f>IF(Ruimtestaat[[#This Row],[Frequentie weekend]]&gt;0,VALUE(LEFT(Z598,1))*S598,0)</f>
        <v>0</v>
      </c>
      <c r="AB598" s="33">
        <f>IF($AA598&gt;0,VLOOKUP($K598,Ruimtegroepen[],3,FALSE)*VLOOKUP($M598,Vloersoorten[],3,FALSE)*VLOOKUP($Z598,Frequenties[],3,FALSE)*VLOOKUP(#REF!,Locaties[],3,FALSE),0)</f>
        <v>0</v>
      </c>
      <c r="AC598" s="33"/>
      <c r="AD598" s="33"/>
      <c r="AE598" s="33">
        <f>Ruimtestaat[[#This Row],[uren / jaar weekend]]*Tariefsopbouw!$D$40</f>
        <v>0</v>
      </c>
      <c r="AF598" s="79">
        <f>Ruimtestaat[[#This Row],[Prest. (m2 /jaar) weekend]]+Ruimtestaat[[#This Row],[Prest. (m2 /jaar) werkdagen]]</f>
        <v>1320</v>
      </c>
      <c r="AG598" s="79">
        <f>Ruimtestaat[[#This Row],[uren / jaar weekend]]+Ruimtestaat[[#This Row],[uren / jaar werkdagen]]</f>
        <v>0</v>
      </c>
      <c r="AH598" s="80">
        <f>Ruimtestaat[[#This Row],[kosten / jaar weekend]]+Ruimtestaat[[#This Row],[kosten / jaar werkdagen]]</f>
        <v>0</v>
      </c>
    </row>
    <row r="599" spans="1:34" ht="15" customHeight="1">
      <c r="A599" s="256">
        <v>7</v>
      </c>
      <c r="B599" s="171" t="str">
        <f>VLOOKUP(Ruimtestaat[[#This Row],[Code]],Locaties[#All],2,FALSE)</f>
        <v>De Kapstok AGL</v>
      </c>
      <c r="C599" s="258" t="str">
        <f>VLOOKUP(Ruimtestaat[[#This Row],[Code]],Locaties[#All],4,FALSE)</f>
        <v>Krabbenbosweg 91</v>
      </c>
      <c r="D599" s="258" t="str">
        <f>VLOOKUP(Ruimtestaat[[#This Row],[Code]],Locaties[#All],5,FALSE)</f>
        <v>7555ED</v>
      </c>
      <c r="E599" s="258" t="str">
        <f>VLOOKUP(Ruimtestaat[[#This Row],[Code]],Locaties[#All],6,FALSE)</f>
        <v>Hengelo</v>
      </c>
      <c r="F599" s="257" t="s">
        <v>628</v>
      </c>
      <c r="G599" s="257" t="s">
        <v>563</v>
      </c>
      <c r="H599" s="171"/>
      <c r="I599" s="257">
        <v>70</v>
      </c>
      <c r="J599" s="259" t="s">
        <v>650</v>
      </c>
      <c r="K599" s="258">
        <v>20</v>
      </c>
      <c r="L599" s="260" t="str">
        <f>VLOOKUP(Ruimtestaat[[#This Row],[Ruimte code]],Ruimtegroepen[#All],2,FALSE)</f>
        <v>Niet in onderhoud</v>
      </c>
      <c r="M599" s="212" t="s">
        <v>111</v>
      </c>
      <c r="N599" s="257" t="s">
        <v>626</v>
      </c>
      <c r="O599" s="261"/>
      <c r="P599" s="183">
        <v>2</v>
      </c>
      <c r="Q599" s="212" t="str">
        <f>VLOOKUP(Ruimtestaat[[#This Row],[Ruimte code]],Ruimtegroepen[#All],4,FALSE)</f>
        <v>niet in onderhoud</v>
      </c>
      <c r="R599" s="184"/>
      <c r="S599" s="185"/>
      <c r="T599" s="185"/>
      <c r="U599" s="185">
        <f>IF(S599&gt;0,IF(RIGHT(Ruimtestaat[[#This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9" s="185">
        <f>IF(U599&gt;0,VLOOKUP($K599,Ruimtegroepen[],3,FALSE)*VLOOKUP($M599,Vloersoorten[],3,FALSE)*VLOOKUP($T599,Frequenties[],3,FALSE)*VLOOKUP($A599,Locaties[],3,FALSE),0)</f>
        <v>0</v>
      </c>
      <c r="W599" s="185">
        <f>Ruimtestaat[[#This Row],[Uitvoeringen werkdagen]]*Ruimtestaat[[#This Row],[Oppervlak (netto)]]</f>
        <v>0</v>
      </c>
      <c r="X599" s="220">
        <f>IF(V599&gt;0,Ruimtestaat[[#This Row],[Prest. (m2 /jaar) werkdagen]]/Ruimtestaat[[#This Row],[Norm (m2/uur) werkdagen]],0)</f>
        <v>0</v>
      </c>
      <c r="Y599" s="221">
        <f>Ruimtestaat[[#This Row],[uren / jaar werkdagen]]*Tariefsopbouw!$D$38</f>
        <v>0</v>
      </c>
      <c r="Z599" s="33"/>
      <c r="AA599" s="33">
        <f>IF(Ruimtestaat[[#This Row],[Frequentie weekend]]&gt;0,VALUE(LEFT(Z599,1))*S599,0)</f>
        <v>0</v>
      </c>
      <c r="AB599" s="33">
        <f>IF($AA599&gt;0,VLOOKUP($K599,Ruimtegroepen[],3,FALSE)*VLOOKUP($M599,Vloersoorten[],3,FALSE)*VLOOKUP($Z599,Frequenties[],3,FALSE)*VLOOKUP(#REF!,Locaties[],3,FALSE),0)</f>
        <v>0</v>
      </c>
      <c r="AC599" s="33"/>
      <c r="AD599" s="33"/>
      <c r="AE599" s="33">
        <f>Ruimtestaat[[#This Row],[uren / jaar weekend]]*Tariefsopbouw!$D$40</f>
        <v>0</v>
      </c>
      <c r="AF599" s="79">
        <f>Ruimtestaat[[#This Row],[Prest. (m2 /jaar) weekend]]+Ruimtestaat[[#This Row],[Prest. (m2 /jaar) werkdagen]]</f>
        <v>0</v>
      </c>
      <c r="AG599" s="79">
        <f>Ruimtestaat[[#This Row],[uren / jaar weekend]]+Ruimtestaat[[#This Row],[uren / jaar werkdagen]]</f>
        <v>0</v>
      </c>
      <c r="AH599" s="80">
        <f>Ruimtestaat[[#This Row],[kosten / jaar weekend]]+Ruimtestaat[[#This Row],[kosten / jaar werkdagen]]</f>
        <v>0</v>
      </c>
    </row>
    <row r="600" spans="1:34" ht="15" customHeight="1">
      <c r="A600" s="256">
        <v>7</v>
      </c>
      <c r="B600" s="171" t="str">
        <f>VLOOKUP(Ruimtestaat[[#This Row],[Code]],Locaties[#All],2,FALSE)</f>
        <v>De Kapstok AGL</v>
      </c>
      <c r="C600" s="258" t="str">
        <f>VLOOKUP(Ruimtestaat[[#This Row],[Code]],Locaties[#All],4,FALSE)</f>
        <v>Krabbenbosweg 91</v>
      </c>
      <c r="D600" s="258" t="str">
        <f>VLOOKUP(Ruimtestaat[[#This Row],[Code]],Locaties[#All],5,FALSE)</f>
        <v>7555ED</v>
      </c>
      <c r="E600" s="258" t="str">
        <f>VLOOKUP(Ruimtestaat[[#This Row],[Code]],Locaties[#All],6,FALSE)</f>
        <v>Hengelo</v>
      </c>
      <c r="F600" s="257" t="s">
        <v>628</v>
      </c>
      <c r="G600" s="257" t="s">
        <v>563</v>
      </c>
      <c r="H600" s="171"/>
      <c r="I600" s="257">
        <v>71</v>
      </c>
      <c r="J600" s="259" t="s">
        <v>577</v>
      </c>
      <c r="K600" s="258">
        <v>20</v>
      </c>
      <c r="L600" s="260" t="str">
        <f>VLOOKUP(Ruimtestaat[[#This Row],[Ruimte code]],Ruimtegroepen[#All],2,FALSE)</f>
        <v>Niet in onderhoud</v>
      </c>
      <c r="M600" s="212" t="s">
        <v>111</v>
      </c>
      <c r="N600" s="257" t="s">
        <v>605</v>
      </c>
      <c r="O600" s="261"/>
      <c r="P600" s="183">
        <v>0.5</v>
      </c>
      <c r="Q600" s="212" t="str">
        <f>VLOOKUP(Ruimtestaat[[#This Row],[Ruimte code]],Ruimtegroepen[#All],4,FALSE)</f>
        <v>niet in onderhoud</v>
      </c>
      <c r="R600" s="184"/>
      <c r="S600" s="185"/>
      <c r="T600" s="185"/>
      <c r="U600" s="185">
        <f>IF(S600&gt;0,IF(RIGHT(Ruimtestaat[[#This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00" s="185">
        <f>IF(U600&gt;0,VLOOKUP($K600,Ruimtegroepen[],3,FALSE)*VLOOKUP($M600,Vloersoorten[],3,FALSE)*VLOOKUP($T600,Frequenties[],3,FALSE)*VLOOKUP($A600,Locaties[],3,FALSE),0)</f>
        <v>0</v>
      </c>
      <c r="W600" s="185">
        <f>Ruimtestaat[[#This Row],[Uitvoeringen werkdagen]]*Ruimtestaat[[#This Row],[Oppervlak (netto)]]</f>
        <v>0</v>
      </c>
      <c r="X600" s="220">
        <f>IF(V600&gt;0,Ruimtestaat[[#This Row],[Prest. (m2 /jaar) werkdagen]]/Ruimtestaat[[#This Row],[Norm (m2/uur) werkdagen]],0)</f>
        <v>0</v>
      </c>
      <c r="Y600" s="221">
        <f>Ruimtestaat[[#This Row],[uren / jaar werkdagen]]*Tariefsopbouw!$D$38</f>
        <v>0</v>
      </c>
      <c r="Z600" s="33"/>
      <c r="AA600" s="33">
        <f>IF(Ruimtestaat[[#This Row],[Frequentie weekend]]&gt;0,VALUE(LEFT(Z600,1))*S600,0)</f>
        <v>0</v>
      </c>
      <c r="AB600" s="33">
        <f>IF($AA600&gt;0,VLOOKUP($K600,Ruimtegroepen[],3,FALSE)*VLOOKUP($M600,Vloersoorten[],3,FALSE)*VLOOKUP($Z600,Frequenties[],3,FALSE)*VLOOKUP(#REF!,Locaties[],3,FALSE),0)</f>
        <v>0</v>
      </c>
      <c r="AC600" s="33"/>
      <c r="AD600" s="33"/>
      <c r="AE600" s="33">
        <f>Ruimtestaat[[#This Row],[uren / jaar weekend]]*Tariefsopbouw!$D$40</f>
        <v>0</v>
      </c>
      <c r="AF600" s="79">
        <f>Ruimtestaat[[#This Row],[Prest. (m2 /jaar) weekend]]+Ruimtestaat[[#This Row],[Prest. (m2 /jaar) werkdagen]]</f>
        <v>0</v>
      </c>
      <c r="AG600" s="79">
        <f>Ruimtestaat[[#This Row],[uren / jaar weekend]]+Ruimtestaat[[#This Row],[uren / jaar werkdagen]]</f>
        <v>0</v>
      </c>
      <c r="AH600" s="80">
        <f>Ruimtestaat[[#This Row],[kosten / jaar weekend]]+Ruimtestaat[[#This Row],[kosten / jaar werkdagen]]</f>
        <v>0</v>
      </c>
    </row>
    <row r="601" spans="1:34" ht="15" customHeight="1">
      <c r="A601" s="256">
        <v>7</v>
      </c>
      <c r="B601" s="171" t="str">
        <f>VLOOKUP(Ruimtestaat[[#This Row],[Code]],Locaties[#All],2,FALSE)</f>
        <v>De Kapstok AGL</v>
      </c>
      <c r="C601" s="258" t="str">
        <f>VLOOKUP(Ruimtestaat[[#This Row],[Code]],Locaties[#All],4,FALSE)</f>
        <v>Krabbenbosweg 91</v>
      </c>
      <c r="D601" s="258" t="str">
        <f>VLOOKUP(Ruimtestaat[[#This Row],[Code]],Locaties[#All],5,FALSE)</f>
        <v>7555ED</v>
      </c>
      <c r="E601" s="258" t="str">
        <f>VLOOKUP(Ruimtestaat[[#This Row],[Code]],Locaties[#All],6,FALSE)</f>
        <v>Hengelo</v>
      </c>
      <c r="F601" s="257" t="s">
        <v>628</v>
      </c>
      <c r="G601" s="257" t="s">
        <v>563</v>
      </c>
      <c r="H601" s="171"/>
      <c r="I601" s="257">
        <v>11</v>
      </c>
      <c r="J601" s="259" t="s">
        <v>571</v>
      </c>
      <c r="K601" s="171">
        <v>2</v>
      </c>
      <c r="L601" s="260" t="str">
        <f>VLOOKUP(Ruimtestaat[[#This Row],[Ruimte code]],Ruimtegroepen[#All],2,FALSE)</f>
        <v>Kantoren</v>
      </c>
      <c r="M601" s="258" t="s">
        <v>598</v>
      </c>
      <c r="N601" s="257" t="s">
        <v>132</v>
      </c>
      <c r="O601" s="261">
        <v>26.2</v>
      </c>
      <c r="P601" s="183"/>
      <c r="Q601" s="212" t="str">
        <f>VLOOKUP(Ruimtestaat[[#This Row],[Ruimte code]],Ruimtegroepen[#All],4,FALSE)</f>
        <v>B  (Bureauruimte)</v>
      </c>
      <c r="R601" s="184"/>
      <c r="S601" s="185">
        <v>40</v>
      </c>
      <c r="T601" s="185" t="s">
        <v>18</v>
      </c>
      <c r="U601" s="185">
        <f>IF(S601&gt;0,IF(RIGHT(Ruimtestaat[[#This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01" s="185">
        <f>IF(U601&gt;0,VLOOKUP($K601,Ruimtegroepen[],3,FALSE)*VLOOKUP($M601,Vloersoorten[],3,FALSE)*VLOOKUP($T601,Frequenties[],3,FALSE)*VLOOKUP($A601,Locaties[],3,FALSE),0)</f>
        <v>0</v>
      </c>
      <c r="W601" s="185">
        <f>Ruimtestaat[[#This Row],[Uitvoeringen werkdagen]]*Ruimtestaat[[#This Row],[Oppervlak (netto)]]</f>
        <v>3144</v>
      </c>
      <c r="X601" s="220">
        <f>IF(V601&gt;0,Ruimtestaat[[#This Row],[Prest. (m2 /jaar) werkdagen]]/Ruimtestaat[[#This Row],[Norm (m2/uur) werkdagen]],0)</f>
        <v>0</v>
      </c>
      <c r="Y601" s="221">
        <f>Ruimtestaat[[#This Row],[uren / jaar werkdagen]]*Tariefsopbouw!$D$38</f>
        <v>0</v>
      </c>
      <c r="Z601" s="33"/>
      <c r="AA601" s="33">
        <f>IF(Ruimtestaat[[#This Row],[Frequentie weekend]]&gt;0,VALUE(LEFT(Z601,1))*S601,0)</f>
        <v>0</v>
      </c>
      <c r="AB601" s="33">
        <f>IF($AA601&gt;0,VLOOKUP($K601,Ruimtegroepen[],3,FALSE)*VLOOKUP($M601,Vloersoorten[],3,FALSE)*VLOOKUP($Z601,Frequenties[],3,FALSE)*VLOOKUP(#REF!,Locaties[],3,FALSE),0)</f>
        <v>0</v>
      </c>
      <c r="AC601" s="33"/>
      <c r="AD601" s="33"/>
      <c r="AE601" s="33">
        <f>Ruimtestaat[[#This Row],[uren / jaar weekend]]*Tariefsopbouw!$D$40</f>
        <v>0</v>
      </c>
      <c r="AF601" s="79">
        <f>Ruimtestaat[[#This Row],[Prest. (m2 /jaar) weekend]]+Ruimtestaat[[#This Row],[Prest. (m2 /jaar) werkdagen]]</f>
        <v>3144</v>
      </c>
      <c r="AG601" s="79">
        <f>Ruimtestaat[[#This Row],[uren / jaar weekend]]+Ruimtestaat[[#This Row],[uren / jaar werkdagen]]</f>
        <v>0</v>
      </c>
      <c r="AH601" s="80">
        <f>Ruimtestaat[[#This Row],[kosten / jaar weekend]]+Ruimtestaat[[#This Row],[kosten / jaar werkdagen]]</f>
        <v>0</v>
      </c>
    </row>
    <row r="602" spans="1:34" ht="15" customHeight="1">
      <c r="A602" s="256">
        <v>7</v>
      </c>
      <c r="B602" s="171" t="str">
        <f>VLOOKUP(Ruimtestaat[[#This Row],[Code]],Locaties[#All],2,FALSE)</f>
        <v>De Kapstok AGL</v>
      </c>
      <c r="C602" s="258" t="str">
        <f>VLOOKUP(Ruimtestaat[[#This Row],[Code]],Locaties[#All],4,FALSE)</f>
        <v>Krabbenbosweg 91</v>
      </c>
      <c r="D602" s="258" t="str">
        <f>VLOOKUP(Ruimtestaat[[#This Row],[Code]],Locaties[#All],5,FALSE)</f>
        <v>7555ED</v>
      </c>
      <c r="E602" s="258" t="str">
        <f>VLOOKUP(Ruimtestaat[[#This Row],[Code]],Locaties[#All],6,FALSE)</f>
        <v>Hengelo</v>
      </c>
      <c r="F602" s="257" t="s">
        <v>628</v>
      </c>
      <c r="G602" s="257" t="s">
        <v>563</v>
      </c>
      <c r="H602" s="171"/>
      <c r="I602" s="257">
        <v>31</v>
      </c>
      <c r="J602" s="259" t="s">
        <v>651</v>
      </c>
      <c r="K602" s="171">
        <v>20</v>
      </c>
      <c r="L602" s="260" t="str">
        <f>VLOOKUP(Ruimtestaat[[#This Row],[Ruimte code]],Ruimtegroepen[#All],2,FALSE)</f>
        <v>Niet in onderhoud</v>
      </c>
      <c r="M602" s="258" t="s">
        <v>598</v>
      </c>
      <c r="N602" s="257" t="s">
        <v>132</v>
      </c>
      <c r="O602" s="261"/>
      <c r="P602" s="183">
        <v>0.4</v>
      </c>
      <c r="Q602" s="212" t="str">
        <f>VLOOKUP(Ruimtestaat[[#This Row],[Ruimte code]],Ruimtegroepen[#All],4,FALSE)</f>
        <v>niet in onderhoud</v>
      </c>
      <c r="R602" s="184"/>
      <c r="S602" s="185"/>
      <c r="T602" s="185"/>
      <c r="U602" s="185">
        <f>IF(S602&gt;0,IF(RIGHT(Ruimtestaat[[#This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02" s="185">
        <f>IF(U602&gt;0,VLOOKUP($K602,Ruimtegroepen[],3,FALSE)*VLOOKUP($M602,Vloersoorten[],3,FALSE)*VLOOKUP($T602,Frequenties[],3,FALSE)*VLOOKUP($A602,Locaties[],3,FALSE),0)</f>
        <v>0</v>
      </c>
      <c r="W602" s="185">
        <f>Ruimtestaat[[#This Row],[Uitvoeringen werkdagen]]*Ruimtestaat[[#This Row],[Oppervlak (netto)]]</f>
        <v>0</v>
      </c>
      <c r="X602" s="220">
        <f>IF(V602&gt;0,Ruimtestaat[[#This Row],[Prest. (m2 /jaar) werkdagen]]/Ruimtestaat[[#This Row],[Norm (m2/uur) werkdagen]],0)</f>
        <v>0</v>
      </c>
      <c r="Y602" s="221">
        <f>Ruimtestaat[[#This Row],[uren / jaar werkdagen]]*Tariefsopbouw!$D$38</f>
        <v>0</v>
      </c>
      <c r="Z602" s="33"/>
      <c r="AA602" s="33">
        <f>IF(Ruimtestaat[[#This Row],[Frequentie weekend]]&gt;0,VALUE(LEFT(Z602,1))*S602,0)</f>
        <v>0</v>
      </c>
      <c r="AB602" s="33">
        <f>IF($AA602&gt;0,VLOOKUP($K602,Ruimtegroepen[],3,FALSE)*VLOOKUP($M602,Vloersoorten[],3,FALSE)*VLOOKUP($Z602,Frequenties[],3,FALSE)*VLOOKUP(#REF!,Locaties[],3,FALSE),0)</f>
        <v>0</v>
      </c>
      <c r="AC602" s="33"/>
      <c r="AD602" s="33"/>
      <c r="AE602" s="33">
        <f>Ruimtestaat[[#This Row],[uren / jaar weekend]]*Tariefsopbouw!$D$40</f>
        <v>0</v>
      </c>
      <c r="AF602" s="79">
        <f>Ruimtestaat[[#This Row],[Prest. (m2 /jaar) weekend]]+Ruimtestaat[[#This Row],[Prest. (m2 /jaar) werkdagen]]</f>
        <v>0</v>
      </c>
      <c r="AG602" s="79">
        <f>Ruimtestaat[[#This Row],[uren / jaar weekend]]+Ruimtestaat[[#This Row],[uren / jaar werkdagen]]</f>
        <v>0</v>
      </c>
      <c r="AH602" s="80">
        <f>Ruimtestaat[[#This Row],[kosten / jaar weekend]]+Ruimtestaat[[#This Row],[kosten / jaar werkdagen]]</f>
        <v>0</v>
      </c>
    </row>
    <row r="603" spans="1:34" ht="15" customHeight="1">
      <c r="A603" s="256">
        <v>7</v>
      </c>
      <c r="B603" s="171" t="str">
        <f>VLOOKUP(Ruimtestaat[[#This Row],[Code]],Locaties[#All],2,FALSE)</f>
        <v>De Kapstok AGL</v>
      </c>
      <c r="C603" s="258" t="str">
        <f>VLOOKUP(Ruimtestaat[[#This Row],[Code]],Locaties[#All],4,FALSE)</f>
        <v>Krabbenbosweg 91</v>
      </c>
      <c r="D603" s="258" t="str">
        <f>VLOOKUP(Ruimtestaat[[#This Row],[Code]],Locaties[#All],5,FALSE)</f>
        <v>7555ED</v>
      </c>
      <c r="E603" s="258" t="str">
        <f>VLOOKUP(Ruimtestaat[[#This Row],[Code]],Locaties[#All],6,FALSE)</f>
        <v>Hengelo</v>
      </c>
      <c r="F603" s="257" t="s">
        <v>628</v>
      </c>
      <c r="G603" s="257" t="s">
        <v>563</v>
      </c>
      <c r="H603" s="171"/>
      <c r="I603" s="257">
        <v>32</v>
      </c>
      <c r="J603" s="259" t="s">
        <v>569</v>
      </c>
      <c r="K603" s="171">
        <v>5</v>
      </c>
      <c r="L603" s="260" t="str">
        <f>VLOOKUP(Ruimtestaat[[#This Row],[Ruimte code]],Ruimtegroepen[#All],2,FALSE)</f>
        <v>Sanitair</v>
      </c>
      <c r="M603" s="212" t="s">
        <v>111</v>
      </c>
      <c r="N603" s="257" t="s">
        <v>605</v>
      </c>
      <c r="O603" s="261">
        <v>3.6</v>
      </c>
      <c r="P603" s="183"/>
      <c r="Q603" s="212" t="str">
        <f>VLOOKUP(Ruimtestaat[[#This Row],[Ruimte code]],Ruimtegroepen[#All],4,FALSE)</f>
        <v>S  (Sanitair)</v>
      </c>
      <c r="R603" s="184"/>
      <c r="S603" s="185">
        <v>40</v>
      </c>
      <c r="T603" s="185" t="s">
        <v>2</v>
      </c>
      <c r="U603" s="185">
        <f>IF(S603&gt;0,IF(RIGHT(Ruimtestaat[[#This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3" s="185">
        <f>IF(U603&gt;0,VLOOKUP($K603,Ruimtegroepen[],3,FALSE)*VLOOKUP($M603,Vloersoorten[],3,FALSE)*VLOOKUP($T603,Frequenties[],3,FALSE)*VLOOKUP($A603,Locaties[],3,FALSE),0)</f>
        <v>0</v>
      </c>
      <c r="W603" s="185">
        <f>Ruimtestaat[[#This Row],[Uitvoeringen werkdagen]]*Ruimtestaat[[#This Row],[Oppervlak (netto)]]</f>
        <v>720</v>
      </c>
      <c r="X603" s="220">
        <f>IF(V603&gt;0,Ruimtestaat[[#This Row],[Prest. (m2 /jaar) werkdagen]]/Ruimtestaat[[#This Row],[Norm (m2/uur) werkdagen]],0)</f>
        <v>0</v>
      </c>
      <c r="Y603" s="221">
        <f>Ruimtestaat[[#This Row],[uren / jaar werkdagen]]*Tariefsopbouw!$D$38</f>
        <v>0</v>
      </c>
      <c r="Z603" s="33"/>
      <c r="AA603" s="33">
        <f>IF(Ruimtestaat[[#This Row],[Frequentie weekend]]&gt;0,VALUE(LEFT(Z603,1))*S603,0)</f>
        <v>0</v>
      </c>
      <c r="AB603" s="33">
        <f>IF($AA603&gt;0,VLOOKUP($K603,Ruimtegroepen[],3,FALSE)*VLOOKUP($M603,Vloersoorten[],3,FALSE)*VLOOKUP($Z603,Frequenties[],3,FALSE)*VLOOKUP(#REF!,Locaties[],3,FALSE),0)</f>
        <v>0</v>
      </c>
      <c r="AC603" s="33"/>
      <c r="AD603" s="33"/>
      <c r="AE603" s="33">
        <f>Ruimtestaat[[#This Row],[uren / jaar weekend]]*Tariefsopbouw!$D$40</f>
        <v>0</v>
      </c>
      <c r="AF603" s="79">
        <f>Ruimtestaat[[#This Row],[Prest. (m2 /jaar) weekend]]+Ruimtestaat[[#This Row],[Prest. (m2 /jaar) werkdagen]]</f>
        <v>720</v>
      </c>
      <c r="AG603" s="79">
        <f>Ruimtestaat[[#This Row],[uren / jaar weekend]]+Ruimtestaat[[#This Row],[uren / jaar werkdagen]]</f>
        <v>0</v>
      </c>
      <c r="AH603" s="80">
        <f>Ruimtestaat[[#This Row],[kosten / jaar weekend]]+Ruimtestaat[[#This Row],[kosten / jaar werkdagen]]</f>
        <v>0</v>
      </c>
    </row>
    <row r="604" spans="1:34" ht="15" customHeight="1">
      <c r="A604" s="256">
        <v>7</v>
      </c>
      <c r="B604" s="171" t="str">
        <f>VLOOKUP(Ruimtestaat[[#This Row],[Code]],Locaties[#All],2,FALSE)</f>
        <v>De Kapstok AGL</v>
      </c>
      <c r="C604" s="258" t="str">
        <f>VLOOKUP(Ruimtestaat[[#This Row],[Code]],Locaties[#All],4,FALSE)</f>
        <v>Krabbenbosweg 91</v>
      </c>
      <c r="D604" s="258" t="str">
        <f>VLOOKUP(Ruimtestaat[[#This Row],[Code]],Locaties[#All],5,FALSE)</f>
        <v>7555ED</v>
      </c>
      <c r="E604" s="258" t="str">
        <f>VLOOKUP(Ruimtestaat[[#This Row],[Code]],Locaties[#All],6,FALSE)</f>
        <v>Hengelo</v>
      </c>
      <c r="F604" s="257" t="s">
        <v>628</v>
      </c>
      <c r="G604" s="257" t="s">
        <v>563</v>
      </c>
      <c r="H604" s="171"/>
      <c r="I604" s="257" t="s">
        <v>637</v>
      </c>
      <c r="J604" s="259" t="s">
        <v>574</v>
      </c>
      <c r="K604" s="171">
        <v>6</v>
      </c>
      <c r="L604" s="260" t="str">
        <f>VLOOKUP(Ruimtestaat[[#This Row],[Ruimte code]],Ruimtegroepen[#All],2,FALSE)</f>
        <v>Gangen/hallen</v>
      </c>
      <c r="M604" s="258" t="s">
        <v>598</v>
      </c>
      <c r="N604" s="257" t="s">
        <v>132</v>
      </c>
      <c r="O604" s="261">
        <v>30</v>
      </c>
      <c r="P604" s="183"/>
      <c r="Q604" s="212" t="str">
        <f>VLOOKUP(Ruimtestaat[[#This Row],[Ruimte code]],Ruimtegroepen[#All],4,FALSE)</f>
        <v>V  (Verkeersruimte)</v>
      </c>
      <c r="R604" s="184"/>
      <c r="S604" s="185">
        <v>40</v>
      </c>
      <c r="T604" s="185" t="s">
        <v>2</v>
      </c>
      <c r="U604" s="185">
        <f>IF(S604&gt;0,IF(RIGHT(Ruimtestaat[[#This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4" s="185">
        <f>IF(U604&gt;0,VLOOKUP($K604,Ruimtegroepen[],3,FALSE)*VLOOKUP($M604,Vloersoorten[],3,FALSE)*VLOOKUP($T604,Frequenties[],3,FALSE)*VLOOKUP($A604,Locaties[],3,FALSE),0)</f>
        <v>0</v>
      </c>
      <c r="W604" s="185">
        <f>Ruimtestaat[[#This Row],[Uitvoeringen werkdagen]]*Ruimtestaat[[#This Row],[Oppervlak (netto)]]</f>
        <v>6000</v>
      </c>
      <c r="X604" s="220">
        <f>IF(V604&gt;0,Ruimtestaat[[#This Row],[Prest. (m2 /jaar) werkdagen]]/Ruimtestaat[[#This Row],[Norm (m2/uur) werkdagen]],0)</f>
        <v>0</v>
      </c>
      <c r="Y604" s="221">
        <f>Ruimtestaat[[#This Row],[uren / jaar werkdagen]]*Tariefsopbouw!$D$38</f>
        <v>0</v>
      </c>
      <c r="Z604" s="33"/>
      <c r="AA604" s="33">
        <f>IF(Ruimtestaat[[#This Row],[Frequentie weekend]]&gt;0,VALUE(LEFT(Z604,1))*S604,0)</f>
        <v>0</v>
      </c>
      <c r="AB604" s="33">
        <f>IF($AA604&gt;0,VLOOKUP($K604,Ruimtegroepen[],3,FALSE)*VLOOKUP($M604,Vloersoorten[],3,FALSE)*VLOOKUP($Z604,Frequenties[],3,FALSE)*VLOOKUP(#REF!,Locaties[],3,FALSE),0)</f>
        <v>0</v>
      </c>
      <c r="AC604" s="33"/>
      <c r="AD604" s="33"/>
      <c r="AE604" s="33">
        <f>Ruimtestaat[[#This Row],[uren / jaar weekend]]*Tariefsopbouw!$D$40</f>
        <v>0</v>
      </c>
      <c r="AF604" s="79">
        <f>Ruimtestaat[[#This Row],[Prest. (m2 /jaar) weekend]]+Ruimtestaat[[#This Row],[Prest. (m2 /jaar) werkdagen]]</f>
        <v>6000</v>
      </c>
      <c r="AG604" s="79">
        <f>Ruimtestaat[[#This Row],[uren / jaar weekend]]+Ruimtestaat[[#This Row],[uren / jaar werkdagen]]</f>
        <v>0</v>
      </c>
      <c r="AH604" s="80">
        <f>Ruimtestaat[[#This Row],[kosten / jaar weekend]]+Ruimtestaat[[#This Row],[kosten / jaar werkdagen]]</f>
        <v>0</v>
      </c>
    </row>
    <row r="605" spans="1:34" ht="15" customHeight="1">
      <c r="A605" s="256">
        <v>7</v>
      </c>
      <c r="B605" s="171" t="str">
        <f>VLOOKUP(Ruimtestaat[[#This Row],[Code]],Locaties[#All],2,FALSE)</f>
        <v>De Kapstok AGL</v>
      </c>
      <c r="C605" s="258" t="str">
        <f>VLOOKUP(Ruimtestaat[[#This Row],[Code]],Locaties[#All],4,FALSE)</f>
        <v>Krabbenbosweg 91</v>
      </c>
      <c r="D605" s="258" t="str">
        <f>VLOOKUP(Ruimtestaat[[#This Row],[Code]],Locaties[#All],5,FALSE)</f>
        <v>7555ED</v>
      </c>
      <c r="E605" s="258" t="str">
        <f>VLOOKUP(Ruimtestaat[[#This Row],[Code]],Locaties[#All],6,FALSE)</f>
        <v>Hengelo</v>
      </c>
      <c r="F605" s="257" t="s">
        <v>628</v>
      </c>
      <c r="G605" s="257" t="s">
        <v>563</v>
      </c>
      <c r="H605" s="171"/>
      <c r="I605" s="257">
        <v>12</v>
      </c>
      <c r="J605" s="259" t="s">
        <v>385</v>
      </c>
      <c r="K605" s="171">
        <v>16</v>
      </c>
      <c r="L605" s="260" t="str">
        <f>VLOOKUP(Ruimtestaat[[#This Row],[Ruimte code]],Ruimtegroepen[#All],2,FALSE)</f>
        <v>Leslokalen</v>
      </c>
      <c r="M605" s="258" t="s">
        <v>598</v>
      </c>
      <c r="N605" s="257" t="s">
        <v>132</v>
      </c>
      <c r="O605" s="261">
        <v>35.5</v>
      </c>
      <c r="P605" s="183"/>
      <c r="Q605" s="212" t="str">
        <f>VLOOKUP(Ruimtestaat[[#This Row],[Ruimte code]],Ruimtegroepen[#All],4,FALSE)</f>
        <v>L  (Lesruimte)</v>
      </c>
      <c r="R605" s="184"/>
      <c r="S605" s="185">
        <v>40</v>
      </c>
      <c r="T605" s="185" t="s">
        <v>2</v>
      </c>
      <c r="U605" s="185">
        <f>IF(S605&gt;0,IF(RIGHT(Ruimtestaat[[#This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5" s="185">
        <f>IF(U605&gt;0,VLOOKUP($K605,Ruimtegroepen[],3,FALSE)*VLOOKUP($M605,Vloersoorten[],3,FALSE)*VLOOKUP($T605,Frequenties[],3,FALSE)*VLOOKUP($A605,Locaties[],3,FALSE),0)</f>
        <v>0</v>
      </c>
      <c r="W605" s="185">
        <f>Ruimtestaat[[#This Row],[Uitvoeringen werkdagen]]*Ruimtestaat[[#This Row],[Oppervlak (netto)]]</f>
        <v>7100</v>
      </c>
      <c r="X605" s="220">
        <f>IF(V605&gt;0,Ruimtestaat[[#This Row],[Prest. (m2 /jaar) werkdagen]]/Ruimtestaat[[#This Row],[Norm (m2/uur) werkdagen]],0)</f>
        <v>0</v>
      </c>
      <c r="Y605" s="221">
        <f>Ruimtestaat[[#This Row],[uren / jaar werkdagen]]*Tariefsopbouw!$D$38</f>
        <v>0</v>
      </c>
      <c r="Z605" s="33"/>
      <c r="AA605" s="33">
        <f>IF(Ruimtestaat[[#This Row],[Frequentie weekend]]&gt;0,VALUE(LEFT(Z605,1))*S605,0)</f>
        <v>0</v>
      </c>
      <c r="AB605" s="33">
        <f>IF($AA605&gt;0,VLOOKUP($K605,Ruimtegroepen[],3,FALSE)*VLOOKUP($M605,Vloersoorten[],3,FALSE)*VLOOKUP($Z605,Frequenties[],3,FALSE)*VLOOKUP(#REF!,Locaties[],3,FALSE),0)</f>
        <v>0</v>
      </c>
      <c r="AC605" s="33"/>
      <c r="AD605" s="33"/>
      <c r="AE605" s="33">
        <f>Ruimtestaat[[#This Row],[uren / jaar weekend]]*Tariefsopbouw!$D$40</f>
        <v>0</v>
      </c>
      <c r="AF605" s="79">
        <f>Ruimtestaat[[#This Row],[Prest. (m2 /jaar) weekend]]+Ruimtestaat[[#This Row],[Prest. (m2 /jaar) werkdagen]]</f>
        <v>7100</v>
      </c>
      <c r="AG605" s="79">
        <f>Ruimtestaat[[#This Row],[uren / jaar weekend]]+Ruimtestaat[[#This Row],[uren / jaar werkdagen]]</f>
        <v>0</v>
      </c>
      <c r="AH605" s="80">
        <f>Ruimtestaat[[#This Row],[kosten / jaar weekend]]+Ruimtestaat[[#This Row],[kosten / jaar werkdagen]]</f>
        <v>0</v>
      </c>
    </row>
    <row r="606" spans="1:34" ht="15" customHeight="1">
      <c r="A606" s="256">
        <v>7</v>
      </c>
      <c r="B606" s="171" t="str">
        <f>VLOOKUP(Ruimtestaat[[#This Row],[Code]],Locaties[#All],2,FALSE)</f>
        <v>De Kapstok AGL</v>
      </c>
      <c r="C606" s="258" t="str">
        <f>VLOOKUP(Ruimtestaat[[#This Row],[Code]],Locaties[#All],4,FALSE)</f>
        <v>Krabbenbosweg 91</v>
      </c>
      <c r="D606" s="258" t="str">
        <f>VLOOKUP(Ruimtestaat[[#This Row],[Code]],Locaties[#All],5,FALSE)</f>
        <v>7555ED</v>
      </c>
      <c r="E606" s="258" t="str">
        <f>VLOOKUP(Ruimtestaat[[#This Row],[Code]],Locaties[#All],6,FALSE)</f>
        <v>Hengelo</v>
      </c>
      <c r="F606" s="257" t="s">
        <v>628</v>
      </c>
      <c r="G606" s="257" t="s">
        <v>563</v>
      </c>
      <c r="H606" s="171"/>
      <c r="I606" s="257">
        <v>33</v>
      </c>
      <c r="J606" s="259" t="s">
        <v>569</v>
      </c>
      <c r="K606" s="258">
        <v>5</v>
      </c>
      <c r="L606" s="260" t="str">
        <f>VLOOKUP(Ruimtestaat[[#This Row],[Ruimte code]],Ruimtegroepen[#All],2,FALSE)</f>
        <v>Sanitair</v>
      </c>
      <c r="M606" s="212" t="s">
        <v>111</v>
      </c>
      <c r="N606" s="257" t="s">
        <v>605</v>
      </c>
      <c r="O606" s="261">
        <v>3.6</v>
      </c>
      <c r="P606" s="183"/>
      <c r="Q606" s="212" t="str">
        <f>VLOOKUP(Ruimtestaat[[#This Row],[Ruimte code]],Ruimtegroepen[#All],4,FALSE)</f>
        <v>S  (Sanitair)</v>
      </c>
      <c r="R606" s="184"/>
      <c r="S606" s="185">
        <v>40</v>
      </c>
      <c r="T606" s="185" t="s">
        <v>2</v>
      </c>
      <c r="U606" s="185">
        <f>IF(S606&gt;0,IF(RIGHT(Ruimtestaat[[#This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6" s="185">
        <f>IF(U606&gt;0,VLOOKUP($K606,Ruimtegroepen[],3,FALSE)*VLOOKUP($M606,Vloersoorten[],3,FALSE)*VLOOKUP($T606,Frequenties[],3,FALSE)*VLOOKUP($A606,Locaties[],3,FALSE),0)</f>
        <v>0</v>
      </c>
      <c r="W606" s="185">
        <f>Ruimtestaat[[#This Row],[Uitvoeringen werkdagen]]*Ruimtestaat[[#This Row],[Oppervlak (netto)]]</f>
        <v>720</v>
      </c>
      <c r="X606" s="220">
        <f>IF(V606&gt;0,Ruimtestaat[[#This Row],[Prest. (m2 /jaar) werkdagen]]/Ruimtestaat[[#This Row],[Norm (m2/uur) werkdagen]],0)</f>
        <v>0</v>
      </c>
      <c r="Y606" s="221">
        <f>Ruimtestaat[[#This Row],[uren / jaar werkdagen]]*Tariefsopbouw!$D$38</f>
        <v>0</v>
      </c>
      <c r="Z606" s="33"/>
      <c r="AA606" s="33">
        <f>IF(Ruimtestaat[[#This Row],[Frequentie weekend]]&gt;0,VALUE(LEFT(Z606,1))*S606,0)</f>
        <v>0</v>
      </c>
      <c r="AB606" s="33">
        <f>IF($AA606&gt;0,VLOOKUP($K606,Ruimtegroepen[],3,FALSE)*VLOOKUP($M606,Vloersoorten[],3,FALSE)*VLOOKUP($Z606,Frequenties[],3,FALSE)*VLOOKUP(#REF!,Locaties[],3,FALSE),0)</f>
        <v>0</v>
      </c>
      <c r="AC606" s="33"/>
      <c r="AD606" s="33"/>
      <c r="AE606" s="33">
        <f>Ruimtestaat[[#This Row],[uren / jaar weekend]]*Tariefsopbouw!$D$40</f>
        <v>0</v>
      </c>
      <c r="AF606" s="79">
        <f>Ruimtestaat[[#This Row],[Prest. (m2 /jaar) weekend]]+Ruimtestaat[[#This Row],[Prest. (m2 /jaar) werkdagen]]</f>
        <v>720</v>
      </c>
      <c r="AG606" s="79">
        <f>Ruimtestaat[[#This Row],[uren / jaar weekend]]+Ruimtestaat[[#This Row],[uren / jaar werkdagen]]</f>
        <v>0</v>
      </c>
      <c r="AH606" s="80">
        <f>Ruimtestaat[[#This Row],[kosten / jaar weekend]]+Ruimtestaat[[#This Row],[kosten / jaar werkdagen]]</f>
        <v>0</v>
      </c>
    </row>
    <row r="607" spans="1:34" ht="15" customHeight="1">
      <c r="A607" s="256">
        <v>7</v>
      </c>
      <c r="B607" s="171" t="str">
        <f>VLOOKUP(Ruimtestaat[[#This Row],[Code]],Locaties[#All],2,FALSE)</f>
        <v>De Kapstok AGL</v>
      </c>
      <c r="C607" s="258" t="str">
        <f>VLOOKUP(Ruimtestaat[[#This Row],[Code]],Locaties[#All],4,FALSE)</f>
        <v>Krabbenbosweg 91</v>
      </c>
      <c r="D607" s="258" t="str">
        <f>VLOOKUP(Ruimtestaat[[#This Row],[Code]],Locaties[#All],5,FALSE)</f>
        <v>7555ED</v>
      </c>
      <c r="E607" s="258" t="str">
        <f>VLOOKUP(Ruimtestaat[[#This Row],[Code]],Locaties[#All],6,FALSE)</f>
        <v>Hengelo</v>
      </c>
      <c r="F607" s="257" t="s">
        <v>628</v>
      </c>
      <c r="G607" s="257" t="s">
        <v>563</v>
      </c>
      <c r="H607" s="171"/>
      <c r="I607" s="257">
        <v>13</v>
      </c>
      <c r="J607" s="259" t="s">
        <v>385</v>
      </c>
      <c r="K607" s="171">
        <v>16</v>
      </c>
      <c r="L607" s="260" t="str">
        <f>VLOOKUP(Ruimtestaat[[#This Row],[Ruimte code]],Ruimtegroepen[#All],2,FALSE)</f>
        <v>Leslokalen</v>
      </c>
      <c r="M607" s="258" t="s">
        <v>598</v>
      </c>
      <c r="N607" s="257" t="s">
        <v>132</v>
      </c>
      <c r="O607" s="261">
        <v>35.5</v>
      </c>
      <c r="P607" s="183"/>
      <c r="Q607" s="212" t="str">
        <f>VLOOKUP(Ruimtestaat[[#This Row],[Ruimte code]],Ruimtegroepen[#All],4,FALSE)</f>
        <v>L  (Lesruimte)</v>
      </c>
      <c r="R607" s="184"/>
      <c r="S607" s="185">
        <v>40</v>
      </c>
      <c r="T607" s="185" t="s">
        <v>2</v>
      </c>
      <c r="U607" s="185">
        <f>IF(S607&gt;0,IF(RIGHT(Ruimtestaat[[#This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7" s="185">
        <f>IF(U607&gt;0,VLOOKUP($K607,Ruimtegroepen[],3,FALSE)*VLOOKUP($M607,Vloersoorten[],3,FALSE)*VLOOKUP($T607,Frequenties[],3,FALSE)*VLOOKUP($A607,Locaties[],3,FALSE),0)</f>
        <v>0</v>
      </c>
      <c r="W607" s="185">
        <f>Ruimtestaat[[#This Row],[Uitvoeringen werkdagen]]*Ruimtestaat[[#This Row],[Oppervlak (netto)]]</f>
        <v>7100</v>
      </c>
      <c r="X607" s="220">
        <f>IF(V607&gt;0,Ruimtestaat[[#This Row],[Prest. (m2 /jaar) werkdagen]]/Ruimtestaat[[#This Row],[Norm (m2/uur) werkdagen]],0)</f>
        <v>0</v>
      </c>
      <c r="Y607" s="221">
        <f>Ruimtestaat[[#This Row],[uren / jaar werkdagen]]*Tariefsopbouw!$D$38</f>
        <v>0</v>
      </c>
      <c r="Z607" s="33"/>
      <c r="AA607" s="33">
        <f>IF(Ruimtestaat[[#This Row],[Frequentie weekend]]&gt;0,VALUE(LEFT(Z607,1))*S607,0)</f>
        <v>0</v>
      </c>
      <c r="AB607" s="33">
        <f>IF($AA607&gt;0,VLOOKUP($K607,Ruimtegroepen[],3,FALSE)*VLOOKUP($M607,Vloersoorten[],3,FALSE)*VLOOKUP($Z607,Frequenties[],3,FALSE)*VLOOKUP(#REF!,Locaties[],3,FALSE),0)</f>
        <v>0</v>
      </c>
      <c r="AC607" s="33"/>
      <c r="AD607" s="33"/>
      <c r="AE607" s="33">
        <f>Ruimtestaat[[#This Row],[uren / jaar weekend]]*Tariefsopbouw!$D$40</f>
        <v>0</v>
      </c>
      <c r="AF607" s="79">
        <f>Ruimtestaat[[#This Row],[Prest. (m2 /jaar) weekend]]+Ruimtestaat[[#This Row],[Prest. (m2 /jaar) werkdagen]]</f>
        <v>7100</v>
      </c>
      <c r="AG607" s="79">
        <f>Ruimtestaat[[#This Row],[uren / jaar weekend]]+Ruimtestaat[[#This Row],[uren / jaar werkdagen]]</f>
        <v>0</v>
      </c>
      <c r="AH607" s="80">
        <f>Ruimtestaat[[#This Row],[kosten / jaar weekend]]+Ruimtestaat[[#This Row],[kosten / jaar werkdagen]]</f>
        <v>0</v>
      </c>
    </row>
    <row r="608" spans="1:34" ht="15" customHeight="1">
      <c r="A608" s="256">
        <v>7</v>
      </c>
      <c r="B608" s="171" t="str">
        <f>VLOOKUP(Ruimtestaat[[#This Row],[Code]],Locaties[#All],2,FALSE)</f>
        <v>De Kapstok AGL</v>
      </c>
      <c r="C608" s="258" t="str">
        <f>VLOOKUP(Ruimtestaat[[#This Row],[Code]],Locaties[#All],4,FALSE)</f>
        <v>Krabbenbosweg 91</v>
      </c>
      <c r="D608" s="258" t="str">
        <f>VLOOKUP(Ruimtestaat[[#This Row],[Code]],Locaties[#All],5,FALSE)</f>
        <v>7555ED</v>
      </c>
      <c r="E608" s="258" t="str">
        <f>VLOOKUP(Ruimtestaat[[#This Row],[Code]],Locaties[#All],6,FALSE)</f>
        <v>Hengelo</v>
      </c>
      <c r="F608" s="257" t="s">
        <v>628</v>
      </c>
      <c r="G608" s="257" t="s">
        <v>563</v>
      </c>
      <c r="H608" s="171"/>
      <c r="I608" s="257">
        <v>34</v>
      </c>
      <c r="J608" s="259" t="s">
        <v>569</v>
      </c>
      <c r="K608" s="171">
        <v>5</v>
      </c>
      <c r="L608" s="260" t="str">
        <f>VLOOKUP(Ruimtestaat[[#This Row],[Ruimte code]],Ruimtegroepen[#All],2,FALSE)</f>
        <v>Sanitair</v>
      </c>
      <c r="M608" s="212" t="s">
        <v>111</v>
      </c>
      <c r="N608" s="257" t="s">
        <v>605</v>
      </c>
      <c r="O608" s="261">
        <v>3.6</v>
      </c>
      <c r="P608" s="183"/>
      <c r="Q608" s="212" t="str">
        <f>VLOOKUP(Ruimtestaat[[#This Row],[Ruimte code]],Ruimtegroepen[#All],4,FALSE)</f>
        <v>S  (Sanitair)</v>
      </c>
      <c r="R608" s="184"/>
      <c r="S608" s="185">
        <v>40</v>
      </c>
      <c r="T608" s="185" t="s">
        <v>2</v>
      </c>
      <c r="U608" s="185">
        <f>IF(S608&gt;0,IF(RIGHT(Ruimtestaat[[#This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8" s="185">
        <f>IF(U608&gt;0,VLOOKUP($K608,Ruimtegroepen[],3,FALSE)*VLOOKUP($M608,Vloersoorten[],3,FALSE)*VLOOKUP($T608,Frequenties[],3,FALSE)*VLOOKUP($A608,Locaties[],3,FALSE),0)</f>
        <v>0</v>
      </c>
      <c r="W608" s="185">
        <f>Ruimtestaat[[#This Row],[Uitvoeringen werkdagen]]*Ruimtestaat[[#This Row],[Oppervlak (netto)]]</f>
        <v>720</v>
      </c>
      <c r="X608" s="220">
        <f>IF(V608&gt;0,Ruimtestaat[[#This Row],[Prest. (m2 /jaar) werkdagen]]/Ruimtestaat[[#This Row],[Norm (m2/uur) werkdagen]],0)</f>
        <v>0</v>
      </c>
      <c r="Y608" s="221">
        <f>Ruimtestaat[[#This Row],[uren / jaar werkdagen]]*Tariefsopbouw!$D$38</f>
        <v>0</v>
      </c>
      <c r="Z608" s="33"/>
      <c r="AA608" s="33">
        <f>IF(Ruimtestaat[[#This Row],[Frequentie weekend]]&gt;0,VALUE(LEFT(Z608,1))*S608,0)</f>
        <v>0</v>
      </c>
      <c r="AB608" s="33">
        <f>IF($AA608&gt;0,VLOOKUP($K608,Ruimtegroepen[],3,FALSE)*VLOOKUP($M608,Vloersoorten[],3,FALSE)*VLOOKUP($Z608,Frequenties[],3,FALSE)*VLOOKUP(#REF!,Locaties[],3,FALSE),0)</f>
        <v>0</v>
      </c>
      <c r="AC608" s="33"/>
      <c r="AD608" s="33"/>
      <c r="AE608" s="33">
        <f>Ruimtestaat[[#This Row],[uren / jaar weekend]]*Tariefsopbouw!$D$40</f>
        <v>0</v>
      </c>
      <c r="AF608" s="79">
        <f>Ruimtestaat[[#This Row],[Prest. (m2 /jaar) weekend]]+Ruimtestaat[[#This Row],[Prest. (m2 /jaar) werkdagen]]</f>
        <v>720</v>
      </c>
      <c r="AG608" s="79">
        <f>Ruimtestaat[[#This Row],[uren / jaar weekend]]+Ruimtestaat[[#This Row],[uren / jaar werkdagen]]</f>
        <v>0</v>
      </c>
      <c r="AH608" s="80">
        <f>Ruimtestaat[[#This Row],[kosten / jaar weekend]]+Ruimtestaat[[#This Row],[kosten / jaar werkdagen]]</f>
        <v>0</v>
      </c>
    </row>
    <row r="609" spans="1:34" ht="15" customHeight="1">
      <c r="A609" s="256">
        <v>7</v>
      </c>
      <c r="B609" s="171" t="str">
        <f>VLOOKUP(Ruimtestaat[[#This Row],[Code]],Locaties[#All],2,FALSE)</f>
        <v>De Kapstok AGL</v>
      </c>
      <c r="C609" s="258" t="str">
        <f>VLOOKUP(Ruimtestaat[[#This Row],[Code]],Locaties[#All],4,FALSE)</f>
        <v>Krabbenbosweg 91</v>
      </c>
      <c r="D609" s="258" t="str">
        <f>VLOOKUP(Ruimtestaat[[#This Row],[Code]],Locaties[#All],5,FALSE)</f>
        <v>7555ED</v>
      </c>
      <c r="E609" s="258" t="str">
        <f>VLOOKUP(Ruimtestaat[[#This Row],[Code]],Locaties[#All],6,FALSE)</f>
        <v>Hengelo</v>
      </c>
      <c r="F609" s="257" t="s">
        <v>628</v>
      </c>
      <c r="G609" s="257" t="s">
        <v>563</v>
      </c>
      <c r="H609" s="171"/>
      <c r="I609" s="257" t="s">
        <v>637</v>
      </c>
      <c r="J609" s="259" t="s">
        <v>652</v>
      </c>
      <c r="K609" s="171">
        <v>7</v>
      </c>
      <c r="L609" s="260" t="str">
        <f>VLOOKUP(Ruimtestaat[[#This Row],[Ruimte code]],Ruimtegroepen[#All],2,FALSE)</f>
        <v>Entree</v>
      </c>
      <c r="M609" s="258" t="s">
        <v>597</v>
      </c>
      <c r="N609" s="257" t="s">
        <v>604</v>
      </c>
      <c r="O609" s="261">
        <v>9</v>
      </c>
      <c r="P609" s="183"/>
      <c r="Q609" s="212" t="str">
        <f>VLOOKUP(Ruimtestaat[[#This Row],[Ruimte code]],Ruimtegroepen[#All],4,FALSE)</f>
        <v>V  (Verkeersruimte)</v>
      </c>
      <c r="R609" s="184"/>
      <c r="S609" s="185">
        <v>40</v>
      </c>
      <c r="T609" s="185" t="s">
        <v>2</v>
      </c>
      <c r="U609" s="185">
        <f>IF(S609&gt;0,IF(RIGHT(Ruimtestaat[[#This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9" s="185">
        <f>IF(U609&gt;0,VLOOKUP($K609,Ruimtegroepen[],3,FALSE)*VLOOKUP($M609,Vloersoorten[],3,FALSE)*VLOOKUP($T609,Frequenties[],3,FALSE)*VLOOKUP($A609,Locaties[],3,FALSE),0)</f>
        <v>0</v>
      </c>
      <c r="W609" s="185">
        <f>Ruimtestaat[[#This Row],[Uitvoeringen werkdagen]]*Ruimtestaat[[#This Row],[Oppervlak (netto)]]</f>
        <v>1800</v>
      </c>
      <c r="X609" s="220">
        <f>IF(V609&gt;0,Ruimtestaat[[#This Row],[Prest. (m2 /jaar) werkdagen]]/Ruimtestaat[[#This Row],[Norm (m2/uur) werkdagen]],0)</f>
        <v>0</v>
      </c>
      <c r="Y609" s="221">
        <f>Ruimtestaat[[#This Row],[uren / jaar werkdagen]]*Tariefsopbouw!$D$38</f>
        <v>0</v>
      </c>
      <c r="Z609" s="33"/>
      <c r="AA609" s="33">
        <f>IF(Ruimtestaat[[#This Row],[Frequentie weekend]]&gt;0,VALUE(LEFT(Z609,1))*S609,0)</f>
        <v>0</v>
      </c>
      <c r="AB609" s="33">
        <f>IF($AA609&gt;0,VLOOKUP($K609,Ruimtegroepen[],3,FALSE)*VLOOKUP($M609,Vloersoorten[],3,FALSE)*VLOOKUP($Z609,Frequenties[],3,FALSE)*VLOOKUP(#REF!,Locaties[],3,FALSE),0)</f>
        <v>0</v>
      </c>
      <c r="AC609" s="33"/>
      <c r="AD609" s="33"/>
      <c r="AE609" s="33">
        <f>Ruimtestaat[[#This Row],[uren / jaar weekend]]*Tariefsopbouw!$D$40</f>
        <v>0</v>
      </c>
      <c r="AF609" s="79">
        <f>Ruimtestaat[[#This Row],[Prest. (m2 /jaar) weekend]]+Ruimtestaat[[#This Row],[Prest. (m2 /jaar) werkdagen]]</f>
        <v>1800</v>
      </c>
      <c r="AG609" s="79">
        <f>Ruimtestaat[[#This Row],[uren / jaar weekend]]+Ruimtestaat[[#This Row],[uren / jaar werkdagen]]</f>
        <v>0</v>
      </c>
      <c r="AH609" s="80">
        <f>Ruimtestaat[[#This Row],[kosten / jaar weekend]]+Ruimtestaat[[#This Row],[kosten / jaar werkdagen]]</f>
        <v>0</v>
      </c>
    </row>
    <row r="610" spans="1:34" ht="15" customHeight="1">
      <c r="A610" s="256">
        <v>7</v>
      </c>
      <c r="B610" s="171" t="str">
        <f>VLOOKUP(Ruimtestaat[[#This Row],[Code]],Locaties[#All],2,FALSE)</f>
        <v>De Kapstok AGL</v>
      </c>
      <c r="C610" s="258" t="str">
        <f>VLOOKUP(Ruimtestaat[[#This Row],[Code]],Locaties[#All],4,FALSE)</f>
        <v>Krabbenbosweg 91</v>
      </c>
      <c r="D610" s="258" t="str">
        <f>VLOOKUP(Ruimtestaat[[#This Row],[Code]],Locaties[#All],5,FALSE)</f>
        <v>7555ED</v>
      </c>
      <c r="E610" s="258" t="str">
        <f>VLOOKUP(Ruimtestaat[[#This Row],[Code]],Locaties[#All],6,FALSE)</f>
        <v>Hengelo</v>
      </c>
      <c r="F610" s="257" t="s">
        <v>628</v>
      </c>
      <c r="G610" s="257" t="s">
        <v>563</v>
      </c>
      <c r="H610" s="171"/>
      <c r="I610" s="257">
        <v>14</v>
      </c>
      <c r="J610" s="259" t="s">
        <v>385</v>
      </c>
      <c r="K610" s="224">
        <v>16</v>
      </c>
      <c r="L610" s="260" t="str">
        <f>VLOOKUP(Ruimtestaat[[#This Row],[Ruimte code]],Ruimtegroepen[#All],2,FALSE)</f>
        <v>Leslokalen</v>
      </c>
      <c r="M610" s="258" t="s">
        <v>598</v>
      </c>
      <c r="N610" s="257" t="s">
        <v>132</v>
      </c>
      <c r="O610" s="261">
        <v>35.5</v>
      </c>
      <c r="P610" s="183"/>
      <c r="Q610" s="212" t="str">
        <f>VLOOKUP(Ruimtestaat[[#This Row],[Ruimte code]],Ruimtegroepen[#All],4,FALSE)</f>
        <v>L  (Lesruimte)</v>
      </c>
      <c r="R610" s="184"/>
      <c r="S610" s="185">
        <v>40</v>
      </c>
      <c r="T610" s="185" t="s">
        <v>2</v>
      </c>
      <c r="U610" s="185">
        <f>IF(S610&gt;0,IF(RIGHT(Ruimtestaat[[#This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0" s="185">
        <f>IF(U610&gt;0,VLOOKUP($K610,Ruimtegroepen[],3,FALSE)*VLOOKUP($M610,Vloersoorten[],3,FALSE)*VLOOKUP($T610,Frequenties[],3,FALSE)*VLOOKUP($A610,Locaties[],3,FALSE),0)</f>
        <v>0</v>
      </c>
      <c r="W610" s="185">
        <f>Ruimtestaat[[#This Row],[Uitvoeringen werkdagen]]*Ruimtestaat[[#This Row],[Oppervlak (netto)]]</f>
        <v>7100</v>
      </c>
      <c r="X610" s="220">
        <f>IF(V610&gt;0,Ruimtestaat[[#This Row],[Prest. (m2 /jaar) werkdagen]]/Ruimtestaat[[#This Row],[Norm (m2/uur) werkdagen]],0)</f>
        <v>0</v>
      </c>
      <c r="Y610" s="221">
        <f>Ruimtestaat[[#This Row],[uren / jaar werkdagen]]*Tariefsopbouw!$D$38</f>
        <v>0</v>
      </c>
      <c r="Z610" s="33"/>
      <c r="AA610" s="33">
        <f>IF(Ruimtestaat[[#This Row],[Frequentie weekend]]&gt;0,VALUE(LEFT(Z610,1))*S610,0)</f>
        <v>0</v>
      </c>
      <c r="AB610" s="33">
        <f>IF($AA610&gt;0,VLOOKUP($K610,Ruimtegroepen[],3,FALSE)*VLOOKUP($M610,Vloersoorten[],3,FALSE)*VLOOKUP($Z610,Frequenties[],3,FALSE)*VLOOKUP(#REF!,Locaties[],3,FALSE),0)</f>
        <v>0</v>
      </c>
      <c r="AC610" s="33"/>
      <c r="AD610" s="33"/>
      <c r="AE610" s="33">
        <f>Ruimtestaat[[#This Row],[uren / jaar weekend]]*Tariefsopbouw!$D$40</f>
        <v>0</v>
      </c>
      <c r="AF610" s="79">
        <f>Ruimtestaat[[#This Row],[Prest. (m2 /jaar) weekend]]+Ruimtestaat[[#This Row],[Prest. (m2 /jaar) werkdagen]]</f>
        <v>7100</v>
      </c>
      <c r="AG610" s="79">
        <f>Ruimtestaat[[#This Row],[uren / jaar weekend]]+Ruimtestaat[[#This Row],[uren / jaar werkdagen]]</f>
        <v>0</v>
      </c>
      <c r="AH610" s="80">
        <f>Ruimtestaat[[#This Row],[kosten / jaar weekend]]+Ruimtestaat[[#This Row],[kosten / jaar werkdagen]]</f>
        <v>0</v>
      </c>
    </row>
    <row r="611" spans="1:34" ht="15" customHeight="1">
      <c r="A611" s="256">
        <v>7</v>
      </c>
      <c r="B611" s="171" t="str">
        <f>VLOOKUP(Ruimtestaat[[#This Row],[Code]],Locaties[#All],2,FALSE)</f>
        <v>De Kapstok AGL</v>
      </c>
      <c r="C611" s="258" t="str">
        <f>VLOOKUP(Ruimtestaat[[#This Row],[Code]],Locaties[#All],4,FALSE)</f>
        <v>Krabbenbosweg 91</v>
      </c>
      <c r="D611" s="258" t="str">
        <f>VLOOKUP(Ruimtestaat[[#This Row],[Code]],Locaties[#All],5,FALSE)</f>
        <v>7555ED</v>
      </c>
      <c r="E611" s="258" t="str">
        <f>VLOOKUP(Ruimtestaat[[#This Row],[Code]],Locaties[#All],6,FALSE)</f>
        <v>Hengelo</v>
      </c>
      <c r="F611" s="257" t="s">
        <v>628</v>
      </c>
      <c r="G611" s="257" t="s">
        <v>563</v>
      </c>
      <c r="H611" s="171"/>
      <c r="I611" s="257">
        <v>35</v>
      </c>
      <c r="J611" s="259" t="s">
        <v>569</v>
      </c>
      <c r="K611" s="171">
        <v>5</v>
      </c>
      <c r="L611" s="260" t="str">
        <f>VLOOKUP(Ruimtestaat[[#This Row],[Ruimte code]],Ruimtegroepen[#All],2,FALSE)</f>
        <v>Sanitair</v>
      </c>
      <c r="M611" s="212" t="s">
        <v>111</v>
      </c>
      <c r="N611" s="257" t="s">
        <v>605</v>
      </c>
      <c r="O611" s="261">
        <v>3.6</v>
      </c>
      <c r="P611" s="183"/>
      <c r="Q611" s="212" t="str">
        <f>VLOOKUP(Ruimtestaat[[#This Row],[Ruimte code]],Ruimtegroepen[#All],4,FALSE)</f>
        <v>S  (Sanitair)</v>
      </c>
      <c r="R611" s="184"/>
      <c r="S611" s="185">
        <v>40</v>
      </c>
      <c r="T611" s="185" t="s">
        <v>2</v>
      </c>
      <c r="U611" s="185">
        <f>IF(S611&gt;0,IF(RIGHT(Ruimtestaat[[#This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1" s="185">
        <f>IF(U611&gt;0,VLOOKUP($K611,Ruimtegroepen[],3,FALSE)*VLOOKUP($M611,Vloersoorten[],3,FALSE)*VLOOKUP($T611,Frequenties[],3,FALSE)*VLOOKUP($A611,Locaties[],3,FALSE),0)</f>
        <v>0</v>
      </c>
      <c r="W611" s="185">
        <f>Ruimtestaat[[#This Row],[Uitvoeringen werkdagen]]*Ruimtestaat[[#This Row],[Oppervlak (netto)]]</f>
        <v>720</v>
      </c>
      <c r="X611" s="220">
        <f>IF(V611&gt;0,Ruimtestaat[[#This Row],[Prest. (m2 /jaar) werkdagen]]/Ruimtestaat[[#This Row],[Norm (m2/uur) werkdagen]],0)</f>
        <v>0</v>
      </c>
      <c r="Y611" s="221">
        <f>Ruimtestaat[[#This Row],[uren / jaar werkdagen]]*Tariefsopbouw!$D$38</f>
        <v>0</v>
      </c>
      <c r="Z611" s="33"/>
      <c r="AA611" s="33">
        <f>IF(Ruimtestaat[[#This Row],[Frequentie weekend]]&gt;0,VALUE(LEFT(Z611,1))*S611,0)</f>
        <v>0</v>
      </c>
      <c r="AB611" s="33">
        <f>IF($AA611&gt;0,VLOOKUP($K611,Ruimtegroepen[],3,FALSE)*VLOOKUP($M611,Vloersoorten[],3,FALSE)*VLOOKUP($Z611,Frequenties[],3,FALSE)*VLOOKUP(#REF!,Locaties[],3,FALSE),0)</f>
        <v>0</v>
      </c>
      <c r="AC611" s="33"/>
      <c r="AD611" s="33"/>
      <c r="AE611" s="33">
        <f>Ruimtestaat[[#This Row],[uren / jaar weekend]]*Tariefsopbouw!$D$40</f>
        <v>0</v>
      </c>
      <c r="AF611" s="79">
        <f>Ruimtestaat[[#This Row],[Prest. (m2 /jaar) weekend]]+Ruimtestaat[[#This Row],[Prest. (m2 /jaar) werkdagen]]</f>
        <v>720</v>
      </c>
      <c r="AG611" s="79">
        <f>Ruimtestaat[[#This Row],[uren / jaar weekend]]+Ruimtestaat[[#This Row],[uren / jaar werkdagen]]</f>
        <v>0</v>
      </c>
      <c r="AH611" s="80">
        <f>Ruimtestaat[[#This Row],[kosten / jaar weekend]]+Ruimtestaat[[#This Row],[kosten / jaar werkdagen]]</f>
        <v>0</v>
      </c>
    </row>
    <row r="612" spans="1:34" ht="15" customHeight="1">
      <c r="A612" s="256">
        <v>7</v>
      </c>
      <c r="B612" s="171" t="str">
        <f>VLOOKUP(Ruimtestaat[[#This Row],[Code]],Locaties[#All],2,FALSE)</f>
        <v>De Kapstok AGL</v>
      </c>
      <c r="C612" s="258" t="str">
        <f>VLOOKUP(Ruimtestaat[[#This Row],[Code]],Locaties[#All],4,FALSE)</f>
        <v>Krabbenbosweg 91</v>
      </c>
      <c r="D612" s="258" t="str">
        <f>VLOOKUP(Ruimtestaat[[#This Row],[Code]],Locaties[#All],5,FALSE)</f>
        <v>7555ED</v>
      </c>
      <c r="E612" s="258" t="str">
        <f>VLOOKUP(Ruimtestaat[[#This Row],[Code]],Locaties[#All],6,FALSE)</f>
        <v>Hengelo</v>
      </c>
      <c r="F612" s="257" t="s">
        <v>628</v>
      </c>
      <c r="G612" s="257" t="s">
        <v>563</v>
      </c>
      <c r="H612" s="171"/>
      <c r="I612" s="257">
        <v>15</v>
      </c>
      <c r="J612" s="259" t="s">
        <v>385</v>
      </c>
      <c r="K612" s="185">
        <v>16</v>
      </c>
      <c r="L612" s="260" t="str">
        <f>VLOOKUP(Ruimtestaat[[#This Row],[Ruimte code]],Ruimtegroepen[#All],2,FALSE)</f>
        <v>Leslokalen</v>
      </c>
      <c r="M612" s="212" t="s">
        <v>598</v>
      </c>
      <c r="N612" s="257" t="s">
        <v>132</v>
      </c>
      <c r="O612" s="261">
        <v>35.5</v>
      </c>
      <c r="P612" s="183"/>
      <c r="Q612" s="212" t="str">
        <f>VLOOKUP(Ruimtestaat[[#This Row],[Ruimte code]],Ruimtegroepen[#All],4,FALSE)</f>
        <v>L  (Lesruimte)</v>
      </c>
      <c r="R612" s="184"/>
      <c r="S612" s="185">
        <v>40</v>
      </c>
      <c r="T612" s="185" t="s">
        <v>2</v>
      </c>
      <c r="U612" s="185">
        <f>IF(S612&gt;0,IF(RIGHT(Ruimtestaat[[#This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2" s="185">
        <f>IF(U612&gt;0,VLOOKUP($K612,Ruimtegroepen[],3,FALSE)*VLOOKUP($M612,Vloersoorten[],3,FALSE)*VLOOKUP($T612,Frequenties[],3,FALSE)*VLOOKUP($A612,Locaties[],3,FALSE),0)</f>
        <v>0</v>
      </c>
      <c r="W612" s="185">
        <f>Ruimtestaat[[#This Row],[Uitvoeringen werkdagen]]*Ruimtestaat[[#This Row],[Oppervlak (netto)]]</f>
        <v>7100</v>
      </c>
      <c r="X612" s="220">
        <f>IF(V612&gt;0,Ruimtestaat[[#This Row],[Prest. (m2 /jaar) werkdagen]]/Ruimtestaat[[#This Row],[Norm (m2/uur) werkdagen]],0)</f>
        <v>0</v>
      </c>
      <c r="Y612" s="221">
        <f>Ruimtestaat[[#This Row],[uren / jaar werkdagen]]*Tariefsopbouw!$D$38</f>
        <v>0</v>
      </c>
      <c r="Z612" s="33"/>
      <c r="AA612" s="33">
        <f>IF(Ruimtestaat[[#This Row],[Frequentie weekend]]&gt;0,VALUE(LEFT(Z612,1))*S612,0)</f>
        <v>0</v>
      </c>
      <c r="AB612" s="33">
        <f>IF($AA612&gt;0,VLOOKUP($K612,Ruimtegroepen[],3,FALSE)*VLOOKUP($M612,Vloersoorten[],3,FALSE)*VLOOKUP($Z612,Frequenties[],3,FALSE)*VLOOKUP(#REF!,Locaties[],3,FALSE),0)</f>
        <v>0</v>
      </c>
      <c r="AC612" s="33"/>
      <c r="AD612" s="33"/>
      <c r="AE612" s="33">
        <f>Ruimtestaat[[#This Row],[uren / jaar weekend]]*Tariefsopbouw!$D$40</f>
        <v>0</v>
      </c>
      <c r="AF612" s="79">
        <f>Ruimtestaat[[#This Row],[Prest. (m2 /jaar) weekend]]+Ruimtestaat[[#This Row],[Prest. (m2 /jaar) werkdagen]]</f>
        <v>7100</v>
      </c>
      <c r="AG612" s="79">
        <f>Ruimtestaat[[#This Row],[uren / jaar weekend]]+Ruimtestaat[[#This Row],[uren / jaar werkdagen]]</f>
        <v>0</v>
      </c>
      <c r="AH612" s="80">
        <f>Ruimtestaat[[#This Row],[kosten / jaar weekend]]+Ruimtestaat[[#This Row],[kosten / jaar werkdagen]]</f>
        <v>0</v>
      </c>
    </row>
    <row r="613" spans="1:34" ht="15" customHeight="1">
      <c r="A613" s="256">
        <v>7</v>
      </c>
      <c r="B613" s="171" t="str">
        <f>VLOOKUP(Ruimtestaat[[#This Row],[Code]],Locaties[#All],2,FALSE)</f>
        <v>De Kapstok AGL</v>
      </c>
      <c r="C613" s="258" t="str">
        <f>VLOOKUP(Ruimtestaat[[#This Row],[Code]],Locaties[#All],4,FALSE)</f>
        <v>Krabbenbosweg 91</v>
      </c>
      <c r="D613" s="258" t="str">
        <f>VLOOKUP(Ruimtestaat[[#This Row],[Code]],Locaties[#All],5,FALSE)</f>
        <v>7555ED</v>
      </c>
      <c r="E613" s="258" t="str">
        <f>VLOOKUP(Ruimtestaat[[#This Row],[Code]],Locaties[#All],6,FALSE)</f>
        <v>Hengelo</v>
      </c>
      <c r="F613" s="257" t="s">
        <v>628</v>
      </c>
      <c r="G613" s="257" t="s">
        <v>563</v>
      </c>
      <c r="H613" s="171"/>
      <c r="I613" s="257">
        <v>36</v>
      </c>
      <c r="J613" s="259" t="s">
        <v>569</v>
      </c>
      <c r="K613" s="258">
        <v>5</v>
      </c>
      <c r="L613" s="260" t="str">
        <f>VLOOKUP(Ruimtestaat[[#This Row],[Ruimte code]],Ruimtegroepen[#All],2,FALSE)</f>
        <v>Sanitair</v>
      </c>
      <c r="M613" s="212" t="s">
        <v>111</v>
      </c>
      <c r="N613" s="257" t="s">
        <v>605</v>
      </c>
      <c r="O613" s="261">
        <v>3.6</v>
      </c>
      <c r="P613" s="183"/>
      <c r="Q613" s="212" t="str">
        <f>VLOOKUP(Ruimtestaat[[#This Row],[Ruimte code]],Ruimtegroepen[#All],4,FALSE)</f>
        <v>S  (Sanitair)</v>
      </c>
      <c r="R613" s="184"/>
      <c r="S613" s="185">
        <v>40</v>
      </c>
      <c r="T613" s="185" t="s">
        <v>2</v>
      </c>
      <c r="U613" s="185">
        <f>IF(S613&gt;0,IF(RIGHT(Ruimtestaat[[#This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3" s="185">
        <f>IF(U613&gt;0,VLOOKUP($K613,Ruimtegroepen[],3,FALSE)*VLOOKUP($M613,Vloersoorten[],3,FALSE)*VLOOKUP($T613,Frequenties[],3,FALSE)*VLOOKUP($A613,Locaties[],3,FALSE),0)</f>
        <v>0</v>
      </c>
      <c r="W613" s="185">
        <f>Ruimtestaat[[#This Row],[Uitvoeringen werkdagen]]*Ruimtestaat[[#This Row],[Oppervlak (netto)]]</f>
        <v>720</v>
      </c>
      <c r="X613" s="220">
        <f>IF(V613&gt;0,Ruimtestaat[[#This Row],[Prest. (m2 /jaar) werkdagen]]/Ruimtestaat[[#This Row],[Norm (m2/uur) werkdagen]],0)</f>
        <v>0</v>
      </c>
      <c r="Y613" s="221">
        <f>Ruimtestaat[[#This Row],[uren / jaar werkdagen]]*Tariefsopbouw!$D$38</f>
        <v>0</v>
      </c>
      <c r="Z613" s="33"/>
      <c r="AA613" s="33">
        <f>IF(Ruimtestaat[[#This Row],[Frequentie weekend]]&gt;0,VALUE(LEFT(Z613,1))*S613,0)</f>
        <v>0</v>
      </c>
      <c r="AB613" s="33">
        <f>IF($AA613&gt;0,VLOOKUP($K613,Ruimtegroepen[],3,FALSE)*VLOOKUP($M613,Vloersoorten[],3,FALSE)*VLOOKUP($Z613,Frequenties[],3,FALSE)*VLOOKUP(#REF!,Locaties[],3,FALSE),0)</f>
        <v>0</v>
      </c>
      <c r="AC613" s="33"/>
      <c r="AD613" s="33"/>
      <c r="AE613" s="33">
        <f>Ruimtestaat[[#This Row],[uren / jaar weekend]]*Tariefsopbouw!$D$40</f>
        <v>0</v>
      </c>
      <c r="AF613" s="79">
        <f>Ruimtestaat[[#This Row],[Prest. (m2 /jaar) weekend]]+Ruimtestaat[[#This Row],[Prest. (m2 /jaar) werkdagen]]</f>
        <v>720</v>
      </c>
      <c r="AG613" s="79">
        <f>Ruimtestaat[[#This Row],[uren / jaar weekend]]+Ruimtestaat[[#This Row],[uren / jaar werkdagen]]</f>
        <v>0</v>
      </c>
      <c r="AH613" s="80">
        <f>Ruimtestaat[[#This Row],[kosten / jaar weekend]]+Ruimtestaat[[#This Row],[kosten / jaar werkdagen]]</f>
        <v>0</v>
      </c>
    </row>
    <row r="614" spans="1:34" ht="15" customHeight="1">
      <c r="A614" s="256">
        <v>7</v>
      </c>
      <c r="B614" s="171" t="str">
        <f>VLOOKUP(Ruimtestaat[[#This Row],[Code]],Locaties[#All],2,FALSE)</f>
        <v>De Kapstok AGL</v>
      </c>
      <c r="C614" s="258" t="str">
        <f>VLOOKUP(Ruimtestaat[[#This Row],[Code]],Locaties[#All],4,FALSE)</f>
        <v>Krabbenbosweg 91</v>
      </c>
      <c r="D614" s="258" t="str">
        <f>VLOOKUP(Ruimtestaat[[#This Row],[Code]],Locaties[#All],5,FALSE)</f>
        <v>7555ED</v>
      </c>
      <c r="E614" s="258" t="str">
        <f>VLOOKUP(Ruimtestaat[[#This Row],[Code]],Locaties[#All],6,FALSE)</f>
        <v>Hengelo</v>
      </c>
      <c r="F614" s="257" t="s">
        <v>628</v>
      </c>
      <c r="G614" s="257" t="s">
        <v>563</v>
      </c>
      <c r="H614" s="171"/>
      <c r="I614" s="257">
        <v>16</v>
      </c>
      <c r="J614" s="259" t="s">
        <v>385</v>
      </c>
      <c r="K614" s="185">
        <v>16</v>
      </c>
      <c r="L614" s="260" t="str">
        <f>VLOOKUP(Ruimtestaat[[#This Row],[Ruimte code]],Ruimtegroepen[#All],2,FALSE)</f>
        <v>Leslokalen</v>
      </c>
      <c r="M614" s="212" t="s">
        <v>598</v>
      </c>
      <c r="N614" s="257" t="s">
        <v>132</v>
      </c>
      <c r="O614" s="261">
        <v>35.700000000000003</v>
      </c>
      <c r="P614" s="183"/>
      <c r="Q614" s="212" t="str">
        <f>VLOOKUP(Ruimtestaat[[#This Row],[Ruimte code]],Ruimtegroepen[#All],4,FALSE)</f>
        <v>L  (Lesruimte)</v>
      </c>
      <c r="R614" s="184"/>
      <c r="S614" s="185">
        <v>40</v>
      </c>
      <c r="T614" s="185" t="s">
        <v>2</v>
      </c>
      <c r="U614" s="185">
        <f>IF(S614&gt;0,IF(RIGHT(Ruimtestaat[[#This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4" s="185">
        <f>IF(U614&gt;0,VLOOKUP($K614,Ruimtegroepen[],3,FALSE)*VLOOKUP($M614,Vloersoorten[],3,FALSE)*VLOOKUP($T614,Frequenties[],3,FALSE)*VLOOKUP($A614,Locaties[],3,FALSE),0)</f>
        <v>0</v>
      </c>
      <c r="W614" s="185">
        <f>Ruimtestaat[[#This Row],[Uitvoeringen werkdagen]]*Ruimtestaat[[#This Row],[Oppervlak (netto)]]</f>
        <v>7140.0000000000009</v>
      </c>
      <c r="X614" s="220">
        <f>IF(V614&gt;0,Ruimtestaat[[#This Row],[Prest. (m2 /jaar) werkdagen]]/Ruimtestaat[[#This Row],[Norm (m2/uur) werkdagen]],0)</f>
        <v>0</v>
      </c>
      <c r="Y614" s="221">
        <f>Ruimtestaat[[#This Row],[uren / jaar werkdagen]]*Tariefsopbouw!$D$38</f>
        <v>0</v>
      </c>
      <c r="Z614" s="33"/>
      <c r="AA614" s="33">
        <f>IF(Ruimtestaat[[#This Row],[Frequentie weekend]]&gt;0,VALUE(LEFT(Z614,1))*S614,0)</f>
        <v>0</v>
      </c>
      <c r="AB614" s="33">
        <f>IF($AA614&gt;0,VLOOKUP($K614,Ruimtegroepen[],3,FALSE)*VLOOKUP($M614,Vloersoorten[],3,FALSE)*VLOOKUP($Z614,Frequenties[],3,FALSE)*VLOOKUP(#REF!,Locaties[],3,FALSE),0)</f>
        <v>0</v>
      </c>
      <c r="AC614" s="33"/>
      <c r="AD614" s="33"/>
      <c r="AE614" s="33">
        <f>Ruimtestaat[[#This Row],[uren / jaar weekend]]*Tariefsopbouw!$D$40</f>
        <v>0</v>
      </c>
      <c r="AF614" s="79">
        <f>Ruimtestaat[[#This Row],[Prest. (m2 /jaar) weekend]]+Ruimtestaat[[#This Row],[Prest. (m2 /jaar) werkdagen]]</f>
        <v>7140.0000000000009</v>
      </c>
      <c r="AG614" s="79">
        <f>Ruimtestaat[[#This Row],[uren / jaar weekend]]+Ruimtestaat[[#This Row],[uren / jaar werkdagen]]</f>
        <v>0</v>
      </c>
      <c r="AH614" s="80">
        <f>Ruimtestaat[[#This Row],[kosten / jaar weekend]]+Ruimtestaat[[#This Row],[kosten / jaar werkdagen]]</f>
        <v>0</v>
      </c>
    </row>
    <row r="615" spans="1:34" ht="15" customHeight="1">
      <c r="A615" s="256">
        <v>7</v>
      </c>
      <c r="B615" s="171" t="str">
        <f>VLOOKUP(Ruimtestaat[[#This Row],[Code]],Locaties[#All],2,FALSE)</f>
        <v>De Kapstok AGL</v>
      </c>
      <c r="C615" s="258" t="str">
        <f>VLOOKUP(Ruimtestaat[[#This Row],[Code]],Locaties[#All],4,FALSE)</f>
        <v>Krabbenbosweg 91</v>
      </c>
      <c r="D615" s="258" t="str">
        <f>VLOOKUP(Ruimtestaat[[#This Row],[Code]],Locaties[#All],5,FALSE)</f>
        <v>7555ED</v>
      </c>
      <c r="E615" s="258" t="str">
        <f>VLOOKUP(Ruimtestaat[[#This Row],[Code]],Locaties[#All],6,FALSE)</f>
        <v>Hengelo</v>
      </c>
      <c r="F615" s="257" t="s">
        <v>628</v>
      </c>
      <c r="G615" s="257" t="s">
        <v>563</v>
      </c>
      <c r="H615" s="171"/>
      <c r="I615" s="257">
        <v>37</v>
      </c>
      <c r="J615" s="259" t="s">
        <v>569</v>
      </c>
      <c r="K615" s="171">
        <v>5</v>
      </c>
      <c r="L615" s="260" t="str">
        <f>VLOOKUP(Ruimtestaat[[#This Row],[Ruimte code]],Ruimtegroepen[#All],2,FALSE)</f>
        <v>Sanitair</v>
      </c>
      <c r="M615" s="212" t="s">
        <v>111</v>
      </c>
      <c r="N615" s="257" t="s">
        <v>605</v>
      </c>
      <c r="O615" s="261">
        <v>3.6</v>
      </c>
      <c r="P615" s="183"/>
      <c r="Q615" s="212" t="str">
        <f>VLOOKUP(Ruimtestaat[[#This Row],[Ruimte code]],Ruimtegroepen[#All],4,FALSE)</f>
        <v>S  (Sanitair)</v>
      </c>
      <c r="R615" s="184"/>
      <c r="S615" s="185">
        <v>40</v>
      </c>
      <c r="T615" s="185" t="s">
        <v>2</v>
      </c>
      <c r="U615" s="185">
        <f>IF(S615&gt;0,IF(RIGHT(Ruimtestaat[[#This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5" s="185">
        <f>IF(U615&gt;0,VLOOKUP($K615,Ruimtegroepen[],3,FALSE)*VLOOKUP($M615,Vloersoorten[],3,FALSE)*VLOOKUP($T615,Frequenties[],3,FALSE)*VLOOKUP($A615,Locaties[],3,FALSE),0)</f>
        <v>0</v>
      </c>
      <c r="W615" s="185">
        <f>Ruimtestaat[[#This Row],[Uitvoeringen werkdagen]]*Ruimtestaat[[#This Row],[Oppervlak (netto)]]</f>
        <v>720</v>
      </c>
      <c r="X615" s="220">
        <f>IF(V615&gt;0,Ruimtestaat[[#This Row],[Prest. (m2 /jaar) werkdagen]]/Ruimtestaat[[#This Row],[Norm (m2/uur) werkdagen]],0)</f>
        <v>0</v>
      </c>
      <c r="Y615" s="221">
        <f>Ruimtestaat[[#This Row],[uren / jaar werkdagen]]*Tariefsopbouw!$D$38</f>
        <v>0</v>
      </c>
      <c r="Z615" s="33"/>
      <c r="AA615" s="33">
        <f>IF(Ruimtestaat[[#This Row],[Frequentie weekend]]&gt;0,VALUE(LEFT(Z615,1))*S615,0)</f>
        <v>0</v>
      </c>
      <c r="AB615" s="33">
        <f>IF($AA615&gt;0,VLOOKUP($K615,Ruimtegroepen[],3,FALSE)*VLOOKUP($M615,Vloersoorten[],3,FALSE)*VLOOKUP($Z615,Frequenties[],3,FALSE)*VLOOKUP(#REF!,Locaties[],3,FALSE),0)</f>
        <v>0</v>
      </c>
      <c r="AC615" s="33"/>
      <c r="AD615" s="33"/>
      <c r="AE615" s="33">
        <f>Ruimtestaat[[#This Row],[uren / jaar weekend]]*Tariefsopbouw!$D$40</f>
        <v>0</v>
      </c>
      <c r="AF615" s="79">
        <f>Ruimtestaat[[#This Row],[Prest. (m2 /jaar) weekend]]+Ruimtestaat[[#This Row],[Prest. (m2 /jaar) werkdagen]]</f>
        <v>720</v>
      </c>
      <c r="AG615" s="79">
        <f>Ruimtestaat[[#This Row],[uren / jaar weekend]]+Ruimtestaat[[#This Row],[uren / jaar werkdagen]]</f>
        <v>0</v>
      </c>
      <c r="AH615" s="80">
        <f>Ruimtestaat[[#This Row],[kosten / jaar weekend]]+Ruimtestaat[[#This Row],[kosten / jaar werkdagen]]</f>
        <v>0</v>
      </c>
    </row>
    <row r="616" spans="1:34" ht="15" customHeight="1">
      <c r="A616" s="256">
        <v>7</v>
      </c>
      <c r="B616" s="171" t="str">
        <f>VLOOKUP(Ruimtestaat[[#This Row],[Code]],Locaties[#All],2,FALSE)</f>
        <v>De Kapstok AGL</v>
      </c>
      <c r="C616" s="258" t="str">
        <f>VLOOKUP(Ruimtestaat[[#This Row],[Code]],Locaties[#All],4,FALSE)</f>
        <v>Krabbenbosweg 91</v>
      </c>
      <c r="D616" s="258" t="str">
        <f>VLOOKUP(Ruimtestaat[[#This Row],[Code]],Locaties[#All],5,FALSE)</f>
        <v>7555ED</v>
      </c>
      <c r="E616" s="258" t="str">
        <f>VLOOKUP(Ruimtestaat[[#This Row],[Code]],Locaties[#All],6,FALSE)</f>
        <v>Hengelo</v>
      </c>
      <c r="F616" s="257" t="s">
        <v>628</v>
      </c>
      <c r="G616" s="257" t="s">
        <v>563</v>
      </c>
      <c r="H616" s="171"/>
      <c r="I616" s="257">
        <v>17</v>
      </c>
      <c r="J616" s="259" t="s">
        <v>653</v>
      </c>
      <c r="K616" s="171">
        <v>5</v>
      </c>
      <c r="L616" s="260" t="str">
        <f>VLOOKUP(Ruimtestaat[[#This Row],[Ruimte code]],Ruimtegroepen[#All],2,FALSE)</f>
        <v>Sanitair</v>
      </c>
      <c r="M616" s="212" t="s">
        <v>111</v>
      </c>
      <c r="N616" s="257" t="s">
        <v>605</v>
      </c>
      <c r="O616" s="261">
        <v>4.9000000000000004</v>
      </c>
      <c r="P616" s="183"/>
      <c r="Q616" s="212" t="str">
        <f>VLOOKUP(Ruimtestaat[[#This Row],[Ruimte code]],Ruimtegroepen[#All],4,FALSE)</f>
        <v>S  (Sanitair)</v>
      </c>
      <c r="R616" s="184"/>
      <c r="S616" s="185">
        <v>40</v>
      </c>
      <c r="T616" s="185" t="s">
        <v>2</v>
      </c>
      <c r="U616" s="185">
        <f>IF(S616&gt;0,IF(RIGHT(Ruimtestaat[[#This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6" s="185">
        <f>IF(U616&gt;0,VLOOKUP($K616,Ruimtegroepen[],3,FALSE)*VLOOKUP($M616,Vloersoorten[],3,FALSE)*VLOOKUP($T616,Frequenties[],3,FALSE)*VLOOKUP($A616,Locaties[],3,FALSE),0)</f>
        <v>0</v>
      </c>
      <c r="W616" s="185">
        <f>Ruimtestaat[[#This Row],[Uitvoeringen werkdagen]]*Ruimtestaat[[#This Row],[Oppervlak (netto)]]</f>
        <v>980.00000000000011</v>
      </c>
      <c r="X616" s="220">
        <f>IF(V616&gt;0,Ruimtestaat[[#This Row],[Prest. (m2 /jaar) werkdagen]]/Ruimtestaat[[#This Row],[Norm (m2/uur) werkdagen]],0)</f>
        <v>0</v>
      </c>
      <c r="Y616" s="221">
        <f>Ruimtestaat[[#This Row],[uren / jaar werkdagen]]*Tariefsopbouw!$D$38</f>
        <v>0</v>
      </c>
      <c r="Z616" s="33"/>
      <c r="AA616" s="33">
        <f>IF(Ruimtestaat[[#This Row],[Frequentie weekend]]&gt;0,VALUE(LEFT(Z616,1))*S616,0)</f>
        <v>0</v>
      </c>
      <c r="AB616" s="33">
        <f>IF($AA616&gt;0,VLOOKUP($K616,Ruimtegroepen[],3,FALSE)*VLOOKUP($M616,Vloersoorten[],3,FALSE)*VLOOKUP($Z616,Frequenties[],3,FALSE)*VLOOKUP(#REF!,Locaties[],3,FALSE),0)</f>
        <v>0</v>
      </c>
      <c r="AC616" s="33"/>
      <c r="AD616" s="33"/>
      <c r="AE616" s="33">
        <f>Ruimtestaat[[#This Row],[uren / jaar weekend]]*Tariefsopbouw!$D$40</f>
        <v>0</v>
      </c>
      <c r="AF616" s="79">
        <f>Ruimtestaat[[#This Row],[Prest. (m2 /jaar) weekend]]+Ruimtestaat[[#This Row],[Prest. (m2 /jaar) werkdagen]]</f>
        <v>980.00000000000011</v>
      </c>
      <c r="AG616" s="79">
        <f>Ruimtestaat[[#This Row],[uren / jaar weekend]]+Ruimtestaat[[#This Row],[uren / jaar werkdagen]]</f>
        <v>0</v>
      </c>
      <c r="AH616" s="80">
        <f>Ruimtestaat[[#This Row],[kosten / jaar weekend]]+Ruimtestaat[[#This Row],[kosten / jaar werkdagen]]</f>
        <v>0</v>
      </c>
    </row>
    <row r="617" spans="1:34" ht="15" customHeight="1">
      <c r="A617" s="256">
        <v>7</v>
      </c>
      <c r="B617" s="171" t="str">
        <f>VLOOKUP(Ruimtestaat[[#This Row],[Code]],Locaties[#All],2,FALSE)</f>
        <v>De Kapstok AGL</v>
      </c>
      <c r="C617" s="258" t="str">
        <f>VLOOKUP(Ruimtestaat[[#This Row],[Code]],Locaties[#All],4,FALSE)</f>
        <v>Krabbenbosweg 91</v>
      </c>
      <c r="D617" s="258" t="str">
        <f>VLOOKUP(Ruimtestaat[[#This Row],[Code]],Locaties[#All],5,FALSE)</f>
        <v>7555ED</v>
      </c>
      <c r="E617" s="258" t="str">
        <f>VLOOKUP(Ruimtestaat[[#This Row],[Code]],Locaties[#All],6,FALSE)</f>
        <v>Hengelo</v>
      </c>
      <c r="F617" s="257" t="s">
        <v>628</v>
      </c>
      <c r="G617" s="257" t="s">
        <v>563</v>
      </c>
      <c r="H617" s="171"/>
      <c r="I617" s="257">
        <v>19</v>
      </c>
      <c r="J617" s="259" t="s">
        <v>571</v>
      </c>
      <c r="K617" s="258">
        <v>2</v>
      </c>
      <c r="L617" s="260" t="str">
        <f>VLOOKUP(Ruimtestaat[[#This Row],[Ruimte code]],Ruimtegroepen[#All],2,FALSE)</f>
        <v>Kantoren</v>
      </c>
      <c r="M617" s="212" t="s">
        <v>597</v>
      </c>
      <c r="N617" s="257" t="s">
        <v>38</v>
      </c>
      <c r="O617" s="261">
        <v>11</v>
      </c>
      <c r="P617" s="183"/>
      <c r="Q617" s="212" t="str">
        <f>VLOOKUP(Ruimtestaat[[#This Row],[Ruimte code]],Ruimtegroepen[#All],4,FALSE)</f>
        <v>B  (Bureauruimte)</v>
      </c>
      <c r="R617" s="184"/>
      <c r="S617" s="185">
        <v>40</v>
      </c>
      <c r="T617" s="185" t="s">
        <v>18</v>
      </c>
      <c r="U617" s="185">
        <f>IF(S617&gt;0,IF(RIGHT(Ruimtestaat[[#This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17" s="185">
        <f>IF(U617&gt;0,VLOOKUP($K617,Ruimtegroepen[],3,FALSE)*VLOOKUP($M617,Vloersoorten[],3,FALSE)*VLOOKUP($T617,Frequenties[],3,FALSE)*VLOOKUP($A617,Locaties[],3,FALSE),0)</f>
        <v>0</v>
      </c>
      <c r="W617" s="185">
        <f>Ruimtestaat[[#This Row],[Uitvoeringen werkdagen]]*Ruimtestaat[[#This Row],[Oppervlak (netto)]]</f>
        <v>1320</v>
      </c>
      <c r="X617" s="220">
        <f>IF(V617&gt;0,Ruimtestaat[[#This Row],[Prest. (m2 /jaar) werkdagen]]/Ruimtestaat[[#This Row],[Norm (m2/uur) werkdagen]],0)</f>
        <v>0</v>
      </c>
      <c r="Y617" s="221">
        <f>Ruimtestaat[[#This Row],[uren / jaar werkdagen]]*Tariefsopbouw!$D$38</f>
        <v>0</v>
      </c>
      <c r="Z617" s="33"/>
      <c r="AA617" s="33">
        <f>IF(Ruimtestaat[[#This Row],[Frequentie weekend]]&gt;0,VALUE(LEFT(Z617,1))*S617,0)</f>
        <v>0</v>
      </c>
      <c r="AB617" s="33">
        <f>IF($AA617&gt;0,VLOOKUP($K617,Ruimtegroepen[],3,FALSE)*VLOOKUP($M617,Vloersoorten[],3,FALSE)*VLOOKUP($Z617,Frequenties[],3,FALSE)*VLOOKUP(#REF!,Locaties[],3,FALSE),0)</f>
        <v>0</v>
      </c>
      <c r="AC617" s="33"/>
      <c r="AD617" s="33"/>
      <c r="AE617" s="33">
        <f>Ruimtestaat[[#This Row],[uren / jaar weekend]]*Tariefsopbouw!$D$40</f>
        <v>0</v>
      </c>
      <c r="AF617" s="79">
        <f>Ruimtestaat[[#This Row],[Prest. (m2 /jaar) weekend]]+Ruimtestaat[[#This Row],[Prest. (m2 /jaar) werkdagen]]</f>
        <v>1320</v>
      </c>
      <c r="AG617" s="79">
        <f>Ruimtestaat[[#This Row],[uren / jaar weekend]]+Ruimtestaat[[#This Row],[uren / jaar werkdagen]]</f>
        <v>0</v>
      </c>
      <c r="AH617" s="80">
        <f>Ruimtestaat[[#This Row],[kosten / jaar weekend]]+Ruimtestaat[[#This Row],[kosten / jaar werkdagen]]</f>
        <v>0</v>
      </c>
    </row>
    <row r="618" spans="1:34" ht="15" customHeight="1">
      <c r="A618" s="256">
        <v>7</v>
      </c>
      <c r="B618" s="171" t="str">
        <f>VLOOKUP(Ruimtestaat[[#This Row],[Code]],Locaties[#All],2,FALSE)</f>
        <v>De Kapstok AGL</v>
      </c>
      <c r="C618" s="258" t="str">
        <f>VLOOKUP(Ruimtestaat[[#This Row],[Code]],Locaties[#All],4,FALSE)</f>
        <v>Krabbenbosweg 91</v>
      </c>
      <c r="D618" s="258" t="str">
        <f>VLOOKUP(Ruimtestaat[[#This Row],[Code]],Locaties[#All],5,FALSE)</f>
        <v>7555ED</v>
      </c>
      <c r="E618" s="258" t="str">
        <f>VLOOKUP(Ruimtestaat[[#This Row],[Code]],Locaties[#All],6,FALSE)</f>
        <v>Hengelo</v>
      </c>
      <c r="F618" s="257" t="s">
        <v>628</v>
      </c>
      <c r="G618" s="257" t="s">
        <v>563</v>
      </c>
      <c r="H618" s="171"/>
      <c r="I618" s="257">
        <v>20</v>
      </c>
      <c r="J618" s="259" t="s">
        <v>571</v>
      </c>
      <c r="K618" s="171">
        <v>2</v>
      </c>
      <c r="L618" s="260" t="str">
        <f>VLOOKUP(Ruimtestaat[[#This Row],[Ruimte code]],Ruimtegroepen[#All],2,FALSE)</f>
        <v>Kantoren</v>
      </c>
      <c r="M618" s="212" t="s">
        <v>597</v>
      </c>
      <c r="N618" s="257" t="s">
        <v>38</v>
      </c>
      <c r="O618" s="261">
        <v>10.1</v>
      </c>
      <c r="P618" s="183"/>
      <c r="Q618" s="212" t="str">
        <f>VLOOKUP(Ruimtestaat[[#This Row],[Ruimte code]],Ruimtegroepen[#All],4,FALSE)</f>
        <v>B  (Bureauruimte)</v>
      </c>
      <c r="R618" s="184"/>
      <c r="S618" s="185">
        <v>40</v>
      </c>
      <c r="T618" s="185" t="s">
        <v>18</v>
      </c>
      <c r="U618" s="185">
        <f>IF(S618&gt;0,IF(RIGHT(Ruimtestaat[[#This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18" s="185">
        <f>IF(U618&gt;0,VLOOKUP($K618,Ruimtegroepen[],3,FALSE)*VLOOKUP($M618,Vloersoorten[],3,FALSE)*VLOOKUP($T618,Frequenties[],3,FALSE)*VLOOKUP($A618,Locaties[],3,FALSE),0)</f>
        <v>0</v>
      </c>
      <c r="W618" s="185">
        <f>Ruimtestaat[[#This Row],[Uitvoeringen werkdagen]]*Ruimtestaat[[#This Row],[Oppervlak (netto)]]</f>
        <v>1212</v>
      </c>
      <c r="X618" s="220">
        <f>IF(V618&gt;0,Ruimtestaat[[#This Row],[Prest. (m2 /jaar) werkdagen]]/Ruimtestaat[[#This Row],[Norm (m2/uur) werkdagen]],0)</f>
        <v>0</v>
      </c>
      <c r="Y618" s="221">
        <f>Ruimtestaat[[#This Row],[uren / jaar werkdagen]]*Tariefsopbouw!$D$38</f>
        <v>0</v>
      </c>
      <c r="Z618" s="33"/>
      <c r="AA618" s="33">
        <f>IF(Ruimtestaat[[#This Row],[Frequentie weekend]]&gt;0,VALUE(LEFT(Z618,1))*S618,0)</f>
        <v>0</v>
      </c>
      <c r="AB618" s="33">
        <f>IF($AA618&gt;0,VLOOKUP($K618,Ruimtegroepen[],3,FALSE)*VLOOKUP($M618,Vloersoorten[],3,FALSE)*VLOOKUP($Z618,Frequenties[],3,FALSE)*VLOOKUP(#REF!,Locaties[],3,FALSE),0)</f>
        <v>0</v>
      </c>
      <c r="AC618" s="33"/>
      <c r="AD618" s="33"/>
      <c r="AE618" s="33">
        <f>Ruimtestaat[[#This Row],[uren / jaar weekend]]*Tariefsopbouw!$D$40</f>
        <v>0</v>
      </c>
      <c r="AF618" s="79">
        <f>Ruimtestaat[[#This Row],[Prest. (m2 /jaar) weekend]]+Ruimtestaat[[#This Row],[Prest. (m2 /jaar) werkdagen]]</f>
        <v>1212</v>
      </c>
      <c r="AG618" s="79">
        <f>Ruimtestaat[[#This Row],[uren / jaar weekend]]+Ruimtestaat[[#This Row],[uren / jaar werkdagen]]</f>
        <v>0</v>
      </c>
      <c r="AH618" s="80">
        <f>Ruimtestaat[[#This Row],[kosten / jaar weekend]]+Ruimtestaat[[#This Row],[kosten / jaar werkdagen]]</f>
        <v>0</v>
      </c>
    </row>
    <row r="619" spans="1:34" ht="15" customHeight="1">
      <c r="A619" s="256">
        <v>7</v>
      </c>
      <c r="B619" s="171" t="str">
        <f>VLOOKUP(Ruimtestaat[[#This Row],[Code]],Locaties[#All],2,FALSE)</f>
        <v>De Kapstok AGL</v>
      </c>
      <c r="C619" s="258" t="str">
        <f>VLOOKUP(Ruimtestaat[[#This Row],[Code]],Locaties[#All],4,FALSE)</f>
        <v>Krabbenbosweg 91</v>
      </c>
      <c r="D619" s="258" t="str">
        <f>VLOOKUP(Ruimtestaat[[#This Row],[Code]],Locaties[#All],5,FALSE)</f>
        <v>7555ED</v>
      </c>
      <c r="E619" s="258" t="str">
        <f>VLOOKUP(Ruimtestaat[[#This Row],[Code]],Locaties[#All],6,FALSE)</f>
        <v>Hengelo</v>
      </c>
      <c r="F619" s="257" t="s">
        <v>628</v>
      </c>
      <c r="G619" s="257" t="s">
        <v>563</v>
      </c>
      <c r="H619" s="171"/>
      <c r="I619" s="257">
        <v>18</v>
      </c>
      <c r="J619" s="259" t="s">
        <v>585</v>
      </c>
      <c r="K619" s="185">
        <v>20</v>
      </c>
      <c r="L619" s="260" t="str">
        <f>VLOOKUP(Ruimtestaat[[#This Row],[Ruimte code]],Ruimtegroepen[#All],2,FALSE)</f>
        <v>Niet in onderhoud</v>
      </c>
      <c r="M619" s="212" t="s">
        <v>598</v>
      </c>
      <c r="N619" s="257" t="s">
        <v>132</v>
      </c>
      <c r="O619" s="261"/>
      <c r="P619" s="183">
        <v>6.4</v>
      </c>
      <c r="Q619" s="212" t="str">
        <f>VLOOKUP(Ruimtestaat[[#This Row],[Ruimte code]],Ruimtegroepen[#All],4,FALSE)</f>
        <v>niet in onderhoud</v>
      </c>
      <c r="R619" s="184"/>
      <c r="S619" s="185"/>
      <c r="T619" s="185"/>
      <c r="U619" s="185">
        <f>IF(S619&gt;0,IF(RIGHT(Ruimtestaat[[#This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19" s="185">
        <f>IF(U619&gt;0,VLOOKUP($K619,Ruimtegroepen[],3,FALSE)*VLOOKUP($M619,Vloersoorten[],3,FALSE)*VLOOKUP($T619,Frequenties[],3,FALSE)*VLOOKUP($A619,Locaties[],3,FALSE),0)</f>
        <v>0</v>
      </c>
      <c r="W619" s="185">
        <f>Ruimtestaat[[#This Row],[Uitvoeringen werkdagen]]*Ruimtestaat[[#This Row],[Oppervlak (netto)]]</f>
        <v>0</v>
      </c>
      <c r="X619" s="220">
        <f>IF(V619&gt;0,Ruimtestaat[[#This Row],[Prest. (m2 /jaar) werkdagen]]/Ruimtestaat[[#This Row],[Norm (m2/uur) werkdagen]],0)</f>
        <v>0</v>
      </c>
      <c r="Y619" s="221">
        <f>Ruimtestaat[[#This Row],[uren / jaar werkdagen]]*Tariefsopbouw!$D$38</f>
        <v>0</v>
      </c>
      <c r="Z619" s="33"/>
      <c r="AA619" s="33">
        <f>IF(Ruimtestaat[[#This Row],[Frequentie weekend]]&gt;0,VALUE(LEFT(Z619,1))*S619,0)</f>
        <v>0</v>
      </c>
      <c r="AB619" s="33">
        <f>IF($AA619&gt;0,VLOOKUP($K619,Ruimtegroepen[],3,FALSE)*VLOOKUP($M619,Vloersoorten[],3,FALSE)*VLOOKUP($Z619,Frequenties[],3,FALSE)*VLOOKUP(#REF!,Locaties[],3,FALSE),0)</f>
        <v>0</v>
      </c>
      <c r="AC619" s="33"/>
      <c r="AD619" s="33"/>
      <c r="AE619" s="33">
        <f>Ruimtestaat[[#This Row],[uren / jaar weekend]]*Tariefsopbouw!$D$40</f>
        <v>0</v>
      </c>
      <c r="AF619" s="79">
        <f>Ruimtestaat[[#This Row],[Prest. (m2 /jaar) weekend]]+Ruimtestaat[[#This Row],[Prest. (m2 /jaar) werkdagen]]</f>
        <v>0</v>
      </c>
      <c r="AG619" s="79">
        <f>Ruimtestaat[[#This Row],[uren / jaar weekend]]+Ruimtestaat[[#This Row],[uren / jaar werkdagen]]</f>
        <v>0</v>
      </c>
      <c r="AH619" s="80">
        <f>Ruimtestaat[[#This Row],[kosten / jaar weekend]]+Ruimtestaat[[#This Row],[kosten / jaar werkdagen]]</f>
        <v>0</v>
      </c>
    </row>
    <row r="620" spans="1:34" ht="15" customHeight="1">
      <c r="A620" s="256">
        <v>7</v>
      </c>
      <c r="B620" s="171" t="str">
        <f>VLOOKUP(Ruimtestaat[[#This Row],[Code]],Locaties[#All],2,FALSE)</f>
        <v>De Kapstok AGL</v>
      </c>
      <c r="C620" s="258" t="str">
        <f>VLOOKUP(Ruimtestaat[[#This Row],[Code]],Locaties[#All],4,FALSE)</f>
        <v>Krabbenbosweg 91</v>
      </c>
      <c r="D620" s="258" t="str">
        <f>VLOOKUP(Ruimtestaat[[#This Row],[Code]],Locaties[#All],5,FALSE)</f>
        <v>7555ED</v>
      </c>
      <c r="E620" s="258" t="str">
        <f>VLOOKUP(Ruimtestaat[[#This Row],[Code]],Locaties[#All],6,FALSE)</f>
        <v>Hengelo</v>
      </c>
      <c r="F620" s="257" t="s">
        <v>628</v>
      </c>
      <c r="G620" s="257" t="s">
        <v>563</v>
      </c>
      <c r="H620" s="171"/>
      <c r="I620" s="257">
        <v>21</v>
      </c>
      <c r="J620" s="259" t="s">
        <v>385</v>
      </c>
      <c r="K620" s="171">
        <v>16</v>
      </c>
      <c r="L620" s="260" t="str">
        <f>VLOOKUP(Ruimtestaat[[#This Row],[Ruimte code]],Ruimtegroepen[#All],2,FALSE)</f>
        <v>Leslokalen</v>
      </c>
      <c r="M620" s="258" t="s">
        <v>598</v>
      </c>
      <c r="N620" s="257" t="s">
        <v>132</v>
      </c>
      <c r="O620" s="261">
        <v>44.6</v>
      </c>
      <c r="P620" s="183"/>
      <c r="Q620" s="212" t="str">
        <f>VLOOKUP(Ruimtestaat[[#This Row],[Ruimte code]],Ruimtegroepen[#All],4,FALSE)</f>
        <v>L  (Lesruimte)</v>
      </c>
      <c r="R620" s="184"/>
      <c r="S620" s="185">
        <v>40</v>
      </c>
      <c r="T620" s="185" t="s">
        <v>2</v>
      </c>
      <c r="U620" s="185">
        <f>IF(S620&gt;0,IF(RIGHT(Ruimtestaat[[#This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0" s="185">
        <f>IF(U620&gt;0,VLOOKUP($K620,Ruimtegroepen[],3,FALSE)*VLOOKUP($M620,Vloersoorten[],3,FALSE)*VLOOKUP($T620,Frequenties[],3,FALSE)*VLOOKUP($A620,Locaties[],3,FALSE),0)</f>
        <v>0</v>
      </c>
      <c r="W620" s="185">
        <f>Ruimtestaat[[#This Row],[Uitvoeringen werkdagen]]*Ruimtestaat[[#This Row],[Oppervlak (netto)]]</f>
        <v>8920</v>
      </c>
      <c r="X620" s="220">
        <f>IF(V620&gt;0,Ruimtestaat[[#This Row],[Prest. (m2 /jaar) werkdagen]]/Ruimtestaat[[#This Row],[Norm (m2/uur) werkdagen]],0)</f>
        <v>0</v>
      </c>
      <c r="Y620" s="221">
        <f>Ruimtestaat[[#This Row],[uren / jaar werkdagen]]*Tariefsopbouw!$D$38</f>
        <v>0</v>
      </c>
      <c r="Z620" s="33"/>
      <c r="AA620" s="33">
        <f>IF(Ruimtestaat[[#This Row],[Frequentie weekend]]&gt;0,VALUE(LEFT(Z620,1))*S620,0)</f>
        <v>0</v>
      </c>
      <c r="AB620" s="33">
        <f>IF($AA620&gt;0,VLOOKUP($K620,Ruimtegroepen[],3,FALSE)*VLOOKUP($M620,Vloersoorten[],3,FALSE)*VLOOKUP($Z620,Frequenties[],3,FALSE)*VLOOKUP(#REF!,Locaties[],3,FALSE),0)</f>
        <v>0</v>
      </c>
      <c r="AC620" s="33"/>
      <c r="AD620" s="33"/>
      <c r="AE620" s="33">
        <f>Ruimtestaat[[#This Row],[uren / jaar weekend]]*Tariefsopbouw!$D$40</f>
        <v>0</v>
      </c>
      <c r="AF620" s="79">
        <f>Ruimtestaat[[#This Row],[Prest. (m2 /jaar) weekend]]+Ruimtestaat[[#This Row],[Prest. (m2 /jaar) werkdagen]]</f>
        <v>8920</v>
      </c>
      <c r="AG620" s="79">
        <f>Ruimtestaat[[#This Row],[uren / jaar weekend]]+Ruimtestaat[[#This Row],[uren / jaar werkdagen]]</f>
        <v>0</v>
      </c>
      <c r="AH620" s="80">
        <f>Ruimtestaat[[#This Row],[kosten / jaar weekend]]+Ruimtestaat[[#This Row],[kosten / jaar werkdagen]]</f>
        <v>0</v>
      </c>
    </row>
    <row r="621" spans="1:34" ht="15" customHeight="1">
      <c r="A621" s="256">
        <v>7</v>
      </c>
      <c r="B621" s="171" t="str">
        <f>VLOOKUP(Ruimtestaat[[#This Row],[Code]],Locaties[#All],2,FALSE)</f>
        <v>De Kapstok AGL</v>
      </c>
      <c r="C621" s="258" t="str">
        <f>VLOOKUP(Ruimtestaat[[#This Row],[Code]],Locaties[#All],4,FALSE)</f>
        <v>Krabbenbosweg 91</v>
      </c>
      <c r="D621" s="258" t="str">
        <f>VLOOKUP(Ruimtestaat[[#This Row],[Code]],Locaties[#All],5,FALSE)</f>
        <v>7555ED</v>
      </c>
      <c r="E621" s="258" t="str">
        <f>VLOOKUP(Ruimtestaat[[#This Row],[Code]],Locaties[#All],6,FALSE)</f>
        <v>Hengelo</v>
      </c>
      <c r="F621" s="257" t="s">
        <v>628</v>
      </c>
      <c r="G621" s="257" t="s">
        <v>563</v>
      </c>
      <c r="H621" s="171"/>
      <c r="I621" s="257">
        <v>25</v>
      </c>
      <c r="J621" s="259" t="s">
        <v>569</v>
      </c>
      <c r="K621" s="185">
        <v>5</v>
      </c>
      <c r="L621" s="260" t="str">
        <f>VLOOKUP(Ruimtestaat[[#This Row],[Ruimte code]],Ruimtegroepen[#All],2,FALSE)</f>
        <v>Sanitair</v>
      </c>
      <c r="M621" s="212" t="s">
        <v>111</v>
      </c>
      <c r="N621" s="257" t="s">
        <v>605</v>
      </c>
      <c r="O621" s="261">
        <v>3.3</v>
      </c>
      <c r="P621" s="183"/>
      <c r="Q621" s="212" t="str">
        <f>VLOOKUP(Ruimtestaat[[#This Row],[Ruimte code]],Ruimtegroepen[#All],4,FALSE)</f>
        <v>S  (Sanitair)</v>
      </c>
      <c r="R621" s="184"/>
      <c r="S621" s="185">
        <v>40</v>
      </c>
      <c r="T621" s="185" t="s">
        <v>2</v>
      </c>
      <c r="U621" s="185">
        <f>IF(S621&gt;0,IF(RIGHT(Ruimtestaat[[#This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1" s="185">
        <f>IF(U621&gt;0,VLOOKUP($K621,Ruimtegroepen[],3,FALSE)*VLOOKUP($M621,Vloersoorten[],3,FALSE)*VLOOKUP($T621,Frequenties[],3,FALSE)*VLOOKUP($A621,Locaties[],3,FALSE),0)</f>
        <v>0</v>
      </c>
      <c r="W621" s="185">
        <f>Ruimtestaat[[#This Row],[Uitvoeringen werkdagen]]*Ruimtestaat[[#This Row],[Oppervlak (netto)]]</f>
        <v>660</v>
      </c>
      <c r="X621" s="220">
        <f>IF(V621&gt;0,Ruimtestaat[[#This Row],[Prest. (m2 /jaar) werkdagen]]/Ruimtestaat[[#This Row],[Norm (m2/uur) werkdagen]],0)</f>
        <v>0</v>
      </c>
      <c r="Y621" s="221">
        <f>Ruimtestaat[[#This Row],[uren / jaar werkdagen]]*Tariefsopbouw!$D$38</f>
        <v>0</v>
      </c>
      <c r="Z621" s="33"/>
      <c r="AA621" s="33">
        <f>IF(Ruimtestaat[[#This Row],[Frequentie weekend]]&gt;0,VALUE(LEFT(Z621,1))*S621,0)</f>
        <v>0</v>
      </c>
      <c r="AB621" s="33">
        <f>IF($AA621&gt;0,VLOOKUP($K621,Ruimtegroepen[],3,FALSE)*VLOOKUP($M621,Vloersoorten[],3,FALSE)*VLOOKUP($Z621,Frequenties[],3,FALSE)*VLOOKUP(#REF!,Locaties[],3,FALSE),0)</f>
        <v>0</v>
      </c>
      <c r="AC621" s="33"/>
      <c r="AD621" s="33"/>
      <c r="AE621" s="33">
        <f>Ruimtestaat[[#This Row],[uren / jaar weekend]]*Tariefsopbouw!$D$40</f>
        <v>0</v>
      </c>
      <c r="AF621" s="79">
        <f>Ruimtestaat[[#This Row],[Prest. (m2 /jaar) weekend]]+Ruimtestaat[[#This Row],[Prest. (m2 /jaar) werkdagen]]</f>
        <v>660</v>
      </c>
      <c r="AG621" s="79">
        <f>Ruimtestaat[[#This Row],[uren / jaar weekend]]+Ruimtestaat[[#This Row],[uren / jaar werkdagen]]</f>
        <v>0</v>
      </c>
      <c r="AH621" s="80">
        <f>Ruimtestaat[[#This Row],[kosten / jaar weekend]]+Ruimtestaat[[#This Row],[kosten / jaar werkdagen]]</f>
        <v>0</v>
      </c>
    </row>
    <row r="622" spans="1:34" ht="15" customHeight="1">
      <c r="A622" s="256">
        <v>7</v>
      </c>
      <c r="B622" s="171" t="str">
        <f>VLOOKUP(Ruimtestaat[[#This Row],[Code]],Locaties[#All],2,FALSE)</f>
        <v>De Kapstok AGL</v>
      </c>
      <c r="C622" s="258" t="str">
        <f>VLOOKUP(Ruimtestaat[[#This Row],[Code]],Locaties[#All],4,FALSE)</f>
        <v>Krabbenbosweg 91</v>
      </c>
      <c r="D622" s="258" t="str">
        <f>VLOOKUP(Ruimtestaat[[#This Row],[Code]],Locaties[#All],5,FALSE)</f>
        <v>7555ED</v>
      </c>
      <c r="E622" s="258" t="str">
        <f>VLOOKUP(Ruimtestaat[[#This Row],[Code]],Locaties[#All],6,FALSE)</f>
        <v>Hengelo</v>
      </c>
      <c r="F622" s="257" t="s">
        <v>628</v>
      </c>
      <c r="G622" s="257" t="s">
        <v>563</v>
      </c>
      <c r="H622" s="171"/>
      <c r="I622" s="257" t="s">
        <v>638</v>
      </c>
      <c r="J622" s="259" t="s">
        <v>574</v>
      </c>
      <c r="K622" s="185">
        <v>6</v>
      </c>
      <c r="L622" s="260" t="str">
        <f>VLOOKUP(Ruimtestaat[[#This Row],[Ruimte code]],Ruimtegroepen[#All],2,FALSE)</f>
        <v>Gangen/hallen</v>
      </c>
      <c r="M622" s="258" t="s">
        <v>598</v>
      </c>
      <c r="N622" s="257" t="s">
        <v>132</v>
      </c>
      <c r="O622" s="261">
        <v>22.3</v>
      </c>
      <c r="P622" s="183"/>
      <c r="Q622" s="212" t="str">
        <f>VLOOKUP(Ruimtestaat[[#This Row],[Ruimte code]],Ruimtegroepen[#All],4,FALSE)</f>
        <v>V  (Verkeersruimte)</v>
      </c>
      <c r="R622" s="184"/>
      <c r="S622" s="185">
        <v>40</v>
      </c>
      <c r="T622" s="185" t="s">
        <v>2</v>
      </c>
      <c r="U622" s="185">
        <f>IF(S622&gt;0,IF(RIGHT(Ruimtestaat[[#This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2" s="185">
        <f>IF(U622&gt;0,VLOOKUP($K622,Ruimtegroepen[],3,FALSE)*VLOOKUP($M622,Vloersoorten[],3,FALSE)*VLOOKUP($T622,Frequenties[],3,FALSE)*VLOOKUP($A622,Locaties[],3,FALSE),0)</f>
        <v>0</v>
      </c>
      <c r="W622" s="185">
        <f>Ruimtestaat[[#This Row],[Uitvoeringen werkdagen]]*Ruimtestaat[[#This Row],[Oppervlak (netto)]]</f>
        <v>4460</v>
      </c>
      <c r="X622" s="220">
        <f>IF(V622&gt;0,Ruimtestaat[[#This Row],[Prest. (m2 /jaar) werkdagen]]/Ruimtestaat[[#This Row],[Norm (m2/uur) werkdagen]],0)</f>
        <v>0</v>
      </c>
      <c r="Y622" s="221">
        <f>Ruimtestaat[[#This Row],[uren / jaar werkdagen]]*Tariefsopbouw!$D$38</f>
        <v>0</v>
      </c>
      <c r="Z622" s="33"/>
      <c r="AA622" s="33">
        <f>IF(Ruimtestaat[[#This Row],[Frequentie weekend]]&gt;0,VALUE(LEFT(Z622,1))*S622,0)</f>
        <v>0</v>
      </c>
      <c r="AB622" s="33">
        <f>IF($AA622&gt;0,VLOOKUP($K622,Ruimtegroepen[],3,FALSE)*VLOOKUP($M622,Vloersoorten[],3,FALSE)*VLOOKUP($Z622,Frequenties[],3,FALSE)*VLOOKUP(#REF!,Locaties[],3,FALSE),0)</f>
        <v>0</v>
      </c>
      <c r="AC622" s="33"/>
      <c r="AD622" s="33"/>
      <c r="AE622" s="33">
        <f>Ruimtestaat[[#This Row],[uren / jaar weekend]]*Tariefsopbouw!$D$40</f>
        <v>0</v>
      </c>
      <c r="AF622" s="79">
        <f>Ruimtestaat[[#This Row],[Prest. (m2 /jaar) weekend]]+Ruimtestaat[[#This Row],[Prest. (m2 /jaar) werkdagen]]</f>
        <v>4460</v>
      </c>
      <c r="AG622" s="79">
        <f>Ruimtestaat[[#This Row],[uren / jaar weekend]]+Ruimtestaat[[#This Row],[uren / jaar werkdagen]]</f>
        <v>0</v>
      </c>
      <c r="AH622" s="80">
        <f>Ruimtestaat[[#This Row],[kosten / jaar weekend]]+Ruimtestaat[[#This Row],[kosten / jaar werkdagen]]</f>
        <v>0</v>
      </c>
    </row>
    <row r="623" spans="1:34" ht="15" customHeight="1">
      <c r="A623" s="256">
        <v>7</v>
      </c>
      <c r="B623" s="171" t="str">
        <f>VLOOKUP(Ruimtestaat[[#This Row],[Code]],Locaties[#All],2,FALSE)</f>
        <v>De Kapstok AGL</v>
      </c>
      <c r="C623" s="258" t="str">
        <f>VLOOKUP(Ruimtestaat[[#This Row],[Code]],Locaties[#All],4,FALSE)</f>
        <v>Krabbenbosweg 91</v>
      </c>
      <c r="D623" s="258" t="str">
        <f>VLOOKUP(Ruimtestaat[[#This Row],[Code]],Locaties[#All],5,FALSE)</f>
        <v>7555ED</v>
      </c>
      <c r="E623" s="258" t="str">
        <f>VLOOKUP(Ruimtestaat[[#This Row],[Code]],Locaties[#All],6,FALSE)</f>
        <v>Hengelo</v>
      </c>
      <c r="F623" s="257" t="s">
        <v>628</v>
      </c>
      <c r="G623" s="257" t="s">
        <v>563</v>
      </c>
      <c r="H623" s="171"/>
      <c r="I623" s="257">
        <v>22</v>
      </c>
      <c r="J623" s="259" t="s">
        <v>385</v>
      </c>
      <c r="K623" s="258">
        <v>16</v>
      </c>
      <c r="L623" s="260" t="str">
        <f>VLOOKUP(Ruimtestaat[[#This Row],[Ruimte code]],Ruimtegroepen[#All],2,FALSE)</f>
        <v>Leslokalen</v>
      </c>
      <c r="M623" s="258" t="s">
        <v>598</v>
      </c>
      <c r="N623" s="257" t="s">
        <v>132</v>
      </c>
      <c r="O623" s="261">
        <v>44.6</v>
      </c>
      <c r="P623" s="183"/>
      <c r="Q623" s="212" t="str">
        <f>VLOOKUP(Ruimtestaat[[#This Row],[Ruimte code]],Ruimtegroepen[#All],4,FALSE)</f>
        <v>L  (Lesruimte)</v>
      </c>
      <c r="R623" s="184"/>
      <c r="S623" s="185">
        <v>40</v>
      </c>
      <c r="T623" s="185" t="s">
        <v>2</v>
      </c>
      <c r="U623" s="185">
        <f>IF(S623&gt;0,IF(RIGHT(Ruimtestaat[[#This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3" s="185">
        <f>IF(U623&gt;0,VLOOKUP($K623,Ruimtegroepen[],3,FALSE)*VLOOKUP($M623,Vloersoorten[],3,FALSE)*VLOOKUP($T623,Frequenties[],3,FALSE)*VLOOKUP($A623,Locaties[],3,FALSE),0)</f>
        <v>0</v>
      </c>
      <c r="W623" s="185">
        <f>Ruimtestaat[[#This Row],[Uitvoeringen werkdagen]]*Ruimtestaat[[#This Row],[Oppervlak (netto)]]</f>
        <v>8920</v>
      </c>
      <c r="X623" s="220">
        <f>IF(V623&gt;0,Ruimtestaat[[#This Row],[Prest. (m2 /jaar) werkdagen]]/Ruimtestaat[[#This Row],[Norm (m2/uur) werkdagen]],0)</f>
        <v>0</v>
      </c>
      <c r="Y623" s="221">
        <f>Ruimtestaat[[#This Row],[uren / jaar werkdagen]]*Tariefsopbouw!$D$38</f>
        <v>0</v>
      </c>
      <c r="Z623" s="33"/>
      <c r="AA623" s="33">
        <f>IF(Ruimtestaat[[#This Row],[Frequentie weekend]]&gt;0,VALUE(LEFT(Z623,1))*S623,0)</f>
        <v>0</v>
      </c>
      <c r="AB623" s="33">
        <f>IF($AA623&gt;0,VLOOKUP($K623,Ruimtegroepen[],3,FALSE)*VLOOKUP($M623,Vloersoorten[],3,FALSE)*VLOOKUP($Z623,Frequenties[],3,FALSE)*VLOOKUP(#REF!,Locaties[],3,FALSE),0)</f>
        <v>0</v>
      </c>
      <c r="AC623" s="33"/>
      <c r="AD623" s="33"/>
      <c r="AE623" s="33">
        <f>Ruimtestaat[[#This Row],[uren / jaar weekend]]*Tariefsopbouw!$D$40</f>
        <v>0</v>
      </c>
      <c r="AF623" s="79">
        <f>Ruimtestaat[[#This Row],[Prest. (m2 /jaar) weekend]]+Ruimtestaat[[#This Row],[Prest. (m2 /jaar) werkdagen]]</f>
        <v>8920</v>
      </c>
      <c r="AG623" s="79">
        <f>Ruimtestaat[[#This Row],[uren / jaar weekend]]+Ruimtestaat[[#This Row],[uren / jaar werkdagen]]</f>
        <v>0</v>
      </c>
      <c r="AH623" s="80">
        <f>Ruimtestaat[[#This Row],[kosten / jaar weekend]]+Ruimtestaat[[#This Row],[kosten / jaar werkdagen]]</f>
        <v>0</v>
      </c>
    </row>
    <row r="624" spans="1:34" ht="15" customHeight="1">
      <c r="A624" s="256">
        <v>7</v>
      </c>
      <c r="B624" s="171" t="str">
        <f>VLOOKUP(Ruimtestaat[[#This Row],[Code]],Locaties[#All],2,FALSE)</f>
        <v>De Kapstok AGL</v>
      </c>
      <c r="C624" s="258" t="str">
        <f>VLOOKUP(Ruimtestaat[[#This Row],[Code]],Locaties[#All],4,FALSE)</f>
        <v>Krabbenbosweg 91</v>
      </c>
      <c r="D624" s="258" t="str">
        <f>VLOOKUP(Ruimtestaat[[#This Row],[Code]],Locaties[#All],5,FALSE)</f>
        <v>7555ED</v>
      </c>
      <c r="E624" s="258" t="str">
        <f>VLOOKUP(Ruimtestaat[[#This Row],[Code]],Locaties[#All],6,FALSE)</f>
        <v>Hengelo</v>
      </c>
      <c r="F624" s="257" t="s">
        <v>628</v>
      </c>
      <c r="G624" s="257" t="s">
        <v>563</v>
      </c>
      <c r="H624" s="171"/>
      <c r="I624" s="257">
        <v>24</v>
      </c>
      <c r="J624" s="259" t="s">
        <v>569</v>
      </c>
      <c r="K624" s="258">
        <v>5</v>
      </c>
      <c r="L624" s="260" t="str">
        <f>VLOOKUP(Ruimtestaat[[#This Row],[Ruimte code]],Ruimtegroepen[#All],2,FALSE)</f>
        <v>Sanitair</v>
      </c>
      <c r="M624" s="185" t="s">
        <v>598</v>
      </c>
      <c r="N624" s="257" t="s">
        <v>132</v>
      </c>
      <c r="O624" s="261">
        <v>3.3</v>
      </c>
      <c r="P624" s="183"/>
      <c r="Q624" s="212" t="str">
        <f>VLOOKUP(Ruimtestaat[[#This Row],[Ruimte code]],Ruimtegroepen[#All],4,FALSE)</f>
        <v>S  (Sanitair)</v>
      </c>
      <c r="R624" s="184"/>
      <c r="S624" s="185">
        <v>40</v>
      </c>
      <c r="T624" s="185" t="s">
        <v>2</v>
      </c>
      <c r="U624" s="185">
        <f>IF(S624&gt;0,IF(RIGHT(Ruimtestaat[[#This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4" s="185">
        <f>IF(U624&gt;0,VLOOKUP($K624,Ruimtegroepen[],3,FALSE)*VLOOKUP($M624,Vloersoorten[],3,FALSE)*VLOOKUP($T624,Frequenties[],3,FALSE)*VLOOKUP($A624,Locaties[],3,FALSE),0)</f>
        <v>0</v>
      </c>
      <c r="W624" s="185">
        <f>Ruimtestaat[[#This Row],[Uitvoeringen werkdagen]]*Ruimtestaat[[#This Row],[Oppervlak (netto)]]</f>
        <v>660</v>
      </c>
      <c r="X624" s="220">
        <f>IF(V624&gt;0,Ruimtestaat[[#This Row],[Prest. (m2 /jaar) werkdagen]]/Ruimtestaat[[#This Row],[Norm (m2/uur) werkdagen]],0)</f>
        <v>0</v>
      </c>
      <c r="Y624" s="221">
        <f>Ruimtestaat[[#This Row],[uren / jaar werkdagen]]*Tariefsopbouw!$D$38</f>
        <v>0</v>
      </c>
      <c r="Z624" s="33"/>
      <c r="AA624" s="33">
        <f>IF(Ruimtestaat[[#This Row],[Frequentie weekend]]&gt;0,VALUE(LEFT(Z624,1))*S624,0)</f>
        <v>0</v>
      </c>
      <c r="AB624" s="33">
        <f>IF($AA624&gt;0,VLOOKUP($K624,Ruimtegroepen[],3,FALSE)*VLOOKUP($M624,Vloersoorten[],3,FALSE)*VLOOKUP($Z624,Frequenties[],3,FALSE)*VLOOKUP(#REF!,Locaties[],3,FALSE),0)</f>
        <v>0</v>
      </c>
      <c r="AC624" s="33"/>
      <c r="AD624" s="33"/>
      <c r="AE624" s="33">
        <f>Ruimtestaat[[#This Row],[uren / jaar weekend]]*Tariefsopbouw!$D$40</f>
        <v>0</v>
      </c>
      <c r="AF624" s="79">
        <f>Ruimtestaat[[#This Row],[Prest. (m2 /jaar) weekend]]+Ruimtestaat[[#This Row],[Prest. (m2 /jaar) werkdagen]]</f>
        <v>660</v>
      </c>
      <c r="AG624" s="79">
        <f>Ruimtestaat[[#This Row],[uren / jaar weekend]]+Ruimtestaat[[#This Row],[uren / jaar werkdagen]]</f>
        <v>0</v>
      </c>
      <c r="AH624" s="80">
        <f>Ruimtestaat[[#This Row],[kosten / jaar weekend]]+Ruimtestaat[[#This Row],[kosten / jaar werkdagen]]</f>
        <v>0</v>
      </c>
    </row>
    <row r="625" spans="1:34" ht="15" customHeight="1">
      <c r="A625" s="256">
        <v>7</v>
      </c>
      <c r="B625" s="171" t="str">
        <f>VLOOKUP(Ruimtestaat[[#This Row],[Code]],Locaties[#All],2,FALSE)</f>
        <v>De Kapstok AGL</v>
      </c>
      <c r="C625" s="258" t="str">
        <f>VLOOKUP(Ruimtestaat[[#This Row],[Code]],Locaties[#All],4,FALSE)</f>
        <v>Krabbenbosweg 91</v>
      </c>
      <c r="D625" s="258" t="str">
        <f>VLOOKUP(Ruimtestaat[[#This Row],[Code]],Locaties[#All],5,FALSE)</f>
        <v>7555ED</v>
      </c>
      <c r="E625" s="258" t="str">
        <f>VLOOKUP(Ruimtestaat[[#This Row],[Code]],Locaties[#All],6,FALSE)</f>
        <v>Hengelo</v>
      </c>
      <c r="F625" s="257" t="s">
        <v>628</v>
      </c>
      <c r="G625" s="257" t="s">
        <v>563</v>
      </c>
      <c r="H625" s="171"/>
      <c r="I625" s="257">
        <v>23</v>
      </c>
      <c r="J625" s="259" t="s">
        <v>385</v>
      </c>
      <c r="K625" s="171">
        <v>16</v>
      </c>
      <c r="L625" s="260" t="str">
        <f>VLOOKUP(Ruimtestaat[[#This Row],[Ruimte code]],Ruimtegroepen[#All],2,FALSE)</f>
        <v>Leslokalen</v>
      </c>
      <c r="M625" s="258" t="s">
        <v>598</v>
      </c>
      <c r="N625" s="257" t="s">
        <v>132</v>
      </c>
      <c r="O625" s="261">
        <v>53.8</v>
      </c>
      <c r="P625" s="183"/>
      <c r="Q625" s="212" t="str">
        <f>VLOOKUP(Ruimtestaat[[#This Row],[Ruimte code]],Ruimtegroepen[#All],4,FALSE)</f>
        <v>L  (Lesruimte)</v>
      </c>
      <c r="R625" s="184"/>
      <c r="S625" s="185">
        <v>40</v>
      </c>
      <c r="T625" s="185" t="s">
        <v>2</v>
      </c>
      <c r="U625" s="185">
        <f>IF(S625&gt;0,IF(RIGHT(Ruimtestaat[[#This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5" s="185">
        <f>IF(U625&gt;0,VLOOKUP($K625,Ruimtegroepen[],3,FALSE)*VLOOKUP($M625,Vloersoorten[],3,FALSE)*VLOOKUP($T625,Frequenties[],3,FALSE)*VLOOKUP($A625,Locaties[],3,FALSE),0)</f>
        <v>0</v>
      </c>
      <c r="W625" s="185">
        <f>Ruimtestaat[[#This Row],[Uitvoeringen werkdagen]]*Ruimtestaat[[#This Row],[Oppervlak (netto)]]</f>
        <v>10760</v>
      </c>
      <c r="X625" s="220">
        <f>IF(V625&gt;0,Ruimtestaat[[#This Row],[Prest. (m2 /jaar) werkdagen]]/Ruimtestaat[[#This Row],[Norm (m2/uur) werkdagen]],0)</f>
        <v>0</v>
      </c>
      <c r="Y625" s="221">
        <f>Ruimtestaat[[#This Row],[uren / jaar werkdagen]]*Tariefsopbouw!$D$38</f>
        <v>0</v>
      </c>
      <c r="Z625" s="33"/>
      <c r="AA625" s="33">
        <f>IF(Ruimtestaat[[#This Row],[Frequentie weekend]]&gt;0,VALUE(LEFT(Z625,1))*S625,0)</f>
        <v>0</v>
      </c>
      <c r="AB625" s="33">
        <f>IF($AA625&gt;0,VLOOKUP($K625,Ruimtegroepen[],3,FALSE)*VLOOKUP($M625,Vloersoorten[],3,FALSE)*VLOOKUP($Z625,Frequenties[],3,FALSE)*VLOOKUP(#REF!,Locaties[],3,FALSE),0)</f>
        <v>0</v>
      </c>
      <c r="AC625" s="33"/>
      <c r="AD625" s="33"/>
      <c r="AE625" s="33">
        <f>Ruimtestaat[[#This Row],[uren / jaar weekend]]*Tariefsopbouw!$D$40</f>
        <v>0</v>
      </c>
      <c r="AF625" s="79">
        <f>Ruimtestaat[[#This Row],[Prest. (m2 /jaar) weekend]]+Ruimtestaat[[#This Row],[Prest. (m2 /jaar) werkdagen]]</f>
        <v>10760</v>
      </c>
      <c r="AG625" s="79">
        <f>Ruimtestaat[[#This Row],[uren / jaar weekend]]+Ruimtestaat[[#This Row],[uren / jaar werkdagen]]</f>
        <v>0</v>
      </c>
      <c r="AH625" s="80">
        <f>Ruimtestaat[[#This Row],[kosten / jaar weekend]]+Ruimtestaat[[#This Row],[kosten / jaar werkdagen]]</f>
        <v>0</v>
      </c>
    </row>
    <row r="626" spans="1:34" ht="15" customHeight="1">
      <c r="A626" s="256">
        <v>7</v>
      </c>
      <c r="B626" s="171" t="str">
        <f>VLOOKUP(Ruimtestaat[[#This Row],[Code]],Locaties[#All],2,FALSE)</f>
        <v>De Kapstok AGL</v>
      </c>
      <c r="C626" s="258" t="str">
        <f>VLOOKUP(Ruimtestaat[[#This Row],[Code]],Locaties[#All],4,FALSE)</f>
        <v>Krabbenbosweg 91</v>
      </c>
      <c r="D626" s="258" t="str">
        <f>VLOOKUP(Ruimtestaat[[#This Row],[Code]],Locaties[#All],5,FALSE)</f>
        <v>7555ED</v>
      </c>
      <c r="E626" s="258" t="str">
        <f>VLOOKUP(Ruimtestaat[[#This Row],[Code]],Locaties[#All],6,FALSE)</f>
        <v>Hengelo</v>
      </c>
      <c r="F626" s="257" t="s">
        <v>628</v>
      </c>
      <c r="G626" s="257" t="s">
        <v>563</v>
      </c>
      <c r="H626" s="171"/>
      <c r="I626" s="257">
        <v>26</v>
      </c>
      <c r="J626" s="259" t="s">
        <v>569</v>
      </c>
      <c r="K626" s="171">
        <v>5</v>
      </c>
      <c r="L626" s="260" t="str">
        <f>VLOOKUP(Ruimtestaat[[#This Row],[Ruimte code]],Ruimtegroepen[#All],2,FALSE)</f>
        <v>Sanitair</v>
      </c>
      <c r="M626" s="258" t="s">
        <v>598</v>
      </c>
      <c r="N626" s="257" t="s">
        <v>132</v>
      </c>
      <c r="O626" s="261">
        <v>3.3</v>
      </c>
      <c r="P626" s="183"/>
      <c r="Q626" s="212" t="str">
        <f>VLOOKUP(Ruimtestaat[[#This Row],[Ruimte code]],Ruimtegroepen[#All],4,FALSE)</f>
        <v>S  (Sanitair)</v>
      </c>
      <c r="R626" s="184"/>
      <c r="S626" s="185">
        <v>40</v>
      </c>
      <c r="T626" s="185" t="s">
        <v>2</v>
      </c>
      <c r="U626" s="185">
        <f>IF(S626&gt;0,IF(RIGHT(Ruimtestaat[[#This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6" s="185">
        <f>IF(U626&gt;0,VLOOKUP($K626,Ruimtegroepen[],3,FALSE)*VLOOKUP($M626,Vloersoorten[],3,FALSE)*VLOOKUP($T626,Frequenties[],3,FALSE)*VLOOKUP($A626,Locaties[],3,FALSE),0)</f>
        <v>0</v>
      </c>
      <c r="W626" s="185">
        <f>Ruimtestaat[[#This Row],[Uitvoeringen werkdagen]]*Ruimtestaat[[#This Row],[Oppervlak (netto)]]</f>
        <v>660</v>
      </c>
      <c r="X626" s="220">
        <f>IF(V626&gt;0,Ruimtestaat[[#This Row],[Prest. (m2 /jaar) werkdagen]]/Ruimtestaat[[#This Row],[Norm (m2/uur) werkdagen]],0)</f>
        <v>0</v>
      </c>
      <c r="Y626" s="221">
        <f>Ruimtestaat[[#This Row],[uren / jaar werkdagen]]*Tariefsopbouw!$D$38</f>
        <v>0</v>
      </c>
      <c r="Z626" s="33"/>
      <c r="AA626" s="33">
        <f>IF(Ruimtestaat[[#This Row],[Frequentie weekend]]&gt;0,VALUE(LEFT(Z626,1))*S626,0)</f>
        <v>0</v>
      </c>
      <c r="AB626" s="33">
        <f>IF($AA626&gt;0,VLOOKUP($K626,Ruimtegroepen[],3,FALSE)*VLOOKUP($M626,Vloersoorten[],3,FALSE)*VLOOKUP($Z626,Frequenties[],3,FALSE)*VLOOKUP(#REF!,Locaties[],3,FALSE),0)</f>
        <v>0</v>
      </c>
      <c r="AC626" s="33"/>
      <c r="AD626" s="33"/>
      <c r="AE626" s="33">
        <f>Ruimtestaat[[#This Row],[uren / jaar weekend]]*Tariefsopbouw!$D$40</f>
        <v>0</v>
      </c>
      <c r="AF626" s="79">
        <f>Ruimtestaat[[#This Row],[Prest. (m2 /jaar) weekend]]+Ruimtestaat[[#This Row],[Prest. (m2 /jaar) werkdagen]]</f>
        <v>660</v>
      </c>
      <c r="AG626" s="79">
        <f>Ruimtestaat[[#This Row],[uren / jaar weekend]]+Ruimtestaat[[#This Row],[uren / jaar werkdagen]]</f>
        <v>0</v>
      </c>
      <c r="AH626" s="80">
        <f>Ruimtestaat[[#This Row],[kosten / jaar weekend]]+Ruimtestaat[[#This Row],[kosten / jaar werkdagen]]</f>
        <v>0</v>
      </c>
    </row>
    <row r="627" spans="1:34" ht="15" customHeight="1">
      <c r="A627" s="256">
        <v>7</v>
      </c>
      <c r="B627" s="171" t="str">
        <f>VLOOKUP(Ruimtestaat[[#This Row],[Code]],Locaties[#All],2,FALSE)</f>
        <v>De Kapstok AGL</v>
      </c>
      <c r="C627" s="258" t="str">
        <f>VLOOKUP(Ruimtestaat[[#This Row],[Code]],Locaties[#All],4,FALSE)</f>
        <v>Krabbenbosweg 91</v>
      </c>
      <c r="D627" s="258" t="str">
        <f>VLOOKUP(Ruimtestaat[[#This Row],[Code]],Locaties[#All],5,FALSE)</f>
        <v>7555ED</v>
      </c>
      <c r="E627" s="258" t="str">
        <f>VLOOKUP(Ruimtestaat[[#This Row],[Code]],Locaties[#All],6,FALSE)</f>
        <v>Hengelo</v>
      </c>
      <c r="F627" s="257" t="s">
        <v>628</v>
      </c>
      <c r="G627" s="257" t="s">
        <v>563</v>
      </c>
      <c r="H627" s="171"/>
      <c r="I627" s="257">
        <v>69</v>
      </c>
      <c r="J627" s="259" t="s">
        <v>385</v>
      </c>
      <c r="K627" s="258">
        <v>16</v>
      </c>
      <c r="L627" s="260" t="str">
        <f>VLOOKUP(Ruimtestaat[[#This Row],[Ruimte code]],Ruimtegroepen[#All],2,FALSE)</f>
        <v>Leslokalen</v>
      </c>
      <c r="M627" s="185" t="s">
        <v>598</v>
      </c>
      <c r="N627" s="257" t="s">
        <v>132</v>
      </c>
      <c r="O627" s="261">
        <v>44.6</v>
      </c>
      <c r="P627" s="183"/>
      <c r="Q627" s="212" t="str">
        <f>VLOOKUP(Ruimtestaat[[#This Row],[Ruimte code]],Ruimtegroepen[#All],4,FALSE)</f>
        <v>L  (Lesruimte)</v>
      </c>
      <c r="R627" s="184"/>
      <c r="S627" s="185">
        <v>40</v>
      </c>
      <c r="T627" s="185" t="s">
        <v>2</v>
      </c>
      <c r="U627" s="185">
        <f>IF(S627&gt;0,IF(RIGHT(Ruimtestaat[[#This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7" s="185">
        <f>IF(U627&gt;0,VLOOKUP($K627,Ruimtegroepen[],3,FALSE)*VLOOKUP($M627,Vloersoorten[],3,FALSE)*VLOOKUP($T627,Frequenties[],3,FALSE)*VLOOKUP($A627,Locaties[],3,FALSE),0)</f>
        <v>0</v>
      </c>
      <c r="W627" s="185">
        <f>Ruimtestaat[[#This Row],[Uitvoeringen werkdagen]]*Ruimtestaat[[#This Row],[Oppervlak (netto)]]</f>
        <v>8920</v>
      </c>
      <c r="X627" s="220">
        <f>IF(V627&gt;0,Ruimtestaat[[#This Row],[Prest. (m2 /jaar) werkdagen]]/Ruimtestaat[[#This Row],[Norm (m2/uur) werkdagen]],0)</f>
        <v>0</v>
      </c>
      <c r="Y627" s="221">
        <f>Ruimtestaat[[#This Row],[uren / jaar werkdagen]]*Tariefsopbouw!$D$38</f>
        <v>0</v>
      </c>
      <c r="Z627" s="33"/>
      <c r="AA627" s="33">
        <f>IF(Ruimtestaat[[#This Row],[Frequentie weekend]]&gt;0,VALUE(LEFT(Z627,1))*S627,0)</f>
        <v>0</v>
      </c>
      <c r="AB627" s="33">
        <f>IF($AA627&gt;0,VLOOKUP($K627,Ruimtegroepen[],3,FALSE)*VLOOKUP($M627,Vloersoorten[],3,FALSE)*VLOOKUP($Z627,Frequenties[],3,FALSE)*VLOOKUP(#REF!,Locaties[],3,FALSE),0)</f>
        <v>0</v>
      </c>
      <c r="AC627" s="33"/>
      <c r="AD627" s="33"/>
      <c r="AE627" s="33">
        <f>Ruimtestaat[[#This Row],[uren / jaar weekend]]*Tariefsopbouw!$D$40</f>
        <v>0</v>
      </c>
      <c r="AF627" s="79">
        <f>Ruimtestaat[[#This Row],[Prest. (m2 /jaar) weekend]]+Ruimtestaat[[#This Row],[Prest. (m2 /jaar) werkdagen]]</f>
        <v>8920</v>
      </c>
      <c r="AG627" s="79">
        <f>Ruimtestaat[[#This Row],[uren / jaar weekend]]+Ruimtestaat[[#This Row],[uren / jaar werkdagen]]</f>
        <v>0</v>
      </c>
      <c r="AH627" s="80">
        <f>Ruimtestaat[[#This Row],[kosten / jaar weekend]]+Ruimtestaat[[#This Row],[kosten / jaar werkdagen]]</f>
        <v>0</v>
      </c>
    </row>
    <row r="628" spans="1:34" ht="15" customHeight="1">
      <c r="A628" s="256">
        <v>7</v>
      </c>
      <c r="B628" s="171" t="str">
        <f>VLOOKUP(Ruimtestaat[[#This Row],[Code]],Locaties[#All],2,FALSE)</f>
        <v>De Kapstok AGL</v>
      </c>
      <c r="C628" s="258" t="str">
        <f>VLOOKUP(Ruimtestaat[[#This Row],[Code]],Locaties[#All],4,FALSE)</f>
        <v>Krabbenbosweg 91</v>
      </c>
      <c r="D628" s="258" t="str">
        <f>VLOOKUP(Ruimtestaat[[#This Row],[Code]],Locaties[#All],5,FALSE)</f>
        <v>7555ED</v>
      </c>
      <c r="E628" s="258" t="str">
        <f>VLOOKUP(Ruimtestaat[[#This Row],[Code]],Locaties[#All],6,FALSE)</f>
        <v>Hengelo</v>
      </c>
      <c r="F628" s="257" t="s">
        <v>628</v>
      </c>
      <c r="G628" s="257" t="s">
        <v>563</v>
      </c>
      <c r="H628" s="171"/>
      <c r="I628" s="257">
        <v>27</v>
      </c>
      <c r="J628" s="259" t="s">
        <v>569</v>
      </c>
      <c r="K628" s="258">
        <v>5</v>
      </c>
      <c r="L628" s="260" t="str">
        <f>VLOOKUP(Ruimtestaat[[#This Row],[Ruimte code]],Ruimtegroepen[#All],2,FALSE)</f>
        <v>Sanitair</v>
      </c>
      <c r="M628" s="258" t="s">
        <v>598</v>
      </c>
      <c r="N628" s="257" t="s">
        <v>132</v>
      </c>
      <c r="O628" s="261">
        <v>3.3</v>
      </c>
      <c r="P628" s="183"/>
      <c r="Q628" s="212" t="str">
        <f>VLOOKUP(Ruimtestaat[[#This Row],[Ruimte code]],Ruimtegroepen[#All],4,FALSE)</f>
        <v>S  (Sanitair)</v>
      </c>
      <c r="R628" s="184"/>
      <c r="S628" s="185">
        <v>40</v>
      </c>
      <c r="T628" s="185" t="s">
        <v>2</v>
      </c>
      <c r="U628" s="185">
        <f>IF(S628&gt;0,IF(RIGHT(Ruimtestaat[[#This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8" s="185">
        <f>IF(U628&gt;0,VLOOKUP($K628,Ruimtegroepen[],3,FALSE)*VLOOKUP($M628,Vloersoorten[],3,FALSE)*VLOOKUP($T628,Frequenties[],3,FALSE)*VLOOKUP($A628,Locaties[],3,FALSE),0)</f>
        <v>0</v>
      </c>
      <c r="W628" s="185">
        <f>Ruimtestaat[[#This Row],[Uitvoeringen werkdagen]]*Ruimtestaat[[#This Row],[Oppervlak (netto)]]</f>
        <v>660</v>
      </c>
      <c r="X628" s="220">
        <f>IF(V628&gt;0,Ruimtestaat[[#This Row],[Prest. (m2 /jaar) werkdagen]]/Ruimtestaat[[#This Row],[Norm (m2/uur) werkdagen]],0)</f>
        <v>0</v>
      </c>
      <c r="Y628" s="221">
        <f>Ruimtestaat[[#This Row],[uren / jaar werkdagen]]*Tariefsopbouw!$D$38</f>
        <v>0</v>
      </c>
      <c r="Z628" s="33"/>
      <c r="AA628" s="33">
        <f>IF(Ruimtestaat[[#This Row],[Frequentie weekend]]&gt;0,VALUE(LEFT(Z628,1))*S628,0)</f>
        <v>0</v>
      </c>
      <c r="AB628" s="33">
        <f>IF($AA628&gt;0,VLOOKUP($K628,Ruimtegroepen[],3,FALSE)*VLOOKUP($M628,Vloersoorten[],3,FALSE)*VLOOKUP($Z628,Frequenties[],3,FALSE)*VLOOKUP(#REF!,Locaties[],3,FALSE),0)</f>
        <v>0</v>
      </c>
      <c r="AC628" s="33"/>
      <c r="AD628" s="33"/>
      <c r="AE628" s="33">
        <f>Ruimtestaat[[#This Row],[uren / jaar weekend]]*Tariefsopbouw!$D$40</f>
        <v>0</v>
      </c>
      <c r="AF628" s="79">
        <f>Ruimtestaat[[#This Row],[Prest. (m2 /jaar) weekend]]+Ruimtestaat[[#This Row],[Prest. (m2 /jaar) werkdagen]]</f>
        <v>660</v>
      </c>
      <c r="AG628" s="79">
        <f>Ruimtestaat[[#This Row],[uren / jaar weekend]]+Ruimtestaat[[#This Row],[uren / jaar werkdagen]]</f>
        <v>0</v>
      </c>
      <c r="AH628" s="80">
        <f>Ruimtestaat[[#This Row],[kosten / jaar weekend]]+Ruimtestaat[[#This Row],[kosten / jaar werkdagen]]</f>
        <v>0</v>
      </c>
    </row>
    <row r="629" spans="1:34" ht="15" customHeight="1">
      <c r="A629" s="256">
        <v>7</v>
      </c>
      <c r="B629" s="171" t="str">
        <f>VLOOKUP(Ruimtestaat[[#This Row],[Code]],Locaties[#All],2,FALSE)</f>
        <v>De Kapstok AGL</v>
      </c>
      <c r="C629" s="258" t="str">
        <f>VLOOKUP(Ruimtestaat[[#This Row],[Code]],Locaties[#All],4,FALSE)</f>
        <v>Krabbenbosweg 91</v>
      </c>
      <c r="D629" s="258" t="str">
        <f>VLOOKUP(Ruimtestaat[[#This Row],[Code]],Locaties[#All],5,FALSE)</f>
        <v>7555ED</v>
      </c>
      <c r="E629" s="258" t="str">
        <f>VLOOKUP(Ruimtestaat[[#This Row],[Code]],Locaties[#All],6,FALSE)</f>
        <v>Hengelo</v>
      </c>
      <c r="F629" s="257" t="s">
        <v>628</v>
      </c>
      <c r="G629" s="257" t="s">
        <v>563</v>
      </c>
      <c r="H629" s="171"/>
      <c r="I629" s="257">
        <v>30</v>
      </c>
      <c r="J629" s="259" t="s">
        <v>585</v>
      </c>
      <c r="K629" s="258">
        <v>20</v>
      </c>
      <c r="L629" s="260" t="str">
        <f>VLOOKUP(Ruimtestaat[[#This Row],[Ruimte code]],Ruimtegroepen[#All],2,FALSE)</f>
        <v>Niet in onderhoud</v>
      </c>
      <c r="M629" s="212" t="s">
        <v>111</v>
      </c>
      <c r="N629" s="257" t="s">
        <v>605</v>
      </c>
      <c r="O629" s="261"/>
      <c r="P629" s="183">
        <v>8.6999999999999993</v>
      </c>
      <c r="Q629" s="212" t="str">
        <f>VLOOKUP(Ruimtestaat[[#This Row],[Ruimte code]],Ruimtegroepen[#All],4,FALSE)</f>
        <v>niet in onderhoud</v>
      </c>
      <c r="R629" s="184"/>
      <c r="S629" s="185"/>
      <c r="T629" s="185"/>
      <c r="U629" s="185">
        <f>IF(S629&gt;0,IF(RIGHT(Ruimtestaat[[#This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29" s="185">
        <f>IF(U629&gt;0,VLOOKUP($K629,Ruimtegroepen[],3,FALSE)*VLOOKUP($M629,Vloersoorten[],3,FALSE)*VLOOKUP($T629,Frequenties[],3,FALSE)*VLOOKUP($A629,Locaties[],3,FALSE),0)</f>
        <v>0</v>
      </c>
      <c r="W629" s="185">
        <f>Ruimtestaat[[#This Row],[Uitvoeringen werkdagen]]*Ruimtestaat[[#This Row],[Oppervlak (netto)]]</f>
        <v>0</v>
      </c>
      <c r="X629" s="220">
        <f>IF(V629&gt;0,Ruimtestaat[[#This Row],[Prest. (m2 /jaar) werkdagen]]/Ruimtestaat[[#This Row],[Norm (m2/uur) werkdagen]],0)</f>
        <v>0</v>
      </c>
      <c r="Y629" s="221">
        <f>Ruimtestaat[[#This Row],[uren / jaar werkdagen]]*Tariefsopbouw!$D$38</f>
        <v>0</v>
      </c>
      <c r="Z629" s="33"/>
      <c r="AA629" s="33">
        <f>IF(Ruimtestaat[[#This Row],[Frequentie weekend]]&gt;0,VALUE(LEFT(Z629,1))*S629,0)</f>
        <v>0</v>
      </c>
      <c r="AB629" s="33">
        <f>IF($AA629&gt;0,VLOOKUP($K629,Ruimtegroepen[],3,FALSE)*VLOOKUP($M629,Vloersoorten[],3,FALSE)*VLOOKUP($Z629,Frequenties[],3,FALSE)*VLOOKUP(#REF!,Locaties[],3,FALSE),0)</f>
        <v>0</v>
      </c>
      <c r="AC629" s="33"/>
      <c r="AD629" s="33"/>
      <c r="AE629" s="33">
        <f>Ruimtestaat[[#This Row],[uren / jaar weekend]]*Tariefsopbouw!$D$40</f>
        <v>0</v>
      </c>
      <c r="AF629" s="79">
        <f>Ruimtestaat[[#This Row],[Prest. (m2 /jaar) weekend]]+Ruimtestaat[[#This Row],[Prest. (m2 /jaar) werkdagen]]</f>
        <v>0</v>
      </c>
      <c r="AG629" s="79">
        <f>Ruimtestaat[[#This Row],[uren / jaar weekend]]+Ruimtestaat[[#This Row],[uren / jaar werkdagen]]</f>
        <v>0</v>
      </c>
      <c r="AH629" s="80">
        <f>Ruimtestaat[[#This Row],[kosten / jaar weekend]]+Ruimtestaat[[#This Row],[kosten / jaar werkdagen]]</f>
        <v>0</v>
      </c>
    </row>
    <row r="630" spans="1:34" ht="15" customHeight="1">
      <c r="A630" s="256">
        <v>7</v>
      </c>
      <c r="B630" s="171" t="str">
        <f>VLOOKUP(Ruimtestaat[[#This Row],[Code]],Locaties[#All],2,FALSE)</f>
        <v>De Kapstok AGL</v>
      </c>
      <c r="C630" s="258" t="str">
        <f>VLOOKUP(Ruimtestaat[[#This Row],[Code]],Locaties[#All],4,FALSE)</f>
        <v>Krabbenbosweg 91</v>
      </c>
      <c r="D630" s="258" t="str">
        <f>VLOOKUP(Ruimtestaat[[#This Row],[Code]],Locaties[#All],5,FALSE)</f>
        <v>7555ED</v>
      </c>
      <c r="E630" s="258" t="str">
        <f>VLOOKUP(Ruimtestaat[[#This Row],[Code]],Locaties[#All],6,FALSE)</f>
        <v>Hengelo</v>
      </c>
      <c r="F630" s="257" t="s">
        <v>628</v>
      </c>
      <c r="G630" s="257" t="s">
        <v>563</v>
      </c>
      <c r="H630" s="171"/>
      <c r="I630" s="257">
        <v>68</v>
      </c>
      <c r="J630" s="259" t="s">
        <v>571</v>
      </c>
      <c r="K630" s="258">
        <v>2</v>
      </c>
      <c r="L630" s="260" t="str">
        <f>VLOOKUP(Ruimtestaat[[#This Row],[Ruimte code]],Ruimtegroepen[#All],2,FALSE)</f>
        <v>Kantoren</v>
      </c>
      <c r="M630" s="258" t="s">
        <v>597</v>
      </c>
      <c r="N630" s="257" t="s">
        <v>38</v>
      </c>
      <c r="O630" s="261">
        <v>13.5</v>
      </c>
      <c r="P630" s="183"/>
      <c r="Q630" s="212" t="str">
        <f>VLOOKUP(Ruimtestaat[[#This Row],[Ruimte code]],Ruimtegroepen[#All],4,FALSE)</f>
        <v>B  (Bureauruimte)</v>
      </c>
      <c r="R630" s="184"/>
      <c r="S630" s="185">
        <v>40</v>
      </c>
      <c r="T630" s="185" t="s">
        <v>18</v>
      </c>
      <c r="U630" s="185">
        <f>IF(S630&gt;0,IF(RIGHT(Ruimtestaat[[#This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0" s="185">
        <f>IF(U630&gt;0,VLOOKUP($K630,Ruimtegroepen[],3,FALSE)*VLOOKUP($M630,Vloersoorten[],3,FALSE)*VLOOKUP($T630,Frequenties[],3,FALSE)*VLOOKUP($A630,Locaties[],3,FALSE),0)</f>
        <v>0</v>
      </c>
      <c r="W630" s="185">
        <f>Ruimtestaat[[#This Row],[Uitvoeringen werkdagen]]*Ruimtestaat[[#This Row],[Oppervlak (netto)]]</f>
        <v>1620</v>
      </c>
      <c r="X630" s="220">
        <f>IF(V630&gt;0,Ruimtestaat[[#This Row],[Prest. (m2 /jaar) werkdagen]]/Ruimtestaat[[#This Row],[Norm (m2/uur) werkdagen]],0)</f>
        <v>0</v>
      </c>
      <c r="Y630" s="221">
        <f>Ruimtestaat[[#This Row],[uren / jaar werkdagen]]*Tariefsopbouw!$D$38</f>
        <v>0</v>
      </c>
      <c r="Z630" s="33"/>
      <c r="AA630" s="33">
        <f>IF(Ruimtestaat[[#This Row],[Frequentie weekend]]&gt;0,VALUE(LEFT(Z630,1))*S630,0)</f>
        <v>0</v>
      </c>
      <c r="AB630" s="33">
        <f>IF($AA630&gt;0,VLOOKUP($K630,Ruimtegroepen[],3,FALSE)*VLOOKUP($M630,Vloersoorten[],3,FALSE)*VLOOKUP($Z630,Frequenties[],3,FALSE)*VLOOKUP(#REF!,Locaties[],3,FALSE),0)</f>
        <v>0</v>
      </c>
      <c r="AC630" s="33"/>
      <c r="AD630" s="33"/>
      <c r="AE630" s="33">
        <f>Ruimtestaat[[#This Row],[uren / jaar weekend]]*Tariefsopbouw!$D$40</f>
        <v>0</v>
      </c>
      <c r="AF630" s="79">
        <f>Ruimtestaat[[#This Row],[Prest. (m2 /jaar) weekend]]+Ruimtestaat[[#This Row],[Prest. (m2 /jaar) werkdagen]]</f>
        <v>1620</v>
      </c>
      <c r="AG630" s="79">
        <f>Ruimtestaat[[#This Row],[uren / jaar weekend]]+Ruimtestaat[[#This Row],[uren / jaar werkdagen]]</f>
        <v>0</v>
      </c>
      <c r="AH630" s="80">
        <f>Ruimtestaat[[#This Row],[kosten / jaar weekend]]+Ruimtestaat[[#This Row],[kosten / jaar werkdagen]]</f>
        <v>0</v>
      </c>
    </row>
    <row r="631" spans="1:34" ht="15" customHeight="1">
      <c r="A631" s="256">
        <v>7</v>
      </c>
      <c r="B631" s="171" t="str">
        <f>VLOOKUP(Ruimtestaat[[#This Row],[Code]],Locaties[#All],2,FALSE)</f>
        <v>De Kapstok AGL</v>
      </c>
      <c r="C631" s="258" t="str">
        <f>VLOOKUP(Ruimtestaat[[#This Row],[Code]],Locaties[#All],4,FALSE)</f>
        <v>Krabbenbosweg 91</v>
      </c>
      <c r="D631" s="258" t="str">
        <f>VLOOKUP(Ruimtestaat[[#This Row],[Code]],Locaties[#All],5,FALSE)</f>
        <v>7555ED</v>
      </c>
      <c r="E631" s="258" t="str">
        <f>VLOOKUP(Ruimtestaat[[#This Row],[Code]],Locaties[#All],6,FALSE)</f>
        <v>Hengelo</v>
      </c>
      <c r="F631" s="257" t="s">
        <v>628</v>
      </c>
      <c r="G631" s="257" t="s">
        <v>563</v>
      </c>
      <c r="H631" s="171"/>
      <c r="I631" s="257">
        <v>28</v>
      </c>
      <c r="J631" s="259" t="s">
        <v>654</v>
      </c>
      <c r="K631" s="224">
        <v>20</v>
      </c>
      <c r="L631" s="260" t="str">
        <f>VLOOKUP(Ruimtestaat[[#This Row],[Ruimte code]],Ruimtegroepen[#All],2,FALSE)</f>
        <v>Niet in onderhoud</v>
      </c>
      <c r="M631" s="212" t="s">
        <v>111</v>
      </c>
      <c r="N631" s="257" t="s">
        <v>626</v>
      </c>
      <c r="O631" s="261"/>
      <c r="P631" s="183">
        <v>0.5</v>
      </c>
      <c r="Q631" s="212" t="str">
        <f>VLOOKUP(Ruimtestaat[[#This Row],[Ruimte code]],Ruimtegroepen[#All],4,FALSE)</f>
        <v>niet in onderhoud</v>
      </c>
      <c r="R631" s="184"/>
      <c r="S631" s="185"/>
      <c r="T631" s="185"/>
      <c r="U631" s="185">
        <f>IF(S631&gt;0,IF(RIGHT(Ruimtestaat[[#This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1" s="185">
        <f>IF(U631&gt;0,VLOOKUP($K631,Ruimtegroepen[],3,FALSE)*VLOOKUP($M631,Vloersoorten[],3,FALSE)*VLOOKUP($T631,Frequenties[],3,FALSE)*VLOOKUP($A631,Locaties[],3,FALSE),0)</f>
        <v>0</v>
      </c>
      <c r="W631" s="185">
        <f>Ruimtestaat[[#This Row],[Uitvoeringen werkdagen]]*Ruimtestaat[[#This Row],[Oppervlak (netto)]]</f>
        <v>0</v>
      </c>
      <c r="X631" s="220">
        <f>IF(V631&gt;0,Ruimtestaat[[#This Row],[Prest. (m2 /jaar) werkdagen]]/Ruimtestaat[[#This Row],[Norm (m2/uur) werkdagen]],0)</f>
        <v>0</v>
      </c>
      <c r="Y631" s="221">
        <f>Ruimtestaat[[#This Row],[uren / jaar werkdagen]]*Tariefsopbouw!$D$38</f>
        <v>0</v>
      </c>
      <c r="Z631" s="33"/>
      <c r="AA631" s="33">
        <f>IF(Ruimtestaat[[#This Row],[Frequentie weekend]]&gt;0,VALUE(LEFT(Z631,1))*S631,0)</f>
        <v>0</v>
      </c>
      <c r="AB631" s="33">
        <f>IF($AA631&gt;0,VLOOKUP($K631,Ruimtegroepen[],3,FALSE)*VLOOKUP($M631,Vloersoorten[],3,FALSE)*VLOOKUP($Z631,Frequenties[],3,FALSE)*VLOOKUP(#REF!,Locaties[],3,FALSE),0)</f>
        <v>0</v>
      </c>
      <c r="AC631" s="33"/>
      <c r="AD631" s="33"/>
      <c r="AE631" s="33">
        <f>Ruimtestaat[[#This Row],[uren / jaar weekend]]*Tariefsopbouw!$D$40</f>
        <v>0</v>
      </c>
      <c r="AF631" s="79">
        <f>Ruimtestaat[[#This Row],[Prest. (m2 /jaar) weekend]]+Ruimtestaat[[#This Row],[Prest. (m2 /jaar) werkdagen]]</f>
        <v>0</v>
      </c>
      <c r="AG631" s="79">
        <f>Ruimtestaat[[#This Row],[uren / jaar weekend]]+Ruimtestaat[[#This Row],[uren / jaar werkdagen]]</f>
        <v>0</v>
      </c>
      <c r="AH631" s="80">
        <f>Ruimtestaat[[#This Row],[kosten / jaar weekend]]+Ruimtestaat[[#This Row],[kosten / jaar werkdagen]]</f>
        <v>0</v>
      </c>
    </row>
    <row r="632" spans="1:34" ht="15" customHeight="1">
      <c r="A632" s="256">
        <v>7</v>
      </c>
      <c r="B632" s="171" t="str">
        <f>VLOOKUP(Ruimtestaat[[#This Row],[Code]],Locaties[#All],2,FALSE)</f>
        <v>De Kapstok AGL</v>
      </c>
      <c r="C632" s="258" t="str">
        <f>VLOOKUP(Ruimtestaat[[#This Row],[Code]],Locaties[#All],4,FALSE)</f>
        <v>Krabbenbosweg 91</v>
      </c>
      <c r="D632" s="258" t="str">
        <f>VLOOKUP(Ruimtestaat[[#This Row],[Code]],Locaties[#All],5,FALSE)</f>
        <v>7555ED</v>
      </c>
      <c r="E632" s="258" t="str">
        <f>VLOOKUP(Ruimtestaat[[#This Row],[Code]],Locaties[#All],6,FALSE)</f>
        <v>Hengelo</v>
      </c>
      <c r="F632" s="257" t="s">
        <v>628</v>
      </c>
      <c r="G632" s="257" t="s">
        <v>563</v>
      </c>
      <c r="H632" s="171"/>
      <c r="I632" s="257">
        <v>38</v>
      </c>
      <c r="J632" s="259" t="s">
        <v>655</v>
      </c>
      <c r="K632" s="258">
        <v>20</v>
      </c>
      <c r="L632" s="260" t="str">
        <f>VLOOKUP(Ruimtestaat[[#This Row],[Ruimte code]],Ruimtegroepen[#All],2,FALSE)</f>
        <v>Niet in onderhoud</v>
      </c>
      <c r="M632" s="185" t="s">
        <v>598</v>
      </c>
      <c r="N632" s="257" t="s">
        <v>132</v>
      </c>
      <c r="O632" s="261"/>
      <c r="P632" s="183">
        <v>106.3</v>
      </c>
      <c r="Q632" s="212" t="str">
        <f>VLOOKUP(Ruimtestaat[[#This Row],[Ruimte code]],Ruimtegroepen[#All],4,FALSE)</f>
        <v>niet in onderhoud</v>
      </c>
      <c r="R632" s="184"/>
      <c r="S632" s="185"/>
      <c r="T632" s="185"/>
      <c r="U632" s="185">
        <f>IF(S632&gt;0,IF(RIGHT(Ruimtestaat[[#This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2" s="185">
        <f>IF(U632&gt;0,VLOOKUP($K632,Ruimtegroepen[],3,FALSE)*VLOOKUP($M632,Vloersoorten[],3,FALSE)*VLOOKUP($T632,Frequenties[],3,FALSE)*VLOOKUP($A632,Locaties[],3,FALSE),0)</f>
        <v>0</v>
      </c>
      <c r="W632" s="185">
        <f>Ruimtestaat[[#This Row],[Uitvoeringen werkdagen]]*Ruimtestaat[[#This Row],[Oppervlak (netto)]]</f>
        <v>0</v>
      </c>
      <c r="X632" s="220">
        <f>IF(V632&gt;0,Ruimtestaat[[#This Row],[Prest. (m2 /jaar) werkdagen]]/Ruimtestaat[[#This Row],[Norm (m2/uur) werkdagen]],0)</f>
        <v>0</v>
      </c>
      <c r="Y632" s="221">
        <f>Ruimtestaat[[#This Row],[uren / jaar werkdagen]]*Tariefsopbouw!$D$38</f>
        <v>0</v>
      </c>
      <c r="Z632" s="33"/>
      <c r="AA632" s="33">
        <f>IF(Ruimtestaat[[#This Row],[Frequentie weekend]]&gt;0,VALUE(LEFT(Z632,1))*S632,0)</f>
        <v>0</v>
      </c>
      <c r="AB632" s="33">
        <f>IF($AA632&gt;0,VLOOKUP($K632,Ruimtegroepen[],3,FALSE)*VLOOKUP($M632,Vloersoorten[],3,FALSE)*VLOOKUP($Z632,Frequenties[],3,FALSE)*VLOOKUP(#REF!,Locaties[],3,FALSE),0)</f>
        <v>0</v>
      </c>
      <c r="AC632" s="33"/>
      <c r="AD632" s="33"/>
      <c r="AE632" s="33">
        <f>Ruimtestaat[[#This Row],[uren / jaar weekend]]*Tariefsopbouw!$D$40</f>
        <v>0</v>
      </c>
      <c r="AF632" s="79">
        <f>Ruimtestaat[[#This Row],[Prest. (m2 /jaar) weekend]]+Ruimtestaat[[#This Row],[Prest. (m2 /jaar) werkdagen]]</f>
        <v>0</v>
      </c>
      <c r="AG632" s="79">
        <f>Ruimtestaat[[#This Row],[uren / jaar weekend]]+Ruimtestaat[[#This Row],[uren / jaar werkdagen]]</f>
        <v>0</v>
      </c>
      <c r="AH632" s="80">
        <f>Ruimtestaat[[#This Row],[kosten / jaar weekend]]+Ruimtestaat[[#This Row],[kosten / jaar werkdagen]]</f>
        <v>0</v>
      </c>
    </row>
    <row r="633" spans="1:34" ht="15" customHeight="1">
      <c r="A633" s="256">
        <v>7</v>
      </c>
      <c r="B633" s="171" t="str">
        <f>VLOOKUP(Ruimtestaat[[#This Row],[Code]],Locaties[#All],2,FALSE)</f>
        <v>De Kapstok AGL</v>
      </c>
      <c r="C633" s="258" t="str">
        <f>VLOOKUP(Ruimtestaat[[#This Row],[Code]],Locaties[#All],4,FALSE)</f>
        <v>Krabbenbosweg 91</v>
      </c>
      <c r="D633" s="258" t="str">
        <f>VLOOKUP(Ruimtestaat[[#This Row],[Code]],Locaties[#All],5,FALSE)</f>
        <v>7555ED</v>
      </c>
      <c r="E633" s="258" t="str">
        <f>VLOOKUP(Ruimtestaat[[#This Row],[Code]],Locaties[#All],6,FALSE)</f>
        <v>Hengelo</v>
      </c>
      <c r="F633" s="257" t="s">
        <v>628</v>
      </c>
      <c r="G633" s="257" t="s">
        <v>563</v>
      </c>
      <c r="H633" s="171"/>
      <c r="I633" s="257">
        <v>39</v>
      </c>
      <c r="J633" s="259" t="s">
        <v>586</v>
      </c>
      <c r="K633" s="258">
        <v>20</v>
      </c>
      <c r="L633" s="260" t="str">
        <f>VLOOKUP(Ruimtestaat[[#This Row],[Ruimte code]],Ruimtegroepen[#All],2,FALSE)</f>
        <v>Niet in onderhoud</v>
      </c>
      <c r="M633" s="258" t="s">
        <v>598</v>
      </c>
      <c r="N633" s="257" t="s">
        <v>132</v>
      </c>
      <c r="O633" s="261"/>
      <c r="P633" s="183">
        <v>7.1</v>
      </c>
      <c r="Q633" s="212" t="str">
        <f>VLOOKUP(Ruimtestaat[[#This Row],[Ruimte code]],Ruimtegroepen[#All],4,FALSE)</f>
        <v>niet in onderhoud</v>
      </c>
      <c r="R633" s="184"/>
      <c r="S633" s="185"/>
      <c r="T633" s="185"/>
      <c r="U633" s="185">
        <f>IF(S633&gt;0,IF(RIGHT(Ruimtestaat[[#This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3" s="185">
        <f>IF(U633&gt;0,VLOOKUP($K633,Ruimtegroepen[],3,FALSE)*VLOOKUP($M633,Vloersoorten[],3,FALSE)*VLOOKUP($T633,Frequenties[],3,FALSE)*VLOOKUP($A633,Locaties[],3,FALSE),0)</f>
        <v>0</v>
      </c>
      <c r="W633" s="185">
        <f>Ruimtestaat[[#This Row],[Uitvoeringen werkdagen]]*Ruimtestaat[[#This Row],[Oppervlak (netto)]]</f>
        <v>0</v>
      </c>
      <c r="X633" s="220">
        <f>IF(V633&gt;0,Ruimtestaat[[#This Row],[Prest. (m2 /jaar) werkdagen]]/Ruimtestaat[[#This Row],[Norm (m2/uur) werkdagen]],0)</f>
        <v>0</v>
      </c>
      <c r="Y633" s="221">
        <f>Ruimtestaat[[#This Row],[uren / jaar werkdagen]]*Tariefsopbouw!$D$38</f>
        <v>0</v>
      </c>
      <c r="Z633" s="33"/>
      <c r="AA633" s="33">
        <f>IF(Ruimtestaat[[#This Row],[Frequentie weekend]]&gt;0,VALUE(LEFT(Z633,1))*S633,0)</f>
        <v>0</v>
      </c>
      <c r="AB633" s="33">
        <f>IF($AA633&gt;0,VLOOKUP($K633,Ruimtegroepen[],3,FALSE)*VLOOKUP($M633,Vloersoorten[],3,FALSE)*VLOOKUP($Z633,Frequenties[],3,FALSE)*VLOOKUP(#REF!,Locaties[],3,FALSE),0)</f>
        <v>0</v>
      </c>
      <c r="AC633" s="33"/>
      <c r="AD633" s="33"/>
      <c r="AE633" s="33">
        <f>Ruimtestaat[[#This Row],[uren / jaar weekend]]*Tariefsopbouw!$D$40</f>
        <v>0</v>
      </c>
      <c r="AF633" s="79">
        <f>Ruimtestaat[[#This Row],[Prest. (m2 /jaar) weekend]]+Ruimtestaat[[#This Row],[Prest. (m2 /jaar) werkdagen]]</f>
        <v>0</v>
      </c>
      <c r="AG633" s="79">
        <f>Ruimtestaat[[#This Row],[uren / jaar weekend]]+Ruimtestaat[[#This Row],[uren / jaar werkdagen]]</f>
        <v>0</v>
      </c>
      <c r="AH633" s="80">
        <f>Ruimtestaat[[#This Row],[kosten / jaar weekend]]+Ruimtestaat[[#This Row],[kosten / jaar werkdagen]]</f>
        <v>0</v>
      </c>
    </row>
    <row r="634" spans="1:34" ht="15" customHeight="1">
      <c r="A634" s="256">
        <v>7</v>
      </c>
      <c r="B634" s="171" t="str">
        <f>VLOOKUP(Ruimtestaat[[#This Row],[Code]],Locaties[#All],2,FALSE)</f>
        <v>De Kapstok AGL</v>
      </c>
      <c r="C634" s="258" t="str">
        <f>VLOOKUP(Ruimtestaat[[#This Row],[Code]],Locaties[#All],4,FALSE)</f>
        <v>Krabbenbosweg 91</v>
      </c>
      <c r="D634" s="258" t="str">
        <f>VLOOKUP(Ruimtestaat[[#This Row],[Code]],Locaties[#All],5,FALSE)</f>
        <v>7555ED</v>
      </c>
      <c r="E634" s="258" t="str">
        <f>VLOOKUP(Ruimtestaat[[#This Row],[Code]],Locaties[#All],6,FALSE)</f>
        <v>Hengelo</v>
      </c>
      <c r="F634" s="257" t="s">
        <v>628</v>
      </c>
      <c r="G634" s="257" t="s">
        <v>563</v>
      </c>
      <c r="H634" s="171"/>
      <c r="I634" s="257">
        <v>50</v>
      </c>
      <c r="J634" s="259" t="s">
        <v>656</v>
      </c>
      <c r="K634" s="224">
        <v>2</v>
      </c>
      <c r="L634" s="260" t="str">
        <f>VLOOKUP(Ruimtestaat[[#This Row],[Ruimte code]],Ruimtegroepen[#All],2,FALSE)</f>
        <v>Kantoren</v>
      </c>
      <c r="M634" s="258" t="s">
        <v>597</v>
      </c>
      <c r="N634" s="257" t="s">
        <v>38</v>
      </c>
      <c r="O634" s="261">
        <v>13</v>
      </c>
      <c r="P634" s="183"/>
      <c r="Q634" s="212" t="str">
        <f>VLOOKUP(Ruimtestaat[[#This Row],[Ruimte code]],Ruimtegroepen[#All],4,FALSE)</f>
        <v>B  (Bureauruimte)</v>
      </c>
      <c r="R634" s="184"/>
      <c r="S634" s="185">
        <v>40</v>
      </c>
      <c r="T634" s="185" t="s">
        <v>18</v>
      </c>
      <c r="U634" s="185">
        <f>IF(S634&gt;0,IF(RIGHT(Ruimtestaat[[#This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4" s="185">
        <f>IF(U634&gt;0,VLOOKUP($K634,Ruimtegroepen[],3,FALSE)*VLOOKUP($M634,Vloersoorten[],3,FALSE)*VLOOKUP($T634,Frequenties[],3,FALSE)*VLOOKUP($A634,Locaties[],3,FALSE),0)</f>
        <v>0</v>
      </c>
      <c r="W634" s="185">
        <f>Ruimtestaat[[#This Row],[Uitvoeringen werkdagen]]*Ruimtestaat[[#This Row],[Oppervlak (netto)]]</f>
        <v>1560</v>
      </c>
      <c r="X634" s="220">
        <f>IF(V634&gt;0,Ruimtestaat[[#This Row],[Prest. (m2 /jaar) werkdagen]]/Ruimtestaat[[#This Row],[Norm (m2/uur) werkdagen]],0)</f>
        <v>0</v>
      </c>
      <c r="Y634" s="221">
        <f>Ruimtestaat[[#This Row],[uren / jaar werkdagen]]*Tariefsopbouw!$D$38</f>
        <v>0</v>
      </c>
      <c r="Z634" s="33"/>
      <c r="AA634" s="33">
        <f>IF(Ruimtestaat[[#This Row],[Frequentie weekend]]&gt;0,VALUE(LEFT(Z634,1))*S634,0)</f>
        <v>0</v>
      </c>
      <c r="AB634" s="33">
        <f>IF($AA634&gt;0,VLOOKUP($K634,Ruimtegroepen[],3,FALSE)*VLOOKUP($M634,Vloersoorten[],3,FALSE)*VLOOKUP($Z634,Frequenties[],3,FALSE)*VLOOKUP(#REF!,Locaties[],3,FALSE),0)</f>
        <v>0</v>
      </c>
      <c r="AC634" s="33"/>
      <c r="AD634" s="33"/>
      <c r="AE634" s="33">
        <f>Ruimtestaat[[#This Row],[uren / jaar weekend]]*Tariefsopbouw!$D$40</f>
        <v>0</v>
      </c>
      <c r="AF634" s="79">
        <f>Ruimtestaat[[#This Row],[Prest. (m2 /jaar) weekend]]+Ruimtestaat[[#This Row],[Prest. (m2 /jaar) werkdagen]]</f>
        <v>1560</v>
      </c>
      <c r="AG634" s="79">
        <f>Ruimtestaat[[#This Row],[uren / jaar weekend]]+Ruimtestaat[[#This Row],[uren / jaar werkdagen]]</f>
        <v>0</v>
      </c>
      <c r="AH634" s="80">
        <f>Ruimtestaat[[#This Row],[kosten / jaar weekend]]+Ruimtestaat[[#This Row],[kosten / jaar werkdagen]]</f>
        <v>0</v>
      </c>
    </row>
    <row r="635" spans="1:34" ht="15" customHeight="1">
      <c r="A635" s="256">
        <v>7</v>
      </c>
      <c r="B635" s="171" t="str">
        <f>VLOOKUP(Ruimtestaat[[#This Row],[Code]],Locaties[#All],2,FALSE)</f>
        <v>De Kapstok AGL</v>
      </c>
      <c r="C635" s="258" t="str">
        <f>VLOOKUP(Ruimtestaat[[#This Row],[Code]],Locaties[#All],4,FALSE)</f>
        <v>Krabbenbosweg 91</v>
      </c>
      <c r="D635" s="258" t="str">
        <f>VLOOKUP(Ruimtestaat[[#This Row],[Code]],Locaties[#All],5,FALSE)</f>
        <v>7555ED</v>
      </c>
      <c r="E635" s="258" t="str">
        <f>VLOOKUP(Ruimtestaat[[#This Row],[Code]],Locaties[#All],6,FALSE)</f>
        <v>Hengelo</v>
      </c>
      <c r="F635" s="257" t="s">
        <v>628</v>
      </c>
      <c r="G635" s="257" t="s">
        <v>563</v>
      </c>
      <c r="H635" s="171"/>
      <c r="I635" s="257">
        <v>51</v>
      </c>
      <c r="J635" s="259" t="s">
        <v>571</v>
      </c>
      <c r="K635" s="258">
        <v>2</v>
      </c>
      <c r="L635" s="260" t="str">
        <f>VLOOKUP(Ruimtestaat[[#This Row],[Ruimte code]],Ruimtegroepen[#All],2,FALSE)</f>
        <v>Kantoren</v>
      </c>
      <c r="M635" s="258" t="s">
        <v>597</v>
      </c>
      <c r="N635" s="257" t="s">
        <v>38</v>
      </c>
      <c r="O635" s="261">
        <v>12.2</v>
      </c>
      <c r="P635" s="183"/>
      <c r="Q635" s="212" t="str">
        <f>VLOOKUP(Ruimtestaat[[#This Row],[Ruimte code]],Ruimtegroepen[#All],4,FALSE)</f>
        <v>B  (Bureauruimte)</v>
      </c>
      <c r="R635" s="184"/>
      <c r="S635" s="185">
        <v>40</v>
      </c>
      <c r="T635" s="185" t="s">
        <v>18</v>
      </c>
      <c r="U635" s="185">
        <f>IF(S635&gt;0,IF(RIGHT(Ruimtestaat[[#This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5" s="185">
        <f>IF(U635&gt;0,VLOOKUP($K635,Ruimtegroepen[],3,FALSE)*VLOOKUP($M635,Vloersoorten[],3,FALSE)*VLOOKUP($T635,Frequenties[],3,FALSE)*VLOOKUP($A635,Locaties[],3,FALSE),0)</f>
        <v>0</v>
      </c>
      <c r="W635" s="185">
        <f>Ruimtestaat[[#This Row],[Uitvoeringen werkdagen]]*Ruimtestaat[[#This Row],[Oppervlak (netto)]]</f>
        <v>1464</v>
      </c>
      <c r="X635" s="220">
        <f>IF(V635&gt;0,Ruimtestaat[[#This Row],[Prest. (m2 /jaar) werkdagen]]/Ruimtestaat[[#This Row],[Norm (m2/uur) werkdagen]],0)</f>
        <v>0</v>
      </c>
      <c r="Y635" s="221">
        <f>Ruimtestaat[[#This Row],[uren / jaar werkdagen]]*Tariefsopbouw!$D$38</f>
        <v>0</v>
      </c>
      <c r="Z635" s="33"/>
      <c r="AA635" s="33">
        <f>IF(Ruimtestaat[[#This Row],[Frequentie weekend]]&gt;0,VALUE(LEFT(Z635,1))*S635,0)</f>
        <v>0</v>
      </c>
      <c r="AB635" s="33">
        <f>IF($AA635&gt;0,VLOOKUP($K635,Ruimtegroepen[],3,FALSE)*VLOOKUP($M635,Vloersoorten[],3,FALSE)*VLOOKUP($Z635,Frequenties[],3,FALSE)*VLOOKUP(#REF!,Locaties[],3,FALSE),0)</f>
        <v>0</v>
      </c>
      <c r="AC635" s="33"/>
      <c r="AD635" s="33"/>
      <c r="AE635" s="33">
        <f>Ruimtestaat[[#This Row],[uren / jaar weekend]]*Tariefsopbouw!$D$40</f>
        <v>0</v>
      </c>
      <c r="AF635" s="79">
        <f>Ruimtestaat[[#This Row],[Prest. (m2 /jaar) weekend]]+Ruimtestaat[[#This Row],[Prest. (m2 /jaar) werkdagen]]</f>
        <v>1464</v>
      </c>
      <c r="AG635" s="79">
        <f>Ruimtestaat[[#This Row],[uren / jaar weekend]]+Ruimtestaat[[#This Row],[uren / jaar werkdagen]]</f>
        <v>0</v>
      </c>
      <c r="AH635" s="80">
        <f>Ruimtestaat[[#This Row],[kosten / jaar weekend]]+Ruimtestaat[[#This Row],[kosten / jaar werkdagen]]</f>
        <v>0</v>
      </c>
    </row>
    <row r="636" spans="1:34" ht="15" customHeight="1">
      <c r="A636" s="256">
        <v>7</v>
      </c>
      <c r="B636" s="171" t="str">
        <f>VLOOKUP(Ruimtestaat[[#This Row],[Code]],Locaties[#All],2,FALSE)</f>
        <v>De Kapstok AGL</v>
      </c>
      <c r="C636" s="258" t="str">
        <f>VLOOKUP(Ruimtestaat[[#This Row],[Code]],Locaties[#All],4,FALSE)</f>
        <v>Krabbenbosweg 91</v>
      </c>
      <c r="D636" s="258" t="str">
        <f>VLOOKUP(Ruimtestaat[[#This Row],[Code]],Locaties[#All],5,FALSE)</f>
        <v>7555ED</v>
      </c>
      <c r="E636" s="258" t="str">
        <f>VLOOKUP(Ruimtestaat[[#This Row],[Code]],Locaties[#All],6,FALSE)</f>
        <v>Hengelo</v>
      </c>
      <c r="F636" s="257" t="s">
        <v>628</v>
      </c>
      <c r="G636" s="257" t="s">
        <v>563</v>
      </c>
      <c r="H636" s="171"/>
      <c r="I636" s="257">
        <v>52</v>
      </c>
      <c r="J636" s="259" t="s">
        <v>571</v>
      </c>
      <c r="K636" s="258">
        <v>2</v>
      </c>
      <c r="L636" s="260" t="str">
        <f>VLOOKUP(Ruimtestaat[[#This Row],[Ruimte code]],Ruimtegroepen[#All],2,FALSE)</f>
        <v>Kantoren</v>
      </c>
      <c r="M636" s="258" t="s">
        <v>597</v>
      </c>
      <c r="N636" s="257" t="s">
        <v>38</v>
      </c>
      <c r="O636" s="261">
        <v>21.5</v>
      </c>
      <c r="P636" s="183"/>
      <c r="Q636" s="212" t="str">
        <f>VLOOKUP(Ruimtestaat[[#This Row],[Ruimte code]],Ruimtegroepen[#All],4,FALSE)</f>
        <v>B  (Bureauruimte)</v>
      </c>
      <c r="R636" s="184"/>
      <c r="S636" s="185">
        <v>40</v>
      </c>
      <c r="T636" s="185" t="s">
        <v>18</v>
      </c>
      <c r="U636" s="185">
        <f>IF(S636&gt;0,IF(RIGHT(Ruimtestaat[[#This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6" s="185">
        <f>IF(U636&gt;0,VLOOKUP($K636,Ruimtegroepen[],3,FALSE)*VLOOKUP($M636,Vloersoorten[],3,FALSE)*VLOOKUP($T636,Frequenties[],3,FALSE)*VLOOKUP($A636,Locaties[],3,FALSE),0)</f>
        <v>0</v>
      </c>
      <c r="W636" s="185">
        <f>Ruimtestaat[[#This Row],[Uitvoeringen werkdagen]]*Ruimtestaat[[#This Row],[Oppervlak (netto)]]</f>
        <v>2580</v>
      </c>
      <c r="X636" s="220">
        <f>IF(V636&gt;0,Ruimtestaat[[#This Row],[Prest. (m2 /jaar) werkdagen]]/Ruimtestaat[[#This Row],[Norm (m2/uur) werkdagen]],0)</f>
        <v>0</v>
      </c>
      <c r="Y636" s="221">
        <f>Ruimtestaat[[#This Row],[uren / jaar werkdagen]]*Tariefsopbouw!$D$38</f>
        <v>0</v>
      </c>
      <c r="Z636" s="33"/>
      <c r="AA636" s="33">
        <f>IF(Ruimtestaat[[#This Row],[Frequentie weekend]]&gt;0,VALUE(LEFT(Z636,1))*S636,0)</f>
        <v>0</v>
      </c>
      <c r="AB636" s="33">
        <f>IF($AA636&gt;0,VLOOKUP($K636,Ruimtegroepen[],3,FALSE)*VLOOKUP($M636,Vloersoorten[],3,FALSE)*VLOOKUP($Z636,Frequenties[],3,FALSE)*VLOOKUP(#REF!,Locaties[],3,FALSE),0)</f>
        <v>0</v>
      </c>
      <c r="AC636" s="33"/>
      <c r="AD636" s="33"/>
      <c r="AE636" s="33">
        <f>Ruimtestaat[[#This Row],[uren / jaar weekend]]*Tariefsopbouw!$D$40</f>
        <v>0</v>
      </c>
      <c r="AF636" s="79">
        <f>Ruimtestaat[[#This Row],[Prest. (m2 /jaar) weekend]]+Ruimtestaat[[#This Row],[Prest. (m2 /jaar) werkdagen]]</f>
        <v>2580</v>
      </c>
      <c r="AG636" s="79">
        <f>Ruimtestaat[[#This Row],[uren / jaar weekend]]+Ruimtestaat[[#This Row],[uren / jaar werkdagen]]</f>
        <v>0</v>
      </c>
      <c r="AH636" s="80">
        <f>Ruimtestaat[[#This Row],[kosten / jaar weekend]]+Ruimtestaat[[#This Row],[kosten / jaar werkdagen]]</f>
        <v>0</v>
      </c>
    </row>
    <row r="637" spans="1:34" ht="15" customHeight="1">
      <c r="A637" s="256">
        <v>7</v>
      </c>
      <c r="B637" s="171" t="str">
        <f>VLOOKUP(Ruimtestaat[[#This Row],[Code]],Locaties[#All],2,FALSE)</f>
        <v>De Kapstok AGL</v>
      </c>
      <c r="C637" s="258" t="str">
        <f>VLOOKUP(Ruimtestaat[[#This Row],[Code]],Locaties[#All],4,FALSE)</f>
        <v>Krabbenbosweg 91</v>
      </c>
      <c r="D637" s="258" t="str">
        <f>VLOOKUP(Ruimtestaat[[#This Row],[Code]],Locaties[#All],5,FALSE)</f>
        <v>7555ED</v>
      </c>
      <c r="E637" s="258" t="str">
        <f>VLOOKUP(Ruimtestaat[[#This Row],[Code]],Locaties[#All],6,FALSE)</f>
        <v>Hengelo</v>
      </c>
      <c r="F637" s="257" t="s">
        <v>628</v>
      </c>
      <c r="G637" s="257" t="s">
        <v>563</v>
      </c>
      <c r="H637" s="171"/>
      <c r="I637" s="257">
        <v>53</v>
      </c>
      <c r="J637" s="259" t="s">
        <v>657</v>
      </c>
      <c r="K637" s="258">
        <v>2</v>
      </c>
      <c r="L637" s="260" t="str">
        <f>VLOOKUP(Ruimtestaat[[#This Row],[Ruimte code]],Ruimtegroepen[#All],2,FALSE)</f>
        <v>Kantoren</v>
      </c>
      <c r="M637" s="212" t="s">
        <v>597</v>
      </c>
      <c r="N637" s="257" t="s">
        <v>38</v>
      </c>
      <c r="O637" s="261">
        <v>24</v>
      </c>
      <c r="P637" s="183"/>
      <c r="Q637" s="212" t="str">
        <f>VLOOKUP(Ruimtestaat[[#This Row],[Ruimte code]],Ruimtegroepen[#All],4,FALSE)</f>
        <v>B  (Bureauruimte)</v>
      </c>
      <c r="R637" s="184"/>
      <c r="S637" s="185">
        <v>40</v>
      </c>
      <c r="T637" s="185" t="s">
        <v>18</v>
      </c>
      <c r="U637" s="185">
        <f>IF(S637&gt;0,IF(RIGHT(Ruimtestaat[[#This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7" s="185">
        <f>IF(U637&gt;0,VLOOKUP($K637,Ruimtegroepen[],3,FALSE)*VLOOKUP($M637,Vloersoorten[],3,FALSE)*VLOOKUP($T637,Frequenties[],3,FALSE)*VLOOKUP($A637,Locaties[],3,FALSE),0)</f>
        <v>0</v>
      </c>
      <c r="W637" s="185">
        <f>Ruimtestaat[[#This Row],[Uitvoeringen werkdagen]]*Ruimtestaat[[#This Row],[Oppervlak (netto)]]</f>
        <v>2880</v>
      </c>
      <c r="X637" s="220">
        <f>IF(V637&gt;0,Ruimtestaat[[#This Row],[Prest. (m2 /jaar) werkdagen]]/Ruimtestaat[[#This Row],[Norm (m2/uur) werkdagen]],0)</f>
        <v>0</v>
      </c>
      <c r="Y637" s="221">
        <f>Ruimtestaat[[#This Row],[uren / jaar werkdagen]]*Tariefsopbouw!$D$38</f>
        <v>0</v>
      </c>
      <c r="Z637" s="33"/>
      <c r="AA637" s="33">
        <f>IF(Ruimtestaat[[#This Row],[Frequentie weekend]]&gt;0,VALUE(LEFT(Z637,1))*S637,0)</f>
        <v>0</v>
      </c>
      <c r="AB637" s="33">
        <f>IF($AA637&gt;0,VLOOKUP($K637,Ruimtegroepen[],3,FALSE)*VLOOKUP($M637,Vloersoorten[],3,FALSE)*VLOOKUP($Z637,Frequenties[],3,FALSE)*VLOOKUP(#REF!,Locaties[],3,FALSE),0)</f>
        <v>0</v>
      </c>
      <c r="AC637" s="33"/>
      <c r="AD637" s="33"/>
      <c r="AE637" s="33">
        <f>Ruimtestaat[[#This Row],[uren / jaar weekend]]*Tariefsopbouw!$D$40</f>
        <v>0</v>
      </c>
      <c r="AF637" s="79">
        <f>Ruimtestaat[[#This Row],[Prest. (m2 /jaar) weekend]]+Ruimtestaat[[#This Row],[Prest. (m2 /jaar) werkdagen]]</f>
        <v>2880</v>
      </c>
      <c r="AG637" s="79">
        <f>Ruimtestaat[[#This Row],[uren / jaar weekend]]+Ruimtestaat[[#This Row],[uren / jaar werkdagen]]</f>
        <v>0</v>
      </c>
      <c r="AH637" s="80">
        <f>Ruimtestaat[[#This Row],[kosten / jaar weekend]]+Ruimtestaat[[#This Row],[kosten / jaar werkdagen]]</f>
        <v>0</v>
      </c>
    </row>
    <row r="638" spans="1:34" ht="15" customHeight="1">
      <c r="A638" s="256">
        <v>7</v>
      </c>
      <c r="B638" s="171" t="str">
        <f>VLOOKUP(Ruimtestaat[[#This Row],[Code]],Locaties[#All],2,FALSE)</f>
        <v>De Kapstok AGL</v>
      </c>
      <c r="C638" s="258" t="str">
        <f>VLOOKUP(Ruimtestaat[[#This Row],[Code]],Locaties[#All],4,FALSE)</f>
        <v>Krabbenbosweg 91</v>
      </c>
      <c r="D638" s="258" t="str">
        <f>VLOOKUP(Ruimtestaat[[#This Row],[Code]],Locaties[#All],5,FALSE)</f>
        <v>7555ED</v>
      </c>
      <c r="E638" s="258" t="str">
        <f>VLOOKUP(Ruimtestaat[[#This Row],[Code]],Locaties[#All],6,FALSE)</f>
        <v>Hengelo</v>
      </c>
      <c r="F638" s="257" t="s">
        <v>628</v>
      </c>
      <c r="G638" s="257" t="s">
        <v>563</v>
      </c>
      <c r="H638" s="171"/>
      <c r="I638" s="257" t="s">
        <v>639</v>
      </c>
      <c r="J638" s="259" t="s">
        <v>574</v>
      </c>
      <c r="K638" s="185">
        <v>6</v>
      </c>
      <c r="L638" s="260" t="str">
        <f>VLOOKUP(Ruimtestaat[[#This Row],[Ruimte code]],Ruimtegroepen[#All],2,FALSE)</f>
        <v>Gangen/hallen</v>
      </c>
      <c r="M638" s="212" t="s">
        <v>598</v>
      </c>
      <c r="N638" s="257" t="s">
        <v>132</v>
      </c>
      <c r="O638" s="261">
        <v>41</v>
      </c>
      <c r="P638" s="183"/>
      <c r="Q638" s="212" t="str">
        <f>VLOOKUP(Ruimtestaat[[#This Row],[Ruimte code]],Ruimtegroepen[#All],4,FALSE)</f>
        <v>V  (Verkeersruimte)</v>
      </c>
      <c r="R638" s="184"/>
      <c r="S638" s="185">
        <v>40</v>
      </c>
      <c r="T638" s="185" t="s">
        <v>2</v>
      </c>
      <c r="U638" s="185">
        <f>IF(S638&gt;0,IF(RIGHT(Ruimtestaat[[#This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38" s="185">
        <f>IF(U638&gt;0,VLOOKUP($K638,Ruimtegroepen[],3,FALSE)*VLOOKUP($M638,Vloersoorten[],3,FALSE)*VLOOKUP($T638,Frequenties[],3,FALSE)*VLOOKUP($A638,Locaties[],3,FALSE),0)</f>
        <v>0</v>
      </c>
      <c r="W638" s="185">
        <f>Ruimtestaat[[#This Row],[Uitvoeringen werkdagen]]*Ruimtestaat[[#This Row],[Oppervlak (netto)]]</f>
        <v>8200</v>
      </c>
      <c r="X638" s="220">
        <f>IF(V638&gt;0,Ruimtestaat[[#This Row],[Prest. (m2 /jaar) werkdagen]]/Ruimtestaat[[#This Row],[Norm (m2/uur) werkdagen]],0)</f>
        <v>0</v>
      </c>
      <c r="Y638" s="221">
        <f>Ruimtestaat[[#This Row],[uren / jaar werkdagen]]*Tariefsopbouw!$D$38</f>
        <v>0</v>
      </c>
      <c r="Z638" s="33"/>
      <c r="AA638" s="33">
        <f>IF(Ruimtestaat[[#This Row],[Frequentie weekend]]&gt;0,VALUE(LEFT(Z638,1))*S638,0)</f>
        <v>0</v>
      </c>
      <c r="AB638" s="33">
        <f>IF($AA638&gt;0,VLOOKUP($K638,Ruimtegroepen[],3,FALSE)*VLOOKUP($M638,Vloersoorten[],3,FALSE)*VLOOKUP($Z638,Frequenties[],3,FALSE)*VLOOKUP(#REF!,Locaties[],3,FALSE),0)</f>
        <v>0</v>
      </c>
      <c r="AC638" s="33"/>
      <c r="AD638" s="33"/>
      <c r="AE638" s="33">
        <f>Ruimtestaat[[#This Row],[uren / jaar weekend]]*Tariefsopbouw!$D$40</f>
        <v>0</v>
      </c>
      <c r="AF638" s="79">
        <f>Ruimtestaat[[#This Row],[Prest. (m2 /jaar) weekend]]+Ruimtestaat[[#This Row],[Prest. (m2 /jaar) werkdagen]]</f>
        <v>8200</v>
      </c>
      <c r="AG638" s="79">
        <f>Ruimtestaat[[#This Row],[uren / jaar weekend]]+Ruimtestaat[[#This Row],[uren / jaar werkdagen]]</f>
        <v>0</v>
      </c>
      <c r="AH638" s="80">
        <f>Ruimtestaat[[#This Row],[kosten / jaar weekend]]+Ruimtestaat[[#This Row],[kosten / jaar werkdagen]]</f>
        <v>0</v>
      </c>
    </row>
    <row r="639" spans="1:34" ht="15" customHeight="1">
      <c r="A639" s="256">
        <v>7</v>
      </c>
      <c r="B639" s="171" t="str">
        <f>VLOOKUP(Ruimtestaat[[#This Row],[Code]],Locaties[#All],2,FALSE)</f>
        <v>De Kapstok AGL</v>
      </c>
      <c r="C639" s="258" t="str">
        <f>VLOOKUP(Ruimtestaat[[#This Row],[Code]],Locaties[#All],4,FALSE)</f>
        <v>Krabbenbosweg 91</v>
      </c>
      <c r="D639" s="258" t="str">
        <f>VLOOKUP(Ruimtestaat[[#This Row],[Code]],Locaties[#All],5,FALSE)</f>
        <v>7555ED</v>
      </c>
      <c r="E639" s="258" t="str">
        <f>VLOOKUP(Ruimtestaat[[#This Row],[Code]],Locaties[#All],6,FALSE)</f>
        <v>Hengelo</v>
      </c>
      <c r="F639" s="257" t="s">
        <v>628</v>
      </c>
      <c r="G639" s="257" t="s">
        <v>563</v>
      </c>
      <c r="H639" s="171"/>
      <c r="I639" s="257" t="s">
        <v>639</v>
      </c>
      <c r="J639" s="259" t="s">
        <v>574</v>
      </c>
      <c r="K639" s="171">
        <v>6</v>
      </c>
      <c r="L639" s="260" t="str">
        <f>VLOOKUP(Ruimtestaat[[#This Row],[Ruimte code]],Ruimtegroepen[#All],2,FALSE)</f>
        <v>Gangen/hallen</v>
      </c>
      <c r="M639" s="212" t="s">
        <v>111</v>
      </c>
      <c r="N639" s="257" t="s">
        <v>605</v>
      </c>
      <c r="O639" s="261">
        <v>19</v>
      </c>
      <c r="P639" s="183"/>
      <c r="Q639" s="212" t="str">
        <f>VLOOKUP(Ruimtestaat[[#This Row],[Ruimte code]],Ruimtegroepen[#All],4,FALSE)</f>
        <v>V  (Verkeersruimte)</v>
      </c>
      <c r="R639" s="184"/>
      <c r="S639" s="185">
        <v>40</v>
      </c>
      <c r="T639" s="185" t="s">
        <v>2</v>
      </c>
      <c r="U639" s="185">
        <f>IF(S639&gt;0,IF(RIGHT(Ruimtestaat[[#This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39" s="185">
        <f>IF(U639&gt;0,VLOOKUP($K639,Ruimtegroepen[],3,FALSE)*VLOOKUP($M639,Vloersoorten[],3,FALSE)*VLOOKUP($T639,Frequenties[],3,FALSE)*VLOOKUP($A639,Locaties[],3,FALSE),0)</f>
        <v>0</v>
      </c>
      <c r="W639" s="185">
        <f>Ruimtestaat[[#This Row],[Uitvoeringen werkdagen]]*Ruimtestaat[[#This Row],[Oppervlak (netto)]]</f>
        <v>3800</v>
      </c>
      <c r="X639" s="220">
        <f>IF(V639&gt;0,Ruimtestaat[[#This Row],[Prest. (m2 /jaar) werkdagen]]/Ruimtestaat[[#This Row],[Norm (m2/uur) werkdagen]],0)</f>
        <v>0</v>
      </c>
      <c r="Y639" s="221">
        <f>Ruimtestaat[[#This Row],[uren / jaar werkdagen]]*Tariefsopbouw!$D$38</f>
        <v>0</v>
      </c>
      <c r="Z639" s="33"/>
      <c r="AA639" s="33">
        <f>IF(Ruimtestaat[[#This Row],[Frequentie weekend]]&gt;0,VALUE(LEFT(Z639,1))*S639,0)</f>
        <v>0</v>
      </c>
      <c r="AB639" s="33">
        <f>IF($AA639&gt;0,VLOOKUP($K639,Ruimtegroepen[],3,FALSE)*VLOOKUP($M639,Vloersoorten[],3,FALSE)*VLOOKUP($Z639,Frequenties[],3,FALSE)*VLOOKUP(#REF!,Locaties[],3,FALSE),0)</f>
        <v>0</v>
      </c>
      <c r="AC639" s="33"/>
      <c r="AD639" s="33"/>
      <c r="AE639" s="33">
        <f>Ruimtestaat[[#This Row],[uren / jaar weekend]]*Tariefsopbouw!$D$40</f>
        <v>0</v>
      </c>
      <c r="AF639" s="79">
        <f>Ruimtestaat[[#This Row],[Prest. (m2 /jaar) weekend]]+Ruimtestaat[[#This Row],[Prest. (m2 /jaar) werkdagen]]</f>
        <v>3800</v>
      </c>
      <c r="AG639" s="79">
        <f>Ruimtestaat[[#This Row],[uren / jaar weekend]]+Ruimtestaat[[#This Row],[uren / jaar werkdagen]]</f>
        <v>0</v>
      </c>
      <c r="AH639" s="80">
        <f>Ruimtestaat[[#This Row],[kosten / jaar weekend]]+Ruimtestaat[[#This Row],[kosten / jaar werkdagen]]</f>
        <v>0</v>
      </c>
    </row>
    <row r="640" spans="1:34" ht="15" customHeight="1">
      <c r="A640" s="256">
        <v>7</v>
      </c>
      <c r="B640" s="171" t="str">
        <f>VLOOKUP(Ruimtestaat[[#This Row],[Code]],Locaties[#All],2,FALSE)</f>
        <v>De Kapstok AGL</v>
      </c>
      <c r="C640" s="258" t="str">
        <f>VLOOKUP(Ruimtestaat[[#This Row],[Code]],Locaties[#All],4,FALSE)</f>
        <v>Krabbenbosweg 91</v>
      </c>
      <c r="D640" s="258" t="str">
        <f>VLOOKUP(Ruimtestaat[[#This Row],[Code]],Locaties[#All],5,FALSE)</f>
        <v>7555ED</v>
      </c>
      <c r="E640" s="258" t="str">
        <f>VLOOKUP(Ruimtestaat[[#This Row],[Code]],Locaties[#All],6,FALSE)</f>
        <v>Hengelo</v>
      </c>
      <c r="F640" s="257" t="s">
        <v>628</v>
      </c>
      <c r="G640" s="257" t="s">
        <v>563</v>
      </c>
      <c r="H640" s="171"/>
      <c r="I640" s="257">
        <v>54</v>
      </c>
      <c r="J640" s="259" t="s">
        <v>571</v>
      </c>
      <c r="K640" s="171">
        <v>2</v>
      </c>
      <c r="L640" s="260" t="str">
        <f>VLOOKUP(Ruimtestaat[[#This Row],[Ruimte code]],Ruimtegroepen[#All],2,FALSE)</f>
        <v>Kantoren</v>
      </c>
      <c r="M640" s="258" t="s">
        <v>597</v>
      </c>
      <c r="N640" s="257" t="s">
        <v>38</v>
      </c>
      <c r="O640" s="261">
        <v>21.5</v>
      </c>
      <c r="P640" s="183"/>
      <c r="Q640" s="212" t="str">
        <f>VLOOKUP(Ruimtestaat[[#This Row],[Ruimte code]],Ruimtegroepen[#All],4,FALSE)</f>
        <v>B  (Bureauruimte)</v>
      </c>
      <c r="R640" s="184"/>
      <c r="S640" s="185">
        <v>40</v>
      </c>
      <c r="T640" s="185" t="s">
        <v>18</v>
      </c>
      <c r="U640" s="185">
        <f>IF(S640&gt;0,IF(RIGHT(Ruimtestaat[[#This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40" s="185">
        <f>IF(U640&gt;0,VLOOKUP($K640,Ruimtegroepen[],3,FALSE)*VLOOKUP($M640,Vloersoorten[],3,FALSE)*VLOOKUP($T640,Frequenties[],3,FALSE)*VLOOKUP($A640,Locaties[],3,FALSE),0)</f>
        <v>0</v>
      </c>
      <c r="W640" s="185">
        <f>Ruimtestaat[[#This Row],[Uitvoeringen werkdagen]]*Ruimtestaat[[#This Row],[Oppervlak (netto)]]</f>
        <v>2580</v>
      </c>
      <c r="X640" s="220">
        <f>IF(V640&gt;0,Ruimtestaat[[#This Row],[Prest. (m2 /jaar) werkdagen]]/Ruimtestaat[[#This Row],[Norm (m2/uur) werkdagen]],0)</f>
        <v>0</v>
      </c>
      <c r="Y640" s="221">
        <f>Ruimtestaat[[#This Row],[uren / jaar werkdagen]]*Tariefsopbouw!$D$38</f>
        <v>0</v>
      </c>
      <c r="Z640" s="33"/>
      <c r="AA640" s="33">
        <f>IF(Ruimtestaat[[#This Row],[Frequentie weekend]]&gt;0,VALUE(LEFT(Z640,1))*S640,0)</f>
        <v>0</v>
      </c>
      <c r="AB640" s="33">
        <f>IF($AA640&gt;0,VLOOKUP($K640,Ruimtegroepen[],3,FALSE)*VLOOKUP($M640,Vloersoorten[],3,FALSE)*VLOOKUP($Z640,Frequenties[],3,FALSE)*VLOOKUP(#REF!,Locaties[],3,FALSE),0)</f>
        <v>0</v>
      </c>
      <c r="AC640" s="33"/>
      <c r="AD640" s="33"/>
      <c r="AE640" s="33">
        <f>Ruimtestaat[[#This Row],[uren / jaar weekend]]*Tariefsopbouw!$D$40</f>
        <v>0</v>
      </c>
      <c r="AF640" s="79">
        <f>Ruimtestaat[[#This Row],[Prest. (m2 /jaar) weekend]]+Ruimtestaat[[#This Row],[Prest. (m2 /jaar) werkdagen]]</f>
        <v>2580</v>
      </c>
      <c r="AG640" s="79">
        <f>Ruimtestaat[[#This Row],[uren / jaar weekend]]+Ruimtestaat[[#This Row],[uren / jaar werkdagen]]</f>
        <v>0</v>
      </c>
      <c r="AH640" s="80">
        <f>Ruimtestaat[[#This Row],[kosten / jaar weekend]]+Ruimtestaat[[#This Row],[kosten / jaar werkdagen]]</f>
        <v>0</v>
      </c>
    </row>
    <row r="641" spans="1:34" ht="15" customHeight="1">
      <c r="A641" s="256">
        <v>7</v>
      </c>
      <c r="B641" s="171" t="str">
        <f>VLOOKUP(Ruimtestaat[[#This Row],[Code]],Locaties[#All],2,FALSE)</f>
        <v>De Kapstok AGL</v>
      </c>
      <c r="C641" s="258" t="str">
        <f>VLOOKUP(Ruimtestaat[[#This Row],[Code]],Locaties[#All],4,FALSE)</f>
        <v>Krabbenbosweg 91</v>
      </c>
      <c r="D641" s="258" t="str">
        <f>VLOOKUP(Ruimtestaat[[#This Row],[Code]],Locaties[#All],5,FALSE)</f>
        <v>7555ED</v>
      </c>
      <c r="E641" s="258" t="str">
        <f>VLOOKUP(Ruimtestaat[[#This Row],[Code]],Locaties[#All],6,FALSE)</f>
        <v>Hengelo</v>
      </c>
      <c r="F641" s="257" t="s">
        <v>628</v>
      </c>
      <c r="G641" s="257" t="s">
        <v>563</v>
      </c>
      <c r="H641" s="171"/>
      <c r="I641" s="257">
        <v>57</v>
      </c>
      <c r="J641" s="259" t="s">
        <v>593</v>
      </c>
      <c r="K641" s="258">
        <v>14</v>
      </c>
      <c r="L641" s="260" t="str">
        <f>VLOOKUP(Ruimtestaat[[#This Row],[Ruimte code]],Ruimtegroepen[#All],2,FALSE)</f>
        <v>Praktijklokalen</v>
      </c>
      <c r="M641" s="212" t="s">
        <v>111</v>
      </c>
      <c r="N641" s="257" t="s">
        <v>605</v>
      </c>
      <c r="O641" s="261">
        <v>53.3</v>
      </c>
      <c r="P641" s="183"/>
      <c r="Q641" s="212" t="str">
        <f>VLOOKUP(Ruimtestaat[[#This Row],[Ruimte code]],Ruimtegroepen[#All],4,FALSE)</f>
        <v>L  (Lesruimte)</v>
      </c>
      <c r="R641" s="184"/>
      <c r="S641" s="185">
        <v>40</v>
      </c>
      <c r="T641" s="185" t="s">
        <v>2</v>
      </c>
      <c r="U641" s="185">
        <f>IF(S641&gt;0,IF(RIGHT(Ruimtestaat[[#This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1" s="185">
        <f>IF(U641&gt;0,VLOOKUP($K641,Ruimtegroepen[],3,FALSE)*VLOOKUP($M641,Vloersoorten[],3,FALSE)*VLOOKUP($T641,Frequenties[],3,FALSE)*VLOOKUP($A641,Locaties[],3,FALSE),0)</f>
        <v>0</v>
      </c>
      <c r="W641" s="185">
        <f>Ruimtestaat[[#This Row],[Uitvoeringen werkdagen]]*Ruimtestaat[[#This Row],[Oppervlak (netto)]]</f>
        <v>10660</v>
      </c>
      <c r="X641" s="220">
        <f>IF(V641&gt;0,Ruimtestaat[[#This Row],[Prest. (m2 /jaar) werkdagen]]/Ruimtestaat[[#This Row],[Norm (m2/uur) werkdagen]],0)</f>
        <v>0</v>
      </c>
      <c r="Y641" s="221">
        <f>Ruimtestaat[[#This Row],[uren / jaar werkdagen]]*Tariefsopbouw!$D$38</f>
        <v>0</v>
      </c>
      <c r="Z641" s="33"/>
      <c r="AA641" s="33">
        <f>IF(Ruimtestaat[[#This Row],[Frequentie weekend]]&gt;0,VALUE(LEFT(Z641,1))*S641,0)</f>
        <v>0</v>
      </c>
      <c r="AB641" s="33">
        <f>IF($AA641&gt;0,VLOOKUP($K641,Ruimtegroepen[],3,FALSE)*VLOOKUP($M641,Vloersoorten[],3,FALSE)*VLOOKUP($Z641,Frequenties[],3,FALSE)*VLOOKUP(#REF!,Locaties[],3,FALSE),0)</f>
        <v>0</v>
      </c>
      <c r="AC641" s="33"/>
      <c r="AD641" s="33"/>
      <c r="AE641" s="33">
        <f>Ruimtestaat[[#This Row],[uren / jaar weekend]]*Tariefsopbouw!$D$40</f>
        <v>0</v>
      </c>
      <c r="AF641" s="79">
        <f>Ruimtestaat[[#This Row],[Prest. (m2 /jaar) weekend]]+Ruimtestaat[[#This Row],[Prest. (m2 /jaar) werkdagen]]</f>
        <v>10660</v>
      </c>
      <c r="AG641" s="79">
        <f>Ruimtestaat[[#This Row],[uren / jaar weekend]]+Ruimtestaat[[#This Row],[uren / jaar werkdagen]]</f>
        <v>0</v>
      </c>
      <c r="AH641" s="80">
        <f>Ruimtestaat[[#This Row],[kosten / jaar weekend]]+Ruimtestaat[[#This Row],[kosten / jaar werkdagen]]</f>
        <v>0</v>
      </c>
    </row>
    <row r="642" spans="1:34" ht="15" customHeight="1">
      <c r="A642" s="256">
        <v>7</v>
      </c>
      <c r="B642" s="171" t="str">
        <f>VLOOKUP(Ruimtestaat[[#This Row],[Code]],Locaties[#All],2,FALSE)</f>
        <v>De Kapstok AGL</v>
      </c>
      <c r="C642" s="258" t="str">
        <f>VLOOKUP(Ruimtestaat[[#This Row],[Code]],Locaties[#All],4,FALSE)</f>
        <v>Krabbenbosweg 91</v>
      </c>
      <c r="D642" s="258" t="str">
        <f>VLOOKUP(Ruimtestaat[[#This Row],[Code]],Locaties[#All],5,FALSE)</f>
        <v>7555ED</v>
      </c>
      <c r="E642" s="258" t="str">
        <f>VLOOKUP(Ruimtestaat[[#This Row],[Code]],Locaties[#All],6,FALSE)</f>
        <v>Hengelo</v>
      </c>
      <c r="F642" s="257" t="s">
        <v>628</v>
      </c>
      <c r="G642" s="257" t="s">
        <v>563</v>
      </c>
      <c r="H642" s="171"/>
      <c r="I642" s="257">
        <v>55</v>
      </c>
      <c r="J642" s="259" t="s">
        <v>658</v>
      </c>
      <c r="K642" s="258">
        <v>14</v>
      </c>
      <c r="L642" s="260" t="str">
        <f>VLOOKUP(Ruimtestaat[[#This Row],[Ruimte code]],Ruimtegroepen[#All],2,FALSE)</f>
        <v>Praktijklokalen</v>
      </c>
      <c r="M642" s="212" t="s">
        <v>111</v>
      </c>
      <c r="N642" s="257" t="s">
        <v>605</v>
      </c>
      <c r="O642" s="261">
        <v>13.9</v>
      </c>
      <c r="P642" s="183"/>
      <c r="Q642" s="212" t="str">
        <f>VLOOKUP(Ruimtestaat[[#This Row],[Ruimte code]],Ruimtegroepen[#All],4,FALSE)</f>
        <v>L  (Lesruimte)</v>
      </c>
      <c r="R642" s="184"/>
      <c r="S642" s="185">
        <v>40</v>
      </c>
      <c r="T642" s="185" t="s">
        <v>2</v>
      </c>
      <c r="U642" s="185">
        <f>IF(S642&gt;0,IF(RIGHT(Ruimtestaat[[#This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2" s="185">
        <f>IF(U642&gt;0,VLOOKUP($K642,Ruimtegroepen[],3,FALSE)*VLOOKUP($M642,Vloersoorten[],3,FALSE)*VLOOKUP($T642,Frequenties[],3,FALSE)*VLOOKUP($A642,Locaties[],3,FALSE),0)</f>
        <v>0</v>
      </c>
      <c r="W642" s="185">
        <f>Ruimtestaat[[#This Row],[Uitvoeringen werkdagen]]*Ruimtestaat[[#This Row],[Oppervlak (netto)]]</f>
        <v>2780</v>
      </c>
      <c r="X642" s="220">
        <f>IF(V642&gt;0,Ruimtestaat[[#This Row],[Prest. (m2 /jaar) werkdagen]]/Ruimtestaat[[#This Row],[Norm (m2/uur) werkdagen]],0)</f>
        <v>0</v>
      </c>
      <c r="Y642" s="221">
        <f>Ruimtestaat[[#This Row],[uren / jaar werkdagen]]*Tariefsopbouw!$D$38</f>
        <v>0</v>
      </c>
      <c r="Z642" s="33"/>
      <c r="AA642" s="33">
        <f>IF(Ruimtestaat[[#This Row],[Frequentie weekend]]&gt;0,VALUE(LEFT(Z642,1))*S642,0)</f>
        <v>0</v>
      </c>
      <c r="AB642" s="33">
        <f>IF($AA642&gt;0,VLOOKUP($K642,Ruimtegroepen[],3,FALSE)*VLOOKUP($M642,Vloersoorten[],3,FALSE)*VLOOKUP($Z642,Frequenties[],3,FALSE)*VLOOKUP(#REF!,Locaties[],3,FALSE),0)</f>
        <v>0</v>
      </c>
      <c r="AC642" s="33"/>
      <c r="AD642" s="33"/>
      <c r="AE642" s="33">
        <f>Ruimtestaat[[#This Row],[uren / jaar weekend]]*Tariefsopbouw!$D$40</f>
        <v>0</v>
      </c>
      <c r="AF642" s="79">
        <f>Ruimtestaat[[#This Row],[Prest. (m2 /jaar) weekend]]+Ruimtestaat[[#This Row],[Prest. (m2 /jaar) werkdagen]]</f>
        <v>2780</v>
      </c>
      <c r="AG642" s="79">
        <f>Ruimtestaat[[#This Row],[uren / jaar weekend]]+Ruimtestaat[[#This Row],[uren / jaar werkdagen]]</f>
        <v>0</v>
      </c>
      <c r="AH642" s="80">
        <f>Ruimtestaat[[#This Row],[kosten / jaar weekend]]+Ruimtestaat[[#This Row],[kosten / jaar werkdagen]]</f>
        <v>0</v>
      </c>
    </row>
    <row r="643" spans="1:34" ht="15" customHeight="1">
      <c r="A643" s="256">
        <v>7</v>
      </c>
      <c r="B643" s="171" t="str">
        <f>VLOOKUP(Ruimtestaat[[#This Row],[Code]],Locaties[#All],2,FALSE)</f>
        <v>De Kapstok AGL</v>
      </c>
      <c r="C643" s="258" t="str">
        <f>VLOOKUP(Ruimtestaat[[#This Row],[Code]],Locaties[#All],4,FALSE)</f>
        <v>Krabbenbosweg 91</v>
      </c>
      <c r="D643" s="258" t="str">
        <f>VLOOKUP(Ruimtestaat[[#This Row],[Code]],Locaties[#All],5,FALSE)</f>
        <v>7555ED</v>
      </c>
      <c r="E643" s="258" t="str">
        <f>VLOOKUP(Ruimtestaat[[#This Row],[Code]],Locaties[#All],6,FALSE)</f>
        <v>Hengelo</v>
      </c>
      <c r="F643" s="257" t="s">
        <v>628</v>
      </c>
      <c r="G643" s="257" t="s">
        <v>563</v>
      </c>
      <c r="H643" s="171"/>
      <c r="I643" s="257" t="s">
        <v>640</v>
      </c>
      <c r="J643" s="259" t="s">
        <v>659</v>
      </c>
      <c r="K643" s="258">
        <v>14</v>
      </c>
      <c r="L643" s="260" t="str">
        <f>VLOOKUP(Ruimtestaat[[#This Row],[Ruimte code]],Ruimtegroepen[#All],2,FALSE)</f>
        <v>Praktijklokalen</v>
      </c>
      <c r="M643" s="212" t="s">
        <v>111</v>
      </c>
      <c r="N643" s="257" t="s">
        <v>605</v>
      </c>
      <c r="O643" s="261">
        <v>22</v>
      </c>
      <c r="P643" s="183"/>
      <c r="Q643" s="212" t="str">
        <f>VLOOKUP(Ruimtestaat[[#This Row],[Ruimte code]],Ruimtegroepen[#All],4,FALSE)</f>
        <v>L  (Lesruimte)</v>
      </c>
      <c r="R643" s="184"/>
      <c r="S643" s="185">
        <v>40</v>
      </c>
      <c r="T643" s="185" t="s">
        <v>2</v>
      </c>
      <c r="U643" s="185">
        <f>IF(S643&gt;0,IF(RIGHT(Ruimtestaat[[#This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3" s="185">
        <f>IF(U643&gt;0,VLOOKUP($K643,Ruimtegroepen[],3,FALSE)*VLOOKUP($M643,Vloersoorten[],3,FALSE)*VLOOKUP($T643,Frequenties[],3,FALSE)*VLOOKUP($A643,Locaties[],3,FALSE),0)</f>
        <v>0</v>
      </c>
      <c r="W643" s="185">
        <f>Ruimtestaat[[#This Row],[Uitvoeringen werkdagen]]*Ruimtestaat[[#This Row],[Oppervlak (netto)]]</f>
        <v>4400</v>
      </c>
      <c r="X643" s="220">
        <f>IF(V643&gt;0,Ruimtestaat[[#This Row],[Prest. (m2 /jaar) werkdagen]]/Ruimtestaat[[#This Row],[Norm (m2/uur) werkdagen]],0)</f>
        <v>0</v>
      </c>
      <c r="Y643" s="221">
        <f>Ruimtestaat[[#This Row],[uren / jaar werkdagen]]*Tariefsopbouw!$D$38</f>
        <v>0</v>
      </c>
      <c r="Z643" s="33"/>
      <c r="AA643" s="33">
        <f>IF(Ruimtestaat[[#This Row],[Frequentie weekend]]&gt;0,VALUE(LEFT(Z643,1))*S643,0)</f>
        <v>0</v>
      </c>
      <c r="AB643" s="33">
        <f>IF($AA643&gt;0,VLOOKUP($K643,Ruimtegroepen[],3,FALSE)*VLOOKUP($M643,Vloersoorten[],3,FALSE)*VLOOKUP($Z643,Frequenties[],3,FALSE)*VLOOKUP(#REF!,Locaties[],3,FALSE),0)</f>
        <v>0</v>
      </c>
      <c r="AC643" s="33"/>
      <c r="AD643" s="33"/>
      <c r="AE643" s="33">
        <f>Ruimtestaat[[#This Row],[uren / jaar weekend]]*Tariefsopbouw!$D$40</f>
        <v>0</v>
      </c>
      <c r="AF643" s="79">
        <f>Ruimtestaat[[#This Row],[Prest. (m2 /jaar) weekend]]+Ruimtestaat[[#This Row],[Prest. (m2 /jaar) werkdagen]]</f>
        <v>4400</v>
      </c>
      <c r="AG643" s="79">
        <f>Ruimtestaat[[#This Row],[uren / jaar weekend]]+Ruimtestaat[[#This Row],[uren / jaar werkdagen]]</f>
        <v>0</v>
      </c>
      <c r="AH643" s="80">
        <f>Ruimtestaat[[#This Row],[kosten / jaar weekend]]+Ruimtestaat[[#This Row],[kosten / jaar werkdagen]]</f>
        <v>0</v>
      </c>
    </row>
    <row r="644" spans="1:34" ht="15" customHeight="1">
      <c r="A644" s="256">
        <v>7</v>
      </c>
      <c r="B644" s="171" t="str">
        <f>VLOOKUP(Ruimtestaat[[#This Row],[Code]],Locaties[#All],2,FALSE)</f>
        <v>De Kapstok AGL</v>
      </c>
      <c r="C644" s="258" t="str">
        <f>VLOOKUP(Ruimtestaat[[#This Row],[Code]],Locaties[#All],4,FALSE)</f>
        <v>Krabbenbosweg 91</v>
      </c>
      <c r="D644" s="258" t="str">
        <f>VLOOKUP(Ruimtestaat[[#This Row],[Code]],Locaties[#All],5,FALSE)</f>
        <v>7555ED</v>
      </c>
      <c r="E644" s="258" t="str">
        <f>VLOOKUP(Ruimtestaat[[#This Row],[Code]],Locaties[#All],6,FALSE)</f>
        <v>Hengelo</v>
      </c>
      <c r="F644" s="257" t="s">
        <v>628</v>
      </c>
      <c r="G644" s="257" t="s">
        <v>563</v>
      </c>
      <c r="H644" s="171"/>
      <c r="I644" s="257" t="s">
        <v>641</v>
      </c>
      <c r="J644" s="259" t="s">
        <v>574</v>
      </c>
      <c r="K644" s="171">
        <v>6</v>
      </c>
      <c r="L644" s="260" t="str">
        <f>VLOOKUP(Ruimtestaat[[#This Row],[Ruimte code]],Ruimtegroepen[#All],2,FALSE)</f>
        <v>Gangen/hallen</v>
      </c>
      <c r="M644" s="212" t="s">
        <v>111</v>
      </c>
      <c r="N644" s="257" t="s">
        <v>605</v>
      </c>
      <c r="O644" s="261">
        <v>36.700000000000003</v>
      </c>
      <c r="P644" s="183"/>
      <c r="Q644" s="212" t="str">
        <f>VLOOKUP(Ruimtestaat[[#This Row],[Ruimte code]],Ruimtegroepen[#All],4,FALSE)</f>
        <v>V  (Verkeersruimte)</v>
      </c>
      <c r="R644" s="184"/>
      <c r="S644" s="185">
        <v>40</v>
      </c>
      <c r="T644" s="185" t="s">
        <v>2</v>
      </c>
      <c r="U644" s="185">
        <f>IF(S644&gt;0,IF(RIGHT(Ruimtestaat[[#This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4" s="185">
        <f>IF(U644&gt;0,VLOOKUP($K644,Ruimtegroepen[],3,FALSE)*VLOOKUP($M644,Vloersoorten[],3,FALSE)*VLOOKUP($T644,Frequenties[],3,FALSE)*VLOOKUP($A644,Locaties[],3,FALSE),0)</f>
        <v>0</v>
      </c>
      <c r="W644" s="185">
        <f>Ruimtestaat[[#This Row],[Uitvoeringen werkdagen]]*Ruimtestaat[[#This Row],[Oppervlak (netto)]]</f>
        <v>7340.0000000000009</v>
      </c>
      <c r="X644" s="220">
        <f>IF(V644&gt;0,Ruimtestaat[[#This Row],[Prest. (m2 /jaar) werkdagen]]/Ruimtestaat[[#This Row],[Norm (m2/uur) werkdagen]],0)</f>
        <v>0</v>
      </c>
      <c r="Y644" s="221">
        <f>Ruimtestaat[[#This Row],[uren / jaar werkdagen]]*Tariefsopbouw!$D$38</f>
        <v>0</v>
      </c>
      <c r="Z644" s="33"/>
      <c r="AA644" s="33">
        <f>IF(Ruimtestaat[[#This Row],[Frequentie weekend]]&gt;0,VALUE(LEFT(Z644,1))*S644,0)</f>
        <v>0</v>
      </c>
      <c r="AB644" s="33">
        <f>IF($AA644&gt;0,VLOOKUP($K644,Ruimtegroepen[],3,FALSE)*VLOOKUP($M644,Vloersoorten[],3,FALSE)*VLOOKUP($Z644,Frequenties[],3,FALSE)*VLOOKUP(#REF!,Locaties[],3,FALSE),0)</f>
        <v>0</v>
      </c>
      <c r="AC644" s="33"/>
      <c r="AD644" s="33"/>
      <c r="AE644" s="33">
        <f>Ruimtestaat[[#This Row],[uren / jaar weekend]]*Tariefsopbouw!$D$40</f>
        <v>0</v>
      </c>
      <c r="AF644" s="79">
        <f>Ruimtestaat[[#This Row],[Prest. (m2 /jaar) weekend]]+Ruimtestaat[[#This Row],[Prest. (m2 /jaar) werkdagen]]</f>
        <v>7340.0000000000009</v>
      </c>
      <c r="AG644" s="79">
        <f>Ruimtestaat[[#This Row],[uren / jaar weekend]]+Ruimtestaat[[#This Row],[uren / jaar werkdagen]]</f>
        <v>0</v>
      </c>
      <c r="AH644" s="80">
        <f>Ruimtestaat[[#This Row],[kosten / jaar weekend]]+Ruimtestaat[[#This Row],[kosten / jaar werkdagen]]</f>
        <v>0</v>
      </c>
    </row>
    <row r="645" spans="1:34" ht="15" customHeight="1">
      <c r="A645" s="256">
        <v>7</v>
      </c>
      <c r="B645" s="171" t="str">
        <f>VLOOKUP(Ruimtestaat[[#This Row],[Code]],Locaties[#All],2,FALSE)</f>
        <v>De Kapstok AGL</v>
      </c>
      <c r="C645" s="258" t="str">
        <f>VLOOKUP(Ruimtestaat[[#This Row],[Code]],Locaties[#All],4,FALSE)</f>
        <v>Krabbenbosweg 91</v>
      </c>
      <c r="D645" s="258" t="str">
        <f>VLOOKUP(Ruimtestaat[[#This Row],[Code]],Locaties[#All],5,FALSE)</f>
        <v>7555ED</v>
      </c>
      <c r="E645" s="258" t="str">
        <f>VLOOKUP(Ruimtestaat[[#This Row],[Code]],Locaties[#All],6,FALSE)</f>
        <v>Hengelo</v>
      </c>
      <c r="F645" s="257" t="s">
        <v>628</v>
      </c>
      <c r="G645" s="257" t="s">
        <v>563</v>
      </c>
      <c r="H645" s="171"/>
      <c r="I645" s="257">
        <v>62</v>
      </c>
      <c r="J645" s="259" t="s">
        <v>581</v>
      </c>
      <c r="K645" s="258">
        <v>19</v>
      </c>
      <c r="L645" s="260" t="str">
        <f>VLOOKUP(Ruimtestaat[[#This Row],[Ruimte code]],Ruimtegroepen[#All],2,FALSE)</f>
        <v>Kleedruimten</v>
      </c>
      <c r="M645" s="212" t="s">
        <v>111</v>
      </c>
      <c r="N645" s="257" t="s">
        <v>605</v>
      </c>
      <c r="O645" s="261">
        <v>22.4</v>
      </c>
      <c r="P645" s="183"/>
      <c r="Q645" s="212" t="str">
        <f>VLOOKUP(Ruimtestaat[[#This Row],[Ruimte code]],Ruimtegroepen[#All],4,FALSE)</f>
        <v>V  (Verkeersruimte)</v>
      </c>
      <c r="R645" s="184"/>
      <c r="S645" s="185">
        <v>40</v>
      </c>
      <c r="T645" s="185" t="s">
        <v>2</v>
      </c>
      <c r="U645" s="185">
        <f>IF(S645&gt;0,IF(RIGHT(Ruimtestaat[[#This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5" s="185">
        <f>IF(U645&gt;0,VLOOKUP($K645,Ruimtegroepen[],3,FALSE)*VLOOKUP($M645,Vloersoorten[],3,FALSE)*VLOOKUP($T645,Frequenties[],3,FALSE)*VLOOKUP($A645,Locaties[],3,FALSE),0)</f>
        <v>0</v>
      </c>
      <c r="W645" s="185">
        <f>Ruimtestaat[[#This Row],[Uitvoeringen werkdagen]]*Ruimtestaat[[#This Row],[Oppervlak (netto)]]</f>
        <v>4480</v>
      </c>
      <c r="X645" s="220">
        <f>IF(V645&gt;0,Ruimtestaat[[#This Row],[Prest. (m2 /jaar) werkdagen]]/Ruimtestaat[[#This Row],[Norm (m2/uur) werkdagen]],0)</f>
        <v>0</v>
      </c>
      <c r="Y645" s="221">
        <f>Ruimtestaat[[#This Row],[uren / jaar werkdagen]]*Tariefsopbouw!$D$38</f>
        <v>0</v>
      </c>
      <c r="Z645" s="33"/>
      <c r="AA645" s="33">
        <f>IF(Ruimtestaat[[#This Row],[Frequentie weekend]]&gt;0,VALUE(LEFT(Z645,1))*S645,0)</f>
        <v>0</v>
      </c>
      <c r="AB645" s="33">
        <f>IF($AA645&gt;0,VLOOKUP($K645,Ruimtegroepen[],3,FALSE)*VLOOKUP($M645,Vloersoorten[],3,FALSE)*VLOOKUP($Z645,Frequenties[],3,FALSE)*VLOOKUP(#REF!,Locaties[],3,FALSE),0)</f>
        <v>0</v>
      </c>
      <c r="AC645" s="33"/>
      <c r="AD645" s="33"/>
      <c r="AE645" s="33">
        <f>Ruimtestaat[[#This Row],[uren / jaar weekend]]*Tariefsopbouw!$D$40</f>
        <v>0</v>
      </c>
      <c r="AF645" s="79">
        <f>Ruimtestaat[[#This Row],[Prest. (m2 /jaar) weekend]]+Ruimtestaat[[#This Row],[Prest. (m2 /jaar) werkdagen]]</f>
        <v>4480</v>
      </c>
      <c r="AG645" s="79">
        <f>Ruimtestaat[[#This Row],[uren / jaar weekend]]+Ruimtestaat[[#This Row],[uren / jaar werkdagen]]</f>
        <v>0</v>
      </c>
      <c r="AH645" s="80">
        <f>Ruimtestaat[[#This Row],[kosten / jaar weekend]]+Ruimtestaat[[#This Row],[kosten / jaar werkdagen]]</f>
        <v>0</v>
      </c>
    </row>
    <row r="646" spans="1:34" ht="15" customHeight="1">
      <c r="A646" s="256">
        <v>7</v>
      </c>
      <c r="B646" s="171" t="str">
        <f>VLOOKUP(Ruimtestaat[[#This Row],[Code]],Locaties[#All],2,FALSE)</f>
        <v>De Kapstok AGL</v>
      </c>
      <c r="C646" s="258" t="str">
        <f>VLOOKUP(Ruimtestaat[[#This Row],[Code]],Locaties[#All],4,FALSE)</f>
        <v>Krabbenbosweg 91</v>
      </c>
      <c r="D646" s="258" t="str">
        <f>VLOOKUP(Ruimtestaat[[#This Row],[Code]],Locaties[#All],5,FALSE)</f>
        <v>7555ED</v>
      </c>
      <c r="E646" s="258" t="str">
        <f>VLOOKUP(Ruimtestaat[[#This Row],[Code]],Locaties[#All],6,FALSE)</f>
        <v>Hengelo</v>
      </c>
      <c r="F646" s="257" t="s">
        <v>628</v>
      </c>
      <c r="G646" s="257" t="s">
        <v>563</v>
      </c>
      <c r="H646" s="171"/>
      <c r="I646" s="257">
        <v>61</v>
      </c>
      <c r="J646" s="259" t="s">
        <v>660</v>
      </c>
      <c r="K646" s="258">
        <v>19</v>
      </c>
      <c r="L646" s="260" t="str">
        <f>VLOOKUP(Ruimtestaat[[#This Row],[Ruimte code]],Ruimtegroepen[#All],2,FALSE)</f>
        <v>Kleedruimten</v>
      </c>
      <c r="M646" s="212" t="s">
        <v>111</v>
      </c>
      <c r="N646" s="257" t="s">
        <v>605</v>
      </c>
      <c r="O646" s="261">
        <v>10</v>
      </c>
      <c r="P646" s="183"/>
      <c r="Q646" s="212" t="str">
        <f>VLOOKUP(Ruimtestaat[[#This Row],[Ruimte code]],Ruimtegroepen[#All],4,FALSE)</f>
        <v>V  (Verkeersruimte)</v>
      </c>
      <c r="R646" s="184"/>
      <c r="S646" s="185">
        <v>40</v>
      </c>
      <c r="T646" s="185" t="s">
        <v>2</v>
      </c>
      <c r="U646" s="185">
        <f>IF(S646&gt;0,IF(RIGHT(Ruimtestaat[[#This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6" s="185">
        <f>IF(U646&gt;0,VLOOKUP($K646,Ruimtegroepen[],3,FALSE)*VLOOKUP($M646,Vloersoorten[],3,FALSE)*VLOOKUP($T646,Frequenties[],3,FALSE)*VLOOKUP($A646,Locaties[],3,FALSE),0)</f>
        <v>0</v>
      </c>
      <c r="W646" s="185">
        <f>Ruimtestaat[[#This Row],[Uitvoeringen werkdagen]]*Ruimtestaat[[#This Row],[Oppervlak (netto)]]</f>
        <v>2000</v>
      </c>
      <c r="X646" s="220">
        <f>IF(V646&gt;0,Ruimtestaat[[#This Row],[Prest. (m2 /jaar) werkdagen]]/Ruimtestaat[[#This Row],[Norm (m2/uur) werkdagen]],0)</f>
        <v>0</v>
      </c>
      <c r="Y646" s="221">
        <f>Ruimtestaat[[#This Row],[uren / jaar werkdagen]]*Tariefsopbouw!$D$38</f>
        <v>0</v>
      </c>
      <c r="Z646" s="33"/>
      <c r="AA646" s="33">
        <f>IF(Ruimtestaat[[#This Row],[Frequentie weekend]]&gt;0,VALUE(LEFT(Z646,1))*S646,0)</f>
        <v>0</v>
      </c>
      <c r="AB646" s="33">
        <f>IF($AA646&gt;0,VLOOKUP($K646,Ruimtegroepen[],3,FALSE)*VLOOKUP($M646,Vloersoorten[],3,FALSE)*VLOOKUP($Z646,Frequenties[],3,FALSE)*VLOOKUP(#REF!,Locaties[],3,FALSE),0)</f>
        <v>0</v>
      </c>
      <c r="AC646" s="33"/>
      <c r="AD646" s="33"/>
      <c r="AE646" s="33">
        <f>Ruimtestaat[[#This Row],[uren / jaar weekend]]*Tariefsopbouw!$D$40</f>
        <v>0</v>
      </c>
      <c r="AF646" s="79">
        <f>Ruimtestaat[[#This Row],[Prest. (m2 /jaar) weekend]]+Ruimtestaat[[#This Row],[Prest. (m2 /jaar) werkdagen]]</f>
        <v>2000</v>
      </c>
      <c r="AG646" s="79">
        <f>Ruimtestaat[[#This Row],[uren / jaar weekend]]+Ruimtestaat[[#This Row],[uren / jaar werkdagen]]</f>
        <v>0</v>
      </c>
      <c r="AH646" s="80">
        <f>Ruimtestaat[[#This Row],[kosten / jaar weekend]]+Ruimtestaat[[#This Row],[kosten / jaar werkdagen]]</f>
        <v>0</v>
      </c>
    </row>
    <row r="647" spans="1:34" ht="15" customHeight="1">
      <c r="A647" s="256">
        <v>7</v>
      </c>
      <c r="B647" s="171" t="str">
        <f>VLOOKUP(Ruimtestaat[[#This Row],[Code]],Locaties[#All],2,FALSE)</f>
        <v>De Kapstok AGL</v>
      </c>
      <c r="C647" s="258" t="str">
        <f>VLOOKUP(Ruimtestaat[[#This Row],[Code]],Locaties[#All],4,FALSE)</f>
        <v>Krabbenbosweg 91</v>
      </c>
      <c r="D647" s="258" t="str">
        <f>VLOOKUP(Ruimtestaat[[#This Row],[Code]],Locaties[#All],5,FALSE)</f>
        <v>7555ED</v>
      </c>
      <c r="E647" s="258" t="str">
        <f>VLOOKUP(Ruimtestaat[[#This Row],[Code]],Locaties[#All],6,FALSE)</f>
        <v>Hengelo</v>
      </c>
      <c r="F647" s="257" t="s">
        <v>628</v>
      </c>
      <c r="G647" s="257" t="s">
        <v>563</v>
      </c>
      <c r="H647" s="171"/>
      <c r="I647" s="257" t="s">
        <v>642</v>
      </c>
      <c r="J647" s="259" t="s">
        <v>569</v>
      </c>
      <c r="K647" s="171">
        <v>5</v>
      </c>
      <c r="L647" s="260" t="str">
        <f>VLOOKUP(Ruimtestaat[[#This Row],[Ruimte code]],Ruimtegroepen[#All],2,FALSE)</f>
        <v>Sanitair</v>
      </c>
      <c r="M647" s="212" t="s">
        <v>111</v>
      </c>
      <c r="N647" s="257" t="s">
        <v>605</v>
      </c>
      <c r="O647" s="261">
        <v>1.3</v>
      </c>
      <c r="P647" s="183"/>
      <c r="Q647" s="212" t="str">
        <f>VLOOKUP(Ruimtestaat[[#This Row],[Ruimte code]],Ruimtegroepen[#All],4,FALSE)</f>
        <v>S  (Sanitair)</v>
      </c>
      <c r="R647" s="184"/>
      <c r="S647" s="185">
        <v>40</v>
      </c>
      <c r="T647" s="185" t="s">
        <v>2</v>
      </c>
      <c r="U647" s="185">
        <f>IF(S647&gt;0,IF(RIGHT(Ruimtestaat[[#This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7" s="185">
        <f>IF(U647&gt;0,VLOOKUP($K647,Ruimtegroepen[],3,FALSE)*VLOOKUP($M647,Vloersoorten[],3,FALSE)*VLOOKUP($T647,Frequenties[],3,FALSE)*VLOOKUP($A647,Locaties[],3,FALSE),0)</f>
        <v>0</v>
      </c>
      <c r="W647" s="185">
        <f>Ruimtestaat[[#This Row],[Uitvoeringen werkdagen]]*Ruimtestaat[[#This Row],[Oppervlak (netto)]]</f>
        <v>260</v>
      </c>
      <c r="X647" s="220">
        <f>IF(V647&gt;0,Ruimtestaat[[#This Row],[Prest. (m2 /jaar) werkdagen]]/Ruimtestaat[[#This Row],[Norm (m2/uur) werkdagen]],0)</f>
        <v>0</v>
      </c>
      <c r="Y647" s="221">
        <f>Ruimtestaat[[#This Row],[uren / jaar werkdagen]]*Tariefsopbouw!$D$38</f>
        <v>0</v>
      </c>
      <c r="Z647" s="33"/>
      <c r="AA647" s="33">
        <f>IF(Ruimtestaat[[#This Row],[Frequentie weekend]]&gt;0,VALUE(LEFT(Z647,1))*S647,0)</f>
        <v>0</v>
      </c>
      <c r="AB647" s="33">
        <f>IF($AA647&gt;0,VLOOKUP($K647,Ruimtegroepen[],3,FALSE)*VLOOKUP($M647,Vloersoorten[],3,FALSE)*VLOOKUP($Z647,Frequenties[],3,FALSE)*VLOOKUP(#REF!,Locaties[],3,FALSE),0)</f>
        <v>0</v>
      </c>
      <c r="AC647" s="33"/>
      <c r="AD647" s="33"/>
      <c r="AE647" s="33">
        <f>Ruimtestaat[[#This Row],[uren / jaar weekend]]*Tariefsopbouw!$D$40</f>
        <v>0</v>
      </c>
      <c r="AF647" s="79">
        <f>Ruimtestaat[[#This Row],[Prest. (m2 /jaar) weekend]]+Ruimtestaat[[#This Row],[Prest. (m2 /jaar) werkdagen]]</f>
        <v>260</v>
      </c>
      <c r="AG647" s="79">
        <f>Ruimtestaat[[#This Row],[uren / jaar weekend]]+Ruimtestaat[[#This Row],[uren / jaar werkdagen]]</f>
        <v>0</v>
      </c>
      <c r="AH647" s="80">
        <f>Ruimtestaat[[#This Row],[kosten / jaar weekend]]+Ruimtestaat[[#This Row],[kosten / jaar werkdagen]]</f>
        <v>0</v>
      </c>
    </row>
    <row r="648" spans="1:34" ht="15" customHeight="1">
      <c r="A648" s="256">
        <v>7</v>
      </c>
      <c r="B648" s="171" t="str">
        <f>VLOOKUP(Ruimtestaat[[#This Row],[Code]],Locaties[#All],2,FALSE)</f>
        <v>De Kapstok AGL</v>
      </c>
      <c r="C648" s="258" t="str">
        <f>VLOOKUP(Ruimtestaat[[#This Row],[Code]],Locaties[#All],4,FALSE)</f>
        <v>Krabbenbosweg 91</v>
      </c>
      <c r="D648" s="258" t="str">
        <f>VLOOKUP(Ruimtestaat[[#This Row],[Code]],Locaties[#All],5,FALSE)</f>
        <v>7555ED</v>
      </c>
      <c r="E648" s="258" t="str">
        <f>VLOOKUP(Ruimtestaat[[#This Row],[Code]],Locaties[#All],6,FALSE)</f>
        <v>Hengelo</v>
      </c>
      <c r="F648" s="257" t="s">
        <v>628</v>
      </c>
      <c r="G648" s="257" t="s">
        <v>563</v>
      </c>
      <c r="H648" s="171"/>
      <c r="I648" s="257">
        <v>66</v>
      </c>
      <c r="J648" s="259" t="s">
        <v>577</v>
      </c>
      <c r="K648" s="258">
        <v>20</v>
      </c>
      <c r="L648" s="260" t="str">
        <f>VLOOKUP(Ruimtestaat[[#This Row],[Ruimte code]],Ruimtegroepen[#All],2,FALSE)</f>
        <v>Niet in onderhoud</v>
      </c>
      <c r="M648" s="212" t="s">
        <v>111</v>
      </c>
      <c r="N648" s="257" t="s">
        <v>605</v>
      </c>
      <c r="O648" s="261"/>
      <c r="P648" s="183">
        <v>1.3</v>
      </c>
      <c r="Q648" s="212" t="str">
        <f>VLOOKUP(Ruimtestaat[[#This Row],[Ruimte code]],Ruimtegroepen[#All],4,FALSE)</f>
        <v>niet in onderhoud</v>
      </c>
      <c r="R648" s="184"/>
      <c r="S648" s="185"/>
      <c r="T648" s="185"/>
      <c r="U648" s="185">
        <f>IF(S648&gt;0,IF(RIGHT(Ruimtestaat[[#This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48" s="185">
        <f>IF(U648&gt;0,VLOOKUP($K648,Ruimtegroepen[],3,FALSE)*VLOOKUP($M648,Vloersoorten[],3,FALSE)*VLOOKUP($T648,Frequenties[],3,FALSE)*VLOOKUP($A648,Locaties[],3,FALSE),0)</f>
        <v>0</v>
      </c>
      <c r="W648" s="185">
        <f>Ruimtestaat[[#This Row],[Uitvoeringen werkdagen]]*Ruimtestaat[[#This Row],[Oppervlak (netto)]]</f>
        <v>0</v>
      </c>
      <c r="X648" s="220">
        <f>IF(V648&gt;0,Ruimtestaat[[#This Row],[Prest. (m2 /jaar) werkdagen]]/Ruimtestaat[[#This Row],[Norm (m2/uur) werkdagen]],0)</f>
        <v>0</v>
      </c>
      <c r="Y648" s="221">
        <f>Ruimtestaat[[#This Row],[uren / jaar werkdagen]]*Tariefsopbouw!$D$38</f>
        <v>0</v>
      </c>
      <c r="Z648" s="33"/>
      <c r="AA648" s="33">
        <f>IF(Ruimtestaat[[#This Row],[Frequentie weekend]]&gt;0,VALUE(LEFT(Z648,1))*S648,0)</f>
        <v>0</v>
      </c>
      <c r="AB648" s="33">
        <f>IF($AA648&gt;0,VLOOKUP($K648,Ruimtegroepen[],3,FALSE)*VLOOKUP($M648,Vloersoorten[],3,FALSE)*VLOOKUP($Z648,Frequenties[],3,FALSE)*VLOOKUP(#REF!,Locaties[],3,FALSE),0)</f>
        <v>0</v>
      </c>
      <c r="AC648" s="33"/>
      <c r="AD648" s="33"/>
      <c r="AE648" s="33">
        <f>Ruimtestaat[[#This Row],[uren / jaar weekend]]*Tariefsopbouw!$D$40</f>
        <v>0</v>
      </c>
      <c r="AF648" s="79">
        <f>Ruimtestaat[[#This Row],[Prest. (m2 /jaar) weekend]]+Ruimtestaat[[#This Row],[Prest. (m2 /jaar) werkdagen]]</f>
        <v>0</v>
      </c>
      <c r="AG648" s="79">
        <f>Ruimtestaat[[#This Row],[uren / jaar weekend]]+Ruimtestaat[[#This Row],[uren / jaar werkdagen]]</f>
        <v>0</v>
      </c>
      <c r="AH648" s="80">
        <f>Ruimtestaat[[#This Row],[kosten / jaar weekend]]+Ruimtestaat[[#This Row],[kosten / jaar werkdagen]]</f>
        <v>0</v>
      </c>
    </row>
    <row r="649" spans="1:34" ht="15" customHeight="1">
      <c r="A649" s="256">
        <v>7</v>
      </c>
      <c r="B649" s="171" t="str">
        <f>VLOOKUP(Ruimtestaat[[#This Row],[Code]],Locaties[#All],2,FALSE)</f>
        <v>De Kapstok AGL</v>
      </c>
      <c r="C649" s="258" t="str">
        <f>VLOOKUP(Ruimtestaat[[#This Row],[Code]],Locaties[#All],4,FALSE)</f>
        <v>Krabbenbosweg 91</v>
      </c>
      <c r="D649" s="258" t="str">
        <f>VLOOKUP(Ruimtestaat[[#This Row],[Code]],Locaties[#All],5,FALSE)</f>
        <v>7555ED</v>
      </c>
      <c r="E649" s="258" t="str">
        <f>VLOOKUP(Ruimtestaat[[#This Row],[Code]],Locaties[#All],6,FALSE)</f>
        <v>Hengelo</v>
      </c>
      <c r="F649" s="257" t="s">
        <v>628</v>
      </c>
      <c r="G649" s="257" t="s">
        <v>563</v>
      </c>
      <c r="H649" s="171"/>
      <c r="I649" s="257">
        <v>67</v>
      </c>
      <c r="J649" s="259" t="s">
        <v>650</v>
      </c>
      <c r="K649" s="171">
        <v>20</v>
      </c>
      <c r="L649" s="260" t="str">
        <f>VLOOKUP(Ruimtestaat[[#This Row],[Ruimte code]],Ruimtegroepen[#All],2,FALSE)</f>
        <v>Niet in onderhoud</v>
      </c>
      <c r="M649" s="212" t="s">
        <v>111</v>
      </c>
      <c r="N649" s="257" t="s">
        <v>626</v>
      </c>
      <c r="O649" s="261"/>
      <c r="P649" s="183">
        <v>4.7</v>
      </c>
      <c r="Q649" s="212" t="str">
        <f>VLOOKUP(Ruimtestaat[[#This Row],[Ruimte code]],Ruimtegroepen[#All],4,FALSE)</f>
        <v>niet in onderhoud</v>
      </c>
      <c r="R649" s="184"/>
      <c r="S649" s="185"/>
      <c r="T649" s="185"/>
      <c r="U649" s="185">
        <f>IF(S649&gt;0,IF(RIGHT(Ruimtestaat[[#This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49" s="185">
        <f>IF(U649&gt;0,VLOOKUP($K649,Ruimtegroepen[],3,FALSE)*VLOOKUP($M649,Vloersoorten[],3,FALSE)*VLOOKUP($T649,Frequenties[],3,FALSE)*VLOOKUP($A649,Locaties[],3,FALSE),0)</f>
        <v>0</v>
      </c>
      <c r="W649" s="185">
        <f>Ruimtestaat[[#This Row],[Uitvoeringen werkdagen]]*Ruimtestaat[[#This Row],[Oppervlak (netto)]]</f>
        <v>0</v>
      </c>
      <c r="X649" s="220">
        <f>IF(V649&gt;0,Ruimtestaat[[#This Row],[Prest. (m2 /jaar) werkdagen]]/Ruimtestaat[[#This Row],[Norm (m2/uur) werkdagen]],0)</f>
        <v>0</v>
      </c>
      <c r="Y649" s="221">
        <f>Ruimtestaat[[#This Row],[uren / jaar werkdagen]]*Tariefsopbouw!$D$38</f>
        <v>0</v>
      </c>
      <c r="Z649" s="33"/>
      <c r="AA649" s="33">
        <f>IF(Ruimtestaat[[#This Row],[Frequentie weekend]]&gt;0,VALUE(LEFT(Z649,1))*S649,0)</f>
        <v>0</v>
      </c>
      <c r="AB649" s="33">
        <f>IF($AA649&gt;0,VLOOKUP($K649,Ruimtegroepen[],3,FALSE)*VLOOKUP($M649,Vloersoorten[],3,FALSE)*VLOOKUP($Z649,Frequenties[],3,FALSE)*VLOOKUP(#REF!,Locaties[],3,FALSE),0)</f>
        <v>0</v>
      </c>
      <c r="AC649" s="33"/>
      <c r="AD649" s="33"/>
      <c r="AE649" s="33">
        <f>Ruimtestaat[[#This Row],[uren / jaar weekend]]*Tariefsopbouw!$D$40</f>
        <v>0</v>
      </c>
      <c r="AF649" s="79">
        <f>Ruimtestaat[[#This Row],[Prest. (m2 /jaar) weekend]]+Ruimtestaat[[#This Row],[Prest. (m2 /jaar) werkdagen]]</f>
        <v>0</v>
      </c>
      <c r="AG649" s="79">
        <f>Ruimtestaat[[#This Row],[uren / jaar weekend]]+Ruimtestaat[[#This Row],[uren / jaar werkdagen]]</f>
        <v>0</v>
      </c>
      <c r="AH649" s="80">
        <f>Ruimtestaat[[#This Row],[kosten / jaar weekend]]+Ruimtestaat[[#This Row],[kosten / jaar werkdagen]]</f>
        <v>0</v>
      </c>
    </row>
    <row r="650" spans="1:34" ht="15" customHeight="1">
      <c r="A650" s="256">
        <v>7</v>
      </c>
      <c r="B650" s="171" t="str">
        <f>VLOOKUP(Ruimtestaat[[#This Row],[Code]],Locaties[#All],2,FALSE)</f>
        <v>De Kapstok AGL</v>
      </c>
      <c r="C650" s="258" t="str">
        <f>VLOOKUP(Ruimtestaat[[#This Row],[Code]],Locaties[#All],4,FALSE)</f>
        <v>Krabbenbosweg 91</v>
      </c>
      <c r="D650" s="258" t="str">
        <f>VLOOKUP(Ruimtestaat[[#This Row],[Code]],Locaties[#All],5,FALSE)</f>
        <v>7555ED</v>
      </c>
      <c r="E650" s="258" t="str">
        <f>VLOOKUP(Ruimtestaat[[#This Row],[Code]],Locaties[#All],6,FALSE)</f>
        <v>Hengelo</v>
      </c>
      <c r="F650" s="257" t="s">
        <v>628</v>
      </c>
      <c r="G650" s="257" t="s">
        <v>563</v>
      </c>
      <c r="H650" s="171"/>
      <c r="I650" s="257">
        <v>65</v>
      </c>
      <c r="J650" s="259" t="s">
        <v>580</v>
      </c>
      <c r="K650" s="171">
        <v>18</v>
      </c>
      <c r="L650" s="260" t="str">
        <f>VLOOKUP(Ruimtestaat[[#This Row],[Ruimte code]],Ruimtegroepen[#All],2,FALSE)</f>
        <v>Gymzaal</v>
      </c>
      <c r="M650" s="185" t="s">
        <v>112</v>
      </c>
      <c r="N650" s="257" t="s">
        <v>596</v>
      </c>
      <c r="O650" s="261">
        <v>120.6</v>
      </c>
      <c r="P650" s="183"/>
      <c r="Q650" s="212" t="str">
        <f>VLOOKUP(Ruimtestaat[[#This Row],[Ruimte code]],Ruimtegroepen[#All],4,FALSE)</f>
        <v>Sp  (Sportruimte)</v>
      </c>
      <c r="R650" s="184"/>
      <c r="S650" s="185">
        <v>40</v>
      </c>
      <c r="T650" s="185" t="s">
        <v>2</v>
      </c>
      <c r="U650" s="185">
        <f>IF(S650&gt;0,IF(RIGHT(Ruimtestaat[[#This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0" s="185">
        <f>IF(U650&gt;0,VLOOKUP($K650,Ruimtegroepen[],3,FALSE)*VLOOKUP($M650,Vloersoorten[],3,FALSE)*VLOOKUP($T650,Frequenties[],3,FALSE)*VLOOKUP($A650,Locaties[],3,FALSE),0)</f>
        <v>0</v>
      </c>
      <c r="W650" s="185">
        <f>Ruimtestaat[[#This Row],[Uitvoeringen werkdagen]]*Ruimtestaat[[#This Row],[Oppervlak (netto)]]</f>
        <v>24120</v>
      </c>
      <c r="X650" s="220">
        <f>IF(V650&gt;0,Ruimtestaat[[#This Row],[Prest. (m2 /jaar) werkdagen]]/Ruimtestaat[[#This Row],[Norm (m2/uur) werkdagen]],0)</f>
        <v>0</v>
      </c>
      <c r="Y650" s="221">
        <f>Ruimtestaat[[#This Row],[uren / jaar werkdagen]]*Tariefsopbouw!$D$38</f>
        <v>0</v>
      </c>
      <c r="Z650" s="33"/>
      <c r="AA650" s="33">
        <f>IF(Ruimtestaat[[#This Row],[Frequentie weekend]]&gt;0,VALUE(LEFT(Z650,1))*S650,0)</f>
        <v>0</v>
      </c>
      <c r="AB650" s="33">
        <f>IF($AA650&gt;0,VLOOKUP($K650,Ruimtegroepen[],3,FALSE)*VLOOKUP($M650,Vloersoorten[],3,FALSE)*VLOOKUP($Z650,Frequenties[],3,FALSE)*VLOOKUP(#REF!,Locaties[],3,FALSE),0)</f>
        <v>0</v>
      </c>
      <c r="AC650" s="33"/>
      <c r="AD650" s="33"/>
      <c r="AE650" s="33">
        <f>Ruimtestaat[[#This Row],[uren / jaar weekend]]*Tariefsopbouw!$D$40</f>
        <v>0</v>
      </c>
      <c r="AF650" s="79">
        <f>Ruimtestaat[[#This Row],[Prest. (m2 /jaar) weekend]]+Ruimtestaat[[#This Row],[Prest. (m2 /jaar) werkdagen]]</f>
        <v>24120</v>
      </c>
      <c r="AG650" s="79">
        <f>Ruimtestaat[[#This Row],[uren / jaar weekend]]+Ruimtestaat[[#This Row],[uren / jaar werkdagen]]</f>
        <v>0</v>
      </c>
      <c r="AH650" s="80">
        <f>Ruimtestaat[[#This Row],[kosten / jaar weekend]]+Ruimtestaat[[#This Row],[kosten / jaar werkdagen]]</f>
        <v>0</v>
      </c>
    </row>
    <row r="651" spans="1:34" ht="15" customHeight="1">
      <c r="A651" s="256">
        <v>7</v>
      </c>
      <c r="B651" s="171" t="str">
        <f>VLOOKUP(Ruimtestaat[[#This Row],[Code]],Locaties[#All],2,FALSE)</f>
        <v>De Kapstok AGL</v>
      </c>
      <c r="C651" s="258" t="str">
        <f>VLOOKUP(Ruimtestaat[[#This Row],[Code]],Locaties[#All],4,FALSE)</f>
        <v>Krabbenbosweg 91</v>
      </c>
      <c r="D651" s="258" t="str">
        <f>VLOOKUP(Ruimtestaat[[#This Row],[Code]],Locaties[#All],5,FALSE)</f>
        <v>7555ED</v>
      </c>
      <c r="E651" s="258" t="str">
        <f>VLOOKUP(Ruimtestaat[[#This Row],[Code]],Locaties[#All],6,FALSE)</f>
        <v>Hengelo</v>
      </c>
      <c r="F651" s="257" t="s">
        <v>628</v>
      </c>
      <c r="G651" s="257" t="s">
        <v>563</v>
      </c>
      <c r="H651" s="171"/>
      <c r="I651" s="257">
        <v>72</v>
      </c>
      <c r="J651" s="259" t="s">
        <v>661</v>
      </c>
      <c r="K651" s="258">
        <v>17</v>
      </c>
      <c r="L651" s="260" t="str">
        <f>VLOOKUP(Ruimtestaat[[#This Row],[Ruimte code]],Ruimtegroepen[#All],2,FALSE)</f>
        <v>Toestelberging</v>
      </c>
      <c r="M651" s="185" t="s">
        <v>112</v>
      </c>
      <c r="N651" s="257" t="s">
        <v>596</v>
      </c>
      <c r="O651" s="261">
        <v>15</v>
      </c>
      <c r="P651" s="183"/>
      <c r="Q651" s="212" t="str">
        <f>VLOOKUP(Ruimtestaat[[#This Row],[Ruimte code]],Ruimtegroepen[#All],4,FALSE)</f>
        <v>V  (Verkeersruimte)</v>
      </c>
      <c r="R651" s="184"/>
      <c r="S651" s="185">
        <v>40</v>
      </c>
      <c r="T651" s="185" t="s">
        <v>16</v>
      </c>
      <c r="U651" s="185">
        <f>IF(S651&gt;0,IF(RIGHT(Ruimtestaat[[#This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651" s="185">
        <f>IF(U651&gt;0,VLOOKUP($K651,Ruimtegroepen[],3,FALSE)*VLOOKUP($M651,Vloersoorten[],3,FALSE)*VLOOKUP($T651,Frequenties[],3,FALSE)*VLOOKUP($A651,Locaties[],3,FALSE),0)</f>
        <v>0</v>
      </c>
      <c r="W651" s="185">
        <f>Ruimtestaat[[#This Row],[Uitvoeringen werkdagen]]*Ruimtestaat[[#This Row],[Oppervlak (netto)]]</f>
        <v>180</v>
      </c>
      <c r="X651" s="220">
        <f>IF(V651&gt;0,Ruimtestaat[[#This Row],[Prest. (m2 /jaar) werkdagen]]/Ruimtestaat[[#This Row],[Norm (m2/uur) werkdagen]],0)</f>
        <v>0</v>
      </c>
      <c r="Y651" s="221">
        <f>Ruimtestaat[[#This Row],[uren / jaar werkdagen]]*Tariefsopbouw!$D$38</f>
        <v>0</v>
      </c>
      <c r="Z651" s="33"/>
      <c r="AA651" s="33">
        <f>IF(Ruimtestaat[[#This Row],[Frequentie weekend]]&gt;0,VALUE(LEFT(Z651,1))*S651,0)</f>
        <v>0</v>
      </c>
      <c r="AB651" s="33">
        <f>IF($AA651&gt;0,VLOOKUP($K651,Ruimtegroepen[],3,FALSE)*VLOOKUP($M651,Vloersoorten[],3,FALSE)*VLOOKUP($Z651,Frequenties[],3,FALSE)*VLOOKUP(#REF!,Locaties[],3,FALSE),0)</f>
        <v>0</v>
      </c>
      <c r="AC651" s="33"/>
      <c r="AD651" s="33"/>
      <c r="AE651" s="33">
        <f>Ruimtestaat[[#This Row],[uren / jaar weekend]]*Tariefsopbouw!$D$40</f>
        <v>0</v>
      </c>
      <c r="AF651" s="79">
        <f>Ruimtestaat[[#This Row],[Prest. (m2 /jaar) weekend]]+Ruimtestaat[[#This Row],[Prest. (m2 /jaar) werkdagen]]</f>
        <v>180</v>
      </c>
      <c r="AG651" s="79">
        <f>Ruimtestaat[[#This Row],[uren / jaar weekend]]+Ruimtestaat[[#This Row],[uren / jaar werkdagen]]</f>
        <v>0</v>
      </c>
      <c r="AH651" s="80">
        <f>Ruimtestaat[[#This Row],[kosten / jaar weekend]]+Ruimtestaat[[#This Row],[kosten / jaar werkdagen]]</f>
        <v>0</v>
      </c>
    </row>
    <row r="652" spans="1:34" ht="15" customHeight="1">
      <c r="A652" s="256">
        <v>7</v>
      </c>
      <c r="B652" s="171" t="str">
        <f>VLOOKUP(Ruimtestaat[[#This Row],[Code]],Locaties[#All],2,FALSE)</f>
        <v>De Kapstok AGL</v>
      </c>
      <c r="C652" s="258" t="str">
        <f>VLOOKUP(Ruimtestaat[[#This Row],[Code]],Locaties[#All],4,FALSE)</f>
        <v>Krabbenbosweg 91</v>
      </c>
      <c r="D652" s="258" t="str">
        <f>VLOOKUP(Ruimtestaat[[#This Row],[Code]],Locaties[#All],5,FALSE)</f>
        <v>7555ED</v>
      </c>
      <c r="E652" s="258" t="str">
        <f>VLOOKUP(Ruimtestaat[[#This Row],[Code]],Locaties[#All],6,FALSE)</f>
        <v>Hengelo</v>
      </c>
      <c r="F652" s="257" t="s">
        <v>628</v>
      </c>
      <c r="G652" s="257" t="s">
        <v>563</v>
      </c>
      <c r="H652" s="171"/>
      <c r="I652" s="257">
        <v>64</v>
      </c>
      <c r="J652" s="259" t="s">
        <v>579</v>
      </c>
      <c r="K652" s="185">
        <v>17</v>
      </c>
      <c r="L652" s="260" t="str">
        <f>VLOOKUP(Ruimtestaat[[#This Row],[Ruimte code]],Ruimtegroepen[#All],2,FALSE)</f>
        <v>Toestelberging</v>
      </c>
      <c r="M652" s="185" t="s">
        <v>112</v>
      </c>
      <c r="N652" s="257" t="s">
        <v>596</v>
      </c>
      <c r="O652" s="261">
        <v>43.5</v>
      </c>
      <c r="P652" s="183"/>
      <c r="Q652" s="212" t="str">
        <f>VLOOKUP(Ruimtestaat[[#This Row],[Ruimte code]],Ruimtegroepen[#All],4,FALSE)</f>
        <v>V  (Verkeersruimte)</v>
      </c>
      <c r="R652" s="184"/>
      <c r="S652" s="185">
        <v>40</v>
      </c>
      <c r="T652" s="185" t="s">
        <v>2</v>
      </c>
      <c r="U652" s="185">
        <f>IF(S652&gt;0,IF(RIGHT(Ruimtestaat[[#This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2" s="185">
        <f>IF(U652&gt;0,VLOOKUP($K652,Ruimtegroepen[],3,FALSE)*VLOOKUP($M652,Vloersoorten[],3,FALSE)*VLOOKUP($T652,Frequenties[],3,FALSE)*VLOOKUP($A652,Locaties[],3,FALSE),0)</f>
        <v>0</v>
      </c>
      <c r="W652" s="185">
        <f>Ruimtestaat[[#This Row],[Uitvoeringen werkdagen]]*Ruimtestaat[[#This Row],[Oppervlak (netto)]]</f>
        <v>8700</v>
      </c>
      <c r="X652" s="220">
        <f>IF(V652&gt;0,Ruimtestaat[[#This Row],[Prest. (m2 /jaar) werkdagen]]/Ruimtestaat[[#This Row],[Norm (m2/uur) werkdagen]],0)</f>
        <v>0</v>
      </c>
      <c r="Y652" s="221">
        <f>Ruimtestaat[[#This Row],[uren / jaar werkdagen]]*Tariefsopbouw!$D$38</f>
        <v>0</v>
      </c>
      <c r="Z652" s="33"/>
      <c r="AA652" s="33">
        <f>IF(Ruimtestaat[[#This Row],[Frequentie weekend]]&gt;0,VALUE(LEFT(Z652,1))*S652,0)</f>
        <v>0</v>
      </c>
      <c r="AB652" s="33">
        <f>IF($AA652&gt;0,VLOOKUP($K652,Ruimtegroepen[],3,FALSE)*VLOOKUP($M652,Vloersoorten[],3,FALSE)*VLOOKUP($Z652,Frequenties[],3,FALSE)*VLOOKUP(#REF!,Locaties[],3,FALSE),0)</f>
        <v>0</v>
      </c>
      <c r="AC652" s="33"/>
      <c r="AD652" s="33"/>
      <c r="AE652" s="33">
        <f>Ruimtestaat[[#This Row],[uren / jaar weekend]]*Tariefsopbouw!$D$40</f>
        <v>0</v>
      </c>
      <c r="AF652" s="79">
        <f>Ruimtestaat[[#This Row],[Prest. (m2 /jaar) weekend]]+Ruimtestaat[[#This Row],[Prest. (m2 /jaar) werkdagen]]</f>
        <v>8700</v>
      </c>
      <c r="AG652" s="79">
        <f>Ruimtestaat[[#This Row],[uren / jaar weekend]]+Ruimtestaat[[#This Row],[uren / jaar werkdagen]]</f>
        <v>0</v>
      </c>
      <c r="AH652" s="80">
        <f>Ruimtestaat[[#This Row],[kosten / jaar weekend]]+Ruimtestaat[[#This Row],[kosten / jaar werkdagen]]</f>
        <v>0</v>
      </c>
    </row>
    <row r="653" spans="1:34" ht="15" customHeight="1">
      <c r="A653" s="256">
        <v>7</v>
      </c>
      <c r="B653" s="171" t="str">
        <f>VLOOKUP(Ruimtestaat[[#This Row],[Code]],Locaties[#All],2,FALSE)</f>
        <v>De Kapstok AGL</v>
      </c>
      <c r="C653" s="258" t="str">
        <f>VLOOKUP(Ruimtestaat[[#This Row],[Code]],Locaties[#All],4,FALSE)</f>
        <v>Krabbenbosweg 91</v>
      </c>
      <c r="D653" s="258" t="str">
        <f>VLOOKUP(Ruimtestaat[[#This Row],[Code]],Locaties[#All],5,FALSE)</f>
        <v>7555ED</v>
      </c>
      <c r="E653" s="258" t="str">
        <f>VLOOKUP(Ruimtestaat[[#This Row],[Code]],Locaties[#All],6,FALSE)</f>
        <v>Hengelo</v>
      </c>
      <c r="F653" s="257" t="s">
        <v>628</v>
      </c>
      <c r="G653" s="257" t="s">
        <v>563</v>
      </c>
      <c r="H653" s="171"/>
      <c r="I653" s="257">
        <v>63</v>
      </c>
      <c r="J653" s="259" t="s">
        <v>571</v>
      </c>
      <c r="K653" s="171">
        <v>2</v>
      </c>
      <c r="L653" s="260" t="str">
        <f>VLOOKUP(Ruimtestaat[[#This Row],[Ruimte code]],Ruimtegroepen[#All],2,FALSE)</f>
        <v>Kantoren</v>
      </c>
      <c r="M653" s="258" t="s">
        <v>598</v>
      </c>
      <c r="N653" s="257" t="s">
        <v>132</v>
      </c>
      <c r="O653" s="261">
        <v>6.7</v>
      </c>
      <c r="P653" s="183"/>
      <c r="Q653" s="212" t="str">
        <f>VLOOKUP(Ruimtestaat[[#This Row],[Ruimte code]],Ruimtegroepen[#All],4,FALSE)</f>
        <v>B  (Bureauruimte)</v>
      </c>
      <c r="R653" s="184"/>
      <c r="S653" s="185">
        <v>40</v>
      </c>
      <c r="T653" s="185" t="s">
        <v>18</v>
      </c>
      <c r="U653" s="185">
        <f>IF(S653&gt;0,IF(RIGHT(Ruimtestaat[[#This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53" s="185">
        <f>IF(U653&gt;0,VLOOKUP($K653,Ruimtegroepen[],3,FALSE)*VLOOKUP($M653,Vloersoorten[],3,FALSE)*VLOOKUP($T653,Frequenties[],3,FALSE)*VLOOKUP($A653,Locaties[],3,FALSE),0)</f>
        <v>0</v>
      </c>
      <c r="W653" s="185">
        <f>Ruimtestaat[[#This Row],[Uitvoeringen werkdagen]]*Ruimtestaat[[#This Row],[Oppervlak (netto)]]</f>
        <v>804</v>
      </c>
      <c r="X653" s="220">
        <f>IF(V653&gt;0,Ruimtestaat[[#This Row],[Prest. (m2 /jaar) werkdagen]]/Ruimtestaat[[#This Row],[Norm (m2/uur) werkdagen]],0)</f>
        <v>0</v>
      </c>
      <c r="Y653" s="221">
        <f>Ruimtestaat[[#This Row],[uren / jaar werkdagen]]*Tariefsopbouw!$D$38</f>
        <v>0</v>
      </c>
      <c r="Z653" s="33"/>
      <c r="AA653" s="33">
        <f>IF(Ruimtestaat[[#This Row],[Frequentie weekend]]&gt;0,VALUE(LEFT(Z653,1))*S653,0)</f>
        <v>0</v>
      </c>
      <c r="AB653" s="33">
        <f>IF($AA653&gt;0,VLOOKUP($K653,Ruimtegroepen[],3,FALSE)*VLOOKUP($M653,Vloersoorten[],3,FALSE)*VLOOKUP($Z653,Frequenties[],3,FALSE)*VLOOKUP(#REF!,Locaties[],3,FALSE),0)</f>
        <v>0</v>
      </c>
      <c r="AC653" s="33"/>
      <c r="AD653" s="33"/>
      <c r="AE653" s="33">
        <f>Ruimtestaat[[#This Row],[uren / jaar weekend]]*Tariefsopbouw!$D$40</f>
        <v>0</v>
      </c>
      <c r="AF653" s="79">
        <f>Ruimtestaat[[#This Row],[Prest. (m2 /jaar) weekend]]+Ruimtestaat[[#This Row],[Prest. (m2 /jaar) werkdagen]]</f>
        <v>804</v>
      </c>
      <c r="AG653" s="79">
        <f>Ruimtestaat[[#This Row],[uren / jaar weekend]]+Ruimtestaat[[#This Row],[uren / jaar werkdagen]]</f>
        <v>0</v>
      </c>
      <c r="AH653" s="80">
        <f>Ruimtestaat[[#This Row],[kosten / jaar weekend]]+Ruimtestaat[[#This Row],[kosten / jaar werkdagen]]</f>
        <v>0</v>
      </c>
    </row>
    <row r="654" spans="1:34" ht="15" customHeight="1">
      <c r="A654" s="256">
        <v>7</v>
      </c>
      <c r="B654" s="171" t="str">
        <f>VLOOKUP(Ruimtestaat[[#This Row],[Code]],Locaties[#All],2,FALSE)</f>
        <v>De Kapstok AGL</v>
      </c>
      <c r="C654" s="258" t="str">
        <f>VLOOKUP(Ruimtestaat[[#This Row],[Code]],Locaties[#All],4,FALSE)</f>
        <v>Krabbenbosweg 91</v>
      </c>
      <c r="D654" s="258" t="str">
        <f>VLOOKUP(Ruimtestaat[[#This Row],[Code]],Locaties[#All],5,FALSE)</f>
        <v>7555ED</v>
      </c>
      <c r="E654" s="258" t="str">
        <f>VLOOKUP(Ruimtestaat[[#This Row],[Code]],Locaties[#All],6,FALSE)</f>
        <v>Hengelo</v>
      </c>
      <c r="F654" s="257" t="s">
        <v>628</v>
      </c>
      <c r="G654" s="257" t="s">
        <v>563</v>
      </c>
      <c r="H654" s="171"/>
      <c r="I654" s="257" t="s">
        <v>643</v>
      </c>
      <c r="J654" s="259" t="s">
        <v>585</v>
      </c>
      <c r="K654" s="171">
        <v>20</v>
      </c>
      <c r="L654" s="260" t="str">
        <f>VLOOKUP(Ruimtestaat[[#This Row],[Ruimte code]],Ruimtegroepen[#All],2,FALSE)</f>
        <v>Niet in onderhoud</v>
      </c>
      <c r="M654" s="258" t="s">
        <v>598</v>
      </c>
      <c r="N654" s="257" t="s">
        <v>132</v>
      </c>
      <c r="O654" s="261"/>
      <c r="P654" s="183">
        <v>4</v>
      </c>
      <c r="Q654" s="212" t="str">
        <f>VLOOKUP(Ruimtestaat[[#This Row],[Ruimte code]],Ruimtegroepen[#All],4,FALSE)</f>
        <v>niet in onderhoud</v>
      </c>
      <c r="R654" s="184"/>
      <c r="S654" s="185"/>
      <c r="T654" s="185"/>
      <c r="U654" s="185">
        <f>IF(S654&gt;0,IF(RIGHT(Ruimtestaat[[#This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54" s="185">
        <f>IF(U654&gt;0,VLOOKUP($K654,Ruimtegroepen[],3,FALSE)*VLOOKUP($M654,Vloersoorten[],3,FALSE)*VLOOKUP($T654,Frequenties[],3,FALSE)*VLOOKUP($A654,Locaties[],3,FALSE),0)</f>
        <v>0</v>
      </c>
      <c r="W654" s="185">
        <f>Ruimtestaat[[#This Row],[Uitvoeringen werkdagen]]*Ruimtestaat[[#This Row],[Oppervlak (netto)]]</f>
        <v>0</v>
      </c>
      <c r="X654" s="220">
        <f>IF(V654&gt;0,Ruimtestaat[[#This Row],[Prest. (m2 /jaar) werkdagen]]/Ruimtestaat[[#This Row],[Norm (m2/uur) werkdagen]],0)</f>
        <v>0</v>
      </c>
      <c r="Y654" s="221">
        <f>Ruimtestaat[[#This Row],[uren / jaar werkdagen]]*Tariefsopbouw!$D$38</f>
        <v>0</v>
      </c>
      <c r="Z654" s="33"/>
      <c r="AA654" s="33">
        <f>IF(Ruimtestaat[[#This Row],[Frequentie weekend]]&gt;0,VALUE(LEFT(Z654,1))*S654,0)</f>
        <v>0</v>
      </c>
      <c r="AB654" s="33">
        <f>IF($AA654&gt;0,VLOOKUP($K654,Ruimtegroepen[],3,FALSE)*VLOOKUP($M654,Vloersoorten[],3,FALSE)*VLOOKUP($Z654,Frequenties[],3,FALSE)*VLOOKUP(#REF!,Locaties[],3,FALSE),0)</f>
        <v>0</v>
      </c>
      <c r="AC654" s="33"/>
      <c r="AD654" s="33"/>
      <c r="AE654" s="33">
        <f>Ruimtestaat[[#This Row],[uren / jaar weekend]]*Tariefsopbouw!$D$40</f>
        <v>0</v>
      </c>
      <c r="AF654" s="79">
        <f>Ruimtestaat[[#This Row],[Prest. (m2 /jaar) weekend]]+Ruimtestaat[[#This Row],[Prest. (m2 /jaar) werkdagen]]</f>
        <v>0</v>
      </c>
      <c r="AG654" s="79">
        <f>Ruimtestaat[[#This Row],[uren / jaar weekend]]+Ruimtestaat[[#This Row],[uren / jaar werkdagen]]</f>
        <v>0</v>
      </c>
      <c r="AH654" s="80">
        <f>Ruimtestaat[[#This Row],[kosten / jaar weekend]]+Ruimtestaat[[#This Row],[kosten / jaar werkdagen]]</f>
        <v>0</v>
      </c>
    </row>
    <row r="655" spans="1:34" ht="15" customHeight="1">
      <c r="A655" s="256">
        <v>7</v>
      </c>
      <c r="B655" s="171" t="str">
        <f>VLOOKUP(Ruimtestaat[[#This Row],[Code]],Locaties[#All],2,FALSE)</f>
        <v>De Kapstok AGL</v>
      </c>
      <c r="C655" s="258" t="str">
        <f>VLOOKUP(Ruimtestaat[[#This Row],[Code]],Locaties[#All],4,FALSE)</f>
        <v>Krabbenbosweg 91</v>
      </c>
      <c r="D655" s="258" t="str">
        <f>VLOOKUP(Ruimtestaat[[#This Row],[Code]],Locaties[#All],5,FALSE)</f>
        <v>7555ED</v>
      </c>
      <c r="E655" s="258" t="str">
        <f>VLOOKUP(Ruimtestaat[[#This Row],[Code]],Locaties[#All],6,FALSE)</f>
        <v>Hengelo</v>
      </c>
      <c r="F655" s="257" t="s">
        <v>628</v>
      </c>
      <c r="G655" s="257" t="s">
        <v>563</v>
      </c>
      <c r="H655" s="171"/>
      <c r="I655" s="257">
        <v>59</v>
      </c>
      <c r="J655" s="259" t="s">
        <v>581</v>
      </c>
      <c r="K655" s="171">
        <v>19</v>
      </c>
      <c r="L655" s="260" t="str">
        <f>VLOOKUP(Ruimtestaat[[#This Row],[Ruimte code]],Ruimtegroepen[#All],2,FALSE)</f>
        <v>Kleedruimten</v>
      </c>
      <c r="M655" s="212" t="s">
        <v>111</v>
      </c>
      <c r="N655" s="257" t="s">
        <v>605</v>
      </c>
      <c r="O655" s="261">
        <v>22.4</v>
      </c>
      <c r="P655" s="183"/>
      <c r="Q655" s="212" t="str">
        <f>VLOOKUP(Ruimtestaat[[#This Row],[Ruimte code]],Ruimtegroepen[#All],4,FALSE)</f>
        <v>V  (Verkeersruimte)</v>
      </c>
      <c r="R655" s="184"/>
      <c r="S655" s="185">
        <v>40</v>
      </c>
      <c r="T655" s="185" t="s">
        <v>2</v>
      </c>
      <c r="U655" s="185">
        <f>IF(S655&gt;0,IF(RIGHT(Ruimtestaat[[#This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5" s="185">
        <f>IF(U655&gt;0,VLOOKUP($K655,Ruimtegroepen[],3,FALSE)*VLOOKUP($M655,Vloersoorten[],3,FALSE)*VLOOKUP($T655,Frequenties[],3,FALSE)*VLOOKUP($A655,Locaties[],3,FALSE),0)</f>
        <v>0</v>
      </c>
      <c r="W655" s="185">
        <f>Ruimtestaat[[#This Row],[Uitvoeringen werkdagen]]*Ruimtestaat[[#This Row],[Oppervlak (netto)]]</f>
        <v>4480</v>
      </c>
      <c r="X655" s="220">
        <f>IF(V655&gt;0,Ruimtestaat[[#This Row],[Prest. (m2 /jaar) werkdagen]]/Ruimtestaat[[#This Row],[Norm (m2/uur) werkdagen]],0)</f>
        <v>0</v>
      </c>
      <c r="Y655" s="221">
        <f>Ruimtestaat[[#This Row],[uren / jaar werkdagen]]*Tariefsopbouw!$D$38</f>
        <v>0</v>
      </c>
      <c r="Z655" s="33"/>
      <c r="AA655" s="33">
        <f>IF(Ruimtestaat[[#This Row],[Frequentie weekend]]&gt;0,VALUE(LEFT(Z655,1))*S655,0)</f>
        <v>0</v>
      </c>
      <c r="AB655" s="33">
        <f>IF($AA655&gt;0,VLOOKUP($K655,Ruimtegroepen[],3,FALSE)*VLOOKUP($M655,Vloersoorten[],3,FALSE)*VLOOKUP($Z655,Frequenties[],3,FALSE)*VLOOKUP(#REF!,Locaties[],3,FALSE),0)</f>
        <v>0</v>
      </c>
      <c r="AC655" s="33"/>
      <c r="AD655" s="33"/>
      <c r="AE655" s="33">
        <f>Ruimtestaat[[#This Row],[uren / jaar weekend]]*Tariefsopbouw!$D$40</f>
        <v>0</v>
      </c>
      <c r="AF655" s="79">
        <f>Ruimtestaat[[#This Row],[Prest. (m2 /jaar) weekend]]+Ruimtestaat[[#This Row],[Prest. (m2 /jaar) werkdagen]]</f>
        <v>4480</v>
      </c>
      <c r="AG655" s="79">
        <f>Ruimtestaat[[#This Row],[uren / jaar weekend]]+Ruimtestaat[[#This Row],[uren / jaar werkdagen]]</f>
        <v>0</v>
      </c>
      <c r="AH655" s="80">
        <f>Ruimtestaat[[#This Row],[kosten / jaar weekend]]+Ruimtestaat[[#This Row],[kosten / jaar werkdagen]]</f>
        <v>0</v>
      </c>
    </row>
    <row r="656" spans="1:34" ht="15" customHeight="1">
      <c r="A656" s="256">
        <v>7</v>
      </c>
      <c r="B656" s="171" t="str">
        <f>VLOOKUP(Ruimtestaat[[#This Row],[Code]],Locaties[#All],2,FALSE)</f>
        <v>De Kapstok AGL</v>
      </c>
      <c r="C656" s="258" t="str">
        <f>VLOOKUP(Ruimtestaat[[#This Row],[Code]],Locaties[#All],4,FALSE)</f>
        <v>Krabbenbosweg 91</v>
      </c>
      <c r="D656" s="258" t="str">
        <f>VLOOKUP(Ruimtestaat[[#This Row],[Code]],Locaties[#All],5,FALSE)</f>
        <v>7555ED</v>
      </c>
      <c r="E656" s="258" t="str">
        <f>VLOOKUP(Ruimtestaat[[#This Row],[Code]],Locaties[#All],6,FALSE)</f>
        <v>Hengelo</v>
      </c>
      <c r="F656" s="257" t="s">
        <v>628</v>
      </c>
      <c r="G656" s="257" t="s">
        <v>563</v>
      </c>
      <c r="H656" s="171"/>
      <c r="I656" s="257">
        <v>60</v>
      </c>
      <c r="J656" s="259" t="s">
        <v>660</v>
      </c>
      <c r="K656" s="171">
        <v>19</v>
      </c>
      <c r="L656" s="260" t="str">
        <f>VLOOKUP(Ruimtestaat[[#This Row],[Ruimte code]],Ruimtegroepen[#All],2,FALSE)</f>
        <v>Kleedruimten</v>
      </c>
      <c r="M656" s="212" t="s">
        <v>111</v>
      </c>
      <c r="N656" s="257" t="s">
        <v>605</v>
      </c>
      <c r="O656" s="261">
        <v>10</v>
      </c>
      <c r="P656" s="183"/>
      <c r="Q656" s="212" t="str">
        <f>VLOOKUP(Ruimtestaat[[#This Row],[Ruimte code]],Ruimtegroepen[#All],4,FALSE)</f>
        <v>V  (Verkeersruimte)</v>
      </c>
      <c r="R656" s="184"/>
      <c r="S656" s="185">
        <v>40</v>
      </c>
      <c r="T656" s="185" t="s">
        <v>2</v>
      </c>
      <c r="U656" s="185">
        <f>IF(S656&gt;0,IF(RIGHT(Ruimtestaat[[#This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6" s="185">
        <f>IF(U656&gt;0,VLOOKUP($K656,Ruimtegroepen[],3,FALSE)*VLOOKUP($M656,Vloersoorten[],3,FALSE)*VLOOKUP($T656,Frequenties[],3,FALSE)*VLOOKUP($A656,Locaties[],3,FALSE),0)</f>
        <v>0</v>
      </c>
      <c r="W656" s="185">
        <f>Ruimtestaat[[#This Row],[Uitvoeringen werkdagen]]*Ruimtestaat[[#This Row],[Oppervlak (netto)]]</f>
        <v>2000</v>
      </c>
      <c r="X656" s="220">
        <f>IF(V656&gt;0,Ruimtestaat[[#This Row],[Prest. (m2 /jaar) werkdagen]]/Ruimtestaat[[#This Row],[Norm (m2/uur) werkdagen]],0)</f>
        <v>0</v>
      </c>
      <c r="Y656" s="221">
        <f>Ruimtestaat[[#This Row],[uren / jaar werkdagen]]*Tariefsopbouw!$D$38</f>
        <v>0</v>
      </c>
      <c r="Z656" s="33"/>
      <c r="AA656" s="33">
        <f>IF(Ruimtestaat[[#This Row],[Frequentie weekend]]&gt;0,VALUE(LEFT(Z656,1))*S656,0)</f>
        <v>0</v>
      </c>
      <c r="AB656" s="33">
        <f>IF($AA656&gt;0,VLOOKUP($K656,Ruimtegroepen[],3,FALSE)*VLOOKUP($M656,Vloersoorten[],3,FALSE)*VLOOKUP($Z656,Frequenties[],3,FALSE)*VLOOKUP(#REF!,Locaties[],3,FALSE),0)</f>
        <v>0</v>
      </c>
      <c r="AC656" s="33"/>
      <c r="AD656" s="33"/>
      <c r="AE656" s="33">
        <f>Ruimtestaat[[#This Row],[uren / jaar weekend]]*Tariefsopbouw!$D$40</f>
        <v>0</v>
      </c>
      <c r="AF656" s="79">
        <f>Ruimtestaat[[#This Row],[Prest. (m2 /jaar) weekend]]+Ruimtestaat[[#This Row],[Prest. (m2 /jaar) werkdagen]]</f>
        <v>2000</v>
      </c>
      <c r="AG656" s="79">
        <f>Ruimtestaat[[#This Row],[uren / jaar weekend]]+Ruimtestaat[[#This Row],[uren / jaar werkdagen]]</f>
        <v>0</v>
      </c>
      <c r="AH656" s="80">
        <f>Ruimtestaat[[#This Row],[kosten / jaar weekend]]+Ruimtestaat[[#This Row],[kosten / jaar werkdagen]]</f>
        <v>0</v>
      </c>
    </row>
    <row r="657" spans="1:34" ht="15" customHeight="1">
      <c r="A657" s="256">
        <v>7</v>
      </c>
      <c r="B657" s="171" t="str">
        <f>VLOOKUP(Ruimtestaat[[#This Row],[Code]],Locaties[#All],2,FALSE)</f>
        <v>De Kapstok AGL</v>
      </c>
      <c r="C657" s="258" t="str">
        <f>VLOOKUP(Ruimtestaat[[#This Row],[Code]],Locaties[#All],4,FALSE)</f>
        <v>Krabbenbosweg 91</v>
      </c>
      <c r="D657" s="258" t="str">
        <f>VLOOKUP(Ruimtestaat[[#This Row],[Code]],Locaties[#All],5,FALSE)</f>
        <v>7555ED</v>
      </c>
      <c r="E657" s="258" t="str">
        <f>VLOOKUP(Ruimtestaat[[#This Row],[Code]],Locaties[#All],6,FALSE)</f>
        <v>Hengelo</v>
      </c>
      <c r="F657" s="257" t="s">
        <v>628</v>
      </c>
      <c r="G657" s="257" t="s">
        <v>563</v>
      </c>
      <c r="H657" s="171"/>
      <c r="I657" s="257" t="s">
        <v>644</v>
      </c>
      <c r="J657" s="259" t="s">
        <v>569</v>
      </c>
      <c r="K657" s="224">
        <v>5</v>
      </c>
      <c r="L657" s="260" t="str">
        <f>VLOOKUP(Ruimtestaat[[#This Row],[Ruimte code]],Ruimtegroepen[#All],2,FALSE)</f>
        <v>Sanitair</v>
      </c>
      <c r="M657" s="212" t="s">
        <v>111</v>
      </c>
      <c r="N657" s="257" t="s">
        <v>605</v>
      </c>
      <c r="O657" s="261">
        <v>1.3</v>
      </c>
      <c r="P657" s="183"/>
      <c r="Q657" s="212" t="str">
        <f>VLOOKUP(Ruimtestaat[[#This Row],[Ruimte code]],Ruimtegroepen[#All],4,FALSE)</f>
        <v>S  (Sanitair)</v>
      </c>
      <c r="R657" s="184"/>
      <c r="S657" s="185">
        <v>40</v>
      </c>
      <c r="T657" s="185" t="s">
        <v>2</v>
      </c>
      <c r="U657" s="185">
        <f>IF(S657&gt;0,IF(RIGHT(Ruimtestaat[[#This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7" s="185">
        <f>IF(U657&gt;0,VLOOKUP($K657,Ruimtegroepen[],3,FALSE)*VLOOKUP($M657,Vloersoorten[],3,FALSE)*VLOOKUP($T657,Frequenties[],3,FALSE)*VLOOKUP($A657,Locaties[],3,FALSE),0)</f>
        <v>0</v>
      </c>
      <c r="W657" s="185">
        <f>Ruimtestaat[[#This Row],[Uitvoeringen werkdagen]]*Ruimtestaat[[#This Row],[Oppervlak (netto)]]</f>
        <v>260</v>
      </c>
      <c r="X657" s="220">
        <f>IF(V657&gt;0,Ruimtestaat[[#This Row],[Prest. (m2 /jaar) werkdagen]]/Ruimtestaat[[#This Row],[Norm (m2/uur) werkdagen]],0)</f>
        <v>0</v>
      </c>
      <c r="Y657" s="221">
        <f>Ruimtestaat[[#This Row],[uren / jaar werkdagen]]*Tariefsopbouw!$D$38</f>
        <v>0</v>
      </c>
      <c r="Z657" s="33"/>
      <c r="AA657" s="33">
        <f>IF(Ruimtestaat[[#This Row],[Frequentie weekend]]&gt;0,VALUE(LEFT(Z657,1))*S657,0)</f>
        <v>0</v>
      </c>
      <c r="AB657" s="33">
        <f>IF($AA657&gt;0,VLOOKUP($K657,Ruimtegroepen[],3,FALSE)*VLOOKUP($M657,Vloersoorten[],3,FALSE)*VLOOKUP($Z657,Frequenties[],3,FALSE)*VLOOKUP(#REF!,Locaties[],3,FALSE),0)</f>
        <v>0</v>
      </c>
      <c r="AC657" s="33"/>
      <c r="AD657" s="33"/>
      <c r="AE657" s="33">
        <f>Ruimtestaat[[#This Row],[uren / jaar weekend]]*Tariefsopbouw!$D$40</f>
        <v>0</v>
      </c>
      <c r="AF657" s="79">
        <f>Ruimtestaat[[#This Row],[Prest. (m2 /jaar) weekend]]+Ruimtestaat[[#This Row],[Prest. (m2 /jaar) werkdagen]]</f>
        <v>260</v>
      </c>
      <c r="AG657" s="79">
        <f>Ruimtestaat[[#This Row],[uren / jaar weekend]]+Ruimtestaat[[#This Row],[uren / jaar werkdagen]]</f>
        <v>0</v>
      </c>
      <c r="AH657" s="80">
        <f>Ruimtestaat[[#This Row],[kosten / jaar weekend]]+Ruimtestaat[[#This Row],[kosten / jaar werkdagen]]</f>
        <v>0</v>
      </c>
    </row>
    <row r="658" spans="1:34" ht="15" customHeight="1">
      <c r="A658" s="256">
        <v>7</v>
      </c>
      <c r="B658" s="171" t="str">
        <f>VLOOKUP(Ruimtestaat[[#This Row],[Code]],Locaties[#All],2,FALSE)</f>
        <v>De Kapstok AGL</v>
      </c>
      <c r="C658" s="258" t="str">
        <f>VLOOKUP(Ruimtestaat[[#This Row],[Code]],Locaties[#All],4,FALSE)</f>
        <v>Krabbenbosweg 91</v>
      </c>
      <c r="D658" s="258" t="str">
        <f>VLOOKUP(Ruimtestaat[[#This Row],[Code]],Locaties[#All],5,FALSE)</f>
        <v>7555ED</v>
      </c>
      <c r="E658" s="258" t="str">
        <f>VLOOKUP(Ruimtestaat[[#This Row],[Code]],Locaties[#All],6,FALSE)</f>
        <v>Hengelo</v>
      </c>
      <c r="F658" s="257" t="s">
        <v>628</v>
      </c>
      <c r="G658" s="257" t="s">
        <v>563</v>
      </c>
      <c r="H658" s="171"/>
      <c r="I658" s="257">
        <v>58</v>
      </c>
      <c r="J658" s="259" t="s">
        <v>662</v>
      </c>
      <c r="K658" s="171">
        <v>20</v>
      </c>
      <c r="L658" s="260" t="str">
        <f>VLOOKUP(Ruimtestaat[[#This Row],[Ruimte code]],Ruimtegroepen[#All],2,FALSE)</f>
        <v>Niet in onderhoud</v>
      </c>
      <c r="M658" s="258" t="s">
        <v>598</v>
      </c>
      <c r="N658" s="257" t="s">
        <v>132</v>
      </c>
      <c r="O658" s="261"/>
      <c r="P658" s="183">
        <v>41.6</v>
      </c>
      <c r="Q658" s="212" t="str">
        <f>VLOOKUP(Ruimtestaat[[#This Row],[Ruimte code]],Ruimtegroepen[#All],4,FALSE)</f>
        <v>niet in onderhoud</v>
      </c>
      <c r="R658" s="184"/>
      <c r="S658" s="185"/>
      <c r="T658" s="185"/>
      <c r="U658" s="185">
        <f>IF(S658&gt;0,IF(RIGHT(Ruimtestaat[[#This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58" s="185">
        <f>IF(U658&gt;0,VLOOKUP($K658,Ruimtegroepen[],3,FALSE)*VLOOKUP($M658,Vloersoorten[],3,FALSE)*VLOOKUP($T658,Frequenties[],3,FALSE)*VLOOKUP($A658,Locaties[],3,FALSE),0)</f>
        <v>0</v>
      </c>
      <c r="W658" s="185">
        <f>Ruimtestaat[[#This Row],[Uitvoeringen werkdagen]]*Ruimtestaat[[#This Row],[Oppervlak (netto)]]</f>
        <v>0</v>
      </c>
      <c r="X658" s="220">
        <f>IF(V658&gt;0,Ruimtestaat[[#This Row],[Prest. (m2 /jaar) werkdagen]]/Ruimtestaat[[#This Row],[Norm (m2/uur) werkdagen]],0)</f>
        <v>0</v>
      </c>
      <c r="Y658" s="221">
        <f>Ruimtestaat[[#This Row],[uren / jaar werkdagen]]*Tariefsopbouw!$D$38</f>
        <v>0</v>
      </c>
      <c r="Z658" s="33"/>
      <c r="AA658" s="33">
        <f>IF(Ruimtestaat[[#This Row],[Frequentie weekend]]&gt;0,VALUE(LEFT(Z658,1))*S658,0)</f>
        <v>0</v>
      </c>
      <c r="AB658" s="33">
        <f>IF($AA658&gt;0,VLOOKUP($K658,Ruimtegroepen[],3,FALSE)*VLOOKUP($M658,Vloersoorten[],3,FALSE)*VLOOKUP($Z658,Frequenties[],3,FALSE)*VLOOKUP(#REF!,Locaties[],3,FALSE),0)</f>
        <v>0</v>
      </c>
      <c r="AC658" s="33"/>
      <c r="AD658" s="33"/>
      <c r="AE658" s="33">
        <f>Ruimtestaat[[#This Row],[uren / jaar weekend]]*Tariefsopbouw!$D$40</f>
        <v>0</v>
      </c>
      <c r="AF658" s="79">
        <f>Ruimtestaat[[#This Row],[Prest. (m2 /jaar) weekend]]+Ruimtestaat[[#This Row],[Prest. (m2 /jaar) werkdagen]]</f>
        <v>0</v>
      </c>
      <c r="AG658" s="79">
        <f>Ruimtestaat[[#This Row],[uren / jaar weekend]]+Ruimtestaat[[#This Row],[uren / jaar werkdagen]]</f>
        <v>0</v>
      </c>
      <c r="AH658" s="80">
        <f>Ruimtestaat[[#This Row],[kosten / jaar weekend]]+Ruimtestaat[[#This Row],[kosten / jaar werkdagen]]</f>
        <v>0</v>
      </c>
    </row>
    <row r="659" spans="1:34" ht="15" customHeight="1">
      <c r="A659" s="256">
        <v>7</v>
      </c>
      <c r="B659" s="171" t="str">
        <f>VLOOKUP(Ruimtestaat[[#This Row],[Code]],Locaties[#All],2,FALSE)</f>
        <v>De Kapstok AGL</v>
      </c>
      <c r="C659" s="258" t="str">
        <f>VLOOKUP(Ruimtestaat[[#This Row],[Code]],Locaties[#All],4,FALSE)</f>
        <v>Krabbenbosweg 91</v>
      </c>
      <c r="D659" s="258" t="str">
        <f>VLOOKUP(Ruimtestaat[[#This Row],[Code]],Locaties[#All],5,FALSE)</f>
        <v>7555ED</v>
      </c>
      <c r="E659" s="258" t="str">
        <f>VLOOKUP(Ruimtestaat[[#This Row],[Code]],Locaties[#All],6,FALSE)</f>
        <v>Hengelo</v>
      </c>
      <c r="F659" s="257" t="s">
        <v>628</v>
      </c>
      <c r="G659" s="257" t="s">
        <v>563</v>
      </c>
      <c r="H659" s="171"/>
      <c r="I659" s="257">
        <v>47</v>
      </c>
      <c r="J659" s="259" t="s">
        <v>663</v>
      </c>
      <c r="K659" s="171">
        <v>20</v>
      </c>
      <c r="L659" s="260" t="str">
        <f>VLOOKUP(Ruimtestaat[[#This Row],[Ruimte code]],Ruimtegroepen[#All],2,FALSE)</f>
        <v>Niet in onderhoud</v>
      </c>
      <c r="M659" s="258" t="s">
        <v>598</v>
      </c>
      <c r="N659" s="257" t="s">
        <v>132</v>
      </c>
      <c r="O659" s="261"/>
      <c r="P659" s="183">
        <v>54.1</v>
      </c>
      <c r="Q659" s="212" t="str">
        <f>VLOOKUP(Ruimtestaat[[#This Row],[Ruimte code]],Ruimtegroepen[#All],4,FALSE)</f>
        <v>niet in onderhoud</v>
      </c>
      <c r="R659" s="184"/>
      <c r="S659" s="185"/>
      <c r="T659" s="185"/>
      <c r="U659" s="185">
        <f>IF(S659&gt;0,IF(RIGHT(Ruimtestaat[[#This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59" s="185">
        <f>IF(U659&gt;0,VLOOKUP($K659,Ruimtegroepen[],3,FALSE)*VLOOKUP($M659,Vloersoorten[],3,FALSE)*VLOOKUP($T659,Frequenties[],3,FALSE)*VLOOKUP($A659,Locaties[],3,FALSE),0)</f>
        <v>0</v>
      </c>
      <c r="W659" s="185">
        <f>Ruimtestaat[[#This Row],[Uitvoeringen werkdagen]]*Ruimtestaat[[#This Row],[Oppervlak (netto)]]</f>
        <v>0</v>
      </c>
      <c r="X659" s="220">
        <f>IF(V659&gt;0,Ruimtestaat[[#This Row],[Prest. (m2 /jaar) werkdagen]]/Ruimtestaat[[#This Row],[Norm (m2/uur) werkdagen]],0)</f>
        <v>0</v>
      </c>
      <c r="Y659" s="221">
        <f>Ruimtestaat[[#This Row],[uren / jaar werkdagen]]*Tariefsopbouw!$D$38</f>
        <v>0</v>
      </c>
      <c r="Z659" s="33"/>
      <c r="AA659" s="33">
        <f>IF(Ruimtestaat[[#This Row],[Frequentie weekend]]&gt;0,VALUE(LEFT(Z659,1))*S659,0)</f>
        <v>0</v>
      </c>
      <c r="AB659" s="33">
        <f>IF($AA659&gt;0,VLOOKUP($K659,Ruimtegroepen[],3,FALSE)*VLOOKUP($M659,Vloersoorten[],3,FALSE)*VLOOKUP($Z659,Frequenties[],3,FALSE)*VLOOKUP(#REF!,Locaties[],3,FALSE),0)</f>
        <v>0</v>
      </c>
      <c r="AC659" s="33"/>
      <c r="AD659" s="33"/>
      <c r="AE659" s="33">
        <f>Ruimtestaat[[#This Row],[uren / jaar weekend]]*Tariefsopbouw!$D$40</f>
        <v>0</v>
      </c>
      <c r="AF659" s="79">
        <f>Ruimtestaat[[#This Row],[Prest. (m2 /jaar) weekend]]+Ruimtestaat[[#This Row],[Prest. (m2 /jaar) werkdagen]]</f>
        <v>0</v>
      </c>
      <c r="AG659" s="79">
        <f>Ruimtestaat[[#This Row],[uren / jaar weekend]]+Ruimtestaat[[#This Row],[uren / jaar werkdagen]]</f>
        <v>0</v>
      </c>
      <c r="AH659" s="80">
        <f>Ruimtestaat[[#This Row],[kosten / jaar weekend]]+Ruimtestaat[[#This Row],[kosten / jaar werkdagen]]</f>
        <v>0</v>
      </c>
    </row>
    <row r="660" spans="1:34" ht="15" customHeight="1">
      <c r="A660" s="256">
        <v>7</v>
      </c>
      <c r="B660" s="171" t="str">
        <f>VLOOKUP(Ruimtestaat[[#This Row],[Code]],Locaties[#All],2,FALSE)</f>
        <v>De Kapstok AGL</v>
      </c>
      <c r="C660" s="258" t="str">
        <f>VLOOKUP(Ruimtestaat[[#This Row],[Code]],Locaties[#All],4,FALSE)</f>
        <v>Krabbenbosweg 91</v>
      </c>
      <c r="D660" s="258" t="str">
        <f>VLOOKUP(Ruimtestaat[[#This Row],[Code]],Locaties[#All],5,FALSE)</f>
        <v>7555ED</v>
      </c>
      <c r="E660" s="258" t="str">
        <f>VLOOKUP(Ruimtestaat[[#This Row],[Code]],Locaties[#All],6,FALSE)</f>
        <v>Hengelo</v>
      </c>
      <c r="F660" s="257" t="s">
        <v>628</v>
      </c>
      <c r="G660" s="257" t="s">
        <v>563</v>
      </c>
      <c r="H660" s="171"/>
      <c r="I660" s="257">
        <v>46</v>
      </c>
      <c r="J660" s="259" t="s">
        <v>664</v>
      </c>
      <c r="K660" s="171">
        <v>20</v>
      </c>
      <c r="L660" s="260" t="str">
        <f>VLOOKUP(Ruimtestaat[[#This Row],[Ruimte code]],Ruimtegroepen[#All],2,FALSE)</f>
        <v>Niet in onderhoud</v>
      </c>
      <c r="M660" s="258" t="s">
        <v>598</v>
      </c>
      <c r="N660" s="257" t="s">
        <v>132</v>
      </c>
      <c r="O660" s="261"/>
      <c r="P660" s="183">
        <v>5.3</v>
      </c>
      <c r="Q660" s="212" t="str">
        <f>VLOOKUP(Ruimtestaat[[#This Row],[Ruimte code]],Ruimtegroepen[#All],4,FALSE)</f>
        <v>niet in onderhoud</v>
      </c>
      <c r="R660" s="184"/>
      <c r="S660" s="185"/>
      <c r="T660" s="185"/>
      <c r="U660" s="185">
        <f>IF(S660&gt;0,IF(RIGHT(Ruimtestaat[[#This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0" s="185">
        <f>IF(U660&gt;0,VLOOKUP($K660,Ruimtegroepen[],3,FALSE)*VLOOKUP($M660,Vloersoorten[],3,FALSE)*VLOOKUP($T660,Frequenties[],3,FALSE)*VLOOKUP($A660,Locaties[],3,FALSE),0)</f>
        <v>0</v>
      </c>
      <c r="W660" s="185">
        <f>Ruimtestaat[[#This Row],[Uitvoeringen werkdagen]]*Ruimtestaat[[#This Row],[Oppervlak (netto)]]</f>
        <v>0</v>
      </c>
      <c r="X660" s="220">
        <f>IF(V660&gt;0,Ruimtestaat[[#This Row],[Prest. (m2 /jaar) werkdagen]]/Ruimtestaat[[#This Row],[Norm (m2/uur) werkdagen]],0)</f>
        <v>0</v>
      </c>
      <c r="Y660" s="221">
        <f>Ruimtestaat[[#This Row],[uren / jaar werkdagen]]*Tariefsopbouw!$D$38</f>
        <v>0</v>
      </c>
      <c r="Z660" s="33"/>
      <c r="AA660" s="33">
        <f>IF(Ruimtestaat[[#This Row],[Frequentie weekend]]&gt;0,VALUE(LEFT(Z660,1))*S660,0)</f>
        <v>0</v>
      </c>
      <c r="AB660" s="33">
        <f>IF($AA660&gt;0,VLOOKUP($K660,Ruimtegroepen[],3,FALSE)*VLOOKUP($M660,Vloersoorten[],3,FALSE)*VLOOKUP($Z660,Frequenties[],3,FALSE)*VLOOKUP(#REF!,Locaties[],3,FALSE),0)</f>
        <v>0</v>
      </c>
      <c r="AC660" s="33"/>
      <c r="AD660" s="33"/>
      <c r="AE660" s="33">
        <f>Ruimtestaat[[#This Row],[uren / jaar weekend]]*Tariefsopbouw!$D$40</f>
        <v>0</v>
      </c>
      <c r="AF660" s="79">
        <f>Ruimtestaat[[#This Row],[Prest. (m2 /jaar) weekend]]+Ruimtestaat[[#This Row],[Prest. (m2 /jaar) werkdagen]]</f>
        <v>0</v>
      </c>
      <c r="AG660" s="79">
        <f>Ruimtestaat[[#This Row],[uren / jaar weekend]]+Ruimtestaat[[#This Row],[uren / jaar werkdagen]]</f>
        <v>0</v>
      </c>
      <c r="AH660" s="80">
        <f>Ruimtestaat[[#This Row],[kosten / jaar weekend]]+Ruimtestaat[[#This Row],[kosten / jaar werkdagen]]</f>
        <v>0</v>
      </c>
    </row>
    <row r="661" spans="1:34" ht="15" customHeight="1">
      <c r="A661" s="256">
        <v>7</v>
      </c>
      <c r="B661" s="171" t="str">
        <f>VLOOKUP(Ruimtestaat[[#This Row],[Code]],Locaties[#All],2,FALSE)</f>
        <v>De Kapstok AGL</v>
      </c>
      <c r="C661" s="258" t="str">
        <f>VLOOKUP(Ruimtestaat[[#This Row],[Code]],Locaties[#All],4,FALSE)</f>
        <v>Krabbenbosweg 91</v>
      </c>
      <c r="D661" s="258" t="str">
        <f>VLOOKUP(Ruimtestaat[[#This Row],[Code]],Locaties[#All],5,FALSE)</f>
        <v>7555ED</v>
      </c>
      <c r="E661" s="258" t="str">
        <f>VLOOKUP(Ruimtestaat[[#This Row],[Code]],Locaties[#All],6,FALSE)</f>
        <v>Hengelo</v>
      </c>
      <c r="F661" s="257" t="s">
        <v>628</v>
      </c>
      <c r="G661" s="257" t="s">
        <v>563</v>
      </c>
      <c r="H661" s="171"/>
      <c r="I661" s="257">
        <v>41</v>
      </c>
      <c r="J661" s="259" t="s">
        <v>569</v>
      </c>
      <c r="K661" s="171">
        <v>5</v>
      </c>
      <c r="L661" s="260" t="str">
        <f>VLOOKUP(Ruimtestaat[[#This Row],[Ruimte code]],Ruimtegroepen[#All],2,FALSE)</f>
        <v>Sanitair</v>
      </c>
      <c r="M661" s="212" t="s">
        <v>111</v>
      </c>
      <c r="N661" s="257" t="s">
        <v>605</v>
      </c>
      <c r="O661" s="261">
        <v>2.8</v>
      </c>
      <c r="P661" s="183"/>
      <c r="Q661" s="212" t="str">
        <f>VLOOKUP(Ruimtestaat[[#This Row],[Ruimte code]],Ruimtegroepen[#All],4,FALSE)</f>
        <v>S  (Sanitair)</v>
      </c>
      <c r="R661" s="184"/>
      <c r="S661" s="185">
        <v>40</v>
      </c>
      <c r="T661" s="185" t="s">
        <v>2</v>
      </c>
      <c r="U661" s="185">
        <f>IF(S661&gt;0,IF(RIGHT(Ruimtestaat[[#This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1" s="185">
        <f>IF(U661&gt;0,VLOOKUP($K661,Ruimtegroepen[],3,FALSE)*VLOOKUP($M661,Vloersoorten[],3,FALSE)*VLOOKUP($T661,Frequenties[],3,FALSE)*VLOOKUP($A661,Locaties[],3,FALSE),0)</f>
        <v>0</v>
      </c>
      <c r="W661" s="185">
        <f>Ruimtestaat[[#This Row],[Uitvoeringen werkdagen]]*Ruimtestaat[[#This Row],[Oppervlak (netto)]]</f>
        <v>560</v>
      </c>
      <c r="X661" s="220">
        <f>IF(V661&gt;0,Ruimtestaat[[#This Row],[Prest. (m2 /jaar) werkdagen]]/Ruimtestaat[[#This Row],[Norm (m2/uur) werkdagen]],0)</f>
        <v>0</v>
      </c>
      <c r="Y661" s="221">
        <f>Ruimtestaat[[#This Row],[uren / jaar werkdagen]]*Tariefsopbouw!$D$38</f>
        <v>0</v>
      </c>
      <c r="Z661" s="33"/>
      <c r="AA661" s="33">
        <f>IF(Ruimtestaat[[#This Row],[Frequentie weekend]]&gt;0,VALUE(LEFT(Z661,1))*S661,0)</f>
        <v>0</v>
      </c>
      <c r="AB661" s="33">
        <f>IF($AA661&gt;0,VLOOKUP($K661,Ruimtegroepen[],3,FALSE)*VLOOKUP($M661,Vloersoorten[],3,FALSE)*VLOOKUP($Z661,Frequenties[],3,FALSE)*VLOOKUP(#REF!,Locaties[],3,FALSE),0)</f>
        <v>0</v>
      </c>
      <c r="AC661" s="33"/>
      <c r="AD661" s="33"/>
      <c r="AE661" s="33">
        <f>Ruimtestaat[[#This Row],[uren / jaar weekend]]*Tariefsopbouw!$D$40</f>
        <v>0</v>
      </c>
      <c r="AF661" s="79">
        <f>Ruimtestaat[[#This Row],[Prest. (m2 /jaar) weekend]]+Ruimtestaat[[#This Row],[Prest. (m2 /jaar) werkdagen]]</f>
        <v>560</v>
      </c>
      <c r="AG661" s="79">
        <f>Ruimtestaat[[#This Row],[uren / jaar weekend]]+Ruimtestaat[[#This Row],[uren / jaar werkdagen]]</f>
        <v>0</v>
      </c>
      <c r="AH661" s="80">
        <f>Ruimtestaat[[#This Row],[kosten / jaar weekend]]+Ruimtestaat[[#This Row],[kosten / jaar werkdagen]]</f>
        <v>0</v>
      </c>
    </row>
    <row r="662" spans="1:34" ht="15" customHeight="1">
      <c r="A662" s="256">
        <v>7</v>
      </c>
      <c r="B662" s="171" t="str">
        <f>VLOOKUP(Ruimtestaat[[#This Row],[Code]],Locaties[#All],2,FALSE)</f>
        <v>De Kapstok AGL</v>
      </c>
      <c r="C662" s="258" t="str">
        <f>VLOOKUP(Ruimtestaat[[#This Row],[Code]],Locaties[#All],4,FALSE)</f>
        <v>Krabbenbosweg 91</v>
      </c>
      <c r="D662" s="258" t="str">
        <f>VLOOKUP(Ruimtestaat[[#This Row],[Code]],Locaties[#All],5,FALSE)</f>
        <v>7555ED</v>
      </c>
      <c r="E662" s="258" t="str">
        <f>VLOOKUP(Ruimtestaat[[#This Row],[Code]],Locaties[#All],6,FALSE)</f>
        <v>Hengelo</v>
      </c>
      <c r="F662" s="257" t="s">
        <v>628</v>
      </c>
      <c r="G662" s="257" t="s">
        <v>563</v>
      </c>
      <c r="H662" s="171"/>
      <c r="I662" s="257">
        <v>42</v>
      </c>
      <c r="J662" s="259" t="s">
        <v>569</v>
      </c>
      <c r="K662" s="258">
        <v>5</v>
      </c>
      <c r="L662" s="260" t="str">
        <f>VLOOKUP(Ruimtestaat[[#This Row],[Ruimte code]],Ruimtegroepen[#All],2,FALSE)</f>
        <v>Sanitair</v>
      </c>
      <c r="M662" s="212" t="s">
        <v>111</v>
      </c>
      <c r="N662" s="257" t="s">
        <v>605</v>
      </c>
      <c r="O662" s="261">
        <v>2.8</v>
      </c>
      <c r="P662" s="183"/>
      <c r="Q662" s="212" t="str">
        <f>VLOOKUP(Ruimtestaat[[#This Row],[Ruimte code]],Ruimtegroepen[#All],4,FALSE)</f>
        <v>S  (Sanitair)</v>
      </c>
      <c r="R662" s="184"/>
      <c r="S662" s="185">
        <v>40</v>
      </c>
      <c r="T662" s="185" t="s">
        <v>2</v>
      </c>
      <c r="U662" s="185">
        <f>IF(S662&gt;0,IF(RIGHT(Ruimtestaat[[#This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2" s="185">
        <f>IF(U662&gt;0,VLOOKUP($K662,Ruimtegroepen[],3,FALSE)*VLOOKUP($M662,Vloersoorten[],3,FALSE)*VLOOKUP($T662,Frequenties[],3,FALSE)*VLOOKUP($A662,Locaties[],3,FALSE),0)</f>
        <v>0</v>
      </c>
      <c r="W662" s="185">
        <f>Ruimtestaat[[#This Row],[Uitvoeringen werkdagen]]*Ruimtestaat[[#This Row],[Oppervlak (netto)]]</f>
        <v>560</v>
      </c>
      <c r="X662" s="220">
        <f>IF(V662&gt;0,Ruimtestaat[[#This Row],[Prest. (m2 /jaar) werkdagen]]/Ruimtestaat[[#This Row],[Norm (m2/uur) werkdagen]],0)</f>
        <v>0</v>
      </c>
      <c r="Y662" s="221">
        <f>Ruimtestaat[[#This Row],[uren / jaar werkdagen]]*Tariefsopbouw!$D$38</f>
        <v>0</v>
      </c>
      <c r="Z662" s="33"/>
      <c r="AA662" s="33">
        <f>IF(Ruimtestaat[[#This Row],[Frequentie weekend]]&gt;0,VALUE(LEFT(Z662,1))*S662,0)</f>
        <v>0</v>
      </c>
      <c r="AB662" s="33">
        <f>IF($AA662&gt;0,VLOOKUP($K662,Ruimtegroepen[],3,FALSE)*VLOOKUP($M662,Vloersoorten[],3,FALSE)*VLOOKUP($Z662,Frequenties[],3,FALSE)*VLOOKUP(#REF!,Locaties[],3,FALSE),0)</f>
        <v>0</v>
      </c>
      <c r="AC662" s="33"/>
      <c r="AD662" s="33"/>
      <c r="AE662" s="33">
        <f>Ruimtestaat[[#This Row],[uren / jaar weekend]]*Tariefsopbouw!$D$40</f>
        <v>0</v>
      </c>
      <c r="AF662" s="79">
        <f>Ruimtestaat[[#This Row],[Prest. (m2 /jaar) weekend]]+Ruimtestaat[[#This Row],[Prest. (m2 /jaar) werkdagen]]</f>
        <v>560</v>
      </c>
      <c r="AG662" s="79">
        <f>Ruimtestaat[[#This Row],[uren / jaar weekend]]+Ruimtestaat[[#This Row],[uren / jaar werkdagen]]</f>
        <v>0</v>
      </c>
      <c r="AH662" s="80">
        <f>Ruimtestaat[[#This Row],[kosten / jaar weekend]]+Ruimtestaat[[#This Row],[kosten / jaar werkdagen]]</f>
        <v>0</v>
      </c>
    </row>
    <row r="663" spans="1:34" ht="15" customHeight="1">
      <c r="A663" s="256">
        <v>7</v>
      </c>
      <c r="B663" s="171" t="str">
        <f>VLOOKUP(Ruimtestaat[[#This Row],[Code]],Locaties[#All],2,FALSE)</f>
        <v>De Kapstok AGL</v>
      </c>
      <c r="C663" s="258" t="str">
        <f>VLOOKUP(Ruimtestaat[[#This Row],[Code]],Locaties[#All],4,FALSE)</f>
        <v>Krabbenbosweg 91</v>
      </c>
      <c r="D663" s="258" t="str">
        <f>VLOOKUP(Ruimtestaat[[#This Row],[Code]],Locaties[#All],5,FALSE)</f>
        <v>7555ED</v>
      </c>
      <c r="E663" s="258" t="str">
        <f>VLOOKUP(Ruimtestaat[[#This Row],[Code]],Locaties[#All],6,FALSE)</f>
        <v>Hengelo</v>
      </c>
      <c r="F663" s="257" t="s">
        <v>628</v>
      </c>
      <c r="G663" s="257" t="s">
        <v>563</v>
      </c>
      <c r="H663" s="171"/>
      <c r="I663" s="257">
        <v>48</v>
      </c>
      <c r="J663" s="259" t="s">
        <v>665</v>
      </c>
      <c r="K663" s="185">
        <v>20</v>
      </c>
      <c r="L663" s="260" t="str">
        <f>VLOOKUP(Ruimtestaat[[#This Row],[Ruimte code]],Ruimtegroepen[#All],2,FALSE)</f>
        <v>Niet in onderhoud</v>
      </c>
      <c r="M663" s="258" t="s">
        <v>598</v>
      </c>
      <c r="N663" s="257" t="s">
        <v>132</v>
      </c>
      <c r="O663" s="261"/>
      <c r="P663" s="183">
        <v>34.200000000000003</v>
      </c>
      <c r="Q663" s="212" t="str">
        <f>VLOOKUP(Ruimtestaat[[#This Row],[Ruimte code]],Ruimtegroepen[#All],4,FALSE)</f>
        <v>niet in onderhoud</v>
      </c>
      <c r="R663" s="184"/>
      <c r="S663" s="185"/>
      <c r="T663" s="185"/>
      <c r="U663" s="185">
        <f>IF(S663&gt;0,IF(RIGHT(Ruimtestaat[[#This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3" s="185">
        <f>IF(U663&gt;0,VLOOKUP($K663,Ruimtegroepen[],3,FALSE)*VLOOKUP($M663,Vloersoorten[],3,FALSE)*VLOOKUP($T663,Frequenties[],3,FALSE)*VLOOKUP($A663,Locaties[],3,FALSE),0)</f>
        <v>0</v>
      </c>
      <c r="W663" s="185">
        <f>Ruimtestaat[[#This Row],[Uitvoeringen werkdagen]]*Ruimtestaat[[#This Row],[Oppervlak (netto)]]</f>
        <v>0</v>
      </c>
      <c r="X663" s="220">
        <f>IF(V663&gt;0,Ruimtestaat[[#This Row],[Prest. (m2 /jaar) werkdagen]]/Ruimtestaat[[#This Row],[Norm (m2/uur) werkdagen]],0)</f>
        <v>0</v>
      </c>
      <c r="Y663" s="221">
        <f>Ruimtestaat[[#This Row],[uren / jaar werkdagen]]*Tariefsopbouw!$D$38</f>
        <v>0</v>
      </c>
      <c r="Z663" s="33"/>
      <c r="AA663" s="33">
        <f>IF(Ruimtestaat[[#This Row],[Frequentie weekend]]&gt;0,VALUE(LEFT(Z663,1))*S663,0)</f>
        <v>0</v>
      </c>
      <c r="AB663" s="33">
        <f>IF($AA663&gt;0,VLOOKUP($K663,Ruimtegroepen[],3,FALSE)*VLOOKUP($M663,Vloersoorten[],3,FALSE)*VLOOKUP($Z663,Frequenties[],3,FALSE)*VLOOKUP(#REF!,Locaties[],3,FALSE),0)</f>
        <v>0</v>
      </c>
      <c r="AC663" s="33"/>
      <c r="AD663" s="33"/>
      <c r="AE663" s="33">
        <f>Ruimtestaat[[#This Row],[uren / jaar weekend]]*Tariefsopbouw!$D$40</f>
        <v>0</v>
      </c>
      <c r="AF663" s="79">
        <f>Ruimtestaat[[#This Row],[Prest. (m2 /jaar) weekend]]+Ruimtestaat[[#This Row],[Prest. (m2 /jaar) werkdagen]]</f>
        <v>0</v>
      </c>
      <c r="AG663" s="79">
        <f>Ruimtestaat[[#This Row],[uren / jaar weekend]]+Ruimtestaat[[#This Row],[uren / jaar werkdagen]]</f>
        <v>0</v>
      </c>
      <c r="AH663" s="80">
        <f>Ruimtestaat[[#This Row],[kosten / jaar weekend]]+Ruimtestaat[[#This Row],[kosten / jaar werkdagen]]</f>
        <v>0</v>
      </c>
    </row>
    <row r="664" spans="1:34" ht="15" customHeight="1">
      <c r="A664" s="256">
        <v>7</v>
      </c>
      <c r="B664" s="171" t="str">
        <f>VLOOKUP(Ruimtestaat[[#This Row],[Code]],Locaties[#All],2,FALSE)</f>
        <v>De Kapstok AGL</v>
      </c>
      <c r="C664" s="258" t="str">
        <f>VLOOKUP(Ruimtestaat[[#This Row],[Code]],Locaties[#All],4,FALSE)</f>
        <v>Krabbenbosweg 91</v>
      </c>
      <c r="D664" s="258" t="str">
        <f>VLOOKUP(Ruimtestaat[[#This Row],[Code]],Locaties[#All],5,FALSE)</f>
        <v>7555ED</v>
      </c>
      <c r="E664" s="258" t="str">
        <f>VLOOKUP(Ruimtestaat[[#This Row],[Code]],Locaties[#All],6,FALSE)</f>
        <v>Hengelo</v>
      </c>
      <c r="F664" s="257" t="s">
        <v>628</v>
      </c>
      <c r="G664" s="257" t="s">
        <v>563</v>
      </c>
      <c r="H664" s="171"/>
      <c r="I664" s="257">
        <v>49</v>
      </c>
      <c r="J664" s="259" t="s">
        <v>666</v>
      </c>
      <c r="K664" s="171">
        <v>20</v>
      </c>
      <c r="L664" s="260" t="str">
        <f>VLOOKUP(Ruimtestaat[[#This Row],[Ruimte code]],Ruimtegroepen[#All],2,FALSE)</f>
        <v>Niet in onderhoud</v>
      </c>
      <c r="M664" s="258" t="s">
        <v>598</v>
      </c>
      <c r="N664" s="257" t="s">
        <v>132</v>
      </c>
      <c r="O664" s="261"/>
      <c r="P664" s="183">
        <v>25.5</v>
      </c>
      <c r="Q664" s="212" t="str">
        <f>VLOOKUP(Ruimtestaat[[#This Row],[Ruimte code]],Ruimtegroepen[#All],4,FALSE)</f>
        <v>niet in onderhoud</v>
      </c>
      <c r="R664" s="184"/>
      <c r="S664" s="185"/>
      <c r="T664" s="185"/>
      <c r="U664" s="185">
        <f>IF(S664&gt;0,IF(RIGHT(Ruimtestaat[[#This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4" s="185">
        <f>IF(U664&gt;0,VLOOKUP($K664,Ruimtegroepen[],3,FALSE)*VLOOKUP($M664,Vloersoorten[],3,FALSE)*VLOOKUP($T664,Frequenties[],3,FALSE)*VLOOKUP($A664,Locaties[],3,FALSE),0)</f>
        <v>0</v>
      </c>
      <c r="W664" s="185">
        <f>Ruimtestaat[[#This Row],[Uitvoeringen werkdagen]]*Ruimtestaat[[#This Row],[Oppervlak (netto)]]</f>
        <v>0</v>
      </c>
      <c r="X664" s="220">
        <f>IF(V664&gt;0,Ruimtestaat[[#This Row],[Prest. (m2 /jaar) werkdagen]]/Ruimtestaat[[#This Row],[Norm (m2/uur) werkdagen]],0)</f>
        <v>0</v>
      </c>
      <c r="Y664" s="221">
        <f>Ruimtestaat[[#This Row],[uren / jaar werkdagen]]*Tariefsopbouw!$D$38</f>
        <v>0</v>
      </c>
      <c r="Z664" s="33"/>
      <c r="AA664" s="33">
        <f>IF(Ruimtestaat[[#This Row],[Frequentie weekend]]&gt;0,VALUE(LEFT(Z664,1))*S664,0)</f>
        <v>0</v>
      </c>
      <c r="AB664" s="33">
        <f>IF($AA664&gt;0,VLOOKUP($K664,Ruimtegroepen[],3,FALSE)*VLOOKUP($M664,Vloersoorten[],3,FALSE)*VLOOKUP($Z664,Frequenties[],3,FALSE)*VLOOKUP(#REF!,Locaties[],3,FALSE),0)</f>
        <v>0</v>
      </c>
      <c r="AC664" s="33"/>
      <c r="AD664" s="33"/>
      <c r="AE664" s="33">
        <f>Ruimtestaat[[#This Row],[uren / jaar weekend]]*Tariefsopbouw!$D$40</f>
        <v>0</v>
      </c>
      <c r="AF664" s="79">
        <f>Ruimtestaat[[#This Row],[Prest. (m2 /jaar) weekend]]+Ruimtestaat[[#This Row],[Prest. (m2 /jaar) werkdagen]]</f>
        <v>0</v>
      </c>
      <c r="AG664" s="79">
        <f>Ruimtestaat[[#This Row],[uren / jaar weekend]]+Ruimtestaat[[#This Row],[uren / jaar werkdagen]]</f>
        <v>0</v>
      </c>
      <c r="AH664" s="80">
        <f>Ruimtestaat[[#This Row],[kosten / jaar weekend]]+Ruimtestaat[[#This Row],[kosten / jaar werkdagen]]</f>
        <v>0</v>
      </c>
    </row>
    <row r="665" spans="1:34" ht="15" customHeight="1">
      <c r="A665" s="256">
        <v>7</v>
      </c>
      <c r="B665" s="171" t="str">
        <f>VLOOKUP(Ruimtestaat[[#This Row],[Code]],Locaties[#All],2,FALSE)</f>
        <v>De Kapstok AGL</v>
      </c>
      <c r="C665" s="258" t="str">
        <f>VLOOKUP(Ruimtestaat[[#This Row],[Code]],Locaties[#All],4,FALSE)</f>
        <v>Krabbenbosweg 91</v>
      </c>
      <c r="D665" s="258" t="str">
        <f>VLOOKUP(Ruimtestaat[[#This Row],[Code]],Locaties[#All],5,FALSE)</f>
        <v>7555ED</v>
      </c>
      <c r="E665" s="258" t="str">
        <f>VLOOKUP(Ruimtestaat[[#This Row],[Code]],Locaties[#All],6,FALSE)</f>
        <v>Hengelo</v>
      </c>
      <c r="F665" s="257" t="s">
        <v>628</v>
      </c>
      <c r="G665" s="257" t="s">
        <v>563</v>
      </c>
      <c r="H665" s="171"/>
      <c r="I665" s="257">
        <v>40</v>
      </c>
      <c r="J665" s="259" t="s">
        <v>586</v>
      </c>
      <c r="K665" s="185">
        <v>20</v>
      </c>
      <c r="L665" s="260" t="str">
        <f>VLOOKUP(Ruimtestaat[[#This Row],[Ruimte code]],Ruimtegroepen[#All],2,FALSE)</f>
        <v>Niet in onderhoud</v>
      </c>
      <c r="M665" s="258" t="s">
        <v>598</v>
      </c>
      <c r="N665" s="257" t="s">
        <v>132</v>
      </c>
      <c r="O665" s="261"/>
      <c r="P665" s="183">
        <v>10.5</v>
      </c>
      <c r="Q665" s="212" t="str">
        <f>VLOOKUP(Ruimtestaat[[#This Row],[Ruimte code]],Ruimtegroepen[#All],4,FALSE)</f>
        <v>niet in onderhoud</v>
      </c>
      <c r="R665" s="184"/>
      <c r="S665" s="185"/>
      <c r="T665" s="185"/>
      <c r="U665" s="185">
        <f>IF(S665&gt;0,IF(RIGHT(Ruimtestaat[[#This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5" s="185">
        <f>IF(U665&gt;0,VLOOKUP($K665,Ruimtegroepen[],3,FALSE)*VLOOKUP($M665,Vloersoorten[],3,FALSE)*VLOOKUP($T665,Frequenties[],3,FALSE)*VLOOKUP($A665,Locaties[],3,FALSE),0)</f>
        <v>0</v>
      </c>
      <c r="W665" s="185">
        <f>Ruimtestaat[[#This Row],[Uitvoeringen werkdagen]]*Ruimtestaat[[#This Row],[Oppervlak (netto)]]</f>
        <v>0</v>
      </c>
      <c r="X665" s="220">
        <f>IF(V665&gt;0,Ruimtestaat[[#This Row],[Prest. (m2 /jaar) werkdagen]]/Ruimtestaat[[#This Row],[Norm (m2/uur) werkdagen]],0)</f>
        <v>0</v>
      </c>
      <c r="Y665" s="221">
        <f>Ruimtestaat[[#This Row],[uren / jaar werkdagen]]*Tariefsopbouw!$D$38</f>
        <v>0</v>
      </c>
      <c r="Z665" s="33"/>
      <c r="AA665" s="33">
        <f>IF(Ruimtestaat[[#This Row],[Frequentie weekend]]&gt;0,VALUE(LEFT(Z665,1))*S665,0)</f>
        <v>0</v>
      </c>
      <c r="AB665" s="33">
        <f>IF($AA665&gt;0,VLOOKUP($K665,Ruimtegroepen[],3,FALSE)*VLOOKUP($M665,Vloersoorten[],3,FALSE)*VLOOKUP($Z665,Frequenties[],3,FALSE)*VLOOKUP(#REF!,Locaties[],3,FALSE),0)</f>
        <v>0</v>
      </c>
      <c r="AC665" s="33"/>
      <c r="AD665" s="33"/>
      <c r="AE665" s="33">
        <f>Ruimtestaat[[#This Row],[uren / jaar weekend]]*Tariefsopbouw!$D$40</f>
        <v>0</v>
      </c>
      <c r="AF665" s="79">
        <f>Ruimtestaat[[#This Row],[Prest. (m2 /jaar) weekend]]+Ruimtestaat[[#This Row],[Prest. (m2 /jaar) werkdagen]]</f>
        <v>0</v>
      </c>
      <c r="AG665" s="79">
        <f>Ruimtestaat[[#This Row],[uren / jaar weekend]]+Ruimtestaat[[#This Row],[uren / jaar werkdagen]]</f>
        <v>0</v>
      </c>
      <c r="AH665" s="80">
        <f>Ruimtestaat[[#This Row],[kosten / jaar weekend]]+Ruimtestaat[[#This Row],[kosten / jaar werkdagen]]</f>
        <v>0</v>
      </c>
    </row>
    <row r="666" spans="1:34" ht="15" customHeight="1">
      <c r="A666" s="256">
        <v>7</v>
      </c>
      <c r="B666" s="171" t="str">
        <f>VLOOKUP(Ruimtestaat[[#This Row],[Code]],Locaties[#All],2,FALSE)</f>
        <v>De Kapstok AGL</v>
      </c>
      <c r="C666" s="258" t="str">
        <f>VLOOKUP(Ruimtestaat[[#This Row],[Code]],Locaties[#All],4,FALSE)</f>
        <v>Krabbenbosweg 91</v>
      </c>
      <c r="D666" s="258" t="str">
        <f>VLOOKUP(Ruimtestaat[[#This Row],[Code]],Locaties[#All],5,FALSE)</f>
        <v>7555ED</v>
      </c>
      <c r="E666" s="258" t="str">
        <f>VLOOKUP(Ruimtestaat[[#This Row],[Code]],Locaties[#All],6,FALSE)</f>
        <v>Hengelo</v>
      </c>
      <c r="F666" s="257" t="s">
        <v>628</v>
      </c>
      <c r="G666" s="257" t="s">
        <v>563</v>
      </c>
      <c r="H666" s="171"/>
      <c r="I666" s="257">
        <v>43</v>
      </c>
      <c r="J666" s="259" t="s">
        <v>650</v>
      </c>
      <c r="K666" s="185">
        <v>20</v>
      </c>
      <c r="L666" s="260" t="str">
        <f>VLOOKUP(Ruimtestaat[[#This Row],[Ruimte code]],Ruimtegroepen[#All],2,FALSE)</f>
        <v>Niet in onderhoud</v>
      </c>
      <c r="M666" s="212" t="s">
        <v>111</v>
      </c>
      <c r="N666" s="257" t="s">
        <v>626</v>
      </c>
      <c r="O666" s="261"/>
      <c r="P666" s="183">
        <v>1.3</v>
      </c>
      <c r="Q666" s="212" t="str">
        <f>VLOOKUP(Ruimtestaat[[#This Row],[Ruimte code]],Ruimtegroepen[#All],4,FALSE)</f>
        <v>niet in onderhoud</v>
      </c>
      <c r="R666" s="184"/>
      <c r="S666" s="185"/>
      <c r="T666" s="185"/>
      <c r="U666" s="185">
        <f>IF(S666&gt;0,IF(RIGHT(Ruimtestaat[[#This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6" s="185">
        <f>IF(U666&gt;0,VLOOKUP($K666,Ruimtegroepen[],3,FALSE)*VLOOKUP($M666,Vloersoorten[],3,FALSE)*VLOOKUP($T666,Frequenties[],3,FALSE)*VLOOKUP($A666,Locaties[],3,FALSE),0)</f>
        <v>0</v>
      </c>
      <c r="W666" s="185">
        <f>Ruimtestaat[[#This Row],[Uitvoeringen werkdagen]]*Ruimtestaat[[#This Row],[Oppervlak (netto)]]</f>
        <v>0</v>
      </c>
      <c r="X666" s="220">
        <f>IF(V666&gt;0,Ruimtestaat[[#This Row],[Prest. (m2 /jaar) werkdagen]]/Ruimtestaat[[#This Row],[Norm (m2/uur) werkdagen]],0)</f>
        <v>0</v>
      </c>
      <c r="Y666" s="221">
        <f>Ruimtestaat[[#This Row],[uren / jaar werkdagen]]*Tariefsopbouw!$D$38</f>
        <v>0</v>
      </c>
      <c r="Z666" s="33"/>
      <c r="AA666" s="33">
        <f>IF(Ruimtestaat[[#This Row],[Frequentie weekend]]&gt;0,VALUE(LEFT(Z666,1))*S666,0)</f>
        <v>0</v>
      </c>
      <c r="AB666" s="33">
        <f>IF($AA666&gt;0,VLOOKUP($K666,Ruimtegroepen[],3,FALSE)*VLOOKUP($M666,Vloersoorten[],3,FALSE)*VLOOKUP($Z666,Frequenties[],3,FALSE)*VLOOKUP(#REF!,Locaties[],3,FALSE),0)</f>
        <v>0</v>
      </c>
      <c r="AC666" s="33"/>
      <c r="AD666" s="33"/>
      <c r="AE666" s="33">
        <f>Ruimtestaat[[#This Row],[uren / jaar weekend]]*Tariefsopbouw!$D$40</f>
        <v>0</v>
      </c>
      <c r="AF666" s="79">
        <f>Ruimtestaat[[#This Row],[Prest. (m2 /jaar) weekend]]+Ruimtestaat[[#This Row],[Prest. (m2 /jaar) werkdagen]]</f>
        <v>0</v>
      </c>
      <c r="AG666" s="79">
        <f>Ruimtestaat[[#This Row],[uren / jaar weekend]]+Ruimtestaat[[#This Row],[uren / jaar werkdagen]]</f>
        <v>0</v>
      </c>
      <c r="AH666" s="80">
        <f>Ruimtestaat[[#This Row],[kosten / jaar weekend]]+Ruimtestaat[[#This Row],[kosten / jaar werkdagen]]</f>
        <v>0</v>
      </c>
    </row>
    <row r="667" spans="1:34" ht="15" customHeight="1">
      <c r="A667" s="256">
        <v>7</v>
      </c>
      <c r="B667" s="171" t="str">
        <f>VLOOKUP(Ruimtestaat[[#This Row],[Code]],Locaties[#All],2,FALSE)</f>
        <v>De Kapstok AGL</v>
      </c>
      <c r="C667" s="258" t="str">
        <f>VLOOKUP(Ruimtestaat[[#This Row],[Code]],Locaties[#All],4,FALSE)</f>
        <v>Krabbenbosweg 91</v>
      </c>
      <c r="D667" s="258" t="str">
        <f>VLOOKUP(Ruimtestaat[[#This Row],[Code]],Locaties[#All],5,FALSE)</f>
        <v>7555ED</v>
      </c>
      <c r="E667" s="258" t="str">
        <f>VLOOKUP(Ruimtestaat[[#This Row],[Code]],Locaties[#All],6,FALSE)</f>
        <v>Hengelo</v>
      </c>
      <c r="F667" s="257" t="s">
        <v>629</v>
      </c>
      <c r="G667" s="257" t="s">
        <v>563</v>
      </c>
      <c r="H667" s="171"/>
      <c r="I667" s="257" t="s">
        <v>645</v>
      </c>
      <c r="J667" s="259" t="s">
        <v>40</v>
      </c>
      <c r="K667" s="171">
        <v>20</v>
      </c>
      <c r="L667" s="260" t="str">
        <f>VLOOKUP(Ruimtestaat[[#This Row],[Ruimte code]],Ruimtegroepen[#All],2,FALSE)</f>
        <v>Niet in onderhoud</v>
      </c>
      <c r="M667" s="258" t="s">
        <v>598</v>
      </c>
      <c r="N667" s="257" t="s">
        <v>132</v>
      </c>
      <c r="O667" s="261"/>
      <c r="P667" s="183">
        <v>18.8</v>
      </c>
      <c r="Q667" s="212" t="str">
        <f>VLOOKUP(Ruimtestaat[[#This Row],[Ruimte code]],Ruimtegroepen[#All],4,FALSE)</f>
        <v>niet in onderhoud</v>
      </c>
      <c r="R667" s="184"/>
      <c r="S667" s="185"/>
      <c r="T667" s="185"/>
      <c r="U667" s="185">
        <f>IF(S667&gt;0,IF(RIGHT(Ruimtestaat[[#This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7" s="185">
        <f>IF(U667&gt;0,VLOOKUP($K667,Ruimtegroepen[],3,FALSE)*VLOOKUP($M667,Vloersoorten[],3,FALSE)*VLOOKUP($T667,Frequenties[],3,FALSE)*VLOOKUP($A667,Locaties[],3,FALSE),0)</f>
        <v>0</v>
      </c>
      <c r="W667" s="185">
        <f>Ruimtestaat[[#This Row],[Uitvoeringen werkdagen]]*Ruimtestaat[[#This Row],[Oppervlak (netto)]]</f>
        <v>0</v>
      </c>
      <c r="X667" s="220">
        <f>IF(V667&gt;0,Ruimtestaat[[#This Row],[Prest. (m2 /jaar) werkdagen]]/Ruimtestaat[[#This Row],[Norm (m2/uur) werkdagen]],0)</f>
        <v>0</v>
      </c>
      <c r="Y667" s="221">
        <f>Ruimtestaat[[#This Row],[uren / jaar werkdagen]]*Tariefsopbouw!$D$38</f>
        <v>0</v>
      </c>
      <c r="Z667" s="33"/>
      <c r="AA667" s="33">
        <f>IF(Ruimtestaat[[#This Row],[Frequentie weekend]]&gt;0,VALUE(LEFT(Z667,1))*S667,0)</f>
        <v>0</v>
      </c>
      <c r="AB667" s="33">
        <f>IF($AA667&gt;0,VLOOKUP($K667,Ruimtegroepen[],3,FALSE)*VLOOKUP($M667,Vloersoorten[],3,FALSE)*VLOOKUP($Z667,Frequenties[],3,FALSE)*VLOOKUP(#REF!,Locaties[],3,FALSE),0)</f>
        <v>0</v>
      </c>
      <c r="AC667" s="33"/>
      <c r="AD667" s="33"/>
      <c r="AE667" s="33">
        <f>Ruimtestaat[[#This Row],[uren / jaar weekend]]*Tariefsopbouw!$D$40</f>
        <v>0</v>
      </c>
      <c r="AF667" s="79">
        <f>Ruimtestaat[[#This Row],[Prest. (m2 /jaar) weekend]]+Ruimtestaat[[#This Row],[Prest. (m2 /jaar) werkdagen]]</f>
        <v>0</v>
      </c>
      <c r="AG667" s="79">
        <f>Ruimtestaat[[#This Row],[uren / jaar weekend]]+Ruimtestaat[[#This Row],[uren / jaar werkdagen]]</f>
        <v>0</v>
      </c>
      <c r="AH667" s="80">
        <f>Ruimtestaat[[#This Row],[kosten / jaar weekend]]+Ruimtestaat[[#This Row],[kosten / jaar werkdagen]]</f>
        <v>0</v>
      </c>
    </row>
    <row r="668" spans="1:34" ht="15" customHeight="1">
      <c r="A668" s="256">
        <v>7</v>
      </c>
      <c r="B668" s="171" t="str">
        <f>VLOOKUP(Ruimtestaat[[#This Row],[Code]],Locaties[#All],2,FALSE)</f>
        <v>De Kapstok AGL</v>
      </c>
      <c r="C668" s="258" t="str">
        <f>VLOOKUP(Ruimtestaat[[#This Row],[Code]],Locaties[#All],4,FALSE)</f>
        <v>Krabbenbosweg 91</v>
      </c>
      <c r="D668" s="258" t="str">
        <f>VLOOKUP(Ruimtestaat[[#This Row],[Code]],Locaties[#All],5,FALSE)</f>
        <v>7555ED</v>
      </c>
      <c r="E668" s="258" t="str">
        <f>VLOOKUP(Ruimtestaat[[#This Row],[Code]],Locaties[#All],6,FALSE)</f>
        <v>Hengelo</v>
      </c>
      <c r="F668" s="257" t="s">
        <v>629</v>
      </c>
      <c r="G668" s="257" t="s">
        <v>563</v>
      </c>
      <c r="H668" s="171"/>
      <c r="I668" s="257" t="s">
        <v>632</v>
      </c>
      <c r="J668" s="259" t="s">
        <v>654</v>
      </c>
      <c r="K668" s="171">
        <v>20</v>
      </c>
      <c r="L668" s="260" t="str">
        <f>VLOOKUP(Ruimtestaat[[#This Row],[Ruimte code]],Ruimtegroepen[#All],2,FALSE)</f>
        <v>Niet in onderhoud</v>
      </c>
      <c r="M668" s="185" t="s">
        <v>598</v>
      </c>
      <c r="N668" s="257" t="s">
        <v>132</v>
      </c>
      <c r="O668" s="261"/>
      <c r="P668" s="183">
        <v>1.1000000000000001</v>
      </c>
      <c r="Q668" s="212" t="str">
        <f>VLOOKUP(Ruimtestaat[[#This Row],[Ruimte code]],Ruimtegroepen[#All],4,FALSE)</f>
        <v>niet in onderhoud</v>
      </c>
      <c r="R668" s="184"/>
      <c r="S668" s="185"/>
      <c r="T668" s="185"/>
      <c r="U668" s="185">
        <f>IF(S668&gt;0,IF(RIGHT(Ruimtestaat[[#This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8" s="185">
        <f>IF(U668&gt;0,VLOOKUP($K668,Ruimtegroepen[],3,FALSE)*VLOOKUP($M668,Vloersoorten[],3,FALSE)*VLOOKUP($T668,Frequenties[],3,FALSE)*VLOOKUP($A668,Locaties[],3,FALSE),0)</f>
        <v>0</v>
      </c>
      <c r="W668" s="185">
        <f>Ruimtestaat[[#This Row],[Uitvoeringen werkdagen]]*Ruimtestaat[[#This Row],[Oppervlak (netto)]]</f>
        <v>0</v>
      </c>
      <c r="X668" s="220">
        <f>IF(V668&gt;0,Ruimtestaat[[#This Row],[Prest. (m2 /jaar) werkdagen]]/Ruimtestaat[[#This Row],[Norm (m2/uur) werkdagen]],0)</f>
        <v>0</v>
      </c>
      <c r="Y668" s="221">
        <f>Ruimtestaat[[#This Row],[uren / jaar werkdagen]]*Tariefsopbouw!$D$38</f>
        <v>0</v>
      </c>
      <c r="Z668" s="33"/>
      <c r="AA668" s="33">
        <f>IF(Ruimtestaat[[#This Row],[Frequentie weekend]]&gt;0,VALUE(LEFT(Z668,1))*S668,0)</f>
        <v>0</v>
      </c>
      <c r="AB668" s="33">
        <f>IF($AA668&gt;0,VLOOKUP($K668,Ruimtegroepen[],3,FALSE)*VLOOKUP($M668,Vloersoorten[],3,FALSE)*VLOOKUP($Z668,Frequenties[],3,FALSE)*VLOOKUP(#REF!,Locaties[],3,FALSE),0)</f>
        <v>0</v>
      </c>
      <c r="AC668" s="33"/>
      <c r="AD668" s="33"/>
      <c r="AE668" s="33">
        <f>Ruimtestaat[[#This Row],[uren / jaar weekend]]*Tariefsopbouw!$D$40</f>
        <v>0</v>
      </c>
      <c r="AF668" s="79">
        <f>Ruimtestaat[[#This Row],[Prest. (m2 /jaar) weekend]]+Ruimtestaat[[#This Row],[Prest. (m2 /jaar) werkdagen]]</f>
        <v>0</v>
      </c>
      <c r="AG668" s="79">
        <f>Ruimtestaat[[#This Row],[uren / jaar weekend]]+Ruimtestaat[[#This Row],[uren / jaar werkdagen]]</f>
        <v>0</v>
      </c>
      <c r="AH668" s="80">
        <f>Ruimtestaat[[#This Row],[kosten / jaar weekend]]+Ruimtestaat[[#This Row],[kosten / jaar werkdagen]]</f>
        <v>0</v>
      </c>
    </row>
    <row r="669" spans="1:34" ht="15" customHeight="1">
      <c r="A669" s="256">
        <v>7</v>
      </c>
      <c r="B669" s="171" t="str">
        <f>VLOOKUP(Ruimtestaat[[#This Row],[Code]],Locaties[#All],2,FALSE)</f>
        <v>De Kapstok AGL</v>
      </c>
      <c r="C669" s="258" t="str">
        <f>VLOOKUP(Ruimtestaat[[#This Row],[Code]],Locaties[#All],4,FALSE)</f>
        <v>Krabbenbosweg 91</v>
      </c>
      <c r="D669" s="258" t="str">
        <f>VLOOKUP(Ruimtestaat[[#This Row],[Code]],Locaties[#All],5,FALSE)</f>
        <v>7555ED</v>
      </c>
      <c r="E669" s="258" t="str">
        <f>VLOOKUP(Ruimtestaat[[#This Row],[Code]],Locaties[#All],6,FALSE)</f>
        <v>Hengelo</v>
      </c>
      <c r="F669" s="257" t="s">
        <v>629</v>
      </c>
      <c r="G669" s="257" t="s">
        <v>563</v>
      </c>
      <c r="H669" s="171"/>
      <c r="I669" s="257" t="s">
        <v>637</v>
      </c>
      <c r="J669" s="259" t="s">
        <v>569</v>
      </c>
      <c r="K669" s="258">
        <v>20</v>
      </c>
      <c r="L669" s="260" t="str">
        <f>VLOOKUP(Ruimtestaat[[#This Row],[Ruimte code]],Ruimtegroepen[#All],2,FALSE)</f>
        <v>Niet in onderhoud</v>
      </c>
      <c r="M669" s="185" t="s">
        <v>598</v>
      </c>
      <c r="N669" s="257" t="s">
        <v>132</v>
      </c>
      <c r="O669" s="261"/>
      <c r="P669" s="183">
        <v>2.4</v>
      </c>
      <c r="Q669" s="212" t="str">
        <f>VLOOKUP(Ruimtestaat[[#This Row],[Ruimte code]],Ruimtegroepen[#All],4,FALSE)</f>
        <v>niet in onderhoud</v>
      </c>
      <c r="R669" s="184"/>
      <c r="S669" s="185"/>
      <c r="T669" s="185"/>
      <c r="U669" s="185">
        <f>IF(S669&gt;0,IF(RIGHT(Ruimtestaat[[#This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9" s="185">
        <f>IF(U669&gt;0,VLOOKUP($K669,Ruimtegroepen[],3,FALSE)*VLOOKUP($M669,Vloersoorten[],3,FALSE)*VLOOKUP($T669,Frequenties[],3,FALSE)*VLOOKUP($A669,Locaties[],3,FALSE),0)</f>
        <v>0</v>
      </c>
      <c r="W669" s="185">
        <f>Ruimtestaat[[#This Row],[Uitvoeringen werkdagen]]*Ruimtestaat[[#This Row],[Oppervlak (netto)]]</f>
        <v>0</v>
      </c>
      <c r="X669" s="220">
        <f>IF(V669&gt;0,Ruimtestaat[[#This Row],[Prest. (m2 /jaar) werkdagen]]/Ruimtestaat[[#This Row],[Norm (m2/uur) werkdagen]],0)</f>
        <v>0</v>
      </c>
      <c r="Y669" s="221">
        <f>Ruimtestaat[[#This Row],[uren / jaar werkdagen]]*Tariefsopbouw!$D$38</f>
        <v>0</v>
      </c>
      <c r="Z669" s="33"/>
      <c r="AA669" s="33">
        <f>IF(Ruimtestaat[[#This Row],[Frequentie weekend]]&gt;0,VALUE(LEFT(Z669,1))*S669,0)</f>
        <v>0</v>
      </c>
      <c r="AB669" s="33">
        <f>IF($AA669&gt;0,VLOOKUP($K669,Ruimtegroepen[],3,FALSE)*VLOOKUP($M669,Vloersoorten[],3,FALSE)*VLOOKUP($Z669,Frequenties[],3,FALSE)*VLOOKUP(#REF!,Locaties[],3,FALSE),0)</f>
        <v>0</v>
      </c>
      <c r="AC669" s="33"/>
      <c r="AD669" s="33"/>
      <c r="AE669" s="33">
        <f>Ruimtestaat[[#This Row],[uren / jaar weekend]]*Tariefsopbouw!$D$40</f>
        <v>0</v>
      </c>
      <c r="AF669" s="79">
        <f>Ruimtestaat[[#This Row],[Prest. (m2 /jaar) weekend]]+Ruimtestaat[[#This Row],[Prest. (m2 /jaar) werkdagen]]</f>
        <v>0</v>
      </c>
      <c r="AG669" s="79">
        <f>Ruimtestaat[[#This Row],[uren / jaar weekend]]+Ruimtestaat[[#This Row],[uren / jaar werkdagen]]</f>
        <v>0</v>
      </c>
      <c r="AH669" s="80">
        <f>Ruimtestaat[[#This Row],[kosten / jaar weekend]]+Ruimtestaat[[#This Row],[kosten / jaar werkdagen]]</f>
        <v>0</v>
      </c>
    </row>
    <row r="670" spans="1:34" ht="15" customHeight="1">
      <c r="A670" s="256">
        <v>7</v>
      </c>
      <c r="B670" s="171" t="str">
        <f>VLOOKUP(Ruimtestaat[[#This Row],[Code]],Locaties[#All],2,FALSE)</f>
        <v>De Kapstok AGL</v>
      </c>
      <c r="C670" s="258" t="str">
        <f>VLOOKUP(Ruimtestaat[[#This Row],[Code]],Locaties[#All],4,FALSE)</f>
        <v>Krabbenbosweg 91</v>
      </c>
      <c r="D670" s="258" t="str">
        <f>VLOOKUP(Ruimtestaat[[#This Row],[Code]],Locaties[#All],5,FALSE)</f>
        <v>7555ED</v>
      </c>
      <c r="E670" s="258" t="str">
        <f>VLOOKUP(Ruimtestaat[[#This Row],[Code]],Locaties[#All],6,FALSE)</f>
        <v>Hengelo</v>
      </c>
      <c r="F670" s="257" t="s">
        <v>629</v>
      </c>
      <c r="G670" s="257" t="s">
        <v>563</v>
      </c>
      <c r="H670" s="171"/>
      <c r="I670" s="257" t="s">
        <v>638</v>
      </c>
      <c r="J670" s="259" t="s">
        <v>385</v>
      </c>
      <c r="K670" s="258">
        <v>20</v>
      </c>
      <c r="L670" s="260" t="str">
        <f>VLOOKUP(Ruimtestaat[[#This Row],[Ruimte code]],Ruimtegroepen[#All],2,FALSE)</f>
        <v>Niet in onderhoud</v>
      </c>
      <c r="M670" s="185" t="s">
        <v>598</v>
      </c>
      <c r="N670" s="257" t="s">
        <v>132</v>
      </c>
      <c r="O670" s="261"/>
      <c r="P670" s="183">
        <v>51.3</v>
      </c>
      <c r="Q670" s="212" t="str">
        <f>VLOOKUP(Ruimtestaat[[#This Row],[Ruimte code]],Ruimtegroepen[#All],4,FALSE)</f>
        <v>niet in onderhoud</v>
      </c>
      <c r="R670" s="184"/>
      <c r="S670" s="185"/>
      <c r="T670" s="185"/>
      <c r="U670" s="185">
        <f>IF(S670&gt;0,IF(RIGHT(Ruimtestaat[[#This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0" s="185">
        <f>IF(U670&gt;0,VLOOKUP($K670,Ruimtegroepen[],3,FALSE)*VLOOKUP($M670,Vloersoorten[],3,FALSE)*VLOOKUP($T670,Frequenties[],3,FALSE)*VLOOKUP($A670,Locaties[],3,FALSE),0)</f>
        <v>0</v>
      </c>
      <c r="W670" s="185">
        <f>Ruimtestaat[[#This Row],[Uitvoeringen werkdagen]]*Ruimtestaat[[#This Row],[Oppervlak (netto)]]</f>
        <v>0</v>
      </c>
      <c r="X670" s="220">
        <f>IF(V670&gt;0,Ruimtestaat[[#This Row],[Prest. (m2 /jaar) werkdagen]]/Ruimtestaat[[#This Row],[Norm (m2/uur) werkdagen]],0)</f>
        <v>0</v>
      </c>
      <c r="Y670" s="221">
        <f>Ruimtestaat[[#This Row],[uren / jaar werkdagen]]*Tariefsopbouw!$D$38</f>
        <v>0</v>
      </c>
      <c r="Z670" s="33"/>
      <c r="AA670" s="33">
        <f>IF(Ruimtestaat[[#This Row],[Frequentie weekend]]&gt;0,VALUE(LEFT(Z670,1))*S670,0)</f>
        <v>0</v>
      </c>
      <c r="AB670" s="33">
        <f>IF($AA670&gt;0,VLOOKUP($K670,Ruimtegroepen[],3,FALSE)*VLOOKUP($M670,Vloersoorten[],3,FALSE)*VLOOKUP($Z670,Frequenties[],3,FALSE)*VLOOKUP(#REF!,Locaties[],3,FALSE),0)</f>
        <v>0</v>
      </c>
      <c r="AC670" s="33"/>
      <c r="AD670" s="33"/>
      <c r="AE670" s="33">
        <f>Ruimtestaat[[#This Row],[uren / jaar weekend]]*Tariefsopbouw!$D$40</f>
        <v>0</v>
      </c>
      <c r="AF670" s="79">
        <f>Ruimtestaat[[#This Row],[Prest. (m2 /jaar) weekend]]+Ruimtestaat[[#This Row],[Prest. (m2 /jaar) werkdagen]]</f>
        <v>0</v>
      </c>
      <c r="AG670" s="79">
        <f>Ruimtestaat[[#This Row],[uren / jaar weekend]]+Ruimtestaat[[#This Row],[uren / jaar werkdagen]]</f>
        <v>0</v>
      </c>
      <c r="AH670" s="80">
        <f>Ruimtestaat[[#This Row],[kosten / jaar weekend]]+Ruimtestaat[[#This Row],[kosten / jaar werkdagen]]</f>
        <v>0</v>
      </c>
    </row>
    <row r="671" spans="1:34" ht="15" customHeight="1">
      <c r="A671" s="256">
        <v>7</v>
      </c>
      <c r="B671" s="171" t="str">
        <f>VLOOKUP(Ruimtestaat[[#This Row],[Code]],Locaties[#All],2,FALSE)</f>
        <v>De Kapstok AGL</v>
      </c>
      <c r="C671" s="258" t="str">
        <f>VLOOKUP(Ruimtestaat[[#This Row],[Code]],Locaties[#All],4,FALSE)</f>
        <v>Krabbenbosweg 91</v>
      </c>
      <c r="D671" s="258" t="str">
        <f>VLOOKUP(Ruimtestaat[[#This Row],[Code]],Locaties[#All],5,FALSE)</f>
        <v>7555ED</v>
      </c>
      <c r="E671" s="258" t="str">
        <f>VLOOKUP(Ruimtestaat[[#This Row],[Code]],Locaties[#All],6,FALSE)</f>
        <v>Hengelo</v>
      </c>
      <c r="F671" s="257" t="s">
        <v>629</v>
      </c>
      <c r="G671" s="257" t="s">
        <v>563</v>
      </c>
      <c r="H671" s="171"/>
      <c r="I671" s="257" t="s">
        <v>639</v>
      </c>
      <c r="J671" s="259" t="s">
        <v>571</v>
      </c>
      <c r="K671" s="171">
        <v>20</v>
      </c>
      <c r="L671" s="260" t="str">
        <f>VLOOKUP(Ruimtestaat[[#This Row],[Ruimte code]],Ruimtegroepen[#All],2,FALSE)</f>
        <v>Niet in onderhoud</v>
      </c>
      <c r="M671" s="185" t="s">
        <v>598</v>
      </c>
      <c r="N671" s="257" t="s">
        <v>132</v>
      </c>
      <c r="O671" s="261"/>
      <c r="P671" s="183">
        <v>10.9</v>
      </c>
      <c r="Q671" s="212" t="str">
        <f>VLOOKUP(Ruimtestaat[[#This Row],[Ruimte code]],Ruimtegroepen[#All],4,FALSE)</f>
        <v>niet in onderhoud</v>
      </c>
      <c r="R671" s="184"/>
      <c r="S671" s="185"/>
      <c r="T671" s="185"/>
      <c r="U671" s="185">
        <f>IF(S671&gt;0,IF(RIGHT(Ruimtestaat[[#This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1" s="185">
        <f>IF(U671&gt;0,VLOOKUP($K671,Ruimtegroepen[],3,FALSE)*VLOOKUP($M671,Vloersoorten[],3,FALSE)*VLOOKUP($T671,Frequenties[],3,FALSE)*VLOOKUP($A671,Locaties[],3,FALSE),0)</f>
        <v>0</v>
      </c>
      <c r="W671" s="185">
        <f>Ruimtestaat[[#This Row],[Uitvoeringen werkdagen]]*Ruimtestaat[[#This Row],[Oppervlak (netto)]]</f>
        <v>0</v>
      </c>
      <c r="X671" s="220">
        <f>IF(V671&gt;0,Ruimtestaat[[#This Row],[Prest. (m2 /jaar) werkdagen]]/Ruimtestaat[[#This Row],[Norm (m2/uur) werkdagen]],0)</f>
        <v>0</v>
      </c>
      <c r="Y671" s="221">
        <f>Ruimtestaat[[#This Row],[uren / jaar werkdagen]]*Tariefsopbouw!$D$38</f>
        <v>0</v>
      </c>
      <c r="Z671" s="33"/>
      <c r="AA671" s="33">
        <f>IF(Ruimtestaat[[#This Row],[Frequentie weekend]]&gt;0,VALUE(LEFT(Z671,1))*S671,0)</f>
        <v>0</v>
      </c>
      <c r="AB671" s="33">
        <f>IF($AA671&gt;0,VLOOKUP($K671,Ruimtegroepen[],3,FALSE)*VLOOKUP($M671,Vloersoorten[],3,FALSE)*VLOOKUP($Z671,Frequenties[],3,FALSE)*VLOOKUP(#REF!,Locaties[],3,FALSE),0)</f>
        <v>0</v>
      </c>
      <c r="AC671" s="33"/>
      <c r="AD671" s="33"/>
      <c r="AE671" s="33">
        <f>Ruimtestaat[[#This Row],[uren / jaar weekend]]*Tariefsopbouw!$D$40</f>
        <v>0</v>
      </c>
      <c r="AF671" s="79">
        <f>Ruimtestaat[[#This Row],[Prest. (m2 /jaar) weekend]]+Ruimtestaat[[#This Row],[Prest. (m2 /jaar) werkdagen]]</f>
        <v>0</v>
      </c>
      <c r="AG671" s="79">
        <f>Ruimtestaat[[#This Row],[uren / jaar weekend]]+Ruimtestaat[[#This Row],[uren / jaar werkdagen]]</f>
        <v>0</v>
      </c>
      <c r="AH671" s="80">
        <f>Ruimtestaat[[#This Row],[kosten / jaar weekend]]+Ruimtestaat[[#This Row],[kosten / jaar werkdagen]]</f>
        <v>0</v>
      </c>
    </row>
    <row r="672" spans="1:34" ht="15" customHeight="1">
      <c r="A672" s="256">
        <v>7</v>
      </c>
      <c r="B672" s="171" t="str">
        <f>VLOOKUP(Ruimtestaat[[#This Row],[Code]],Locaties[#All],2,FALSE)</f>
        <v>De Kapstok AGL</v>
      </c>
      <c r="C672" s="258" t="str">
        <f>VLOOKUP(Ruimtestaat[[#This Row],[Code]],Locaties[#All],4,FALSE)</f>
        <v>Krabbenbosweg 91</v>
      </c>
      <c r="D672" s="258" t="str">
        <f>VLOOKUP(Ruimtestaat[[#This Row],[Code]],Locaties[#All],5,FALSE)</f>
        <v>7555ED</v>
      </c>
      <c r="E672" s="258" t="str">
        <f>VLOOKUP(Ruimtestaat[[#This Row],[Code]],Locaties[#All],6,FALSE)</f>
        <v>Hengelo</v>
      </c>
      <c r="F672" s="257" t="s">
        <v>629</v>
      </c>
      <c r="G672" s="257" t="s">
        <v>563</v>
      </c>
      <c r="H672" s="171"/>
      <c r="I672" s="257" t="s">
        <v>641</v>
      </c>
      <c r="J672" s="259" t="s">
        <v>385</v>
      </c>
      <c r="K672" s="258">
        <v>20</v>
      </c>
      <c r="L672" s="260" t="str">
        <f>VLOOKUP(Ruimtestaat[[#This Row],[Ruimte code]],Ruimtegroepen[#All],2,FALSE)</f>
        <v>Niet in onderhoud</v>
      </c>
      <c r="M672" s="185" t="s">
        <v>598</v>
      </c>
      <c r="N672" s="257" t="s">
        <v>132</v>
      </c>
      <c r="O672" s="261"/>
      <c r="P672" s="183">
        <v>51.3</v>
      </c>
      <c r="Q672" s="212" t="str">
        <f>VLOOKUP(Ruimtestaat[[#This Row],[Ruimte code]],Ruimtegroepen[#All],4,FALSE)</f>
        <v>niet in onderhoud</v>
      </c>
      <c r="R672" s="184"/>
      <c r="S672" s="185"/>
      <c r="T672" s="185"/>
      <c r="U672" s="185">
        <f>IF(S672&gt;0,IF(RIGHT(Ruimtestaat[[#This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2" s="185">
        <f>IF(U672&gt;0,VLOOKUP($K672,Ruimtegroepen[],3,FALSE)*VLOOKUP($M672,Vloersoorten[],3,FALSE)*VLOOKUP($T672,Frequenties[],3,FALSE)*VLOOKUP($A672,Locaties[],3,FALSE),0)</f>
        <v>0</v>
      </c>
      <c r="W672" s="185">
        <f>Ruimtestaat[[#This Row],[Uitvoeringen werkdagen]]*Ruimtestaat[[#This Row],[Oppervlak (netto)]]</f>
        <v>0</v>
      </c>
      <c r="X672" s="220">
        <f>IF(V672&gt;0,Ruimtestaat[[#This Row],[Prest. (m2 /jaar) werkdagen]]/Ruimtestaat[[#This Row],[Norm (m2/uur) werkdagen]],0)</f>
        <v>0</v>
      </c>
      <c r="Y672" s="221">
        <f>Ruimtestaat[[#This Row],[uren / jaar werkdagen]]*Tariefsopbouw!$D$38</f>
        <v>0</v>
      </c>
      <c r="Z672" s="33"/>
      <c r="AA672" s="33">
        <f>IF(Ruimtestaat[[#This Row],[Frequentie weekend]]&gt;0,VALUE(LEFT(Z672,1))*S672,0)</f>
        <v>0</v>
      </c>
      <c r="AB672" s="33">
        <f>IF($AA672&gt;0,VLOOKUP($K672,Ruimtegroepen[],3,FALSE)*VLOOKUP($M672,Vloersoorten[],3,FALSE)*VLOOKUP($Z672,Frequenties[],3,FALSE)*VLOOKUP(#REF!,Locaties[],3,FALSE),0)</f>
        <v>0</v>
      </c>
      <c r="AC672" s="33"/>
      <c r="AD672" s="33"/>
      <c r="AE672" s="33">
        <f>Ruimtestaat[[#This Row],[uren / jaar weekend]]*Tariefsopbouw!$D$40</f>
        <v>0</v>
      </c>
      <c r="AF672" s="79">
        <f>Ruimtestaat[[#This Row],[Prest. (m2 /jaar) weekend]]+Ruimtestaat[[#This Row],[Prest. (m2 /jaar) werkdagen]]</f>
        <v>0</v>
      </c>
      <c r="AG672" s="79">
        <f>Ruimtestaat[[#This Row],[uren / jaar weekend]]+Ruimtestaat[[#This Row],[uren / jaar werkdagen]]</f>
        <v>0</v>
      </c>
      <c r="AH672" s="80">
        <f>Ruimtestaat[[#This Row],[kosten / jaar weekend]]+Ruimtestaat[[#This Row],[kosten / jaar werkdagen]]</f>
        <v>0</v>
      </c>
    </row>
    <row r="673" spans="1:34" ht="15" customHeight="1">
      <c r="A673" s="256">
        <v>7</v>
      </c>
      <c r="B673" s="171" t="str">
        <f>VLOOKUP(Ruimtestaat[[#This Row],[Code]],Locaties[#All],2,FALSE)</f>
        <v>De Kapstok AGL</v>
      </c>
      <c r="C673" s="258" t="str">
        <f>VLOOKUP(Ruimtestaat[[#This Row],[Code]],Locaties[#All],4,FALSE)</f>
        <v>Krabbenbosweg 91</v>
      </c>
      <c r="D673" s="258" t="str">
        <f>VLOOKUP(Ruimtestaat[[#This Row],[Code]],Locaties[#All],5,FALSE)</f>
        <v>7555ED</v>
      </c>
      <c r="E673" s="258" t="str">
        <f>VLOOKUP(Ruimtestaat[[#This Row],[Code]],Locaties[#All],6,FALSE)</f>
        <v>Hengelo</v>
      </c>
      <c r="F673" s="257" t="s">
        <v>630</v>
      </c>
      <c r="G673" s="257" t="s">
        <v>563</v>
      </c>
      <c r="H673" s="171"/>
      <c r="I673" s="257" t="s">
        <v>645</v>
      </c>
      <c r="J673" s="259" t="s">
        <v>40</v>
      </c>
      <c r="K673" s="258">
        <v>20</v>
      </c>
      <c r="L673" s="260" t="str">
        <f>VLOOKUP(Ruimtestaat[[#This Row],[Ruimte code]],Ruimtegroepen[#All],2,FALSE)</f>
        <v>Niet in onderhoud</v>
      </c>
      <c r="M673" s="258" t="s">
        <v>598</v>
      </c>
      <c r="N673" s="257" t="s">
        <v>132</v>
      </c>
      <c r="O673" s="261"/>
      <c r="P673" s="183">
        <v>53</v>
      </c>
      <c r="Q673" s="212" t="str">
        <f>VLOOKUP(Ruimtestaat[[#This Row],[Ruimte code]],Ruimtegroepen[#All],4,FALSE)</f>
        <v>niet in onderhoud</v>
      </c>
      <c r="R673" s="184"/>
      <c r="S673" s="185"/>
      <c r="T673" s="185"/>
      <c r="U673" s="185">
        <f>IF(S673&gt;0,IF(RIGHT(Ruimtestaat[[#This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3" s="185">
        <f>IF(U673&gt;0,VLOOKUP($K673,Ruimtegroepen[],3,FALSE)*VLOOKUP($M673,Vloersoorten[],3,FALSE)*VLOOKUP($T673,Frequenties[],3,FALSE)*VLOOKUP($A673,Locaties[],3,FALSE),0)</f>
        <v>0</v>
      </c>
      <c r="W673" s="185">
        <f>Ruimtestaat[[#This Row],[Uitvoeringen werkdagen]]*Ruimtestaat[[#This Row],[Oppervlak (netto)]]</f>
        <v>0</v>
      </c>
      <c r="X673" s="220">
        <f>IF(V673&gt;0,Ruimtestaat[[#This Row],[Prest. (m2 /jaar) werkdagen]]/Ruimtestaat[[#This Row],[Norm (m2/uur) werkdagen]],0)</f>
        <v>0</v>
      </c>
      <c r="Y673" s="221">
        <f>Ruimtestaat[[#This Row],[uren / jaar werkdagen]]*Tariefsopbouw!$D$38</f>
        <v>0</v>
      </c>
      <c r="Z673" s="33"/>
      <c r="AA673" s="33">
        <f>IF(Ruimtestaat[[#This Row],[Frequentie weekend]]&gt;0,VALUE(LEFT(Z673,1))*S673,0)</f>
        <v>0</v>
      </c>
      <c r="AB673" s="33">
        <f>IF($AA673&gt;0,VLOOKUP($K673,Ruimtegroepen[],3,FALSE)*VLOOKUP($M673,Vloersoorten[],3,FALSE)*VLOOKUP($Z673,Frequenties[],3,FALSE)*VLOOKUP(#REF!,Locaties[],3,FALSE),0)</f>
        <v>0</v>
      </c>
      <c r="AC673" s="33"/>
      <c r="AD673" s="33"/>
      <c r="AE673" s="33">
        <f>Ruimtestaat[[#This Row],[uren / jaar weekend]]*Tariefsopbouw!$D$40</f>
        <v>0</v>
      </c>
      <c r="AF673" s="79">
        <f>Ruimtestaat[[#This Row],[Prest. (m2 /jaar) weekend]]+Ruimtestaat[[#This Row],[Prest. (m2 /jaar) werkdagen]]</f>
        <v>0</v>
      </c>
      <c r="AG673" s="79">
        <f>Ruimtestaat[[#This Row],[uren / jaar weekend]]+Ruimtestaat[[#This Row],[uren / jaar werkdagen]]</f>
        <v>0</v>
      </c>
      <c r="AH673" s="80">
        <f>Ruimtestaat[[#This Row],[kosten / jaar weekend]]+Ruimtestaat[[#This Row],[kosten / jaar werkdagen]]</f>
        <v>0</v>
      </c>
    </row>
    <row r="674" spans="1:34" ht="15" customHeight="1">
      <c r="A674" s="256">
        <v>7</v>
      </c>
      <c r="B674" s="171" t="str">
        <f>VLOOKUP(Ruimtestaat[[#This Row],[Code]],Locaties[#All],2,FALSE)</f>
        <v>De Kapstok AGL</v>
      </c>
      <c r="C674" s="258" t="str">
        <f>VLOOKUP(Ruimtestaat[[#This Row],[Code]],Locaties[#All],4,FALSE)</f>
        <v>Krabbenbosweg 91</v>
      </c>
      <c r="D674" s="258" t="str">
        <f>VLOOKUP(Ruimtestaat[[#This Row],[Code]],Locaties[#All],5,FALSE)</f>
        <v>7555ED</v>
      </c>
      <c r="E674" s="258" t="str">
        <f>VLOOKUP(Ruimtestaat[[#This Row],[Code]],Locaties[#All],6,FALSE)</f>
        <v>Hengelo</v>
      </c>
      <c r="F674" s="257" t="s">
        <v>630</v>
      </c>
      <c r="G674" s="257" t="s">
        <v>563</v>
      </c>
      <c r="H674" s="171"/>
      <c r="I674" s="257" t="s">
        <v>632</v>
      </c>
      <c r="J674" s="259" t="s">
        <v>571</v>
      </c>
      <c r="K674" s="185">
        <v>20</v>
      </c>
      <c r="L674" s="260" t="str">
        <f>VLOOKUP(Ruimtestaat[[#This Row],[Ruimte code]],Ruimtegroepen[#All],2,FALSE)</f>
        <v>Niet in onderhoud</v>
      </c>
      <c r="M674" s="258" t="s">
        <v>598</v>
      </c>
      <c r="N674" s="257" t="s">
        <v>132</v>
      </c>
      <c r="O674" s="261"/>
      <c r="P674" s="183">
        <v>11.1</v>
      </c>
      <c r="Q674" s="212" t="str">
        <f>VLOOKUP(Ruimtestaat[[#This Row],[Ruimte code]],Ruimtegroepen[#All],4,FALSE)</f>
        <v>niet in onderhoud</v>
      </c>
      <c r="R674" s="184"/>
      <c r="S674" s="185"/>
      <c r="T674" s="185"/>
      <c r="U674" s="185">
        <f>IF(S674&gt;0,IF(RIGHT(Ruimtestaat[[#This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4" s="185">
        <f>IF(U674&gt;0,VLOOKUP($K674,Ruimtegroepen[],3,FALSE)*VLOOKUP($M674,Vloersoorten[],3,FALSE)*VLOOKUP($T674,Frequenties[],3,FALSE)*VLOOKUP($A674,Locaties[],3,FALSE),0)</f>
        <v>0</v>
      </c>
      <c r="W674" s="185">
        <f>Ruimtestaat[[#This Row],[Uitvoeringen werkdagen]]*Ruimtestaat[[#This Row],[Oppervlak (netto)]]</f>
        <v>0</v>
      </c>
      <c r="X674" s="220">
        <f>IF(V674&gt;0,Ruimtestaat[[#This Row],[Prest. (m2 /jaar) werkdagen]]/Ruimtestaat[[#This Row],[Norm (m2/uur) werkdagen]],0)</f>
        <v>0</v>
      </c>
      <c r="Y674" s="221">
        <f>Ruimtestaat[[#This Row],[uren / jaar werkdagen]]*Tariefsopbouw!$D$38</f>
        <v>0</v>
      </c>
      <c r="Z674" s="33"/>
      <c r="AA674" s="33">
        <f>IF(Ruimtestaat[[#This Row],[Frequentie weekend]]&gt;0,VALUE(LEFT(Z674,1))*S674,0)</f>
        <v>0</v>
      </c>
      <c r="AB674" s="33">
        <f>IF($AA674&gt;0,VLOOKUP($K674,Ruimtegroepen[],3,FALSE)*VLOOKUP($M674,Vloersoorten[],3,FALSE)*VLOOKUP($Z674,Frequenties[],3,FALSE)*VLOOKUP(#REF!,Locaties[],3,FALSE),0)</f>
        <v>0</v>
      </c>
      <c r="AC674" s="33"/>
      <c r="AD674" s="33"/>
      <c r="AE674" s="33">
        <f>Ruimtestaat[[#This Row],[uren / jaar weekend]]*Tariefsopbouw!$D$40</f>
        <v>0</v>
      </c>
      <c r="AF674" s="79">
        <f>Ruimtestaat[[#This Row],[Prest. (m2 /jaar) weekend]]+Ruimtestaat[[#This Row],[Prest. (m2 /jaar) werkdagen]]</f>
        <v>0</v>
      </c>
      <c r="AG674" s="79">
        <f>Ruimtestaat[[#This Row],[uren / jaar weekend]]+Ruimtestaat[[#This Row],[uren / jaar werkdagen]]</f>
        <v>0</v>
      </c>
      <c r="AH674" s="80">
        <f>Ruimtestaat[[#This Row],[kosten / jaar weekend]]+Ruimtestaat[[#This Row],[kosten / jaar werkdagen]]</f>
        <v>0</v>
      </c>
    </row>
    <row r="675" spans="1:34" ht="15" customHeight="1">
      <c r="A675" s="256">
        <v>7</v>
      </c>
      <c r="B675" s="171" t="str">
        <f>VLOOKUP(Ruimtestaat[[#This Row],[Code]],Locaties[#All],2,FALSE)</f>
        <v>De Kapstok AGL</v>
      </c>
      <c r="C675" s="258" t="str">
        <f>VLOOKUP(Ruimtestaat[[#This Row],[Code]],Locaties[#All],4,FALSE)</f>
        <v>Krabbenbosweg 91</v>
      </c>
      <c r="D675" s="258" t="str">
        <f>VLOOKUP(Ruimtestaat[[#This Row],[Code]],Locaties[#All],5,FALSE)</f>
        <v>7555ED</v>
      </c>
      <c r="E675" s="258" t="str">
        <f>VLOOKUP(Ruimtestaat[[#This Row],[Code]],Locaties[#All],6,FALSE)</f>
        <v>Hengelo</v>
      </c>
      <c r="F675" s="257" t="s">
        <v>630</v>
      </c>
      <c r="G675" s="257" t="s">
        <v>563</v>
      </c>
      <c r="H675" s="171"/>
      <c r="I675" s="257" t="s">
        <v>637</v>
      </c>
      <c r="J675" s="259" t="s">
        <v>385</v>
      </c>
      <c r="K675" s="258">
        <v>20</v>
      </c>
      <c r="L675" s="260" t="str">
        <f>VLOOKUP(Ruimtestaat[[#This Row],[Ruimte code]],Ruimtegroepen[#All],2,FALSE)</f>
        <v>Niet in onderhoud</v>
      </c>
      <c r="M675" s="258" t="s">
        <v>598</v>
      </c>
      <c r="N675" s="257" t="s">
        <v>132</v>
      </c>
      <c r="O675" s="261"/>
      <c r="P675" s="183">
        <v>51.2</v>
      </c>
      <c r="Q675" s="212" t="str">
        <f>VLOOKUP(Ruimtestaat[[#This Row],[Ruimte code]],Ruimtegroepen[#All],4,FALSE)</f>
        <v>niet in onderhoud</v>
      </c>
      <c r="R675" s="184"/>
      <c r="S675" s="185"/>
      <c r="T675" s="185"/>
      <c r="U675" s="185">
        <f>IF(S675&gt;0,IF(RIGHT(Ruimtestaat[[#This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5" s="185">
        <f>IF(U675&gt;0,VLOOKUP($K675,Ruimtegroepen[],3,FALSE)*VLOOKUP($M675,Vloersoorten[],3,FALSE)*VLOOKUP($T675,Frequenties[],3,FALSE)*VLOOKUP($A675,Locaties[],3,FALSE),0)</f>
        <v>0</v>
      </c>
      <c r="W675" s="185">
        <f>Ruimtestaat[[#This Row],[Uitvoeringen werkdagen]]*Ruimtestaat[[#This Row],[Oppervlak (netto)]]</f>
        <v>0</v>
      </c>
      <c r="X675" s="220">
        <f>IF(V675&gt;0,Ruimtestaat[[#This Row],[Prest. (m2 /jaar) werkdagen]]/Ruimtestaat[[#This Row],[Norm (m2/uur) werkdagen]],0)</f>
        <v>0</v>
      </c>
      <c r="Y675" s="221">
        <f>Ruimtestaat[[#This Row],[uren / jaar werkdagen]]*Tariefsopbouw!$D$38</f>
        <v>0</v>
      </c>
      <c r="Z675" s="33"/>
      <c r="AA675" s="33">
        <f>IF(Ruimtestaat[[#This Row],[Frequentie weekend]]&gt;0,VALUE(LEFT(Z675,1))*S675,0)</f>
        <v>0</v>
      </c>
      <c r="AB675" s="33">
        <f>IF($AA675&gt;0,VLOOKUP($K675,Ruimtegroepen[],3,FALSE)*VLOOKUP($M675,Vloersoorten[],3,FALSE)*VLOOKUP($Z675,Frequenties[],3,FALSE)*VLOOKUP(#REF!,Locaties[],3,FALSE),0)</f>
        <v>0</v>
      </c>
      <c r="AC675" s="33"/>
      <c r="AD675" s="33"/>
      <c r="AE675" s="33">
        <f>Ruimtestaat[[#This Row],[uren / jaar weekend]]*Tariefsopbouw!$D$40</f>
        <v>0</v>
      </c>
      <c r="AF675" s="79">
        <f>Ruimtestaat[[#This Row],[Prest. (m2 /jaar) weekend]]+Ruimtestaat[[#This Row],[Prest. (m2 /jaar) werkdagen]]</f>
        <v>0</v>
      </c>
      <c r="AG675" s="79">
        <f>Ruimtestaat[[#This Row],[uren / jaar weekend]]+Ruimtestaat[[#This Row],[uren / jaar werkdagen]]</f>
        <v>0</v>
      </c>
      <c r="AH675" s="80">
        <f>Ruimtestaat[[#This Row],[kosten / jaar weekend]]+Ruimtestaat[[#This Row],[kosten / jaar werkdagen]]</f>
        <v>0</v>
      </c>
    </row>
    <row r="676" spans="1:34" ht="15" customHeight="1">
      <c r="A676" s="256">
        <v>10</v>
      </c>
      <c r="B676" s="171" t="str">
        <f>VLOOKUP(Ruimtestaat[[#This Row],[Code]],Locaties[#All],2,FALSE)</f>
        <v>De Stapsteen (2 gebouwen)</v>
      </c>
      <c r="C676" s="258" t="str">
        <f>VLOOKUP(Ruimtestaat[[#This Row],[Code]],Locaties[#All],4,FALSE)</f>
        <v>J. Perkstraat 5-11</v>
      </c>
      <c r="D676" s="258" t="str">
        <f>VLOOKUP(Ruimtestaat[[#This Row],[Code]],Locaties[#All],5,FALSE)</f>
        <v>7532JR</v>
      </c>
      <c r="E676" s="258" t="str">
        <f>VLOOKUP(Ruimtestaat[[#This Row],[Code]],Locaties[#All],6,FALSE)</f>
        <v>Hengelo</v>
      </c>
      <c r="F676" s="257"/>
      <c r="G676" s="257" t="s">
        <v>563</v>
      </c>
      <c r="H676" s="171"/>
      <c r="I676" s="257" t="s">
        <v>446</v>
      </c>
      <c r="J676" s="259" t="s">
        <v>40</v>
      </c>
      <c r="K676" s="171">
        <v>7</v>
      </c>
      <c r="L676" s="260" t="str">
        <f>VLOOKUP(Ruimtestaat[[#This Row],[Ruimte code]],Ruimtegroepen[#All],2,FALSE)</f>
        <v>Entree</v>
      </c>
      <c r="M676" s="258" t="s">
        <v>597</v>
      </c>
      <c r="N676" s="257" t="s">
        <v>604</v>
      </c>
      <c r="O676" s="261">
        <v>5</v>
      </c>
      <c r="P676" s="183"/>
      <c r="Q676" s="212" t="str">
        <f>VLOOKUP(Ruimtestaat[[#This Row],[Ruimte code]],Ruimtegroepen[#All],4,FALSE)</f>
        <v>V  (Verkeersruimte)</v>
      </c>
      <c r="R676" s="184"/>
      <c r="S676" s="185">
        <v>40</v>
      </c>
      <c r="T676" s="185" t="s">
        <v>2</v>
      </c>
      <c r="U676" s="185">
        <f>IF(S676&gt;0,IF(RIGHT(Ruimtestaat[[#This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6" s="185">
        <f>IF(U676&gt;0,VLOOKUP($K676,Ruimtegroepen[],3,FALSE)*VLOOKUP($M676,Vloersoorten[],3,FALSE)*VLOOKUP($T676,Frequenties[],3,FALSE)*VLOOKUP($A676,Locaties[],3,FALSE),0)</f>
        <v>0</v>
      </c>
      <c r="W676" s="185">
        <f>Ruimtestaat[[#This Row],[Uitvoeringen werkdagen]]*Ruimtestaat[[#This Row],[Oppervlak (netto)]]</f>
        <v>1000</v>
      </c>
      <c r="X676" s="220">
        <f>IF(V676&gt;0,Ruimtestaat[[#This Row],[Prest. (m2 /jaar) werkdagen]]/Ruimtestaat[[#This Row],[Norm (m2/uur) werkdagen]],0)</f>
        <v>0</v>
      </c>
      <c r="Y676" s="221">
        <f>Ruimtestaat[[#This Row],[uren / jaar werkdagen]]*Tariefsopbouw!$D$38</f>
        <v>0</v>
      </c>
      <c r="Z676" s="33"/>
      <c r="AA676" s="33">
        <f>IF(Ruimtestaat[[#This Row],[Frequentie weekend]]&gt;0,VALUE(LEFT(Z676,1))*S676,0)</f>
        <v>0</v>
      </c>
      <c r="AB676" s="33">
        <f>IF($AA676&gt;0,VLOOKUP($K676,Ruimtegroepen[],3,FALSE)*VLOOKUP($M676,Vloersoorten[],3,FALSE)*VLOOKUP($Z676,Frequenties[],3,FALSE)*VLOOKUP(#REF!,Locaties[],3,FALSE),0)</f>
        <v>0</v>
      </c>
      <c r="AC676" s="33"/>
      <c r="AD676" s="33"/>
      <c r="AE676" s="33">
        <f>Ruimtestaat[[#This Row],[uren / jaar weekend]]*Tariefsopbouw!$D$40</f>
        <v>0</v>
      </c>
      <c r="AF676" s="79">
        <f>Ruimtestaat[[#This Row],[Prest. (m2 /jaar) weekend]]+Ruimtestaat[[#This Row],[Prest. (m2 /jaar) werkdagen]]</f>
        <v>1000</v>
      </c>
      <c r="AG676" s="79">
        <f>Ruimtestaat[[#This Row],[uren / jaar weekend]]+Ruimtestaat[[#This Row],[uren / jaar werkdagen]]</f>
        <v>0</v>
      </c>
      <c r="AH676" s="80">
        <f>Ruimtestaat[[#This Row],[kosten / jaar weekend]]+Ruimtestaat[[#This Row],[kosten / jaar werkdagen]]</f>
        <v>0</v>
      </c>
    </row>
    <row r="677" spans="1:34" ht="15" customHeight="1">
      <c r="A677" s="256">
        <v>10</v>
      </c>
      <c r="B677" s="171" t="str">
        <f>VLOOKUP(Ruimtestaat[[#This Row],[Code]],Locaties[#All],2,FALSE)</f>
        <v>De Stapsteen (2 gebouwen)</v>
      </c>
      <c r="C677" s="258" t="str">
        <f>VLOOKUP(Ruimtestaat[[#This Row],[Code]],Locaties[#All],4,FALSE)</f>
        <v>J. Perkstraat 5-11</v>
      </c>
      <c r="D677" s="258" t="str">
        <f>VLOOKUP(Ruimtestaat[[#This Row],[Code]],Locaties[#All],5,FALSE)</f>
        <v>7532JR</v>
      </c>
      <c r="E677" s="258" t="str">
        <f>VLOOKUP(Ruimtestaat[[#This Row],[Code]],Locaties[#All],6,FALSE)</f>
        <v>Hengelo</v>
      </c>
      <c r="F677" s="257"/>
      <c r="G677" s="257" t="s">
        <v>563</v>
      </c>
      <c r="H677" s="171"/>
      <c r="I677" s="257" t="s">
        <v>447</v>
      </c>
      <c r="J677" s="259" t="s">
        <v>583</v>
      </c>
      <c r="K677" s="258">
        <v>20</v>
      </c>
      <c r="L677" s="260" t="str">
        <f>VLOOKUP(Ruimtestaat[[#This Row],[Ruimte code]],Ruimtegroepen[#All],2,FALSE)</f>
        <v>Niet in onderhoud</v>
      </c>
      <c r="M677" s="258" t="s">
        <v>598</v>
      </c>
      <c r="N677" s="257" t="s">
        <v>132</v>
      </c>
      <c r="O677" s="261"/>
      <c r="P677" s="183">
        <v>1.3</v>
      </c>
      <c r="Q677" s="212" t="str">
        <f>VLOOKUP(Ruimtestaat[[#This Row],[Ruimte code]],Ruimtegroepen[#All],4,FALSE)</f>
        <v>niet in onderhoud</v>
      </c>
      <c r="R677" s="184"/>
      <c r="S677" s="185"/>
      <c r="T677" s="185" t="s">
        <v>3</v>
      </c>
      <c r="U677" s="185">
        <f>IF(S677&gt;0,IF(RIGHT(Ruimtestaat[[#This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7" s="185">
        <f>IF(U677&gt;0,VLOOKUP($K677,Ruimtegroepen[],3,FALSE)*VLOOKUP($M677,Vloersoorten[],3,FALSE)*VLOOKUP($T677,Frequenties[],3,FALSE)*VLOOKUP($A677,Locaties[],3,FALSE),0)</f>
        <v>0</v>
      </c>
      <c r="W677" s="185">
        <f>Ruimtestaat[[#This Row],[Uitvoeringen werkdagen]]*Ruimtestaat[[#This Row],[Oppervlak (netto)]]</f>
        <v>0</v>
      </c>
      <c r="X677" s="220">
        <f>IF(V677&gt;0,Ruimtestaat[[#This Row],[Prest. (m2 /jaar) werkdagen]]/Ruimtestaat[[#This Row],[Norm (m2/uur) werkdagen]],0)</f>
        <v>0</v>
      </c>
      <c r="Y677" s="221">
        <f>Ruimtestaat[[#This Row],[uren / jaar werkdagen]]*Tariefsopbouw!$D$38</f>
        <v>0</v>
      </c>
      <c r="Z677" s="33"/>
      <c r="AA677" s="33">
        <f>IF(Ruimtestaat[[#This Row],[Frequentie weekend]]&gt;0,VALUE(LEFT(Z677,1))*S677,0)</f>
        <v>0</v>
      </c>
      <c r="AB677" s="33">
        <f>IF($AA677&gt;0,VLOOKUP($K677,Ruimtegroepen[],3,FALSE)*VLOOKUP($M677,Vloersoorten[],3,FALSE)*VLOOKUP($Z677,Frequenties[],3,FALSE)*VLOOKUP(#REF!,Locaties[],3,FALSE),0)</f>
        <v>0</v>
      </c>
      <c r="AC677" s="33"/>
      <c r="AD677" s="33"/>
      <c r="AE677" s="33">
        <f>Ruimtestaat[[#This Row],[uren / jaar weekend]]*Tariefsopbouw!$D$40</f>
        <v>0</v>
      </c>
      <c r="AF677" s="79">
        <f>Ruimtestaat[[#This Row],[Prest. (m2 /jaar) weekend]]+Ruimtestaat[[#This Row],[Prest. (m2 /jaar) werkdagen]]</f>
        <v>0</v>
      </c>
      <c r="AG677" s="79">
        <f>Ruimtestaat[[#This Row],[uren / jaar weekend]]+Ruimtestaat[[#This Row],[uren / jaar werkdagen]]</f>
        <v>0</v>
      </c>
      <c r="AH677" s="80">
        <f>Ruimtestaat[[#This Row],[kosten / jaar weekend]]+Ruimtestaat[[#This Row],[kosten / jaar werkdagen]]</f>
        <v>0</v>
      </c>
    </row>
    <row r="678" spans="1:34" ht="15" customHeight="1">
      <c r="A678" s="256">
        <v>10</v>
      </c>
      <c r="B678" s="171" t="str">
        <f>VLOOKUP(Ruimtestaat[[#This Row],[Code]],Locaties[#All],2,FALSE)</f>
        <v>De Stapsteen (2 gebouwen)</v>
      </c>
      <c r="C678" s="258" t="str">
        <f>VLOOKUP(Ruimtestaat[[#This Row],[Code]],Locaties[#All],4,FALSE)</f>
        <v>J. Perkstraat 5-11</v>
      </c>
      <c r="D678" s="258" t="str">
        <f>VLOOKUP(Ruimtestaat[[#This Row],[Code]],Locaties[#All],5,FALSE)</f>
        <v>7532JR</v>
      </c>
      <c r="E678" s="258" t="str">
        <f>VLOOKUP(Ruimtestaat[[#This Row],[Code]],Locaties[#All],6,FALSE)</f>
        <v>Hengelo</v>
      </c>
      <c r="F678" s="257"/>
      <c r="G678" s="257" t="s">
        <v>563</v>
      </c>
      <c r="H678" s="171"/>
      <c r="I678" s="257" t="s">
        <v>448</v>
      </c>
      <c r="J678" s="259" t="s">
        <v>615</v>
      </c>
      <c r="K678" s="258">
        <v>6</v>
      </c>
      <c r="L678" s="260" t="str">
        <f>VLOOKUP(Ruimtestaat[[#This Row],[Ruimte code]],Ruimtegroepen[#All],2,FALSE)</f>
        <v>Gangen/hallen</v>
      </c>
      <c r="M678" s="258" t="s">
        <v>598</v>
      </c>
      <c r="N678" s="257" t="s">
        <v>132</v>
      </c>
      <c r="O678" s="261">
        <v>116</v>
      </c>
      <c r="P678" s="183"/>
      <c r="Q678" s="212" t="str">
        <f>VLOOKUP(Ruimtestaat[[#This Row],[Ruimte code]],Ruimtegroepen[#All],4,FALSE)</f>
        <v>V  (Verkeersruimte)</v>
      </c>
      <c r="R678" s="184"/>
      <c r="S678" s="185">
        <v>40</v>
      </c>
      <c r="T678" s="185" t="s">
        <v>2</v>
      </c>
      <c r="U678" s="185">
        <f>IF(S678&gt;0,IF(RIGHT(Ruimtestaat[[#This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8" s="185">
        <f>IF(U678&gt;0,VLOOKUP($K678,Ruimtegroepen[],3,FALSE)*VLOOKUP($M678,Vloersoorten[],3,FALSE)*VLOOKUP($T678,Frequenties[],3,FALSE)*VLOOKUP($A678,Locaties[],3,FALSE),0)</f>
        <v>0</v>
      </c>
      <c r="W678" s="185">
        <f>Ruimtestaat[[#This Row],[Uitvoeringen werkdagen]]*Ruimtestaat[[#This Row],[Oppervlak (netto)]]</f>
        <v>23200</v>
      </c>
      <c r="X678" s="220">
        <f>IF(V678&gt;0,Ruimtestaat[[#This Row],[Prest. (m2 /jaar) werkdagen]]/Ruimtestaat[[#This Row],[Norm (m2/uur) werkdagen]],0)</f>
        <v>0</v>
      </c>
      <c r="Y678" s="221">
        <f>Ruimtestaat[[#This Row],[uren / jaar werkdagen]]*Tariefsopbouw!$D$38</f>
        <v>0</v>
      </c>
      <c r="Z678" s="33"/>
      <c r="AA678" s="33">
        <f>IF(Ruimtestaat[[#This Row],[Frequentie weekend]]&gt;0,VALUE(LEFT(Z678,1))*S678,0)</f>
        <v>0</v>
      </c>
      <c r="AB678" s="33">
        <f>IF($AA678&gt;0,VLOOKUP($K678,Ruimtegroepen[],3,FALSE)*VLOOKUP($M678,Vloersoorten[],3,FALSE)*VLOOKUP($Z678,Frequenties[],3,FALSE)*VLOOKUP(#REF!,Locaties[],3,FALSE),0)</f>
        <v>0</v>
      </c>
      <c r="AC678" s="33"/>
      <c r="AD678" s="33"/>
      <c r="AE678" s="33">
        <f>Ruimtestaat[[#This Row],[uren / jaar weekend]]*Tariefsopbouw!$D$40</f>
        <v>0</v>
      </c>
      <c r="AF678" s="79">
        <f>Ruimtestaat[[#This Row],[Prest. (m2 /jaar) weekend]]+Ruimtestaat[[#This Row],[Prest. (m2 /jaar) werkdagen]]</f>
        <v>23200</v>
      </c>
      <c r="AG678" s="79">
        <f>Ruimtestaat[[#This Row],[uren / jaar weekend]]+Ruimtestaat[[#This Row],[uren / jaar werkdagen]]</f>
        <v>0</v>
      </c>
      <c r="AH678" s="80">
        <f>Ruimtestaat[[#This Row],[kosten / jaar weekend]]+Ruimtestaat[[#This Row],[kosten / jaar werkdagen]]</f>
        <v>0</v>
      </c>
    </row>
    <row r="679" spans="1:34" ht="15" customHeight="1">
      <c r="A679" s="256">
        <v>10</v>
      </c>
      <c r="B679" s="171" t="str">
        <f>VLOOKUP(Ruimtestaat[[#This Row],[Code]],Locaties[#All],2,FALSE)</f>
        <v>De Stapsteen (2 gebouwen)</v>
      </c>
      <c r="C679" s="258" t="str">
        <f>VLOOKUP(Ruimtestaat[[#This Row],[Code]],Locaties[#All],4,FALSE)</f>
        <v>J. Perkstraat 5-11</v>
      </c>
      <c r="D679" s="258" t="str">
        <f>VLOOKUP(Ruimtestaat[[#This Row],[Code]],Locaties[#All],5,FALSE)</f>
        <v>7532JR</v>
      </c>
      <c r="E679" s="258" t="str">
        <f>VLOOKUP(Ruimtestaat[[#This Row],[Code]],Locaties[#All],6,FALSE)</f>
        <v>Hengelo</v>
      </c>
      <c r="F679" s="257"/>
      <c r="G679" s="257" t="s">
        <v>563</v>
      </c>
      <c r="H679" s="171"/>
      <c r="I679" s="257" t="s">
        <v>678</v>
      </c>
      <c r="J679" s="259" t="s">
        <v>574</v>
      </c>
      <c r="K679" s="258">
        <v>6</v>
      </c>
      <c r="L679" s="260" t="str">
        <f>VLOOKUP(Ruimtestaat[[#This Row],[Ruimte code]],Ruimtegroepen[#All],2,FALSE)</f>
        <v>Gangen/hallen</v>
      </c>
      <c r="M679" s="185" t="s">
        <v>598</v>
      </c>
      <c r="N679" s="257" t="s">
        <v>132</v>
      </c>
      <c r="O679" s="261">
        <v>94</v>
      </c>
      <c r="P679" s="183"/>
      <c r="Q679" s="212" t="str">
        <f>VLOOKUP(Ruimtestaat[[#This Row],[Ruimte code]],Ruimtegroepen[#All],4,FALSE)</f>
        <v>V  (Verkeersruimte)</v>
      </c>
      <c r="R679" s="184"/>
      <c r="S679" s="185">
        <v>40</v>
      </c>
      <c r="T679" s="185" t="s">
        <v>2</v>
      </c>
      <c r="U679" s="185">
        <f>IF(S679&gt;0,IF(RIGHT(Ruimtestaat[[#This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9" s="185">
        <f>IF(U679&gt;0,VLOOKUP($K679,Ruimtegroepen[],3,FALSE)*VLOOKUP($M679,Vloersoorten[],3,FALSE)*VLOOKUP($T679,Frequenties[],3,FALSE)*VLOOKUP($A679,Locaties[],3,FALSE),0)</f>
        <v>0</v>
      </c>
      <c r="W679" s="185">
        <f>Ruimtestaat[[#This Row],[Uitvoeringen werkdagen]]*Ruimtestaat[[#This Row],[Oppervlak (netto)]]</f>
        <v>18800</v>
      </c>
      <c r="X679" s="220">
        <f>IF(V679&gt;0,Ruimtestaat[[#This Row],[Prest. (m2 /jaar) werkdagen]]/Ruimtestaat[[#This Row],[Norm (m2/uur) werkdagen]],0)</f>
        <v>0</v>
      </c>
      <c r="Y679" s="221">
        <f>Ruimtestaat[[#This Row],[uren / jaar werkdagen]]*Tariefsopbouw!$D$38</f>
        <v>0</v>
      </c>
      <c r="Z679" s="33"/>
      <c r="AA679" s="33">
        <f>IF(Ruimtestaat[[#This Row],[Frequentie weekend]]&gt;0,VALUE(LEFT(Z679,1))*S679,0)</f>
        <v>0</v>
      </c>
      <c r="AB679" s="33">
        <f>IF($AA679&gt;0,VLOOKUP($K679,Ruimtegroepen[],3,FALSE)*VLOOKUP($M679,Vloersoorten[],3,FALSE)*VLOOKUP($Z679,Frequenties[],3,FALSE)*VLOOKUP(#REF!,Locaties[],3,FALSE),0)</f>
        <v>0</v>
      </c>
      <c r="AC679" s="33"/>
      <c r="AD679" s="33"/>
      <c r="AE679" s="33">
        <f>Ruimtestaat[[#This Row],[uren / jaar weekend]]*Tariefsopbouw!$D$40</f>
        <v>0</v>
      </c>
      <c r="AF679" s="79">
        <f>Ruimtestaat[[#This Row],[Prest. (m2 /jaar) weekend]]+Ruimtestaat[[#This Row],[Prest. (m2 /jaar) werkdagen]]</f>
        <v>18800</v>
      </c>
      <c r="AG679" s="79">
        <f>Ruimtestaat[[#This Row],[uren / jaar weekend]]+Ruimtestaat[[#This Row],[uren / jaar werkdagen]]</f>
        <v>0</v>
      </c>
      <c r="AH679" s="80">
        <f>Ruimtestaat[[#This Row],[kosten / jaar weekend]]+Ruimtestaat[[#This Row],[kosten / jaar werkdagen]]</f>
        <v>0</v>
      </c>
    </row>
    <row r="680" spans="1:34" ht="15" customHeight="1">
      <c r="A680" s="256">
        <v>10</v>
      </c>
      <c r="B680" s="171" t="str">
        <f>VLOOKUP(Ruimtestaat[[#This Row],[Code]],Locaties[#All],2,FALSE)</f>
        <v>De Stapsteen (2 gebouwen)</v>
      </c>
      <c r="C680" s="258" t="str">
        <f>VLOOKUP(Ruimtestaat[[#This Row],[Code]],Locaties[#All],4,FALSE)</f>
        <v>J. Perkstraat 5-11</v>
      </c>
      <c r="D680" s="258" t="str">
        <f>VLOOKUP(Ruimtestaat[[#This Row],[Code]],Locaties[#All],5,FALSE)</f>
        <v>7532JR</v>
      </c>
      <c r="E680" s="258" t="str">
        <f>VLOOKUP(Ruimtestaat[[#This Row],[Code]],Locaties[#All],6,FALSE)</f>
        <v>Hengelo</v>
      </c>
      <c r="F680" s="257"/>
      <c r="G680" s="257" t="s">
        <v>563</v>
      </c>
      <c r="H680" s="171"/>
      <c r="I680" s="257" t="s">
        <v>679</v>
      </c>
      <c r="J680" s="259" t="s">
        <v>574</v>
      </c>
      <c r="K680" s="171">
        <v>6</v>
      </c>
      <c r="L680" s="260" t="str">
        <f>VLOOKUP(Ruimtestaat[[#This Row],[Ruimte code]],Ruimtegroepen[#All],2,FALSE)</f>
        <v>Gangen/hallen</v>
      </c>
      <c r="M680" s="258" t="s">
        <v>598</v>
      </c>
      <c r="N680" s="257" t="s">
        <v>132</v>
      </c>
      <c r="O680" s="261">
        <v>65</v>
      </c>
      <c r="P680" s="183"/>
      <c r="Q680" s="212" t="str">
        <f>VLOOKUP(Ruimtestaat[[#This Row],[Ruimte code]],Ruimtegroepen[#All],4,FALSE)</f>
        <v>V  (Verkeersruimte)</v>
      </c>
      <c r="R680" s="184"/>
      <c r="S680" s="185">
        <v>40</v>
      </c>
      <c r="T680" s="185" t="s">
        <v>2</v>
      </c>
      <c r="U680" s="185">
        <f>IF(S680&gt;0,IF(RIGHT(Ruimtestaat[[#This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0" s="185">
        <f>IF(U680&gt;0,VLOOKUP($K680,Ruimtegroepen[],3,FALSE)*VLOOKUP($M680,Vloersoorten[],3,FALSE)*VLOOKUP($T680,Frequenties[],3,FALSE)*VLOOKUP($A680,Locaties[],3,FALSE),0)</f>
        <v>0</v>
      </c>
      <c r="W680" s="185">
        <f>Ruimtestaat[[#This Row],[Uitvoeringen werkdagen]]*Ruimtestaat[[#This Row],[Oppervlak (netto)]]</f>
        <v>13000</v>
      </c>
      <c r="X680" s="220">
        <f>IF(V680&gt;0,Ruimtestaat[[#This Row],[Prest. (m2 /jaar) werkdagen]]/Ruimtestaat[[#This Row],[Norm (m2/uur) werkdagen]],0)</f>
        <v>0</v>
      </c>
      <c r="Y680" s="221">
        <f>Ruimtestaat[[#This Row],[uren / jaar werkdagen]]*Tariefsopbouw!$D$38</f>
        <v>0</v>
      </c>
      <c r="Z680" s="33"/>
      <c r="AA680" s="33">
        <f>IF(Ruimtestaat[[#This Row],[Frequentie weekend]]&gt;0,VALUE(LEFT(Z680,1))*S680,0)</f>
        <v>0</v>
      </c>
      <c r="AB680" s="33">
        <f>IF($AA680&gt;0,VLOOKUP($K680,Ruimtegroepen[],3,FALSE)*VLOOKUP($M680,Vloersoorten[],3,FALSE)*VLOOKUP($Z680,Frequenties[],3,FALSE)*VLOOKUP(#REF!,Locaties[],3,FALSE),0)</f>
        <v>0</v>
      </c>
      <c r="AC680" s="33"/>
      <c r="AD680" s="33"/>
      <c r="AE680" s="33">
        <f>Ruimtestaat[[#This Row],[uren / jaar weekend]]*Tariefsopbouw!$D$40</f>
        <v>0</v>
      </c>
      <c r="AF680" s="79">
        <f>Ruimtestaat[[#This Row],[Prest. (m2 /jaar) weekend]]+Ruimtestaat[[#This Row],[Prest. (m2 /jaar) werkdagen]]</f>
        <v>13000</v>
      </c>
      <c r="AG680" s="79">
        <f>Ruimtestaat[[#This Row],[uren / jaar weekend]]+Ruimtestaat[[#This Row],[uren / jaar werkdagen]]</f>
        <v>0</v>
      </c>
      <c r="AH680" s="80">
        <f>Ruimtestaat[[#This Row],[kosten / jaar weekend]]+Ruimtestaat[[#This Row],[kosten / jaar werkdagen]]</f>
        <v>0</v>
      </c>
    </row>
    <row r="681" spans="1:34" ht="15" customHeight="1">
      <c r="A681" s="256">
        <v>10</v>
      </c>
      <c r="B681" s="171" t="str">
        <f>VLOOKUP(Ruimtestaat[[#This Row],[Code]],Locaties[#All],2,FALSE)</f>
        <v>De Stapsteen (2 gebouwen)</v>
      </c>
      <c r="C681" s="258" t="str">
        <f>VLOOKUP(Ruimtestaat[[#This Row],[Code]],Locaties[#All],4,FALSE)</f>
        <v>J. Perkstraat 5-11</v>
      </c>
      <c r="D681" s="258" t="str">
        <f>VLOOKUP(Ruimtestaat[[#This Row],[Code]],Locaties[#All],5,FALSE)</f>
        <v>7532JR</v>
      </c>
      <c r="E681" s="258" t="str">
        <f>VLOOKUP(Ruimtestaat[[#This Row],[Code]],Locaties[#All],6,FALSE)</f>
        <v>Hengelo</v>
      </c>
      <c r="F681" s="257"/>
      <c r="G681" s="257" t="s">
        <v>563</v>
      </c>
      <c r="H681" s="171"/>
      <c r="I681" s="257" t="s">
        <v>680</v>
      </c>
      <c r="J681" s="259" t="s">
        <v>574</v>
      </c>
      <c r="K681" s="258">
        <v>6</v>
      </c>
      <c r="L681" s="260" t="str">
        <f>VLOOKUP(Ruimtestaat[[#This Row],[Ruimte code]],Ruimtegroepen[#All],2,FALSE)</f>
        <v>Gangen/hallen</v>
      </c>
      <c r="M681" s="258" t="s">
        <v>598</v>
      </c>
      <c r="N681" s="257" t="s">
        <v>132</v>
      </c>
      <c r="O681" s="261">
        <v>30</v>
      </c>
      <c r="P681" s="183"/>
      <c r="Q681" s="212" t="str">
        <f>VLOOKUP(Ruimtestaat[[#This Row],[Ruimte code]],Ruimtegroepen[#All],4,FALSE)</f>
        <v>V  (Verkeersruimte)</v>
      </c>
      <c r="R681" s="184"/>
      <c r="S681" s="185">
        <v>40</v>
      </c>
      <c r="T681" s="185" t="s">
        <v>2</v>
      </c>
      <c r="U681" s="185">
        <f>IF(S681&gt;0,IF(RIGHT(Ruimtestaat[[#This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1" s="185">
        <f>IF(U681&gt;0,VLOOKUP($K681,Ruimtegroepen[],3,FALSE)*VLOOKUP($M681,Vloersoorten[],3,FALSE)*VLOOKUP($T681,Frequenties[],3,FALSE)*VLOOKUP($A681,Locaties[],3,FALSE),0)</f>
        <v>0</v>
      </c>
      <c r="W681" s="185">
        <f>Ruimtestaat[[#This Row],[Uitvoeringen werkdagen]]*Ruimtestaat[[#This Row],[Oppervlak (netto)]]</f>
        <v>6000</v>
      </c>
      <c r="X681" s="220">
        <f>IF(V681&gt;0,Ruimtestaat[[#This Row],[Prest. (m2 /jaar) werkdagen]]/Ruimtestaat[[#This Row],[Norm (m2/uur) werkdagen]],0)</f>
        <v>0</v>
      </c>
      <c r="Y681" s="221">
        <f>Ruimtestaat[[#This Row],[uren / jaar werkdagen]]*Tariefsopbouw!$D$38</f>
        <v>0</v>
      </c>
      <c r="Z681" s="33"/>
      <c r="AA681" s="33">
        <f>IF(Ruimtestaat[[#This Row],[Frequentie weekend]]&gt;0,VALUE(LEFT(Z681,1))*S681,0)</f>
        <v>0</v>
      </c>
      <c r="AB681" s="33">
        <f>IF($AA681&gt;0,VLOOKUP($K681,Ruimtegroepen[],3,FALSE)*VLOOKUP($M681,Vloersoorten[],3,FALSE)*VLOOKUP($Z681,Frequenties[],3,FALSE)*VLOOKUP(#REF!,Locaties[],3,FALSE),0)</f>
        <v>0</v>
      </c>
      <c r="AC681" s="33"/>
      <c r="AD681" s="33"/>
      <c r="AE681" s="33">
        <f>Ruimtestaat[[#This Row],[uren / jaar weekend]]*Tariefsopbouw!$D$40</f>
        <v>0</v>
      </c>
      <c r="AF681" s="79">
        <f>Ruimtestaat[[#This Row],[Prest. (m2 /jaar) weekend]]+Ruimtestaat[[#This Row],[Prest. (m2 /jaar) werkdagen]]</f>
        <v>6000</v>
      </c>
      <c r="AG681" s="79">
        <f>Ruimtestaat[[#This Row],[uren / jaar weekend]]+Ruimtestaat[[#This Row],[uren / jaar werkdagen]]</f>
        <v>0</v>
      </c>
      <c r="AH681" s="80">
        <f>Ruimtestaat[[#This Row],[kosten / jaar weekend]]+Ruimtestaat[[#This Row],[kosten / jaar werkdagen]]</f>
        <v>0</v>
      </c>
    </row>
    <row r="682" spans="1:34" ht="15" customHeight="1">
      <c r="A682" s="256">
        <v>10</v>
      </c>
      <c r="B682" s="171" t="str">
        <f>VLOOKUP(Ruimtestaat[[#This Row],[Code]],Locaties[#All],2,FALSE)</f>
        <v>De Stapsteen (2 gebouwen)</v>
      </c>
      <c r="C682" s="258" t="str">
        <f>VLOOKUP(Ruimtestaat[[#This Row],[Code]],Locaties[#All],4,FALSE)</f>
        <v>J. Perkstraat 5-11</v>
      </c>
      <c r="D682" s="258" t="str">
        <f>VLOOKUP(Ruimtestaat[[#This Row],[Code]],Locaties[#All],5,FALSE)</f>
        <v>7532JR</v>
      </c>
      <c r="E682" s="258" t="str">
        <f>VLOOKUP(Ruimtestaat[[#This Row],[Code]],Locaties[#All],6,FALSE)</f>
        <v>Hengelo</v>
      </c>
      <c r="F682" s="257"/>
      <c r="G682" s="257" t="s">
        <v>563</v>
      </c>
      <c r="H682" s="171"/>
      <c r="I682" s="257" t="s">
        <v>681</v>
      </c>
      <c r="J682" s="259" t="s">
        <v>574</v>
      </c>
      <c r="K682" s="171">
        <v>6</v>
      </c>
      <c r="L682" s="260" t="str">
        <f>VLOOKUP(Ruimtestaat[[#This Row],[Ruimte code]],Ruimtegroepen[#All],2,FALSE)</f>
        <v>Gangen/hallen</v>
      </c>
      <c r="M682" s="258" t="s">
        <v>598</v>
      </c>
      <c r="N682" s="257" t="s">
        <v>132</v>
      </c>
      <c r="O682" s="261">
        <v>70</v>
      </c>
      <c r="P682" s="183"/>
      <c r="Q682" s="212" t="str">
        <f>VLOOKUP(Ruimtestaat[[#This Row],[Ruimte code]],Ruimtegroepen[#All],4,FALSE)</f>
        <v>V  (Verkeersruimte)</v>
      </c>
      <c r="R682" s="184"/>
      <c r="S682" s="185">
        <v>40</v>
      </c>
      <c r="T682" s="185" t="s">
        <v>2</v>
      </c>
      <c r="U682" s="185">
        <f>IF(S682&gt;0,IF(RIGHT(Ruimtestaat[[#This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2" s="185">
        <f>IF(U682&gt;0,VLOOKUP($K682,Ruimtegroepen[],3,FALSE)*VLOOKUP($M682,Vloersoorten[],3,FALSE)*VLOOKUP($T682,Frequenties[],3,FALSE)*VLOOKUP($A682,Locaties[],3,FALSE),0)</f>
        <v>0</v>
      </c>
      <c r="W682" s="185">
        <f>Ruimtestaat[[#This Row],[Uitvoeringen werkdagen]]*Ruimtestaat[[#This Row],[Oppervlak (netto)]]</f>
        <v>14000</v>
      </c>
      <c r="X682" s="220">
        <f>IF(V682&gt;0,Ruimtestaat[[#This Row],[Prest. (m2 /jaar) werkdagen]]/Ruimtestaat[[#This Row],[Norm (m2/uur) werkdagen]],0)</f>
        <v>0</v>
      </c>
      <c r="Y682" s="221">
        <f>Ruimtestaat[[#This Row],[uren / jaar werkdagen]]*Tariefsopbouw!$D$38</f>
        <v>0</v>
      </c>
      <c r="Z682" s="33"/>
      <c r="AA682" s="33">
        <f>IF(Ruimtestaat[[#This Row],[Frequentie weekend]]&gt;0,VALUE(LEFT(Z682,1))*S682,0)</f>
        <v>0</v>
      </c>
      <c r="AB682" s="33">
        <f>IF($AA682&gt;0,VLOOKUP($K682,Ruimtegroepen[],3,FALSE)*VLOOKUP($M682,Vloersoorten[],3,FALSE)*VLOOKUP($Z682,Frequenties[],3,FALSE)*VLOOKUP(#REF!,Locaties[],3,FALSE),0)</f>
        <v>0</v>
      </c>
      <c r="AC682" s="33"/>
      <c r="AD682" s="33"/>
      <c r="AE682" s="33">
        <f>Ruimtestaat[[#This Row],[uren / jaar weekend]]*Tariefsopbouw!$D$40</f>
        <v>0</v>
      </c>
      <c r="AF682" s="79">
        <f>Ruimtestaat[[#This Row],[Prest. (m2 /jaar) weekend]]+Ruimtestaat[[#This Row],[Prest. (m2 /jaar) werkdagen]]</f>
        <v>14000</v>
      </c>
      <c r="AG682" s="79">
        <f>Ruimtestaat[[#This Row],[uren / jaar weekend]]+Ruimtestaat[[#This Row],[uren / jaar werkdagen]]</f>
        <v>0</v>
      </c>
      <c r="AH682" s="80">
        <f>Ruimtestaat[[#This Row],[kosten / jaar weekend]]+Ruimtestaat[[#This Row],[kosten / jaar werkdagen]]</f>
        <v>0</v>
      </c>
    </row>
    <row r="683" spans="1:34" ht="15" customHeight="1">
      <c r="A683" s="256">
        <v>10</v>
      </c>
      <c r="B683" s="171" t="str">
        <f>VLOOKUP(Ruimtestaat[[#This Row],[Code]],Locaties[#All],2,FALSE)</f>
        <v>De Stapsteen (2 gebouwen)</v>
      </c>
      <c r="C683" s="258" t="str">
        <f>VLOOKUP(Ruimtestaat[[#This Row],[Code]],Locaties[#All],4,FALSE)</f>
        <v>J. Perkstraat 5-11</v>
      </c>
      <c r="D683" s="258" t="str">
        <f>VLOOKUP(Ruimtestaat[[#This Row],[Code]],Locaties[#All],5,FALSE)</f>
        <v>7532JR</v>
      </c>
      <c r="E683" s="258" t="str">
        <f>VLOOKUP(Ruimtestaat[[#This Row],[Code]],Locaties[#All],6,FALSE)</f>
        <v>Hengelo</v>
      </c>
      <c r="F683" s="257"/>
      <c r="G683" s="257" t="s">
        <v>563</v>
      </c>
      <c r="H683" s="171"/>
      <c r="I683" s="257" t="s">
        <v>449</v>
      </c>
      <c r="J683" s="259" t="s">
        <v>571</v>
      </c>
      <c r="K683" s="171">
        <v>2</v>
      </c>
      <c r="L683" s="260" t="str">
        <f>VLOOKUP(Ruimtestaat[[#This Row],[Ruimte code]],Ruimtegroepen[#All],2,FALSE)</f>
        <v>Kantoren</v>
      </c>
      <c r="M683" s="212" t="s">
        <v>597</v>
      </c>
      <c r="N683" s="257" t="s">
        <v>38</v>
      </c>
      <c r="O683" s="261">
        <v>20</v>
      </c>
      <c r="P683" s="183"/>
      <c r="Q683" s="212" t="str">
        <f>VLOOKUP(Ruimtestaat[[#This Row],[Ruimte code]],Ruimtegroepen[#All],4,FALSE)</f>
        <v>B  (Bureauruimte)</v>
      </c>
      <c r="R683" s="184"/>
      <c r="S683" s="185">
        <v>40</v>
      </c>
      <c r="T683" s="185" t="s">
        <v>18</v>
      </c>
      <c r="U683" s="185">
        <f>IF(S683&gt;0,IF(RIGHT(Ruimtestaat[[#This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83" s="185">
        <f>IF(U683&gt;0,VLOOKUP($K683,Ruimtegroepen[],3,FALSE)*VLOOKUP($M683,Vloersoorten[],3,FALSE)*VLOOKUP($T683,Frequenties[],3,FALSE)*VLOOKUP($A683,Locaties[],3,FALSE),0)</f>
        <v>0</v>
      </c>
      <c r="W683" s="185">
        <f>Ruimtestaat[[#This Row],[Uitvoeringen werkdagen]]*Ruimtestaat[[#This Row],[Oppervlak (netto)]]</f>
        <v>2400</v>
      </c>
      <c r="X683" s="220">
        <f>IF(V683&gt;0,Ruimtestaat[[#This Row],[Prest. (m2 /jaar) werkdagen]]/Ruimtestaat[[#This Row],[Norm (m2/uur) werkdagen]],0)</f>
        <v>0</v>
      </c>
      <c r="Y683" s="221">
        <f>Ruimtestaat[[#This Row],[uren / jaar werkdagen]]*Tariefsopbouw!$D$38</f>
        <v>0</v>
      </c>
      <c r="Z683" s="33"/>
      <c r="AA683" s="33">
        <f>IF(Ruimtestaat[[#This Row],[Frequentie weekend]]&gt;0,VALUE(LEFT(Z683,1))*S683,0)</f>
        <v>0</v>
      </c>
      <c r="AB683" s="33">
        <f>IF($AA683&gt;0,VLOOKUP($K683,Ruimtegroepen[],3,FALSE)*VLOOKUP($M683,Vloersoorten[],3,FALSE)*VLOOKUP($Z683,Frequenties[],3,FALSE)*VLOOKUP(#REF!,Locaties[],3,FALSE),0)</f>
        <v>0</v>
      </c>
      <c r="AC683" s="33"/>
      <c r="AD683" s="33"/>
      <c r="AE683" s="33">
        <f>Ruimtestaat[[#This Row],[uren / jaar weekend]]*Tariefsopbouw!$D$40</f>
        <v>0</v>
      </c>
      <c r="AF683" s="79">
        <f>Ruimtestaat[[#This Row],[Prest. (m2 /jaar) weekend]]+Ruimtestaat[[#This Row],[Prest. (m2 /jaar) werkdagen]]</f>
        <v>2400</v>
      </c>
      <c r="AG683" s="79">
        <f>Ruimtestaat[[#This Row],[uren / jaar weekend]]+Ruimtestaat[[#This Row],[uren / jaar werkdagen]]</f>
        <v>0</v>
      </c>
      <c r="AH683" s="80">
        <f>Ruimtestaat[[#This Row],[kosten / jaar weekend]]+Ruimtestaat[[#This Row],[kosten / jaar werkdagen]]</f>
        <v>0</v>
      </c>
    </row>
    <row r="684" spans="1:34" ht="15" customHeight="1">
      <c r="A684" s="256">
        <v>10</v>
      </c>
      <c r="B684" s="171" t="str">
        <f>VLOOKUP(Ruimtestaat[[#This Row],[Code]],Locaties[#All],2,FALSE)</f>
        <v>De Stapsteen (2 gebouwen)</v>
      </c>
      <c r="C684" s="258" t="str">
        <f>VLOOKUP(Ruimtestaat[[#This Row],[Code]],Locaties[#All],4,FALSE)</f>
        <v>J. Perkstraat 5-11</v>
      </c>
      <c r="D684" s="258" t="str">
        <f>VLOOKUP(Ruimtestaat[[#This Row],[Code]],Locaties[#All],5,FALSE)</f>
        <v>7532JR</v>
      </c>
      <c r="E684" s="258" t="str">
        <f>VLOOKUP(Ruimtestaat[[#This Row],[Code]],Locaties[#All],6,FALSE)</f>
        <v>Hengelo</v>
      </c>
      <c r="F684" s="257"/>
      <c r="G684" s="257" t="s">
        <v>563</v>
      </c>
      <c r="H684" s="171"/>
      <c r="I684" s="257" t="s">
        <v>450</v>
      </c>
      <c r="J684" s="259" t="s">
        <v>571</v>
      </c>
      <c r="K684" s="171">
        <v>2</v>
      </c>
      <c r="L684" s="260" t="str">
        <f>VLOOKUP(Ruimtestaat[[#This Row],[Ruimte code]],Ruimtegroepen[#All],2,FALSE)</f>
        <v>Kantoren</v>
      </c>
      <c r="M684" s="258" t="s">
        <v>597</v>
      </c>
      <c r="N684" s="257" t="s">
        <v>38</v>
      </c>
      <c r="O684" s="261">
        <v>20</v>
      </c>
      <c r="P684" s="183"/>
      <c r="Q684" s="212" t="str">
        <f>VLOOKUP(Ruimtestaat[[#This Row],[Ruimte code]],Ruimtegroepen[#All],4,FALSE)</f>
        <v>B  (Bureauruimte)</v>
      </c>
      <c r="R684" s="184"/>
      <c r="S684" s="185">
        <v>40</v>
      </c>
      <c r="T684" s="185" t="s">
        <v>18</v>
      </c>
      <c r="U684" s="185">
        <f>IF(S684&gt;0,IF(RIGHT(Ruimtestaat[[#This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84" s="185">
        <f>IF(U684&gt;0,VLOOKUP($K684,Ruimtegroepen[],3,FALSE)*VLOOKUP($M684,Vloersoorten[],3,FALSE)*VLOOKUP($T684,Frequenties[],3,FALSE)*VLOOKUP($A684,Locaties[],3,FALSE),0)</f>
        <v>0</v>
      </c>
      <c r="W684" s="185">
        <f>Ruimtestaat[[#This Row],[Uitvoeringen werkdagen]]*Ruimtestaat[[#This Row],[Oppervlak (netto)]]</f>
        <v>2400</v>
      </c>
      <c r="X684" s="220">
        <f>IF(V684&gt;0,Ruimtestaat[[#This Row],[Prest. (m2 /jaar) werkdagen]]/Ruimtestaat[[#This Row],[Norm (m2/uur) werkdagen]],0)</f>
        <v>0</v>
      </c>
      <c r="Y684" s="221">
        <f>Ruimtestaat[[#This Row],[uren / jaar werkdagen]]*Tariefsopbouw!$D$38</f>
        <v>0</v>
      </c>
      <c r="Z684" s="33"/>
      <c r="AA684" s="33">
        <f>IF(Ruimtestaat[[#This Row],[Frequentie weekend]]&gt;0,VALUE(LEFT(Z684,1))*S684,0)</f>
        <v>0</v>
      </c>
      <c r="AB684" s="33">
        <f>IF($AA684&gt;0,VLOOKUP($K684,Ruimtegroepen[],3,FALSE)*VLOOKUP($M684,Vloersoorten[],3,FALSE)*VLOOKUP($Z684,Frequenties[],3,FALSE)*VLOOKUP(#REF!,Locaties[],3,FALSE),0)</f>
        <v>0</v>
      </c>
      <c r="AC684" s="33"/>
      <c r="AD684" s="33"/>
      <c r="AE684" s="33">
        <f>Ruimtestaat[[#This Row],[uren / jaar weekend]]*Tariefsopbouw!$D$40</f>
        <v>0</v>
      </c>
      <c r="AF684" s="79">
        <f>Ruimtestaat[[#This Row],[Prest. (m2 /jaar) weekend]]+Ruimtestaat[[#This Row],[Prest. (m2 /jaar) werkdagen]]</f>
        <v>2400</v>
      </c>
      <c r="AG684" s="79">
        <f>Ruimtestaat[[#This Row],[uren / jaar weekend]]+Ruimtestaat[[#This Row],[uren / jaar werkdagen]]</f>
        <v>0</v>
      </c>
      <c r="AH684" s="80">
        <f>Ruimtestaat[[#This Row],[kosten / jaar weekend]]+Ruimtestaat[[#This Row],[kosten / jaar werkdagen]]</f>
        <v>0</v>
      </c>
    </row>
    <row r="685" spans="1:34" ht="15" customHeight="1">
      <c r="A685" s="256">
        <v>10</v>
      </c>
      <c r="B685" s="171" t="str">
        <f>VLOOKUP(Ruimtestaat[[#This Row],[Code]],Locaties[#All],2,FALSE)</f>
        <v>De Stapsteen (2 gebouwen)</v>
      </c>
      <c r="C685" s="258" t="str">
        <f>VLOOKUP(Ruimtestaat[[#This Row],[Code]],Locaties[#All],4,FALSE)</f>
        <v>J. Perkstraat 5-11</v>
      </c>
      <c r="D685" s="258" t="str">
        <f>VLOOKUP(Ruimtestaat[[#This Row],[Code]],Locaties[#All],5,FALSE)</f>
        <v>7532JR</v>
      </c>
      <c r="E685" s="258" t="str">
        <f>VLOOKUP(Ruimtestaat[[#This Row],[Code]],Locaties[#All],6,FALSE)</f>
        <v>Hengelo</v>
      </c>
      <c r="F685" s="257"/>
      <c r="G685" s="257" t="s">
        <v>563</v>
      </c>
      <c r="H685" s="171"/>
      <c r="I685" s="257" t="s">
        <v>451</v>
      </c>
      <c r="J685" s="259" t="s">
        <v>682</v>
      </c>
      <c r="K685" s="171">
        <v>12</v>
      </c>
      <c r="L685" s="260" t="str">
        <f>VLOOKUP(Ruimtestaat[[#This Row],[Ruimte code]],Ruimtegroepen[#All],2,FALSE)</f>
        <v>Kantine</v>
      </c>
      <c r="M685" s="258" t="s">
        <v>598</v>
      </c>
      <c r="N685" s="257" t="s">
        <v>132</v>
      </c>
      <c r="O685" s="261">
        <v>38</v>
      </c>
      <c r="P685" s="183"/>
      <c r="Q685" s="212" t="str">
        <f>VLOOKUP(Ruimtestaat[[#This Row],[Ruimte code]],Ruimtegroepen[#All],4,FALSE)</f>
        <v>V  (Verkeersruimte)</v>
      </c>
      <c r="R685" s="184"/>
      <c r="S685" s="185">
        <v>40</v>
      </c>
      <c r="T685" s="185" t="s">
        <v>2</v>
      </c>
      <c r="U685" s="185">
        <f>IF(S685&gt;0,IF(RIGHT(Ruimtestaat[[#This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5" s="185">
        <f>IF(U685&gt;0,VLOOKUP($K685,Ruimtegroepen[],3,FALSE)*VLOOKUP($M685,Vloersoorten[],3,FALSE)*VLOOKUP($T685,Frequenties[],3,FALSE)*VLOOKUP($A685,Locaties[],3,FALSE),0)</f>
        <v>0</v>
      </c>
      <c r="W685" s="185">
        <f>Ruimtestaat[[#This Row],[Uitvoeringen werkdagen]]*Ruimtestaat[[#This Row],[Oppervlak (netto)]]</f>
        <v>7600</v>
      </c>
      <c r="X685" s="220">
        <f>IF(V685&gt;0,Ruimtestaat[[#This Row],[Prest. (m2 /jaar) werkdagen]]/Ruimtestaat[[#This Row],[Norm (m2/uur) werkdagen]],0)</f>
        <v>0</v>
      </c>
      <c r="Y685" s="221">
        <f>Ruimtestaat[[#This Row],[uren / jaar werkdagen]]*Tariefsopbouw!$D$38</f>
        <v>0</v>
      </c>
      <c r="Z685" s="33"/>
      <c r="AA685" s="33">
        <f>IF(Ruimtestaat[[#This Row],[Frequentie weekend]]&gt;0,VALUE(LEFT(Z685,1))*S685,0)</f>
        <v>0</v>
      </c>
      <c r="AB685" s="33">
        <f>IF($AA685&gt;0,VLOOKUP($K685,Ruimtegroepen[],3,FALSE)*VLOOKUP($M685,Vloersoorten[],3,FALSE)*VLOOKUP($Z685,Frequenties[],3,FALSE)*VLOOKUP(#REF!,Locaties[],3,FALSE),0)</f>
        <v>0</v>
      </c>
      <c r="AC685" s="33"/>
      <c r="AD685" s="33"/>
      <c r="AE685" s="33">
        <f>Ruimtestaat[[#This Row],[uren / jaar weekend]]*Tariefsopbouw!$D$40</f>
        <v>0</v>
      </c>
      <c r="AF685" s="79">
        <f>Ruimtestaat[[#This Row],[Prest. (m2 /jaar) weekend]]+Ruimtestaat[[#This Row],[Prest. (m2 /jaar) werkdagen]]</f>
        <v>7600</v>
      </c>
      <c r="AG685" s="79">
        <f>Ruimtestaat[[#This Row],[uren / jaar weekend]]+Ruimtestaat[[#This Row],[uren / jaar werkdagen]]</f>
        <v>0</v>
      </c>
      <c r="AH685" s="80">
        <f>Ruimtestaat[[#This Row],[kosten / jaar weekend]]+Ruimtestaat[[#This Row],[kosten / jaar werkdagen]]</f>
        <v>0</v>
      </c>
    </row>
    <row r="686" spans="1:34" ht="15" customHeight="1">
      <c r="A686" s="256">
        <v>10</v>
      </c>
      <c r="B686" s="171" t="str">
        <f>VLOOKUP(Ruimtestaat[[#This Row],[Code]],Locaties[#All],2,FALSE)</f>
        <v>De Stapsteen (2 gebouwen)</v>
      </c>
      <c r="C686" s="258" t="str">
        <f>VLOOKUP(Ruimtestaat[[#This Row],[Code]],Locaties[#All],4,FALSE)</f>
        <v>J. Perkstraat 5-11</v>
      </c>
      <c r="D686" s="258" t="str">
        <f>VLOOKUP(Ruimtestaat[[#This Row],[Code]],Locaties[#All],5,FALSE)</f>
        <v>7532JR</v>
      </c>
      <c r="E686" s="258" t="str">
        <f>VLOOKUP(Ruimtestaat[[#This Row],[Code]],Locaties[#All],6,FALSE)</f>
        <v>Hengelo</v>
      </c>
      <c r="F686" s="257"/>
      <c r="G686" s="257" t="s">
        <v>563</v>
      </c>
      <c r="H686" s="171"/>
      <c r="I686" s="257" t="s">
        <v>452</v>
      </c>
      <c r="J686" s="259" t="s">
        <v>569</v>
      </c>
      <c r="K686" s="258">
        <v>5</v>
      </c>
      <c r="L686" s="260" t="str">
        <f>VLOOKUP(Ruimtestaat[[#This Row],[Ruimte code]],Ruimtegroepen[#All],2,FALSE)</f>
        <v>Sanitair</v>
      </c>
      <c r="M686" s="212" t="s">
        <v>111</v>
      </c>
      <c r="N686" s="257" t="s">
        <v>606</v>
      </c>
      <c r="O686" s="261">
        <v>1.3</v>
      </c>
      <c r="P686" s="183"/>
      <c r="Q686" s="212" t="str">
        <f>VLOOKUP(Ruimtestaat[[#This Row],[Ruimte code]],Ruimtegroepen[#All],4,FALSE)</f>
        <v>S  (Sanitair)</v>
      </c>
      <c r="R686" s="184"/>
      <c r="S686" s="185">
        <v>40</v>
      </c>
      <c r="T686" s="185" t="s">
        <v>2</v>
      </c>
      <c r="U686" s="185">
        <f>IF(S686&gt;0,IF(RIGHT(Ruimtestaat[[#This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6" s="185">
        <f>IF(U686&gt;0,VLOOKUP($K686,Ruimtegroepen[],3,FALSE)*VLOOKUP($M686,Vloersoorten[],3,FALSE)*VLOOKUP($T686,Frequenties[],3,FALSE)*VLOOKUP($A686,Locaties[],3,FALSE),0)</f>
        <v>0</v>
      </c>
      <c r="W686" s="185">
        <f>Ruimtestaat[[#This Row],[Uitvoeringen werkdagen]]*Ruimtestaat[[#This Row],[Oppervlak (netto)]]</f>
        <v>260</v>
      </c>
      <c r="X686" s="220">
        <f>IF(V686&gt;0,Ruimtestaat[[#This Row],[Prest. (m2 /jaar) werkdagen]]/Ruimtestaat[[#This Row],[Norm (m2/uur) werkdagen]],0)</f>
        <v>0</v>
      </c>
      <c r="Y686" s="221">
        <f>Ruimtestaat[[#This Row],[uren / jaar werkdagen]]*Tariefsopbouw!$D$38</f>
        <v>0</v>
      </c>
      <c r="Z686" s="33"/>
      <c r="AA686" s="33">
        <f>IF(Ruimtestaat[[#This Row],[Frequentie weekend]]&gt;0,VALUE(LEFT(Z686,1))*S686,0)</f>
        <v>0</v>
      </c>
      <c r="AB686" s="33">
        <f>IF($AA686&gt;0,VLOOKUP($K686,Ruimtegroepen[],3,FALSE)*VLOOKUP($M686,Vloersoorten[],3,FALSE)*VLOOKUP($Z686,Frequenties[],3,FALSE)*VLOOKUP(#REF!,Locaties[],3,FALSE),0)</f>
        <v>0</v>
      </c>
      <c r="AC686" s="33"/>
      <c r="AD686" s="33"/>
      <c r="AE686" s="33">
        <f>Ruimtestaat[[#This Row],[uren / jaar weekend]]*Tariefsopbouw!$D$40</f>
        <v>0</v>
      </c>
      <c r="AF686" s="79">
        <f>Ruimtestaat[[#This Row],[Prest. (m2 /jaar) weekend]]+Ruimtestaat[[#This Row],[Prest. (m2 /jaar) werkdagen]]</f>
        <v>260</v>
      </c>
      <c r="AG686" s="79">
        <f>Ruimtestaat[[#This Row],[uren / jaar weekend]]+Ruimtestaat[[#This Row],[uren / jaar werkdagen]]</f>
        <v>0</v>
      </c>
      <c r="AH686" s="80">
        <f>Ruimtestaat[[#This Row],[kosten / jaar weekend]]+Ruimtestaat[[#This Row],[kosten / jaar werkdagen]]</f>
        <v>0</v>
      </c>
    </row>
    <row r="687" spans="1:34" ht="15" customHeight="1">
      <c r="A687" s="256">
        <v>10</v>
      </c>
      <c r="B687" s="171" t="str">
        <f>VLOOKUP(Ruimtestaat[[#This Row],[Code]],Locaties[#All],2,FALSE)</f>
        <v>De Stapsteen (2 gebouwen)</v>
      </c>
      <c r="C687" s="258" t="str">
        <f>VLOOKUP(Ruimtestaat[[#This Row],[Code]],Locaties[#All],4,FALSE)</f>
        <v>J. Perkstraat 5-11</v>
      </c>
      <c r="D687" s="258" t="str">
        <f>VLOOKUP(Ruimtestaat[[#This Row],[Code]],Locaties[#All],5,FALSE)</f>
        <v>7532JR</v>
      </c>
      <c r="E687" s="258" t="str">
        <f>VLOOKUP(Ruimtestaat[[#This Row],[Code]],Locaties[#All],6,FALSE)</f>
        <v>Hengelo</v>
      </c>
      <c r="F687" s="257"/>
      <c r="G687" s="257" t="s">
        <v>563</v>
      </c>
      <c r="H687" s="171"/>
      <c r="I687" s="257" t="s">
        <v>453</v>
      </c>
      <c r="J687" s="259" t="s">
        <v>250</v>
      </c>
      <c r="K687" s="258">
        <v>11</v>
      </c>
      <c r="L687" s="260" t="str">
        <f>VLOOKUP(Ruimtestaat[[#This Row],[Ruimte code]],Ruimtegroepen[#All],2,FALSE)</f>
        <v>Garderobes</v>
      </c>
      <c r="M687" s="258" t="s">
        <v>598</v>
      </c>
      <c r="N687" s="257" t="s">
        <v>132</v>
      </c>
      <c r="O687" s="261">
        <v>9</v>
      </c>
      <c r="P687" s="183"/>
      <c r="Q687" s="212" t="str">
        <f>VLOOKUP(Ruimtestaat[[#This Row],[Ruimte code]],Ruimtegroepen[#All],4,FALSE)</f>
        <v>V  (Verkeersruimte)</v>
      </c>
      <c r="R687" s="184"/>
      <c r="S687" s="185">
        <v>40</v>
      </c>
      <c r="T687" s="185" t="s">
        <v>2</v>
      </c>
      <c r="U687" s="185">
        <f>IF(S687&gt;0,IF(RIGHT(Ruimtestaat[[#This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7" s="185">
        <f>IF(U687&gt;0,VLOOKUP($K687,Ruimtegroepen[],3,FALSE)*VLOOKUP($M687,Vloersoorten[],3,FALSE)*VLOOKUP($T687,Frequenties[],3,FALSE)*VLOOKUP($A687,Locaties[],3,FALSE),0)</f>
        <v>0</v>
      </c>
      <c r="W687" s="185">
        <f>Ruimtestaat[[#This Row],[Uitvoeringen werkdagen]]*Ruimtestaat[[#This Row],[Oppervlak (netto)]]</f>
        <v>1800</v>
      </c>
      <c r="X687" s="220">
        <f>IF(V687&gt;0,Ruimtestaat[[#This Row],[Prest. (m2 /jaar) werkdagen]]/Ruimtestaat[[#This Row],[Norm (m2/uur) werkdagen]],0)</f>
        <v>0</v>
      </c>
      <c r="Y687" s="221">
        <f>Ruimtestaat[[#This Row],[uren / jaar werkdagen]]*Tariefsopbouw!$D$38</f>
        <v>0</v>
      </c>
      <c r="Z687" s="33"/>
      <c r="AA687" s="33">
        <f>IF(Ruimtestaat[[#This Row],[Frequentie weekend]]&gt;0,VALUE(LEFT(Z687,1))*S687,0)</f>
        <v>0</v>
      </c>
      <c r="AB687" s="33">
        <f>IF($AA687&gt;0,VLOOKUP($K687,Ruimtegroepen[],3,FALSE)*VLOOKUP($M687,Vloersoorten[],3,FALSE)*VLOOKUP($Z687,Frequenties[],3,FALSE)*VLOOKUP(#REF!,Locaties[],3,FALSE),0)</f>
        <v>0</v>
      </c>
      <c r="AC687" s="33"/>
      <c r="AD687" s="33"/>
      <c r="AE687" s="33">
        <f>Ruimtestaat[[#This Row],[uren / jaar weekend]]*Tariefsopbouw!$D$40</f>
        <v>0</v>
      </c>
      <c r="AF687" s="79">
        <f>Ruimtestaat[[#This Row],[Prest. (m2 /jaar) weekend]]+Ruimtestaat[[#This Row],[Prest. (m2 /jaar) werkdagen]]</f>
        <v>1800</v>
      </c>
      <c r="AG687" s="79">
        <f>Ruimtestaat[[#This Row],[uren / jaar weekend]]+Ruimtestaat[[#This Row],[uren / jaar werkdagen]]</f>
        <v>0</v>
      </c>
      <c r="AH687" s="80">
        <f>Ruimtestaat[[#This Row],[kosten / jaar weekend]]+Ruimtestaat[[#This Row],[kosten / jaar werkdagen]]</f>
        <v>0</v>
      </c>
    </row>
    <row r="688" spans="1:34" ht="15" customHeight="1">
      <c r="A688" s="256">
        <v>10</v>
      </c>
      <c r="B688" s="171" t="str">
        <f>VLOOKUP(Ruimtestaat[[#This Row],[Code]],Locaties[#All],2,FALSE)</f>
        <v>De Stapsteen (2 gebouwen)</v>
      </c>
      <c r="C688" s="258" t="str">
        <f>VLOOKUP(Ruimtestaat[[#This Row],[Code]],Locaties[#All],4,FALSE)</f>
        <v>J. Perkstraat 5-11</v>
      </c>
      <c r="D688" s="258" t="str">
        <f>VLOOKUP(Ruimtestaat[[#This Row],[Code]],Locaties[#All],5,FALSE)</f>
        <v>7532JR</v>
      </c>
      <c r="E688" s="258" t="str">
        <f>VLOOKUP(Ruimtestaat[[#This Row],[Code]],Locaties[#All],6,FALSE)</f>
        <v>Hengelo</v>
      </c>
      <c r="F688" s="257"/>
      <c r="G688" s="257" t="s">
        <v>563</v>
      </c>
      <c r="H688" s="171"/>
      <c r="I688" s="257" t="s">
        <v>454</v>
      </c>
      <c r="J688" s="259" t="s">
        <v>250</v>
      </c>
      <c r="K688" s="171">
        <v>11</v>
      </c>
      <c r="L688" s="260" t="str">
        <f>VLOOKUP(Ruimtestaat[[#This Row],[Ruimte code]],Ruimtegroepen[#All],2,FALSE)</f>
        <v>Garderobes</v>
      </c>
      <c r="M688" s="258" t="s">
        <v>598</v>
      </c>
      <c r="N688" s="257" t="s">
        <v>132</v>
      </c>
      <c r="O688" s="261">
        <v>9</v>
      </c>
      <c r="P688" s="183"/>
      <c r="Q688" s="212" t="str">
        <f>VLOOKUP(Ruimtestaat[[#This Row],[Ruimte code]],Ruimtegroepen[#All],4,FALSE)</f>
        <v>V  (Verkeersruimte)</v>
      </c>
      <c r="R688" s="184"/>
      <c r="S688" s="185">
        <v>40</v>
      </c>
      <c r="T688" s="185" t="s">
        <v>2</v>
      </c>
      <c r="U688" s="185">
        <f>IF(S688&gt;0,IF(RIGHT(Ruimtestaat[[#This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8" s="185">
        <f>IF(U688&gt;0,VLOOKUP($K688,Ruimtegroepen[],3,FALSE)*VLOOKUP($M688,Vloersoorten[],3,FALSE)*VLOOKUP($T688,Frequenties[],3,FALSE)*VLOOKUP($A688,Locaties[],3,FALSE),0)</f>
        <v>0</v>
      </c>
      <c r="W688" s="185">
        <f>Ruimtestaat[[#This Row],[Uitvoeringen werkdagen]]*Ruimtestaat[[#This Row],[Oppervlak (netto)]]</f>
        <v>1800</v>
      </c>
      <c r="X688" s="220">
        <f>IF(V688&gt;0,Ruimtestaat[[#This Row],[Prest. (m2 /jaar) werkdagen]]/Ruimtestaat[[#This Row],[Norm (m2/uur) werkdagen]],0)</f>
        <v>0</v>
      </c>
      <c r="Y688" s="221">
        <f>Ruimtestaat[[#This Row],[uren / jaar werkdagen]]*Tariefsopbouw!$D$38</f>
        <v>0</v>
      </c>
      <c r="Z688" s="33"/>
      <c r="AA688" s="33">
        <f>IF(Ruimtestaat[[#This Row],[Frequentie weekend]]&gt;0,VALUE(LEFT(Z688,1))*S688,0)</f>
        <v>0</v>
      </c>
      <c r="AB688" s="33">
        <f>IF($AA688&gt;0,VLOOKUP($K688,Ruimtegroepen[],3,FALSE)*VLOOKUP($M688,Vloersoorten[],3,FALSE)*VLOOKUP($Z688,Frequenties[],3,FALSE)*VLOOKUP(#REF!,Locaties[],3,FALSE),0)</f>
        <v>0</v>
      </c>
      <c r="AC688" s="33"/>
      <c r="AD688" s="33"/>
      <c r="AE688" s="33">
        <f>Ruimtestaat[[#This Row],[uren / jaar weekend]]*Tariefsopbouw!$D$40</f>
        <v>0</v>
      </c>
      <c r="AF688" s="79">
        <f>Ruimtestaat[[#This Row],[Prest. (m2 /jaar) weekend]]+Ruimtestaat[[#This Row],[Prest. (m2 /jaar) werkdagen]]</f>
        <v>1800</v>
      </c>
      <c r="AG688" s="79">
        <f>Ruimtestaat[[#This Row],[uren / jaar weekend]]+Ruimtestaat[[#This Row],[uren / jaar werkdagen]]</f>
        <v>0</v>
      </c>
      <c r="AH688" s="80">
        <f>Ruimtestaat[[#This Row],[kosten / jaar weekend]]+Ruimtestaat[[#This Row],[kosten / jaar werkdagen]]</f>
        <v>0</v>
      </c>
    </row>
    <row r="689" spans="1:34" ht="15" customHeight="1">
      <c r="A689" s="256">
        <v>10</v>
      </c>
      <c r="B689" s="171" t="str">
        <f>VLOOKUP(Ruimtestaat[[#This Row],[Code]],Locaties[#All],2,FALSE)</f>
        <v>De Stapsteen (2 gebouwen)</v>
      </c>
      <c r="C689" s="258" t="str">
        <f>VLOOKUP(Ruimtestaat[[#This Row],[Code]],Locaties[#All],4,FALSE)</f>
        <v>J. Perkstraat 5-11</v>
      </c>
      <c r="D689" s="258" t="str">
        <f>VLOOKUP(Ruimtestaat[[#This Row],[Code]],Locaties[#All],5,FALSE)</f>
        <v>7532JR</v>
      </c>
      <c r="E689" s="258" t="str">
        <f>VLOOKUP(Ruimtestaat[[#This Row],[Code]],Locaties[#All],6,FALSE)</f>
        <v>Hengelo</v>
      </c>
      <c r="F689" s="257"/>
      <c r="G689" s="257" t="s">
        <v>563</v>
      </c>
      <c r="H689" s="171"/>
      <c r="I689" s="257" t="s">
        <v>455</v>
      </c>
      <c r="J689" s="259" t="s">
        <v>577</v>
      </c>
      <c r="K689" s="171">
        <v>20</v>
      </c>
      <c r="L689" s="260" t="str">
        <f>VLOOKUP(Ruimtestaat[[#This Row],[Ruimte code]],Ruimtegroepen[#All],2,FALSE)</f>
        <v>Niet in onderhoud</v>
      </c>
      <c r="M689" s="258" t="s">
        <v>598</v>
      </c>
      <c r="N689" s="257" t="s">
        <v>132</v>
      </c>
      <c r="O689" s="261"/>
      <c r="P689" s="183">
        <v>1.3</v>
      </c>
      <c r="Q689" s="212" t="str">
        <f>VLOOKUP(Ruimtestaat[[#This Row],[Ruimte code]],Ruimtegroepen[#All],4,FALSE)</f>
        <v>niet in onderhoud</v>
      </c>
      <c r="R689" s="184"/>
      <c r="S689" s="185"/>
      <c r="T689" s="185" t="s">
        <v>3</v>
      </c>
      <c r="U689" s="185">
        <f>IF(S689&gt;0,IF(RIGHT(Ruimtestaat[[#This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89" s="185">
        <f>IF(U689&gt;0,VLOOKUP($K689,Ruimtegroepen[],3,FALSE)*VLOOKUP($M689,Vloersoorten[],3,FALSE)*VLOOKUP($T689,Frequenties[],3,FALSE)*VLOOKUP($A689,Locaties[],3,FALSE),0)</f>
        <v>0</v>
      </c>
      <c r="W689" s="185">
        <f>Ruimtestaat[[#This Row],[Uitvoeringen werkdagen]]*Ruimtestaat[[#This Row],[Oppervlak (netto)]]</f>
        <v>0</v>
      </c>
      <c r="X689" s="220">
        <f>IF(V689&gt;0,Ruimtestaat[[#This Row],[Prest. (m2 /jaar) werkdagen]]/Ruimtestaat[[#This Row],[Norm (m2/uur) werkdagen]],0)</f>
        <v>0</v>
      </c>
      <c r="Y689" s="221">
        <f>Ruimtestaat[[#This Row],[uren / jaar werkdagen]]*Tariefsopbouw!$D$38</f>
        <v>0</v>
      </c>
      <c r="Z689" s="33"/>
      <c r="AA689" s="33">
        <f>IF(Ruimtestaat[[#This Row],[Frequentie weekend]]&gt;0,VALUE(LEFT(Z689,1))*S689,0)</f>
        <v>0</v>
      </c>
      <c r="AB689" s="33">
        <f>IF($AA689&gt;0,VLOOKUP($K689,Ruimtegroepen[],3,FALSE)*VLOOKUP($M689,Vloersoorten[],3,FALSE)*VLOOKUP($Z689,Frequenties[],3,FALSE)*VLOOKUP(#REF!,Locaties[],3,FALSE),0)</f>
        <v>0</v>
      </c>
      <c r="AC689" s="33"/>
      <c r="AD689" s="33"/>
      <c r="AE689" s="33">
        <f>Ruimtestaat[[#This Row],[uren / jaar weekend]]*Tariefsopbouw!$D$40</f>
        <v>0</v>
      </c>
      <c r="AF689" s="79">
        <f>Ruimtestaat[[#This Row],[Prest. (m2 /jaar) weekend]]+Ruimtestaat[[#This Row],[Prest. (m2 /jaar) werkdagen]]</f>
        <v>0</v>
      </c>
      <c r="AG689" s="79">
        <f>Ruimtestaat[[#This Row],[uren / jaar weekend]]+Ruimtestaat[[#This Row],[uren / jaar werkdagen]]</f>
        <v>0</v>
      </c>
      <c r="AH689" s="80">
        <f>Ruimtestaat[[#This Row],[kosten / jaar weekend]]+Ruimtestaat[[#This Row],[kosten / jaar werkdagen]]</f>
        <v>0</v>
      </c>
    </row>
    <row r="690" spans="1:34" ht="15" customHeight="1">
      <c r="A690" s="256">
        <v>10</v>
      </c>
      <c r="B690" s="171" t="str">
        <f>VLOOKUP(Ruimtestaat[[#This Row],[Code]],Locaties[#All],2,FALSE)</f>
        <v>De Stapsteen (2 gebouwen)</v>
      </c>
      <c r="C690" s="258" t="str">
        <f>VLOOKUP(Ruimtestaat[[#This Row],[Code]],Locaties[#All],4,FALSE)</f>
        <v>J. Perkstraat 5-11</v>
      </c>
      <c r="D690" s="258" t="str">
        <f>VLOOKUP(Ruimtestaat[[#This Row],[Code]],Locaties[#All],5,FALSE)</f>
        <v>7532JR</v>
      </c>
      <c r="E690" s="258" t="str">
        <f>VLOOKUP(Ruimtestaat[[#This Row],[Code]],Locaties[#All],6,FALSE)</f>
        <v>Hengelo</v>
      </c>
      <c r="F690" s="257"/>
      <c r="G690" s="257" t="s">
        <v>563</v>
      </c>
      <c r="H690" s="171"/>
      <c r="I690" s="257" t="s">
        <v>456</v>
      </c>
      <c r="J690" s="259" t="s">
        <v>576</v>
      </c>
      <c r="K690" s="171">
        <v>16</v>
      </c>
      <c r="L690" s="260" t="str">
        <f>VLOOKUP(Ruimtestaat[[#This Row],[Ruimte code]],Ruimtegroepen[#All],2,FALSE)</f>
        <v>Leslokalen</v>
      </c>
      <c r="M690" s="258" t="s">
        <v>598</v>
      </c>
      <c r="N690" s="257" t="s">
        <v>132</v>
      </c>
      <c r="O690" s="261">
        <v>43</v>
      </c>
      <c r="P690" s="183"/>
      <c r="Q690" s="212" t="str">
        <f>VLOOKUP(Ruimtestaat[[#This Row],[Ruimte code]],Ruimtegroepen[#All],4,FALSE)</f>
        <v>L  (Lesruimte)</v>
      </c>
      <c r="R690" s="184"/>
      <c r="S690" s="185">
        <v>40</v>
      </c>
      <c r="T690" s="185" t="s">
        <v>2</v>
      </c>
      <c r="U690" s="185">
        <f>IF(S690&gt;0,IF(RIGHT(Ruimtestaat[[#This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0" s="185">
        <f>IF(U690&gt;0,VLOOKUP($K690,Ruimtegroepen[],3,FALSE)*VLOOKUP($M690,Vloersoorten[],3,FALSE)*VLOOKUP($T690,Frequenties[],3,FALSE)*VLOOKUP($A690,Locaties[],3,FALSE),0)</f>
        <v>0</v>
      </c>
      <c r="W690" s="185">
        <f>Ruimtestaat[[#This Row],[Uitvoeringen werkdagen]]*Ruimtestaat[[#This Row],[Oppervlak (netto)]]</f>
        <v>8600</v>
      </c>
      <c r="X690" s="220">
        <f>IF(V690&gt;0,Ruimtestaat[[#This Row],[Prest. (m2 /jaar) werkdagen]]/Ruimtestaat[[#This Row],[Norm (m2/uur) werkdagen]],0)</f>
        <v>0</v>
      </c>
      <c r="Y690" s="221">
        <f>Ruimtestaat[[#This Row],[uren / jaar werkdagen]]*Tariefsopbouw!$D$38</f>
        <v>0</v>
      </c>
      <c r="Z690" s="33"/>
      <c r="AA690" s="33">
        <f>IF(Ruimtestaat[[#This Row],[Frequentie weekend]]&gt;0,VALUE(LEFT(Z690,1))*S690,0)</f>
        <v>0</v>
      </c>
      <c r="AB690" s="33">
        <f>IF($AA690&gt;0,VLOOKUP($K690,Ruimtegroepen[],3,FALSE)*VLOOKUP($M690,Vloersoorten[],3,FALSE)*VLOOKUP($Z690,Frequenties[],3,FALSE)*VLOOKUP(#REF!,Locaties[],3,FALSE),0)</f>
        <v>0</v>
      </c>
      <c r="AC690" s="33"/>
      <c r="AD690" s="33"/>
      <c r="AE690" s="33">
        <f>Ruimtestaat[[#This Row],[uren / jaar weekend]]*Tariefsopbouw!$D$40</f>
        <v>0</v>
      </c>
      <c r="AF690" s="79">
        <f>Ruimtestaat[[#This Row],[Prest. (m2 /jaar) weekend]]+Ruimtestaat[[#This Row],[Prest. (m2 /jaar) werkdagen]]</f>
        <v>8600</v>
      </c>
      <c r="AG690" s="79">
        <f>Ruimtestaat[[#This Row],[uren / jaar weekend]]+Ruimtestaat[[#This Row],[uren / jaar werkdagen]]</f>
        <v>0</v>
      </c>
      <c r="AH690" s="80">
        <f>Ruimtestaat[[#This Row],[kosten / jaar weekend]]+Ruimtestaat[[#This Row],[kosten / jaar werkdagen]]</f>
        <v>0</v>
      </c>
    </row>
    <row r="691" spans="1:34" ht="15" customHeight="1">
      <c r="A691" s="256">
        <v>10</v>
      </c>
      <c r="B691" s="171" t="str">
        <f>VLOOKUP(Ruimtestaat[[#This Row],[Code]],Locaties[#All],2,FALSE)</f>
        <v>De Stapsteen (2 gebouwen)</v>
      </c>
      <c r="C691" s="258" t="str">
        <f>VLOOKUP(Ruimtestaat[[#This Row],[Code]],Locaties[#All],4,FALSE)</f>
        <v>J. Perkstraat 5-11</v>
      </c>
      <c r="D691" s="258" t="str">
        <f>VLOOKUP(Ruimtestaat[[#This Row],[Code]],Locaties[#All],5,FALSE)</f>
        <v>7532JR</v>
      </c>
      <c r="E691" s="258" t="str">
        <f>VLOOKUP(Ruimtestaat[[#This Row],[Code]],Locaties[#All],6,FALSE)</f>
        <v>Hengelo</v>
      </c>
      <c r="F691" s="257"/>
      <c r="G691" s="257" t="s">
        <v>563</v>
      </c>
      <c r="H691" s="171"/>
      <c r="I691" s="257" t="s">
        <v>457</v>
      </c>
      <c r="J691" s="259" t="s">
        <v>576</v>
      </c>
      <c r="K691" s="171">
        <v>16</v>
      </c>
      <c r="L691" s="260" t="str">
        <f>VLOOKUP(Ruimtestaat[[#This Row],[Ruimte code]],Ruimtegroepen[#All],2,FALSE)</f>
        <v>Leslokalen</v>
      </c>
      <c r="M691" s="258" t="s">
        <v>598</v>
      </c>
      <c r="N691" s="257" t="s">
        <v>132</v>
      </c>
      <c r="O691" s="261">
        <v>43</v>
      </c>
      <c r="P691" s="183"/>
      <c r="Q691" s="212" t="str">
        <f>VLOOKUP(Ruimtestaat[[#This Row],[Ruimte code]],Ruimtegroepen[#All],4,FALSE)</f>
        <v>L  (Lesruimte)</v>
      </c>
      <c r="R691" s="184"/>
      <c r="S691" s="185">
        <v>40</v>
      </c>
      <c r="T691" s="185" t="s">
        <v>2</v>
      </c>
      <c r="U691" s="185">
        <f>IF(S691&gt;0,IF(RIGHT(Ruimtestaat[[#This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1" s="185">
        <f>IF(U691&gt;0,VLOOKUP($K691,Ruimtegroepen[],3,FALSE)*VLOOKUP($M691,Vloersoorten[],3,FALSE)*VLOOKUP($T691,Frequenties[],3,FALSE)*VLOOKUP($A691,Locaties[],3,FALSE),0)</f>
        <v>0</v>
      </c>
      <c r="W691" s="185">
        <f>Ruimtestaat[[#This Row],[Uitvoeringen werkdagen]]*Ruimtestaat[[#This Row],[Oppervlak (netto)]]</f>
        <v>8600</v>
      </c>
      <c r="X691" s="220">
        <f>IF(V691&gt;0,Ruimtestaat[[#This Row],[Prest. (m2 /jaar) werkdagen]]/Ruimtestaat[[#This Row],[Norm (m2/uur) werkdagen]],0)</f>
        <v>0</v>
      </c>
      <c r="Y691" s="221">
        <f>Ruimtestaat[[#This Row],[uren / jaar werkdagen]]*Tariefsopbouw!$D$38</f>
        <v>0</v>
      </c>
      <c r="Z691" s="33"/>
      <c r="AA691" s="33">
        <f>IF(Ruimtestaat[[#This Row],[Frequentie weekend]]&gt;0,VALUE(LEFT(Z691,1))*S691,0)</f>
        <v>0</v>
      </c>
      <c r="AB691" s="33">
        <f>IF($AA691&gt;0,VLOOKUP($K691,Ruimtegroepen[],3,FALSE)*VLOOKUP($M691,Vloersoorten[],3,FALSE)*VLOOKUP($Z691,Frequenties[],3,FALSE)*VLOOKUP(#REF!,Locaties[],3,FALSE),0)</f>
        <v>0</v>
      </c>
      <c r="AC691" s="33"/>
      <c r="AD691" s="33"/>
      <c r="AE691" s="33">
        <f>Ruimtestaat[[#This Row],[uren / jaar weekend]]*Tariefsopbouw!$D$40</f>
        <v>0</v>
      </c>
      <c r="AF691" s="79">
        <f>Ruimtestaat[[#This Row],[Prest. (m2 /jaar) weekend]]+Ruimtestaat[[#This Row],[Prest. (m2 /jaar) werkdagen]]</f>
        <v>8600</v>
      </c>
      <c r="AG691" s="79">
        <f>Ruimtestaat[[#This Row],[uren / jaar weekend]]+Ruimtestaat[[#This Row],[uren / jaar werkdagen]]</f>
        <v>0</v>
      </c>
      <c r="AH691" s="80">
        <f>Ruimtestaat[[#This Row],[kosten / jaar weekend]]+Ruimtestaat[[#This Row],[kosten / jaar werkdagen]]</f>
        <v>0</v>
      </c>
    </row>
    <row r="692" spans="1:34" ht="15" customHeight="1">
      <c r="A692" s="256">
        <v>10</v>
      </c>
      <c r="B692" s="171" t="str">
        <f>VLOOKUP(Ruimtestaat[[#This Row],[Code]],Locaties[#All],2,FALSE)</f>
        <v>De Stapsteen (2 gebouwen)</v>
      </c>
      <c r="C692" s="258" t="str">
        <f>VLOOKUP(Ruimtestaat[[#This Row],[Code]],Locaties[#All],4,FALSE)</f>
        <v>J. Perkstraat 5-11</v>
      </c>
      <c r="D692" s="258" t="str">
        <f>VLOOKUP(Ruimtestaat[[#This Row],[Code]],Locaties[#All],5,FALSE)</f>
        <v>7532JR</v>
      </c>
      <c r="E692" s="258" t="str">
        <f>VLOOKUP(Ruimtestaat[[#This Row],[Code]],Locaties[#All],6,FALSE)</f>
        <v>Hengelo</v>
      </c>
      <c r="F692" s="257"/>
      <c r="G692" s="257" t="s">
        <v>563</v>
      </c>
      <c r="H692" s="171"/>
      <c r="I692" s="257" t="s">
        <v>458</v>
      </c>
      <c r="J692" s="259" t="s">
        <v>576</v>
      </c>
      <c r="K692" s="258">
        <v>16</v>
      </c>
      <c r="L692" s="260" t="str">
        <f>VLOOKUP(Ruimtestaat[[#This Row],[Ruimte code]],Ruimtegroepen[#All],2,FALSE)</f>
        <v>Leslokalen</v>
      </c>
      <c r="M692" s="185" t="s">
        <v>598</v>
      </c>
      <c r="N692" s="257" t="s">
        <v>132</v>
      </c>
      <c r="O692" s="261">
        <v>43</v>
      </c>
      <c r="P692" s="183"/>
      <c r="Q692" s="212" t="str">
        <f>VLOOKUP(Ruimtestaat[[#This Row],[Ruimte code]],Ruimtegroepen[#All],4,FALSE)</f>
        <v>L  (Lesruimte)</v>
      </c>
      <c r="R692" s="184"/>
      <c r="S692" s="185">
        <v>40</v>
      </c>
      <c r="T692" s="185" t="s">
        <v>2</v>
      </c>
      <c r="U692" s="185">
        <f>IF(S692&gt;0,IF(RIGHT(Ruimtestaat[[#This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2" s="185">
        <f>IF(U692&gt;0,VLOOKUP($K692,Ruimtegroepen[],3,FALSE)*VLOOKUP($M692,Vloersoorten[],3,FALSE)*VLOOKUP($T692,Frequenties[],3,FALSE)*VLOOKUP($A692,Locaties[],3,FALSE),0)</f>
        <v>0</v>
      </c>
      <c r="W692" s="185">
        <f>Ruimtestaat[[#This Row],[Uitvoeringen werkdagen]]*Ruimtestaat[[#This Row],[Oppervlak (netto)]]</f>
        <v>8600</v>
      </c>
      <c r="X692" s="220">
        <f>IF(V692&gt;0,Ruimtestaat[[#This Row],[Prest. (m2 /jaar) werkdagen]]/Ruimtestaat[[#This Row],[Norm (m2/uur) werkdagen]],0)</f>
        <v>0</v>
      </c>
      <c r="Y692" s="221">
        <f>Ruimtestaat[[#This Row],[uren / jaar werkdagen]]*Tariefsopbouw!$D$38</f>
        <v>0</v>
      </c>
      <c r="Z692" s="33"/>
      <c r="AA692" s="33">
        <f>IF(Ruimtestaat[[#This Row],[Frequentie weekend]]&gt;0,VALUE(LEFT(Z692,1))*S692,0)</f>
        <v>0</v>
      </c>
      <c r="AB692" s="33">
        <f>IF($AA692&gt;0,VLOOKUP($K692,Ruimtegroepen[],3,FALSE)*VLOOKUP($M692,Vloersoorten[],3,FALSE)*VLOOKUP($Z692,Frequenties[],3,FALSE)*VLOOKUP(#REF!,Locaties[],3,FALSE),0)</f>
        <v>0</v>
      </c>
      <c r="AC692" s="33"/>
      <c r="AD692" s="33"/>
      <c r="AE692" s="33">
        <f>Ruimtestaat[[#This Row],[uren / jaar weekend]]*Tariefsopbouw!$D$40</f>
        <v>0</v>
      </c>
      <c r="AF692" s="79">
        <f>Ruimtestaat[[#This Row],[Prest. (m2 /jaar) weekend]]+Ruimtestaat[[#This Row],[Prest. (m2 /jaar) werkdagen]]</f>
        <v>8600</v>
      </c>
      <c r="AG692" s="79">
        <f>Ruimtestaat[[#This Row],[uren / jaar weekend]]+Ruimtestaat[[#This Row],[uren / jaar werkdagen]]</f>
        <v>0</v>
      </c>
      <c r="AH692" s="80">
        <f>Ruimtestaat[[#This Row],[kosten / jaar weekend]]+Ruimtestaat[[#This Row],[kosten / jaar werkdagen]]</f>
        <v>0</v>
      </c>
    </row>
    <row r="693" spans="1:34" ht="15" customHeight="1">
      <c r="A693" s="256">
        <v>10</v>
      </c>
      <c r="B693" s="171" t="str">
        <f>VLOOKUP(Ruimtestaat[[#This Row],[Code]],Locaties[#All],2,FALSE)</f>
        <v>De Stapsteen (2 gebouwen)</v>
      </c>
      <c r="C693" s="258" t="str">
        <f>VLOOKUP(Ruimtestaat[[#This Row],[Code]],Locaties[#All],4,FALSE)</f>
        <v>J. Perkstraat 5-11</v>
      </c>
      <c r="D693" s="258" t="str">
        <f>VLOOKUP(Ruimtestaat[[#This Row],[Code]],Locaties[#All],5,FALSE)</f>
        <v>7532JR</v>
      </c>
      <c r="E693" s="258" t="str">
        <f>VLOOKUP(Ruimtestaat[[#This Row],[Code]],Locaties[#All],6,FALSE)</f>
        <v>Hengelo</v>
      </c>
      <c r="F693" s="257"/>
      <c r="G693" s="257" t="s">
        <v>563</v>
      </c>
      <c r="H693" s="171"/>
      <c r="I693" s="257" t="s">
        <v>459</v>
      </c>
      <c r="J693" s="259" t="s">
        <v>576</v>
      </c>
      <c r="K693" s="258">
        <v>16</v>
      </c>
      <c r="L693" s="260" t="str">
        <f>VLOOKUP(Ruimtestaat[[#This Row],[Ruimte code]],Ruimtegroepen[#All],2,FALSE)</f>
        <v>Leslokalen</v>
      </c>
      <c r="M693" s="185" t="s">
        <v>598</v>
      </c>
      <c r="N693" s="257" t="s">
        <v>132</v>
      </c>
      <c r="O693" s="261">
        <v>43</v>
      </c>
      <c r="P693" s="183"/>
      <c r="Q693" s="212" t="str">
        <f>VLOOKUP(Ruimtestaat[[#This Row],[Ruimte code]],Ruimtegroepen[#All],4,FALSE)</f>
        <v>L  (Lesruimte)</v>
      </c>
      <c r="R693" s="184"/>
      <c r="S693" s="185">
        <v>40</v>
      </c>
      <c r="T693" s="185" t="s">
        <v>2</v>
      </c>
      <c r="U693" s="185">
        <f>IF(S693&gt;0,IF(RIGHT(Ruimtestaat[[#This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3" s="185">
        <f>IF(U693&gt;0,VLOOKUP($K693,Ruimtegroepen[],3,FALSE)*VLOOKUP($M693,Vloersoorten[],3,FALSE)*VLOOKUP($T693,Frequenties[],3,FALSE)*VLOOKUP($A693,Locaties[],3,FALSE),0)</f>
        <v>0</v>
      </c>
      <c r="W693" s="185">
        <f>Ruimtestaat[[#This Row],[Uitvoeringen werkdagen]]*Ruimtestaat[[#This Row],[Oppervlak (netto)]]</f>
        <v>8600</v>
      </c>
      <c r="X693" s="220">
        <f>IF(V693&gt;0,Ruimtestaat[[#This Row],[Prest. (m2 /jaar) werkdagen]]/Ruimtestaat[[#This Row],[Norm (m2/uur) werkdagen]],0)</f>
        <v>0</v>
      </c>
      <c r="Y693" s="221">
        <f>Ruimtestaat[[#This Row],[uren / jaar werkdagen]]*Tariefsopbouw!$D$38</f>
        <v>0</v>
      </c>
      <c r="Z693" s="33"/>
      <c r="AA693" s="33">
        <f>IF(Ruimtestaat[[#This Row],[Frequentie weekend]]&gt;0,VALUE(LEFT(Z693,1))*S693,0)</f>
        <v>0</v>
      </c>
      <c r="AB693" s="33">
        <f>IF($AA693&gt;0,VLOOKUP($K693,Ruimtegroepen[],3,FALSE)*VLOOKUP($M693,Vloersoorten[],3,FALSE)*VLOOKUP($Z693,Frequenties[],3,FALSE)*VLOOKUP(#REF!,Locaties[],3,FALSE),0)</f>
        <v>0</v>
      </c>
      <c r="AC693" s="33"/>
      <c r="AD693" s="33"/>
      <c r="AE693" s="33">
        <f>Ruimtestaat[[#This Row],[uren / jaar weekend]]*Tariefsopbouw!$D$40</f>
        <v>0</v>
      </c>
      <c r="AF693" s="79">
        <f>Ruimtestaat[[#This Row],[Prest. (m2 /jaar) weekend]]+Ruimtestaat[[#This Row],[Prest. (m2 /jaar) werkdagen]]</f>
        <v>8600</v>
      </c>
      <c r="AG693" s="79">
        <f>Ruimtestaat[[#This Row],[uren / jaar weekend]]+Ruimtestaat[[#This Row],[uren / jaar werkdagen]]</f>
        <v>0</v>
      </c>
      <c r="AH693" s="80">
        <f>Ruimtestaat[[#This Row],[kosten / jaar weekend]]+Ruimtestaat[[#This Row],[kosten / jaar werkdagen]]</f>
        <v>0</v>
      </c>
    </row>
    <row r="694" spans="1:34" ht="15" customHeight="1">
      <c r="A694" s="256">
        <v>10</v>
      </c>
      <c r="B694" s="171" t="str">
        <f>VLOOKUP(Ruimtestaat[[#This Row],[Code]],Locaties[#All],2,FALSE)</f>
        <v>De Stapsteen (2 gebouwen)</v>
      </c>
      <c r="C694" s="258" t="str">
        <f>VLOOKUP(Ruimtestaat[[#This Row],[Code]],Locaties[#All],4,FALSE)</f>
        <v>J. Perkstraat 5-11</v>
      </c>
      <c r="D694" s="258" t="str">
        <f>VLOOKUP(Ruimtestaat[[#This Row],[Code]],Locaties[#All],5,FALSE)</f>
        <v>7532JR</v>
      </c>
      <c r="E694" s="258" t="str">
        <f>VLOOKUP(Ruimtestaat[[#This Row],[Code]],Locaties[#All],6,FALSE)</f>
        <v>Hengelo</v>
      </c>
      <c r="F694" s="257"/>
      <c r="G694" s="257" t="s">
        <v>563</v>
      </c>
      <c r="H694" s="171"/>
      <c r="I694" s="257" t="s">
        <v>460</v>
      </c>
      <c r="J694" s="259" t="s">
        <v>683</v>
      </c>
      <c r="K694" s="258">
        <v>5</v>
      </c>
      <c r="L694" s="260" t="str">
        <f>VLOOKUP(Ruimtestaat[[#This Row],[Ruimte code]],Ruimtegroepen[#All],2,FALSE)</f>
        <v>Sanitair</v>
      </c>
      <c r="M694" s="212" t="s">
        <v>111</v>
      </c>
      <c r="N694" s="257" t="s">
        <v>606</v>
      </c>
      <c r="O694" s="261">
        <v>9.5</v>
      </c>
      <c r="P694" s="183"/>
      <c r="Q694" s="212" t="str">
        <f>VLOOKUP(Ruimtestaat[[#This Row],[Ruimte code]],Ruimtegroepen[#All],4,FALSE)</f>
        <v>S  (Sanitair)</v>
      </c>
      <c r="R694" s="184"/>
      <c r="S694" s="185">
        <v>40</v>
      </c>
      <c r="T694" s="185" t="s">
        <v>2</v>
      </c>
      <c r="U694" s="185">
        <f>IF(S694&gt;0,IF(RIGHT(Ruimtestaat[[#This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4" s="185">
        <f>IF(U694&gt;0,VLOOKUP($K694,Ruimtegroepen[],3,FALSE)*VLOOKUP($M694,Vloersoorten[],3,FALSE)*VLOOKUP($T694,Frequenties[],3,FALSE)*VLOOKUP($A694,Locaties[],3,FALSE),0)</f>
        <v>0</v>
      </c>
      <c r="W694" s="185">
        <f>Ruimtestaat[[#This Row],[Uitvoeringen werkdagen]]*Ruimtestaat[[#This Row],[Oppervlak (netto)]]</f>
        <v>1900</v>
      </c>
      <c r="X694" s="220">
        <f>IF(V694&gt;0,Ruimtestaat[[#This Row],[Prest. (m2 /jaar) werkdagen]]/Ruimtestaat[[#This Row],[Norm (m2/uur) werkdagen]],0)</f>
        <v>0</v>
      </c>
      <c r="Y694" s="221">
        <f>Ruimtestaat[[#This Row],[uren / jaar werkdagen]]*Tariefsopbouw!$D$38</f>
        <v>0</v>
      </c>
      <c r="Z694" s="33"/>
      <c r="AA694" s="33">
        <f>IF(Ruimtestaat[[#This Row],[Frequentie weekend]]&gt;0,VALUE(LEFT(Z694,1))*S694,0)</f>
        <v>0</v>
      </c>
      <c r="AB694" s="33">
        <f>IF($AA694&gt;0,VLOOKUP($K694,Ruimtegroepen[],3,FALSE)*VLOOKUP($M694,Vloersoorten[],3,FALSE)*VLOOKUP($Z694,Frequenties[],3,FALSE)*VLOOKUP(#REF!,Locaties[],3,FALSE),0)</f>
        <v>0</v>
      </c>
      <c r="AC694" s="33"/>
      <c r="AD694" s="33"/>
      <c r="AE694" s="33">
        <f>Ruimtestaat[[#This Row],[uren / jaar weekend]]*Tariefsopbouw!$D$40</f>
        <v>0</v>
      </c>
      <c r="AF694" s="79">
        <f>Ruimtestaat[[#This Row],[Prest. (m2 /jaar) weekend]]+Ruimtestaat[[#This Row],[Prest. (m2 /jaar) werkdagen]]</f>
        <v>1900</v>
      </c>
      <c r="AG694" s="79">
        <f>Ruimtestaat[[#This Row],[uren / jaar weekend]]+Ruimtestaat[[#This Row],[uren / jaar werkdagen]]</f>
        <v>0</v>
      </c>
      <c r="AH694" s="80">
        <f>Ruimtestaat[[#This Row],[kosten / jaar weekend]]+Ruimtestaat[[#This Row],[kosten / jaar werkdagen]]</f>
        <v>0</v>
      </c>
    </row>
    <row r="695" spans="1:34" ht="15" customHeight="1">
      <c r="A695" s="256">
        <v>10</v>
      </c>
      <c r="B695" s="171" t="str">
        <f>VLOOKUP(Ruimtestaat[[#This Row],[Code]],Locaties[#All],2,FALSE)</f>
        <v>De Stapsteen (2 gebouwen)</v>
      </c>
      <c r="C695" s="258" t="str">
        <f>VLOOKUP(Ruimtestaat[[#This Row],[Code]],Locaties[#All],4,FALSE)</f>
        <v>J. Perkstraat 5-11</v>
      </c>
      <c r="D695" s="258" t="str">
        <f>VLOOKUP(Ruimtestaat[[#This Row],[Code]],Locaties[#All],5,FALSE)</f>
        <v>7532JR</v>
      </c>
      <c r="E695" s="258" t="str">
        <f>VLOOKUP(Ruimtestaat[[#This Row],[Code]],Locaties[#All],6,FALSE)</f>
        <v>Hengelo</v>
      </c>
      <c r="F695" s="257"/>
      <c r="G695" s="257" t="s">
        <v>563</v>
      </c>
      <c r="H695" s="171"/>
      <c r="I695" s="257" t="s">
        <v>461</v>
      </c>
      <c r="J695" s="259" t="s">
        <v>683</v>
      </c>
      <c r="K695" s="258">
        <v>5</v>
      </c>
      <c r="L695" s="260" t="str">
        <f>VLOOKUP(Ruimtestaat[[#This Row],[Ruimte code]],Ruimtegroepen[#All],2,FALSE)</f>
        <v>Sanitair</v>
      </c>
      <c r="M695" s="212" t="s">
        <v>111</v>
      </c>
      <c r="N695" s="257" t="s">
        <v>606</v>
      </c>
      <c r="O695" s="261">
        <v>9.5</v>
      </c>
      <c r="P695" s="183"/>
      <c r="Q695" s="212" t="str">
        <f>VLOOKUP(Ruimtestaat[[#This Row],[Ruimte code]],Ruimtegroepen[#All],4,FALSE)</f>
        <v>S  (Sanitair)</v>
      </c>
      <c r="R695" s="184"/>
      <c r="S695" s="185">
        <v>40</v>
      </c>
      <c r="T695" s="185" t="s">
        <v>2</v>
      </c>
      <c r="U695" s="185">
        <f>IF(S695&gt;0,IF(RIGHT(Ruimtestaat[[#This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5" s="185">
        <f>IF(U695&gt;0,VLOOKUP($K695,Ruimtegroepen[],3,FALSE)*VLOOKUP($M695,Vloersoorten[],3,FALSE)*VLOOKUP($T695,Frequenties[],3,FALSE)*VLOOKUP($A695,Locaties[],3,FALSE),0)</f>
        <v>0</v>
      </c>
      <c r="W695" s="185">
        <f>Ruimtestaat[[#This Row],[Uitvoeringen werkdagen]]*Ruimtestaat[[#This Row],[Oppervlak (netto)]]</f>
        <v>1900</v>
      </c>
      <c r="X695" s="220">
        <f>IF(V695&gt;0,Ruimtestaat[[#This Row],[Prest. (m2 /jaar) werkdagen]]/Ruimtestaat[[#This Row],[Norm (m2/uur) werkdagen]],0)</f>
        <v>0</v>
      </c>
      <c r="Y695" s="221">
        <f>Ruimtestaat[[#This Row],[uren / jaar werkdagen]]*Tariefsopbouw!$D$38</f>
        <v>0</v>
      </c>
      <c r="Z695" s="33"/>
      <c r="AA695" s="33">
        <f>IF(Ruimtestaat[[#This Row],[Frequentie weekend]]&gt;0,VALUE(LEFT(Z695,1))*S695,0)</f>
        <v>0</v>
      </c>
      <c r="AB695" s="33">
        <f>IF($AA695&gt;0,VLOOKUP($K695,Ruimtegroepen[],3,FALSE)*VLOOKUP($M695,Vloersoorten[],3,FALSE)*VLOOKUP($Z695,Frequenties[],3,FALSE)*VLOOKUP(#REF!,Locaties[],3,FALSE),0)</f>
        <v>0</v>
      </c>
      <c r="AC695" s="33"/>
      <c r="AD695" s="33"/>
      <c r="AE695" s="33">
        <f>Ruimtestaat[[#This Row],[uren / jaar weekend]]*Tariefsopbouw!$D$40</f>
        <v>0</v>
      </c>
      <c r="AF695" s="79">
        <f>Ruimtestaat[[#This Row],[Prest. (m2 /jaar) weekend]]+Ruimtestaat[[#This Row],[Prest. (m2 /jaar) werkdagen]]</f>
        <v>1900</v>
      </c>
      <c r="AG695" s="79">
        <f>Ruimtestaat[[#This Row],[uren / jaar weekend]]+Ruimtestaat[[#This Row],[uren / jaar werkdagen]]</f>
        <v>0</v>
      </c>
      <c r="AH695" s="80">
        <f>Ruimtestaat[[#This Row],[kosten / jaar weekend]]+Ruimtestaat[[#This Row],[kosten / jaar werkdagen]]</f>
        <v>0</v>
      </c>
    </row>
    <row r="696" spans="1:34" ht="15" customHeight="1">
      <c r="A696" s="256">
        <v>10</v>
      </c>
      <c r="B696" s="171" t="str">
        <f>VLOOKUP(Ruimtestaat[[#This Row],[Code]],Locaties[#All],2,FALSE)</f>
        <v>De Stapsteen (2 gebouwen)</v>
      </c>
      <c r="C696" s="258" t="str">
        <f>VLOOKUP(Ruimtestaat[[#This Row],[Code]],Locaties[#All],4,FALSE)</f>
        <v>J. Perkstraat 5-11</v>
      </c>
      <c r="D696" s="258" t="str">
        <f>VLOOKUP(Ruimtestaat[[#This Row],[Code]],Locaties[#All],5,FALSE)</f>
        <v>7532JR</v>
      </c>
      <c r="E696" s="258" t="str">
        <f>VLOOKUP(Ruimtestaat[[#This Row],[Code]],Locaties[#All],6,FALSE)</f>
        <v>Hengelo</v>
      </c>
      <c r="F696" s="257"/>
      <c r="G696" s="257" t="s">
        <v>563</v>
      </c>
      <c r="H696" s="171"/>
      <c r="I696" s="257" t="s">
        <v>462</v>
      </c>
      <c r="J696" s="259" t="s">
        <v>593</v>
      </c>
      <c r="K696" s="258">
        <v>14</v>
      </c>
      <c r="L696" s="260" t="str">
        <f>VLOOKUP(Ruimtestaat[[#This Row],[Ruimte code]],Ruimtegroepen[#All],2,FALSE)</f>
        <v>Praktijklokalen</v>
      </c>
      <c r="M696" s="212" t="s">
        <v>111</v>
      </c>
      <c r="N696" s="257" t="s">
        <v>605</v>
      </c>
      <c r="O696" s="261">
        <v>58</v>
      </c>
      <c r="P696" s="183"/>
      <c r="Q696" s="212" t="str">
        <f>VLOOKUP(Ruimtestaat[[#This Row],[Ruimte code]],Ruimtegroepen[#All],4,FALSE)</f>
        <v>L  (Lesruimte)</v>
      </c>
      <c r="R696" s="184"/>
      <c r="S696" s="185">
        <v>40</v>
      </c>
      <c r="T696" s="185" t="s">
        <v>15</v>
      </c>
      <c r="U696" s="185">
        <f>IF(S696&gt;0,IF(RIGHT(Ruimtestaat[[#This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696" s="185">
        <f>IF(U696&gt;0,VLOOKUP($K696,Ruimtegroepen[],3,FALSE)*VLOOKUP($M696,Vloersoorten[],3,FALSE)*VLOOKUP($T696,Frequenties[],3,FALSE)*VLOOKUP($A696,Locaties[],3,FALSE),0)</f>
        <v>0</v>
      </c>
      <c r="W696" s="185">
        <f>Ruimtestaat[[#This Row],[Uitvoeringen werkdagen]]*Ruimtestaat[[#This Row],[Oppervlak (netto)]]</f>
        <v>2320</v>
      </c>
      <c r="X696" s="220">
        <f>IF(V696&gt;0,Ruimtestaat[[#This Row],[Prest. (m2 /jaar) werkdagen]]/Ruimtestaat[[#This Row],[Norm (m2/uur) werkdagen]],0)</f>
        <v>0</v>
      </c>
      <c r="Y696" s="221">
        <f>Ruimtestaat[[#This Row],[uren / jaar werkdagen]]*Tariefsopbouw!$D$38</f>
        <v>0</v>
      </c>
      <c r="Z696" s="33"/>
      <c r="AA696" s="33">
        <f>IF(Ruimtestaat[[#This Row],[Frequentie weekend]]&gt;0,VALUE(LEFT(Z696,1))*S696,0)</f>
        <v>0</v>
      </c>
      <c r="AB696" s="33">
        <f>IF($AA696&gt;0,VLOOKUP($K696,Ruimtegroepen[],3,FALSE)*VLOOKUP($M696,Vloersoorten[],3,FALSE)*VLOOKUP($Z696,Frequenties[],3,FALSE)*VLOOKUP(#REF!,Locaties[],3,FALSE),0)</f>
        <v>0</v>
      </c>
      <c r="AC696" s="33"/>
      <c r="AD696" s="33"/>
      <c r="AE696" s="33">
        <f>Ruimtestaat[[#This Row],[uren / jaar weekend]]*Tariefsopbouw!$D$40</f>
        <v>0</v>
      </c>
      <c r="AF696" s="79">
        <f>Ruimtestaat[[#This Row],[Prest. (m2 /jaar) weekend]]+Ruimtestaat[[#This Row],[Prest. (m2 /jaar) werkdagen]]</f>
        <v>2320</v>
      </c>
      <c r="AG696" s="79">
        <f>Ruimtestaat[[#This Row],[uren / jaar weekend]]+Ruimtestaat[[#This Row],[uren / jaar werkdagen]]</f>
        <v>0</v>
      </c>
      <c r="AH696" s="80">
        <f>Ruimtestaat[[#This Row],[kosten / jaar weekend]]+Ruimtestaat[[#This Row],[kosten / jaar werkdagen]]</f>
        <v>0</v>
      </c>
    </row>
    <row r="697" spans="1:34" ht="15" customHeight="1">
      <c r="A697" s="256">
        <v>10</v>
      </c>
      <c r="B697" s="171" t="str">
        <f>VLOOKUP(Ruimtestaat[[#This Row],[Code]],Locaties[#All],2,FALSE)</f>
        <v>De Stapsteen (2 gebouwen)</v>
      </c>
      <c r="C697" s="258" t="str">
        <f>VLOOKUP(Ruimtestaat[[#This Row],[Code]],Locaties[#All],4,FALSE)</f>
        <v>J. Perkstraat 5-11</v>
      </c>
      <c r="D697" s="258" t="str">
        <f>VLOOKUP(Ruimtestaat[[#This Row],[Code]],Locaties[#All],5,FALSE)</f>
        <v>7532JR</v>
      </c>
      <c r="E697" s="258" t="str">
        <f>VLOOKUP(Ruimtestaat[[#This Row],[Code]],Locaties[#All],6,FALSE)</f>
        <v>Hengelo</v>
      </c>
      <c r="F697" s="257"/>
      <c r="G697" s="257" t="s">
        <v>563</v>
      </c>
      <c r="H697" s="171"/>
      <c r="I697" s="257" t="s">
        <v>463</v>
      </c>
      <c r="J697" s="259" t="s">
        <v>571</v>
      </c>
      <c r="K697" s="171">
        <v>2</v>
      </c>
      <c r="L697" s="260" t="str">
        <f>VLOOKUP(Ruimtestaat[[#This Row],[Ruimte code]],Ruimtegroepen[#All],2,FALSE)</f>
        <v>Kantoren</v>
      </c>
      <c r="M697" s="258" t="s">
        <v>598</v>
      </c>
      <c r="N697" s="257" t="s">
        <v>132</v>
      </c>
      <c r="O697" s="261">
        <v>42</v>
      </c>
      <c r="P697" s="183"/>
      <c r="Q697" s="212" t="str">
        <f>VLOOKUP(Ruimtestaat[[#This Row],[Ruimte code]],Ruimtegroepen[#All],4,FALSE)</f>
        <v>B  (Bureauruimte)</v>
      </c>
      <c r="R697" s="184"/>
      <c r="S697" s="185">
        <v>40</v>
      </c>
      <c r="T697" s="185" t="s">
        <v>18</v>
      </c>
      <c r="U697" s="185">
        <f>IF(S697&gt;0,IF(RIGHT(Ruimtestaat[[#This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97" s="185">
        <f>IF(U697&gt;0,VLOOKUP($K697,Ruimtegroepen[],3,FALSE)*VLOOKUP($M697,Vloersoorten[],3,FALSE)*VLOOKUP($T697,Frequenties[],3,FALSE)*VLOOKUP($A697,Locaties[],3,FALSE),0)</f>
        <v>0</v>
      </c>
      <c r="W697" s="185">
        <f>Ruimtestaat[[#This Row],[Uitvoeringen werkdagen]]*Ruimtestaat[[#This Row],[Oppervlak (netto)]]</f>
        <v>5040</v>
      </c>
      <c r="X697" s="220">
        <f>IF(V697&gt;0,Ruimtestaat[[#This Row],[Prest. (m2 /jaar) werkdagen]]/Ruimtestaat[[#This Row],[Norm (m2/uur) werkdagen]],0)</f>
        <v>0</v>
      </c>
      <c r="Y697" s="221">
        <f>Ruimtestaat[[#This Row],[uren / jaar werkdagen]]*Tariefsopbouw!$D$38</f>
        <v>0</v>
      </c>
      <c r="Z697" s="33"/>
      <c r="AA697" s="33">
        <f>IF(Ruimtestaat[[#This Row],[Frequentie weekend]]&gt;0,VALUE(LEFT(Z697,1))*S697,0)</f>
        <v>0</v>
      </c>
      <c r="AB697" s="33">
        <f>IF($AA697&gt;0,VLOOKUP($K697,Ruimtegroepen[],3,FALSE)*VLOOKUP($M697,Vloersoorten[],3,FALSE)*VLOOKUP($Z697,Frequenties[],3,FALSE)*VLOOKUP(#REF!,Locaties[],3,FALSE),0)</f>
        <v>0</v>
      </c>
      <c r="AC697" s="33"/>
      <c r="AD697" s="33"/>
      <c r="AE697" s="33">
        <f>Ruimtestaat[[#This Row],[uren / jaar weekend]]*Tariefsopbouw!$D$40</f>
        <v>0</v>
      </c>
      <c r="AF697" s="79">
        <f>Ruimtestaat[[#This Row],[Prest. (m2 /jaar) weekend]]+Ruimtestaat[[#This Row],[Prest. (m2 /jaar) werkdagen]]</f>
        <v>5040</v>
      </c>
      <c r="AG697" s="79">
        <f>Ruimtestaat[[#This Row],[uren / jaar weekend]]+Ruimtestaat[[#This Row],[uren / jaar werkdagen]]</f>
        <v>0</v>
      </c>
      <c r="AH697" s="80">
        <f>Ruimtestaat[[#This Row],[kosten / jaar weekend]]+Ruimtestaat[[#This Row],[kosten / jaar werkdagen]]</f>
        <v>0</v>
      </c>
    </row>
    <row r="698" spans="1:34" ht="15" customHeight="1">
      <c r="A698" s="256">
        <v>10</v>
      </c>
      <c r="B698" s="171" t="str">
        <f>VLOOKUP(Ruimtestaat[[#This Row],[Code]],Locaties[#All],2,FALSE)</f>
        <v>De Stapsteen (2 gebouwen)</v>
      </c>
      <c r="C698" s="258" t="str">
        <f>VLOOKUP(Ruimtestaat[[#This Row],[Code]],Locaties[#All],4,FALSE)</f>
        <v>J. Perkstraat 5-11</v>
      </c>
      <c r="D698" s="258" t="str">
        <f>VLOOKUP(Ruimtestaat[[#This Row],[Code]],Locaties[#All],5,FALSE)</f>
        <v>7532JR</v>
      </c>
      <c r="E698" s="258" t="str">
        <f>VLOOKUP(Ruimtestaat[[#This Row],[Code]],Locaties[#All],6,FALSE)</f>
        <v>Hengelo</v>
      </c>
      <c r="F698" s="257"/>
      <c r="G698" s="257" t="s">
        <v>563</v>
      </c>
      <c r="H698" s="171"/>
      <c r="I698" s="257" t="s">
        <v>464</v>
      </c>
      <c r="J698" s="259" t="s">
        <v>571</v>
      </c>
      <c r="K698" s="171">
        <v>2</v>
      </c>
      <c r="L698" s="260" t="str">
        <f>VLOOKUP(Ruimtestaat[[#This Row],[Ruimte code]],Ruimtegroepen[#All],2,FALSE)</f>
        <v>Kantoren</v>
      </c>
      <c r="M698" s="258" t="s">
        <v>598</v>
      </c>
      <c r="N698" s="257" t="s">
        <v>132</v>
      </c>
      <c r="O698" s="261">
        <v>15</v>
      </c>
      <c r="P698" s="183"/>
      <c r="Q698" s="212" t="str">
        <f>VLOOKUP(Ruimtestaat[[#This Row],[Ruimte code]],Ruimtegroepen[#All],4,FALSE)</f>
        <v>B  (Bureauruimte)</v>
      </c>
      <c r="R698" s="184"/>
      <c r="S698" s="185">
        <v>40</v>
      </c>
      <c r="T698" s="185" t="s">
        <v>18</v>
      </c>
      <c r="U698" s="185">
        <f>IF(S698&gt;0,IF(RIGHT(Ruimtestaat[[#This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98" s="185">
        <f>IF(U698&gt;0,VLOOKUP($K698,Ruimtegroepen[],3,FALSE)*VLOOKUP($M698,Vloersoorten[],3,FALSE)*VLOOKUP($T698,Frequenties[],3,FALSE)*VLOOKUP($A698,Locaties[],3,FALSE),0)</f>
        <v>0</v>
      </c>
      <c r="W698" s="185">
        <f>Ruimtestaat[[#This Row],[Uitvoeringen werkdagen]]*Ruimtestaat[[#This Row],[Oppervlak (netto)]]</f>
        <v>1800</v>
      </c>
      <c r="X698" s="220">
        <f>IF(V698&gt;0,Ruimtestaat[[#This Row],[Prest. (m2 /jaar) werkdagen]]/Ruimtestaat[[#This Row],[Norm (m2/uur) werkdagen]],0)</f>
        <v>0</v>
      </c>
      <c r="Y698" s="221">
        <f>Ruimtestaat[[#This Row],[uren / jaar werkdagen]]*Tariefsopbouw!$D$38</f>
        <v>0</v>
      </c>
      <c r="Z698" s="33"/>
      <c r="AA698" s="33">
        <f>IF(Ruimtestaat[[#This Row],[Frequentie weekend]]&gt;0,VALUE(LEFT(Z698,1))*S698,0)</f>
        <v>0</v>
      </c>
      <c r="AB698" s="33">
        <f>IF($AA698&gt;0,VLOOKUP($K698,Ruimtegroepen[],3,FALSE)*VLOOKUP($M698,Vloersoorten[],3,FALSE)*VLOOKUP($Z698,Frequenties[],3,FALSE)*VLOOKUP(#REF!,Locaties[],3,FALSE),0)</f>
        <v>0</v>
      </c>
      <c r="AC698" s="33"/>
      <c r="AD698" s="33"/>
      <c r="AE698" s="33">
        <f>Ruimtestaat[[#This Row],[uren / jaar weekend]]*Tariefsopbouw!$D$40</f>
        <v>0</v>
      </c>
      <c r="AF698" s="79">
        <f>Ruimtestaat[[#This Row],[Prest. (m2 /jaar) weekend]]+Ruimtestaat[[#This Row],[Prest. (m2 /jaar) werkdagen]]</f>
        <v>1800</v>
      </c>
      <c r="AG698" s="79">
        <f>Ruimtestaat[[#This Row],[uren / jaar weekend]]+Ruimtestaat[[#This Row],[uren / jaar werkdagen]]</f>
        <v>0</v>
      </c>
      <c r="AH698" s="80">
        <f>Ruimtestaat[[#This Row],[kosten / jaar weekend]]+Ruimtestaat[[#This Row],[kosten / jaar werkdagen]]</f>
        <v>0</v>
      </c>
    </row>
    <row r="699" spans="1:34" ht="15" customHeight="1">
      <c r="A699" s="256">
        <v>10</v>
      </c>
      <c r="B699" s="171" t="str">
        <f>VLOOKUP(Ruimtestaat[[#This Row],[Code]],Locaties[#All],2,FALSE)</f>
        <v>De Stapsteen (2 gebouwen)</v>
      </c>
      <c r="C699" s="258" t="str">
        <f>VLOOKUP(Ruimtestaat[[#This Row],[Code]],Locaties[#All],4,FALSE)</f>
        <v>J. Perkstraat 5-11</v>
      </c>
      <c r="D699" s="258" t="str">
        <f>VLOOKUP(Ruimtestaat[[#This Row],[Code]],Locaties[#All],5,FALSE)</f>
        <v>7532JR</v>
      </c>
      <c r="E699" s="258" t="str">
        <f>VLOOKUP(Ruimtestaat[[#This Row],[Code]],Locaties[#All],6,FALSE)</f>
        <v>Hengelo</v>
      </c>
      <c r="F699" s="257"/>
      <c r="G699" s="257" t="s">
        <v>563</v>
      </c>
      <c r="H699" s="171"/>
      <c r="I699" s="257" t="s">
        <v>465</v>
      </c>
      <c r="J699" s="259" t="s">
        <v>600</v>
      </c>
      <c r="K699" s="171">
        <v>15</v>
      </c>
      <c r="L699" s="260" t="str">
        <f>VLOOKUP(Ruimtestaat[[#This Row],[Ruimte code]],Ruimtegroepen[#All],2,FALSE)</f>
        <v>Keuken/pantry</v>
      </c>
      <c r="M699" s="258" t="s">
        <v>598</v>
      </c>
      <c r="N699" s="257" t="s">
        <v>132</v>
      </c>
      <c r="O699" s="261">
        <v>5</v>
      </c>
      <c r="P699" s="183"/>
      <c r="Q699" s="212" t="str">
        <f>VLOOKUP(Ruimtestaat[[#This Row],[Ruimte code]],Ruimtegroepen[#All],4,FALSE)</f>
        <v>V  (Verkeersruimte)</v>
      </c>
      <c r="R699" s="184"/>
      <c r="S699" s="185">
        <v>40</v>
      </c>
      <c r="T699" s="185" t="s">
        <v>2</v>
      </c>
      <c r="U699" s="185">
        <f>IF(S699&gt;0,IF(RIGHT(Ruimtestaat[[#This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9" s="185">
        <f>IF(U699&gt;0,VLOOKUP($K699,Ruimtegroepen[],3,FALSE)*VLOOKUP($M699,Vloersoorten[],3,FALSE)*VLOOKUP($T699,Frequenties[],3,FALSE)*VLOOKUP($A699,Locaties[],3,FALSE),0)</f>
        <v>0</v>
      </c>
      <c r="W699" s="185">
        <f>Ruimtestaat[[#This Row],[Uitvoeringen werkdagen]]*Ruimtestaat[[#This Row],[Oppervlak (netto)]]</f>
        <v>1000</v>
      </c>
      <c r="X699" s="220">
        <f>IF(V699&gt;0,Ruimtestaat[[#This Row],[Prest. (m2 /jaar) werkdagen]]/Ruimtestaat[[#This Row],[Norm (m2/uur) werkdagen]],0)</f>
        <v>0</v>
      </c>
      <c r="Y699" s="221">
        <f>Ruimtestaat[[#This Row],[uren / jaar werkdagen]]*Tariefsopbouw!$D$38</f>
        <v>0</v>
      </c>
      <c r="Z699" s="33"/>
      <c r="AA699" s="33">
        <f>IF(Ruimtestaat[[#This Row],[Frequentie weekend]]&gt;0,VALUE(LEFT(Z699,1))*S699,0)</f>
        <v>0</v>
      </c>
      <c r="AB699" s="33">
        <f>IF($AA699&gt;0,VLOOKUP($K699,Ruimtegroepen[],3,FALSE)*VLOOKUP($M699,Vloersoorten[],3,FALSE)*VLOOKUP($Z699,Frequenties[],3,FALSE)*VLOOKUP(#REF!,Locaties[],3,FALSE),0)</f>
        <v>0</v>
      </c>
      <c r="AC699" s="33"/>
      <c r="AD699" s="33"/>
      <c r="AE699" s="33">
        <f>Ruimtestaat[[#This Row],[uren / jaar weekend]]*Tariefsopbouw!$D$40</f>
        <v>0</v>
      </c>
      <c r="AF699" s="79">
        <f>Ruimtestaat[[#This Row],[Prest. (m2 /jaar) weekend]]+Ruimtestaat[[#This Row],[Prest. (m2 /jaar) werkdagen]]</f>
        <v>1000</v>
      </c>
      <c r="AG699" s="79">
        <f>Ruimtestaat[[#This Row],[uren / jaar weekend]]+Ruimtestaat[[#This Row],[uren / jaar werkdagen]]</f>
        <v>0</v>
      </c>
      <c r="AH699" s="80">
        <f>Ruimtestaat[[#This Row],[kosten / jaar weekend]]+Ruimtestaat[[#This Row],[kosten / jaar werkdagen]]</f>
        <v>0</v>
      </c>
    </row>
    <row r="700" spans="1:34" ht="15" customHeight="1">
      <c r="A700" s="256">
        <v>10</v>
      </c>
      <c r="B700" s="171" t="str">
        <f>VLOOKUP(Ruimtestaat[[#This Row],[Code]],Locaties[#All],2,FALSE)</f>
        <v>De Stapsteen (2 gebouwen)</v>
      </c>
      <c r="C700" s="258" t="str">
        <f>VLOOKUP(Ruimtestaat[[#This Row],[Code]],Locaties[#All],4,FALSE)</f>
        <v>J. Perkstraat 5-11</v>
      </c>
      <c r="D700" s="258" t="str">
        <f>VLOOKUP(Ruimtestaat[[#This Row],[Code]],Locaties[#All],5,FALSE)</f>
        <v>7532JR</v>
      </c>
      <c r="E700" s="258" t="str">
        <f>VLOOKUP(Ruimtestaat[[#This Row],[Code]],Locaties[#All],6,FALSE)</f>
        <v>Hengelo</v>
      </c>
      <c r="F700" s="257"/>
      <c r="G700" s="257" t="s">
        <v>563</v>
      </c>
      <c r="H700" s="171"/>
      <c r="I700" s="257" t="s">
        <v>466</v>
      </c>
      <c r="J700" s="259" t="s">
        <v>577</v>
      </c>
      <c r="K700" s="258">
        <v>20</v>
      </c>
      <c r="L700" s="260" t="str">
        <f>VLOOKUP(Ruimtestaat[[#This Row],[Ruimte code]],Ruimtegroepen[#All],2,FALSE)</f>
        <v>Niet in onderhoud</v>
      </c>
      <c r="M700" s="185" t="s">
        <v>598</v>
      </c>
      <c r="N700" s="257" t="s">
        <v>132</v>
      </c>
      <c r="O700" s="261"/>
      <c r="P700" s="183">
        <v>1.3</v>
      </c>
      <c r="Q700" s="212" t="str">
        <f>VLOOKUP(Ruimtestaat[[#This Row],[Ruimte code]],Ruimtegroepen[#All],4,FALSE)</f>
        <v>niet in onderhoud</v>
      </c>
      <c r="R700" s="184"/>
      <c r="S700" s="185"/>
      <c r="T700" s="185" t="s">
        <v>3</v>
      </c>
      <c r="U700" s="185">
        <f>IF(S700&gt;0,IF(RIGHT(Ruimtestaat[[#This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0" s="185">
        <f>IF(U700&gt;0,VLOOKUP($K700,Ruimtegroepen[],3,FALSE)*VLOOKUP($M700,Vloersoorten[],3,FALSE)*VLOOKUP($T700,Frequenties[],3,FALSE)*VLOOKUP($A700,Locaties[],3,FALSE),0)</f>
        <v>0</v>
      </c>
      <c r="W700" s="185">
        <f>Ruimtestaat[[#This Row],[Uitvoeringen werkdagen]]*Ruimtestaat[[#This Row],[Oppervlak (netto)]]</f>
        <v>0</v>
      </c>
      <c r="X700" s="220">
        <f>IF(V700&gt;0,Ruimtestaat[[#This Row],[Prest. (m2 /jaar) werkdagen]]/Ruimtestaat[[#This Row],[Norm (m2/uur) werkdagen]],0)</f>
        <v>0</v>
      </c>
      <c r="Y700" s="221">
        <f>Ruimtestaat[[#This Row],[uren / jaar werkdagen]]*Tariefsopbouw!$D$38</f>
        <v>0</v>
      </c>
      <c r="Z700" s="33"/>
      <c r="AA700" s="33">
        <f>IF(Ruimtestaat[[#This Row],[Frequentie weekend]]&gt;0,VALUE(LEFT(Z700,1))*S700,0)</f>
        <v>0</v>
      </c>
      <c r="AB700" s="33">
        <f>IF($AA700&gt;0,VLOOKUP($K700,Ruimtegroepen[],3,FALSE)*VLOOKUP($M700,Vloersoorten[],3,FALSE)*VLOOKUP($Z700,Frequenties[],3,FALSE)*VLOOKUP(#REF!,Locaties[],3,FALSE),0)</f>
        <v>0</v>
      </c>
      <c r="AC700" s="33"/>
      <c r="AD700" s="33"/>
      <c r="AE700" s="33">
        <f>Ruimtestaat[[#This Row],[uren / jaar weekend]]*Tariefsopbouw!$D$40</f>
        <v>0</v>
      </c>
      <c r="AF700" s="79">
        <f>Ruimtestaat[[#This Row],[Prest. (m2 /jaar) weekend]]+Ruimtestaat[[#This Row],[Prest. (m2 /jaar) werkdagen]]</f>
        <v>0</v>
      </c>
      <c r="AG700" s="79">
        <f>Ruimtestaat[[#This Row],[uren / jaar weekend]]+Ruimtestaat[[#This Row],[uren / jaar werkdagen]]</f>
        <v>0</v>
      </c>
      <c r="AH700" s="80">
        <f>Ruimtestaat[[#This Row],[kosten / jaar weekend]]+Ruimtestaat[[#This Row],[kosten / jaar werkdagen]]</f>
        <v>0</v>
      </c>
    </row>
    <row r="701" spans="1:34" ht="15" customHeight="1">
      <c r="A701" s="256">
        <v>10</v>
      </c>
      <c r="B701" s="171" t="str">
        <f>VLOOKUP(Ruimtestaat[[#This Row],[Code]],Locaties[#All],2,FALSE)</f>
        <v>De Stapsteen (2 gebouwen)</v>
      </c>
      <c r="C701" s="258" t="str">
        <f>VLOOKUP(Ruimtestaat[[#This Row],[Code]],Locaties[#All],4,FALSE)</f>
        <v>J. Perkstraat 5-11</v>
      </c>
      <c r="D701" s="258" t="str">
        <f>VLOOKUP(Ruimtestaat[[#This Row],[Code]],Locaties[#All],5,FALSE)</f>
        <v>7532JR</v>
      </c>
      <c r="E701" s="258" t="str">
        <f>VLOOKUP(Ruimtestaat[[#This Row],[Code]],Locaties[#All],6,FALSE)</f>
        <v>Hengelo</v>
      </c>
      <c r="F701" s="257"/>
      <c r="G701" s="257" t="s">
        <v>563</v>
      </c>
      <c r="H701" s="171"/>
      <c r="I701" s="257" t="s">
        <v>467</v>
      </c>
      <c r="J701" s="259" t="s">
        <v>569</v>
      </c>
      <c r="K701" s="258">
        <v>5</v>
      </c>
      <c r="L701" s="260" t="str">
        <f>VLOOKUP(Ruimtestaat[[#This Row],[Ruimte code]],Ruimtegroepen[#All],2,FALSE)</f>
        <v>Sanitair</v>
      </c>
      <c r="M701" s="212" t="s">
        <v>111</v>
      </c>
      <c r="N701" s="257" t="s">
        <v>606</v>
      </c>
      <c r="O701" s="261">
        <v>1.5</v>
      </c>
      <c r="P701" s="183"/>
      <c r="Q701" s="212" t="str">
        <f>VLOOKUP(Ruimtestaat[[#This Row],[Ruimte code]],Ruimtegroepen[#All],4,FALSE)</f>
        <v>S  (Sanitair)</v>
      </c>
      <c r="R701" s="184"/>
      <c r="S701" s="185">
        <v>40</v>
      </c>
      <c r="T701" s="185" t="s">
        <v>2</v>
      </c>
      <c r="U701" s="185">
        <f>IF(S701&gt;0,IF(RIGHT(Ruimtestaat[[#This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1" s="185">
        <f>IF(U701&gt;0,VLOOKUP($K701,Ruimtegroepen[],3,FALSE)*VLOOKUP($M701,Vloersoorten[],3,FALSE)*VLOOKUP($T701,Frequenties[],3,FALSE)*VLOOKUP($A701,Locaties[],3,FALSE),0)</f>
        <v>0</v>
      </c>
      <c r="W701" s="185">
        <f>Ruimtestaat[[#This Row],[Uitvoeringen werkdagen]]*Ruimtestaat[[#This Row],[Oppervlak (netto)]]</f>
        <v>300</v>
      </c>
      <c r="X701" s="220">
        <f>IF(V701&gt;0,Ruimtestaat[[#This Row],[Prest. (m2 /jaar) werkdagen]]/Ruimtestaat[[#This Row],[Norm (m2/uur) werkdagen]],0)</f>
        <v>0</v>
      </c>
      <c r="Y701" s="221">
        <f>Ruimtestaat[[#This Row],[uren / jaar werkdagen]]*Tariefsopbouw!$D$38</f>
        <v>0</v>
      </c>
      <c r="Z701" s="33"/>
      <c r="AA701" s="33">
        <f>IF(Ruimtestaat[[#This Row],[Frequentie weekend]]&gt;0,VALUE(LEFT(Z701,1))*S701,0)</f>
        <v>0</v>
      </c>
      <c r="AB701" s="33">
        <f>IF($AA701&gt;0,VLOOKUP($K701,Ruimtegroepen[],3,FALSE)*VLOOKUP($M701,Vloersoorten[],3,FALSE)*VLOOKUP($Z701,Frequenties[],3,FALSE)*VLOOKUP(#REF!,Locaties[],3,FALSE),0)</f>
        <v>0</v>
      </c>
      <c r="AC701" s="33"/>
      <c r="AD701" s="33"/>
      <c r="AE701" s="33">
        <f>Ruimtestaat[[#This Row],[uren / jaar weekend]]*Tariefsopbouw!$D$40</f>
        <v>0</v>
      </c>
      <c r="AF701" s="79">
        <f>Ruimtestaat[[#This Row],[Prest. (m2 /jaar) weekend]]+Ruimtestaat[[#This Row],[Prest. (m2 /jaar) werkdagen]]</f>
        <v>300</v>
      </c>
      <c r="AG701" s="79">
        <f>Ruimtestaat[[#This Row],[uren / jaar weekend]]+Ruimtestaat[[#This Row],[uren / jaar werkdagen]]</f>
        <v>0</v>
      </c>
      <c r="AH701" s="80">
        <f>Ruimtestaat[[#This Row],[kosten / jaar weekend]]+Ruimtestaat[[#This Row],[kosten / jaar werkdagen]]</f>
        <v>0</v>
      </c>
    </row>
    <row r="702" spans="1:34" ht="15" customHeight="1">
      <c r="A702" s="256">
        <v>10</v>
      </c>
      <c r="B702" s="171" t="str">
        <f>VLOOKUP(Ruimtestaat[[#This Row],[Code]],Locaties[#All],2,FALSE)</f>
        <v>De Stapsteen (2 gebouwen)</v>
      </c>
      <c r="C702" s="258" t="str">
        <f>VLOOKUP(Ruimtestaat[[#This Row],[Code]],Locaties[#All],4,FALSE)</f>
        <v>J. Perkstraat 5-11</v>
      </c>
      <c r="D702" s="258" t="str">
        <f>VLOOKUP(Ruimtestaat[[#This Row],[Code]],Locaties[#All],5,FALSE)</f>
        <v>7532JR</v>
      </c>
      <c r="E702" s="258" t="str">
        <f>VLOOKUP(Ruimtestaat[[#This Row],[Code]],Locaties[#All],6,FALSE)</f>
        <v>Hengelo</v>
      </c>
      <c r="F702" s="257"/>
      <c r="G702" s="257" t="s">
        <v>563</v>
      </c>
      <c r="H702" s="171"/>
      <c r="I702" s="257" t="s">
        <v>468</v>
      </c>
      <c r="J702" s="259" t="s">
        <v>574</v>
      </c>
      <c r="K702" s="171">
        <v>6</v>
      </c>
      <c r="L702" s="260" t="str">
        <f>VLOOKUP(Ruimtestaat[[#This Row],[Ruimte code]],Ruimtegroepen[#All],2,FALSE)</f>
        <v>Gangen/hallen</v>
      </c>
      <c r="M702" s="258" t="s">
        <v>598</v>
      </c>
      <c r="N702" s="257" t="s">
        <v>132</v>
      </c>
      <c r="O702" s="261">
        <v>10</v>
      </c>
      <c r="P702" s="183"/>
      <c r="Q702" s="212" t="str">
        <f>VLOOKUP(Ruimtestaat[[#This Row],[Ruimte code]],Ruimtegroepen[#All],4,FALSE)</f>
        <v>V  (Verkeersruimte)</v>
      </c>
      <c r="R702" s="184"/>
      <c r="S702" s="185">
        <v>40</v>
      </c>
      <c r="T702" s="185" t="s">
        <v>2</v>
      </c>
      <c r="U702" s="185">
        <f>IF(S702&gt;0,IF(RIGHT(Ruimtestaat[[#This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2" s="185">
        <f>IF(U702&gt;0,VLOOKUP($K702,Ruimtegroepen[],3,FALSE)*VLOOKUP($M702,Vloersoorten[],3,FALSE)*VLOOKUP($T702,Frequenties[],3,FALSE)*VLOOKUP($A702,Locaties[],3,FALSE),0)</f>
        <v>0</v>
      </c>
      <c r="W702" s="185">
        <f>Ruimtestaat[[#This Row],[Uitvoeringen werkdagen]]*Ruimtestaat[[#This Row],[Oppervlak (netto)]]</f>
        <v>2000</v>
      </c>
      <c r="X702" s="220">
        <f>IF(V702&gt;0,Ruimtestaat[[#This Row],[Prest. (m2 /jaar) werkdagen]]/Ruimtestaat[[#This Row],[Norm (m2/uur) werkdagen]],0)</f>
        <v>0</v>
      </c>
      <c r="Y702" s="221">
        <f>Ruimtestaat[[#This Row],[uren / jaar werkdagen]]*Tariefsopbouw!$D$38</f>
        <v>0</v>
      </c>
      <c r="Z702" s="33"/>
      <c r="AA702" s="33">
        <f>IF(Ruimtestaat[[#This Row],[Frequentie weekend]]&gt;0,VALUE(LEFT(Z702,1))*S702,0)</f>
        <v>0</v>
      </c>
      <c r="AB702" s="33">
        <f>IF($AA702&gt;0,VLOOKUP($K702,Ruimtegroepen[],3,FALSE)*VLOOKUP($M702,Vloersoorten[],3,FALSE)*VLOOKUP($Z702,Frequenties[],3,FALSE)*VLOOKUP(#REF!,Locaties[],3,FALSE),0)</f>
        <v>0</v>
      </c>
      <c r="AC702" s="33"/>
      <c r="AD702" s="33"/>
      <c r="AE702" s="33">
        <f>Ruimtestaat[[#This Row],[uren / jaar weekend]]*Tariefsopbouw!$D$40</f>
        <v>0</v>
      </c>
      <c r="AF702" s="79">
        <f>Ruimtestaat[[#This Row],[Prest. (m2 /jaar) weekend]]+Ruimtestaat[[#This Row],[Prest. (m2 /jaar) werkdagen]]</f>
        <v>2000</v>
      </c>
      <c r="AG702" s="79">
        <f>Ruimtestaat[[#This Row],[uren / jaar weekend]]+Ruimtestaat[[#This Row],[uren / jaar werkdagen]]</f>
        <v>0</v>
      </c>
      <c r="AH702" s="80">
        <f>Ruimtestaat[[#This Row],[kosten / jaar weekend]]+Ruimtestaat[[#This Row],[kosten / jaar werkdagen]]</f>
        <v>0</v>
      </c>
    </row>
    <row r="703" spans="1:34" ht="15" customHeight="1">
      <c r="A703" s="256">
        <v>10</v>
      </c>
      <c r="B703" s="171" t="str">
        <f>VLOOKUP(Ruimtestaat[[#This Row],[Code]],Locaties[#All],2,FALSE)</f>
        <v>De Stapsteen (2 gebouwen)</v>
      </c>
      <c r="C703" s="258" t="str">
        <f>VLOOKUP(Ruimtestaat[[#This Row],[Code]],Locaties[#All],4,FALSE)</f>
        <v>J. Perkstraat 5-11</v>
      </c>
      <c r="D703" s="258" t="str">
        <f>VLOOKUP(Ruimtestaat[[#This Row],[Code]],Locaties[#All],5,FALSE)</f>
        <v>7532JR</v>
      </c>
      <c r="E703" s="258" t="str">
        <f>VLOOKUP(Ruimtestaat[[#This Row],[Code]],Locaties[#All],6,FALSE)</f>
        <v>Hengelo</v>
      </c>
      <c r="F703" s="257"/>
      <c r="G703" s="257" t="s">
        <v>563</v>
      </c>
      <c r="H703" s="171"/>
      <c r="I703" s="257" t="s">
        <v>469</v>
      </c>
      <c r="J703" s="259" t="s">
        <v>585</v>
      </c>
      <c r="K703" s="171">
        <v>20</v>
      </c>
      <c r="L703" s="260" t="str">
        <f>VLOOKUP(Ruimtestaat[[#This Row],[Ruimte code]],Ruimtegroepen[#All],2,FALSE)</f>
        <v>Niet in onderhoud</v>
      </c>
      <c r="M703" s="258" t="s">
        <v>598</v>
      </c>
      <c r="N703" s="257" t="s">
        <v>132</v>
      </c>
      <c r="O703" s="261"/>
      <c r="P703" s="183">
        <v>11</v>
      </c>
      <c r="Q703" s="212" t="str">
        <f>VLOOKUP(Ruimtestaat[[#This Row],[Ruimte code]],Ruimtegroepen[#All],4,FALSE)</f>
        <v>niet in onderhoud</v>
      </c>
      <c r="R703" s="184"/>
      <c r="S703" s="185"/>
      <c r="T703" s="185"/>
      <c r="U703" s="185">
        <f>IF(S703&gt;0,IF(RIGHT(Ruimtestaat[[#This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3" s="185">
        <f>IF(U703&gt;0,VLOOKUP($K703,Ruimtegroepen[],3,FALSE)*VLOOKUP($M703,Vloersoorten[],3,FALSE)*VLOOKUP($T703,Frequenties[],3,FALSE)*VLOOKUP($A703,Locaties[],3,FALSE),0)</f>
        <v>0</v>
      </c>
      <c r="W703" s="185">
        <f>Ruimtestaat[[#This Row],[Uitvoeringen werkdagen]]*Ruimtestaat[[#This Row],[Oppervlak (netto)]]</f>
        <v>0</v>
      </c>
      <c r="X703" s="220">
        <f>IF(V703&gt;0,Ruimtestaat[[#This Row],[Prest. (m2 /jaar) werkdagen]]/Ruimtestaat[[#This Row],[Norm (m2/uur) werkdagen]],0)</f>
        <v>0</v>
      </c>
      <c r="Y703" s="221">
        <f>Ruimtestaat[[#This Row],[uren / jaar werkdagen]]*Tariefsopbouw!$D$38</f>
        <v>0</v>
      </c>
      <c r="Z703" s="33"/>
      <c r="AA703" s="33">
        <f>IF(Ruimtestaat[[#This Row],[Frequentie weekend]]&gt;0,VALUE(LEFT(Z703,1))*S703,0)</f>
        <v>0</v>
      </c>
      <c r="AB703" s="33">
        <f>IF($AA703&gt;0,VLOOKUP($K703,Ruimtegroepen[],3,FALSE)*VLOOKUP($M703,Vloersoorten[],3,FALSE)*VLOOKUP($Z703,Frequenties[],3,FALSE)*VLOOKUP(#REF!,Locaties[],3,FALSE),0)</f>
        <v>0</v>
      </c>
      <c r="AC703" s="33"/>
      <c r="AD703" s="33"/>
      <c r="AE703" s="33">
        <f>Ruimtestaat[[#This Row],[uren / jaar weekend]]*Tariefsopbouw!$D$40</f>
        <v>0</v>
      </c>
      <c r="AF703" s="79">
        <f>Ruimtestaat[[#This Row],[Prest. (m2 /jaar) weekend]]+Ruimtestaat[[#This Row],[Prest. (m2 /jaar) werkdagen]]</f>
        <v>0</v>
      </c>
      <c r="AG703" s="79">
        <f>Ruimtestaat[[#This Row],[uren / jaar weekend]]+Ruimtestaat[[#This Row],[uren / jaar werkdagen]]</f>
        <v>0</v>
      </c>
      <c r="AH703" s="80">
        <f>Ruimtestaat[[#This Row],[kosten / jaar weekend]]+Ruimtestaat[[#This Row],[kosten / jaar werkdagen]]</f>
        <v>0</v>
      </c>
    </row>
    <row r="704" spans="1:34" ht="15" customHeight="1">
      <c r="A704" s="256">
        <v>10</v>
      </c>
      <c r="B704" s="171" t="str">
        <f>VLOOKUP(Ruimtestaat[[#This Row],[Code]],Locaties[#All],2,FALSE)</f>
        <v>De Stapsteen (2 gebouwen)</v>
      </c>
      <c r="C704" s="258" t="str">
        <f>VLOOKUP(Ruimtestaat[[#This Row],[Code]],Locaties[#All],4,FALSE)</f>
        <v>J. Perkstraat 5-11</v>
      </c>
      <c r="D704" s="258" t="str">
        <f>VLOOKUP(Ruimtestaat[[#This Row],[Code]],Locaties[#All],5,FALSE)</f>
        <v>7532JR</v>
      </c>
      <c r="E704" s="258" t="str">
        <f>VLOOKUP(Ruimtestaat[[#This Row],[Code]],Locaties[#All],6,FALSE)</f>
        <v>Hengelo</v>
      </c>
      <c r="F704" s="257"/>
      <c r="G704" s="257" t="s">
        <v>563</v>
      </c>
      <c r="H704" s="171"/>
      <c r="I704" s="257" t="s">
        <v>470</v>
      </c>
      <c r="J704" s="259" t="s">
        <v>571</v>
      </c>
      <c r="K704" s="171">
        <v>2</v>
      </c>
      <c r="L704" s="260" t="str">
        <f>VLOOKUP(Ruimtestaat[[#This Row],[Ruimte code]],Ruimtegroepen[#All],2,FALSE)</f>
        <v>Kantoren</v>
      </c>
      <c r="M704" s="185" t="s">
        <v>597</v>
      </c>
      <c r="N704" s="257" t="s">
        <v>38</v>
      </c>
      <c r="O704" s="261">
        <v>15</v>
      </c>
      <c r="P704" s="183"/>
      <c r="Q704" s="212" t="str">
        <f>VLOOKUP(Ruimtestaat[[#This Row],[Ruimte code]],Ruimtegroepen[#All],4,FALSE)</f>
        <v>B  (Bureauruimte)</v>
      </c>
      <c r="R704" s="184"/>
      <c r="S704" s="185">
        <v>40</v>
      </c>
      <c r="T704" s="185" t="s">
        <v>18</v>
      </c>
      <c r="U704" s="185">
        <f>IF(S704&gt;0,IF(RIGHT(Ruimtestaat[[#This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04" s="185">
        <f>IF(U704&gt;0,VLOOKUP($K704,Ruimtegroepen[],3,FALSE)*VLOOKUP($M704,Vloersoorten[],3,FALSE)*VLOOKUP($T704,Frequenties[],3,FALSE)*VLOOKUP($A704,Locaties[],3,FALSE),0)</f>
        <v>0</v>
      </c>
      <c r="W704" s="185">
        <f>Ruimtestaat[[#This Row],[Uitvoeringen werkdagen]]*Ruimtestaat[[#This Row],[Oppervlak (netto)]]</f>
        <v>1800</v>
      </c>
      <c r="X704" s="220">
        <f>IF(V704&gt;0,Ruimtestaat[[#This Row],[Prest. (m2 /jaar) werkdagen]]/Ruimtestaat[[#This Row],[Norm (m2/uur) werkdagen]],0)</f>
        <v>0</v>
      </c>
      <c r="Y704" s="221">
        <f>Ruimtestaat[[#This Row],[uren / jaar werkdagen]]*Tariefsopbouw!$D$38</f>
        <v>0</v>
      </c>
      <c r="Z704" s="33"/>
      <c r="AA704" s="33">
        <f>IF(Ruimtestaat[[#This Row],[Frequentie weekend]]&gt;0,VALUE(LEFT(Z704,1))*S704,0)</f>
        <v>0</v>
      </c>
      <c r="AB704" s="33">
        <f>IF($AA704&gt;0,VLOOKUP($K704,Ruimtegroepen[],3,FALSE)*VLOOKUP($M704,Vloersoorten[],3,FALSE)*VLOOKUP($Z704,Frequenties[],3,FALSE)*VLOOKUP(#REF!,Locaties[],3,FALSE),0)</f>
        <v>0</v>
      </c>
      <c r="AC704" s="33"/>
      <c r="AD704" s="33"/>
      <c r="AE704" s="33">
        <f>Ruimtestaat[[#This Row],[uren / jaar weekend]]*Tariefsopbouw!$D$40</f>
        <v>0</v>
      </c>
      <c r="AF704" s="79">
        <f>Ruimtestaat[[#This Row],[Prest. (m2 /jaar) weekend]]+Ruimtestaat[[#This Row],[Prest. (m2 /jaar) werkdagen]]</f>
        <v>1800</v>
      </c>
      <c r="AG704" s="79">
        <f>Ruimtestaat[[#This Row],[uren / jaar weekend]]+Ruimtestaat[[#This Row],[uren / jaar werkdagen]]</f>
        <v>0</v>
      </c>
      <c r="AH704" s="80">
        <f>Ruimtestaat[[#This Row],[kosten / jaar weekend]]+Ruimtestaat[[#This Row],[kosten / jaar werkdagen]]</f>
        <v>0</v>
      </c>
    </row>
    <row r="705" spans="1:34" ht="15" customHeight="1">
      <c r="A705" s="256">
        <v>10</v>
      </c>
      <c r="B705" s="171" t="str">
        <f>VLOOKUP(Ruimtestaat[[#This Row],[Code]],Locaties[#All],2,FALSE)</f>
        <v>De Stapsteen (2 gebouwen)</v>
      </c>
      <c r="C705" s="258" t="str">
        <f>VLOOKUP(Ruimtestaat[[#This Row],[Code]],Locaties[#All],4,FALSE)</f>
        <v>J. Perkstraat 5-11</v>
      </c>
      <c r="D705" s="258" t="str">
        <f>VLOOKUP(Ruimtestaat[[#This Row],[Code]],Locaties[#All],5,FALSE)</f>
        <v>7532JR</v>
      </c>
      <c r="E705" s="258" t="str">
        <f>VLOOKUP(Ruimtestaat[[#This Row],[Code]],Locaties[#All],6,FALSE)</f>
        <v>Hengelo</v>
      </c>
      <c r="F705" s="257"/>
      <c r="G705" s="257" t="s">
        <v>563</v>
      </c>
      <c r="H705" s="171"/>
      <c r="I705" s="257" t="s">
        <v>471</v>
      </c>
      <c r="J705" s="259" t="s">
        <v>585</v>
      </c>
      <c r="K705" s="258">
        <v>20</v>
      </c>
      <c r="L705" s="260" t="str">
        <f>VLOOKUP(Ruimtestaat[[#This Row],[Ruimte code]],Ruimtegroepen[#All],2,FALSE)</f>
        <v>Niet in onderhoud</v>
      </c>
      <c r="M705" s="185" t="s">
        <v>598</v>
      </c>
      <c r="N705" s="257" t="s">
        <v>132</v>
      </c>
      <c r="O705" s="261"/>
      <c r="P705" s="183">
        <v>6.5</v>
      </c>
      <c r="Q705" s="212" t="str">
        <f>VLOOKUP(Ruimtestaat[[#This Row],[Ruimte code]],Ruimtegroepen[#All],4,FALSE)</f>
        <v>niet in onderhoud</v>
      </c>
      <c r="R705" s="184"/>
      <c r="S705" s="185"/>
      <c r="T705" s="185"/>
      <c r="U705" s="185">
        <f>IF(S705&gt;0,IF(RIGHT(Ruimtestaat[[#This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5" s="185">
        <f>IF(U705&gt;0,VLOOKUP($K705,Ruimtegroepen[],3,FALSE)*VLOOKUP($M705,Vloersoorten[],3,FALSE)*VLOOKUP($T705,Frequenties[],3,FALSE)*VLOOKUP($A705,Locaties[],3,FALSE),0)</f>
        <v>0</v>
      </c>
      <c r="W705" s="185">
        <f>Ruimtestaat[[#This Row],[Uitvoeringen werkdagen]]*Ruimtestaat[[#This Row],[Oppervlak (netto)]]</f>
        <v>0</v>
      </c>
      <c r="X705" s="220">
        <f>IF(V705&gt;0,Ruimtestaat[[#This Row],[Prest. (m2 /jaar) werkdagen]]/Ruimtestaat[[#This Row],[Norm (m2/uur) werkdagen]],0)</f>
        <v>0</v>
      </c>
      <c r="Y705" s="221">
        <f>Ruimtestaat[[#This Row],[uren / jaar werkdagen]]*Tariefsopbouw!$D$38</f>
        <v>0</v>
      </c>
      <c r="Z705" s="33"/>
      <c r="AA705" s="33">
        <f>IF(Ruimtestaat[[#This Row],[Frequentie weekend]]&gt;0,VALUE(LEFT(Z705,1))*S705,0)</f>
        <v>0</v>
      </c>
      <c r="AB705" s="33">
        <f>IF($AA705&gt;0,VLOOKUP($K705,Ruimtegroepen[],3,FALSE)*VLOOKUP($M705,Vloersoorten[],3,FALSE)*VLOOKUP($Z705,Frequenties[],3,FALSE)*VLOOKUP(#REF!,Locaties[],3,FALSE),0)</f>
        <v>0</v>
      </c>
      <c r="AC705" s="33"/>
      <c r="AD705" s="33"/>
      <c r="AE705" s="33">
        <f>Ruimtestaat[[#This Row],[uren / jaar weekend]]*Tariefsopbouw!$D$40</f>
        <v>0</v>
      </c>
      <c r="AF705" s="79">
        <f>Ruimtestaat[[#This Row],[Prest. (m2 /jaar) weekend]]+Ruimtestaat[[#This Row],[Prest. (m2 /jaar) werkdagen]]</f>
        <v>0</v>
      </c>
      <c r="AG705" s="79">
        <f>Ruimtestaat[[#This Row],[uren / jaar weekend]]+Ruimtestaat[[#This Row],[uren / jaar werkdagen]]</f>
        <v>0</v>
      </c>
      <c r="AH705" s="80">
        <f>Ruimtestaat[[#This Row],[kosten / jaar weekend]]+Ruimtestaat[[#This Row],[kosten / jaar werkdagen]]</f>
        <v>0</v>
      </c>
    </row>
    <row r="706" spans="1:34" ht="15" customHeight="1">
      <c r="A706" s="256">
        <v>10</v>
      </c>
      <c r="B706" s="171" t="str">
        <f>VLOOKUP(Ruimtestaat[[#This Row],[Code]],Locaties[#All],2,FALSE)</f>
        <v>De Stapsteen (2 gebouwen)</v>
      </c>
      <c r="C706" s="258" t="str">
        <f>VLOOKUP(Ruimtestaat[[#This Row],[Code]],Locaties[#All],4,FALSE)</f>
        <v>J. Perkstraat 5-11</v>
      </c>
      <c r="D706" s="258" t="str">
        <f>VLOOKUP(Ruimtestaat[[#This Row],[Code]],Locaties[#All],5,FALSE)</f>
        <v>7532JR</v>
      </c>
      <c r="E706" s="258" t="str">
        <f>VLOOKUP(Ruimtestaat[[#This Row],[Code]],Locaties[#All],6,FALSE)</f>
        <v>Hengelo</v>
      </c>
      <c r="F706" s="257"/>
      <c r="G706" s="257" t="s">
        <v>563</v>
      </c>
      <c r="H706" s="171"/>
      <c r="I706" s="257" t="s">
        <v>472</v>
      </c>
      <c r="J706" s="259" t="s">
        <v>577</v>
      </c>
      <c r="K706" s="258">
        <v>20</v>
      </c>
      <c r="L706" s="260" t="str">
        <f>VLOOKUP(Ruimtestaat[[#This Row],[Ruimte code]],Ruimtegroepen[#All],2,FALSE)</f>
        <v>Niet in onderhoud</v>
      </c>
      <c r="M706" s="185" t="s">
        <v>598</v>
      </c>
      <c r="N706" s="257" t="s">
        <v>132</v>
      </c>
      <c r="O706" s="261"/>
      <c r="P706" s="183">
        <v>1.3</v>
      </c>
      <c r="Q706" s="212" t="str">
        <f>VLOOKUP(Ruimtestaat[[#This Row],[Ruimte code]],Ruimtegroepen[#All],4,FALSE)</f>
        <v>niet in onderhoud</v>
      </c>
      <c r="R706" s="184"/>
      <c r="S706" s="185"/>
      <c r="T706" s="185" t="s">
        <v>3</v>
      </c>
      <c r="U706" s="185">
        <f>IF(S706&gt;0,IF(RIGHT(Ruimtestaat[[#This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6" s="185">
        <f>IF(U706&gt;0,VLOOKUP($K706,Ruimtegroepen[],3,FALSE)*VLOOKUP($M706,Vloersoorten[],3,FALSE)*VLOOKUP($T706,Frequenties[],3,FALSE)*VLOOKUP($A706,Locaties[],3,FALSE),0)</f>
        <v>0</v>
      </c>
      <c r="W706" s="185">
        <f>Ruimtestaat[[#This Row],[Uitvoeringen werkdagen]]*Ruimtestaat[[#This Row],[Oppervlak (netto)]]</f>
        <v>0</v>
      </c>
      <c r="X706" s="220">
        <f>IF(V706&gt;0,Ruimtestaat[[#This Row],[Prest. (m2 /jaar) werkdagen]]/Ruimtestaat[[#This Row],[Norm (m2/uur) werkdagen]],0)</f>
        <v>0</v>
      </c>
      <c r="Y706" s="221">
        <f>Ruimtestaat[[#This Row],[uren / jaar werkdagen]]*Tariefsopbouw!$D$38</f>
        <v>0</v>
      </c>
      <c r="Z706" s="33"/>
      <c r="AA706" s="33">
        <f>IF(Ruimtestaat[[#This Row],[Frequentie weekend]]&gt;0,VALUE(LEFT(Z706,1))*S706,0)</f>
        <v>0</v>
      </c>
      <c r="AB706" s="33">
        <f>IF($AA706&gt;0,VLOOKUP($K706,Ruimtegroepen[],3,FALSE)*VLOOKUP($M706,Vloersoorten[],3,FALSE)*VLOOKUP($Z706,Frequenties[],3,FALSE)*VLOOKUP(#REF!,Locaties[],3,FALSE),0)</f>
        <v>0</v>
      </c>
      <c r="AC706" s="33"/>
      <c r="AD706" s="33"/>
      <c r="AE706" s="33">
        <f>Ruimtestaat[[#This Row],[uren / jaar weekend]]*Tariefsopbouw!$D$40</f>
        <v>0</v>
      </c>
      <c r="AF706" s="79">
        <f>Ruimtestaat[[#This Row],[Prest. (m2 /jaar) weekend]]+Ruimtestaat[[#This Row],[Prest. (m2 /jaar) werkdagen]]</f>
        <v>0</v>
      </c>
      <c r="AG706" s="79">
        <f>Ruimtestaat[[#This Row],[uren / jaar weekend]]+Ruimtestaat[[#This Row],[uren / jaar werkdagen]]</f>
        <v>0</v>
      </c>
      <c r="AH706" s="80">
        <f>Ruimtestaat[[#This Row],[kosten / jaar weekend]]+Ruimtestaat[[#This Row],[kosten / jaar werkdagen]]</f>
        <v>0</v>
      </c>
    </row>
    <row r="707" spans="1:34" ht="15" customHeight="1">
      <c r="A707" s="256">
        <v>10</v>
      </c>
      <c r="B707" s="171" t="str">
        <f>VLOOKUP(Ruimtestaat[[#This Row],[Code]],Locaties[#All],2,FALSE)</f>
        <v>De Stapsteen (2 gebouwen)</v>
      </c>
      <c r="C707" s="258" t="str">
        <f>VLOOKUP(Ruimtestaat[[#This Row],[Code]],Locaties[#All],4,FALSE)</f>
        <v>J. Perkstraat 5-11</v>
      </c>
      <c r="D707" s="258" t="str">
        <f>VLOOKUP(Ruimtestaat[[#This Row],[Code]],Locaties[#All],5,FALSE)</f>
        <v>7532JR</v>
      </c>
      <c r="E707" s="258" t="str">
        <f>VLOOKUP(Ruimtestaat[[#This Row],[Code]],Locaties[#All],6,FALSE)</f>
        <v>Hengelo</v>
      </c>
      <c r="F707" s="257"/>
      <c r="G707" s="257" t="s">
        <v>563</v>
      </c>
      <c r="H707" s="171"/>
      <c r="I707" s="257" t="s">
        <v>473</v>
      </c>
      <c r="J707" s="259" t="s">
        <v>569</v>
      </c>
      <c r="K707" s="171">
        <v>5</v>
      </c>
      <c r="L707" s="260" t="str">
        <f>VLOOKUP(Ruimtestaat[[#This Row],[Ruimte code]],Ruimtegroepen[#All],2,FALSE)</f>
        <v>Sanitair</v>
      </c>
      <c r="M707" s="212" t="s">
        <v>111</v>
      </c>
      <c r="N707" s="257" t="s">
        <v>606</v>
      </c>
      <c r="O707" s="261">
        <v>1.5</v>
      </c>
      <c r="P707" s="183"/>
      <c r="Q707" s="212" t="str">
        <f>VLOOKUP(Ruimtestaat[[#This Row],[Ruimte code]],Ruimtegroepen[#All],4,FALSE)</f>
        <v>S  (Sanitair)</v>
      </c>
      <c r="R707" s="184"/>
      <c r="S707" s="185">
        <v>40</v>
      </c>
      <c r="T707" s="185" t="s">
        <v>2</v>
      </c>
      <c r="U707" s="185">
        <f>IF(S707&gt;0,IF(RIGHT(Ruimtestaat[[#This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7" s="185">
        <f>IF(U707&gt;0,VLOOKUP($K707,Ruimtegroepen[],3,FALSE)*VLOOKUP($M707,Vloersoorten[],3,FALSE)*VLOOKUP($T707,Frequenties[],3,FALSE)*VLOOKUP($A707,Locaties[],3,FALSE),0)</f>
        <v>0</v>
      </c>
      <c r="W707" s="185">
        <f>Ruimtestaat[[#This Row],[Uitvoeringen werkdagen]]*Ruimtestaat[[#This Row],[Oppervlak (netto)]]</f>
        <v>300</v>
      </c>
      <c r="X707" s="220">
        <f>IF(V707&gt;0,Ruimtestaat[[#This Row],[Prest. (m2 /jaar) werkdagen]]/Ruimtestaat[[#This Row],[Norm (m2/uur) werkdagen]],0)</f>
        <v>0</v>
      </c>
      <c r="Y707" s="221">
        <f>Ruimtestaat[[#This Row],[uren / jaar werkdagen]]*Tariefsopbouw!$D$38</f>
        <v>0</v>
      </c>
      <c r="Z707" s="33"/>
      <c r="AA707" s="33">
        <f>IF(Ruimtestaat[[#This Row],[Frequentie weekend]]&gt;0,VALUE(LEFT(Z707,1))*S707,0)</f>
        <v>0</v>
      </c>
      <c r="AB707" s="33">
        <f>IF($AA707&gt;0,VLOOKUP($K707,Ruimtegroepen[],3,FALSE)*VLOOKUP($M707,Vloersoorten[],3,FALSE)*VLOOKUP($Z707,Frequenties[],3,FALSE)*VLOOKUP(#REF!,Locaties[],3,FALSE),0)</f>
        <v>0</v>
      </c>
      <c r="AC707" s="33"/>
      <c r="AD707" s="33"/>
      <c r="AE707" s="33">
        <f>Ruimtestaat[[#This Row],[uren / jaar weekend]]*Tariefsopbouw!$D$40</f>
        <v>0</v>
      </c>
      <c r="AF707" s="79">
        <f>Ruimtestaat[[#This Row],[Prest. (m2 /jaar) weekend]]+Ruimtestaat[[#This Row],[Prest. (m2 /jaar) werkdagen]]</f>
        <v>300</v>
      </c>
      <c r="AG707" s="79">
        <f>Ruimtestaat[[#This Row],[uren / jaar weekend]]+Ruimtestaat[[#This Row],[uren / jaar werkdagen]]</f>
        <v>0</v>
      </c>
      <c r="AH707" s="80">
        <f>Ruimtestaat[[#This Row],[kosten / jaar weekend]]+Ruimtestaat[[#This Row],[kosten / jaar werkdagen]]</f>
        <v>0</v>
      </c>
    </row>
    <row r="708" spans="1:34" ht="15" customHeight="1">
      <c r="A708" s="256">
        <v>10</v>
      </c>
      <c r="B708" s="171" t="str">
        <f>VLOOKUP(Ruimtestaat[[#This Row],[Code]],Locaties[#All],2,FALSE)</f>
        <v>De Stapsteen (2 gebouwen)</v>
      </c>
      <c r="C708" s="258" t="str">
        <f>VLOOKUP(Ruimtestaat[[#This Row],[Code]],Locaties[#All],4,FALSE)</f>
        <v>J. Perkstraat 5-11</v>
      </c>
      <c r="D708" s="258" t="str">
        <f>VLOOKUP(Ruimtestaat[[#This Row],[Code]],Locaties[#All],5,FALSE)</f>
        <v>7532JR</v>
      </c>
      <c r="E708" s="258" t="str">
        <f>VLOOKUP(Ruimtestaat[[#This Row],[Code]],Locaties[#All],6,FALSE)</f>
        <v>Hengelo</v>
      </c>
      <c r="F708" s="257"/>
      <c r="G708" s="257" t="s">
        <v>563</v>
      </c>
      <c r="H708" s="171"/>
      <c r="I708" s="257" t="s">
        <v>474</v>
      </c>
      <c r="J708" s="259" t="s">
        <v>40</v>
      </c>
      <c r="K708" s="258">
        <v>7</v>
      </c>
      <c r="L708" s="260" t="str">
        <f>VLOOKUP(Ruimtestaat[[#This Row],[Ruimte code]],Ruimtegroepen[#All],2,FALSE)</f>
        <v>Entree</v>
      </c>
      <c r="M708" s="212" t="s">
        <v>597</v>
      </c>
      <c r="N708" s="257" t="s">
        <v>604</v>
      </c>
      <c r="O708" s="261">
        <v>5</v>
      </c>
      <c r="P708" s="183"/>
      <c r="Q708" s="212" t="str">
        <f>VLOOKUP(Ruimtestaat[[#This Row],[Ruimte code]],Ruimtegroepen[#All],4,FALSE)</f>
        <v>V  (Verkeersruimte)</v>
      </c>
      <c r="R708" s="184"/>
      <c r="S708" s="185">
        <v>40</v>
      </c>
      <c r="T708" s="185" t="s">
        <v>2</v>
      </c>
      <c r="U708" s="185">
        <f>IF(S708&gt;0,IF(RIGHT(Ruimtestaat[[#This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8" s="185">
        <f>IF(U708&gt;0,VLOOKUP($K708,Ruimtegroepen[],3,FALSE)*VLOOKUP($M708,Vloersoorten[],3,FALSE)*VLOOKUP($T708,Frequenties[],3,FALSE)*VLOOKUP($A708,Locaties[],3,FALSE),0)</f>
        <v>0</v>
      </c>
      <c r="W708" s="185">
        <f>Ruimtestaat[[#This Row],[Uitvoeringen werkdagen]]*Ruimtestaat[[#This Row],[Oppervlak (netto)]]</f>
        <v>1000</v>
      </c>
      <c r="X708" s="220">
        <f>IF(V708&gt;0,Ruimtestaat[[#This Row],[Prest. (m2 /jaar) werkdagen]]/Ruimtestaat[[#This Row],[Norm (m2/uur) werkdagen]],0)</f>
        <v>0</v>
      </c>
      <c r="Y708" s="221">
        <f>Ruimtestaat[[#This Row],[uren / jaar werkdagen]]*Tariefsopbouw!$D$38</f>
        <v>0</v>
      </c>
      <c r="Z708" s="33"/>
      <c r="AA708" s="33">
        <f>IF(Ruimtestaat[[#This Row],[Frequentie weekend]]&gt;0,VALUE(LEFT(Z708,1))*S708,0)</f>
        <v>0</v>
      </c>
      <c r="AB708" s="33">
        <f>IF($AA708&gt;0,VLOOKUP($K708,Ruimtegroepen[],3,FALSE)*VLOOKUP($M708,Vloersoorten[],3,FALSE)*VLOOKUP($Z708,Frequenties[],3,FALSE)*VLOOKUP(#REF!,Locaties[],3,FALSE),0)</f>
        <v>0</v>
      </c>
      <c r="AC708" s="33"/>
      <c r="AD708" s="33"/>
      <c r="AE708" s="33">
        <f>Ruimtestaat[[#This Row],[uren / jaar weekend]]*Tariefsopbouw!$D$40</f>
        <v>0</v>
      </c>
      <c r="AF708" s="79">
        <f>Ruimtestaat[[#This Row],[Prest. (m2 /jaar) weekend]]+Ruimtestaat[[#This Row],[Prest. (m2 /jaar) werkdagen]]</f>
        <v>1000</v>
      </c>
      <c r="AG708" s="79">
        <f>Ruimtestaat[[#This Row],[uren / jaar weekend]]+Ruimtestaat[[#This Row],[uren / jaar werkdagen]]</f>
        <v>0</v>
      </c>
      <c r="AH708" s="80">
        <f>Ruimtestaat[[#This Row],[kosten / jaar weekend]]+Ruimtestaat[[#This Row],[kosten / jaar werkdagen]]</f>
        <v>0</v>
      </c>
    </row>
    <row r="709" spans="1:34" ht="15" customHeight="1">
      <c r="A709" s="256">
        <v>10</v>
      </c>
      <c r="B709" s="171" t="str">
        <f>VLOOKUP(Ruimtestaat[[#This Row],[Code]],Locaties[#All],2,FALSE)</f>
        <v>De Stapsteen (2 gebouwen)</v>
      </c>
      <c r="C709" s="258" t="str">
        <f>VLOOKUP(Ruimtestaat[[#This Row],[Code]],Locaties[#All],4,FALSE)</f>
        <v>J. Perkstraat 5-11</v>
      </c>
      <c r="D709" s="258" t="str">
        <f>VLOOKUP(Ruimtestaat[[#This Row],[Code]],Locaties[#All],5,FALSE)</f>
        <v>7532JR</v>
      </c>
      <c r="E709" s="258" t="str">
        <f>VLOOKUP(Ruimtestaat[[#This Row],[Code]],Locaties[#All],6,FALSE)</f>
        <v>Hengelo</v>
      </c>
      <c r="F709" s="257"/>
      <c r="G709" s="257" t="s">
        <v>563</v>
      </c>
      <c r="H709" s="171"/>
      <c r="I709" s="257" t="s">
        <v>475</v>
      </c>
      <c r="J709" s="259" t="s">
        <v>576</v>
      </c>
      <c r="K709" s="171">
        <v>16</v>
      </c>
      <c r="L709" s="260" t="str">
        <f>VLOOKUP(Ruimtestaat[[#This Row],[Ruimte code]],Ruimtegroepen[#All],2,FALSE)</f>
        <v>Leslokalen</v>
      </c>
      <c r="M709" s="258" t="s">
        <v>598</v>
      </c>
      <c r="N709" s="257" t="s">
        <v>132</v>
      </c>
      <c r="O709" s="261">
        <v>43</v>
      </c>
      <c r="P709" s="183"/>
      <c r="Q709" s="212" t="str">
        <f>VLOOKUP(Ruimtestaat[[#This Row],[Ruimte code]],Ruimtegroepen[#All],4,FALSE)</f>
        <v>L  (Lesruimte)</v>
      </c>
      <c r="R709" s="184"/>
      <c r="S709" s="185">
        <v>40</v>
      </c>
      <c r="T709" s="185" t="s">
        <v>2</v>
      </c>
      <c r="U709" s="185">
        <f>IF(S709&gt;0,IF(RIGHT(Ruimtestaat[[#This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9" s="185">
        <f>IF(U709&gt;0,VLOOKUP($K709,Ruimtegroepen[],3,FALSE)*VLOOKUP($M709,Vloersoorten[],3,FALSE)*VLOOKUP($T709,Frequenties[],3,FALSE)*VLOOKUP($A709,Locaties[],3,FALSE),0)</f>
        <v>0</v>
      </c>
      <c r="W709" s="185">
        <f>Ruimtestaat[[#This Row],[Uitvoeringen werkdagen]]*Ruimtestaat[[#This Row],[Oppervlak (netto)]]</f>
        <v>8600</v>
      </c>
      <c r="X709" s="220">
        <f>IF(V709&gt;0,Ruimtestaat[[#This Row],[Prest. (m2 /jaar) werkdagen]]/Ruimtestaat[[#This Row],[Norm (m2/uur) werkdagen]],0)</f>
        <v>0</v>
      </c>
      <c r="Y709" s="221">
        <f>Ruimtestaat[[#This Row],[uren / jaar werkdagen]]*Tariefsopbouw!$D$38</f>
        <v>0</v>
      </c>
      <c r="Z709" s="33"/>
      <c r="AA709" s="33">
        <f>IF(Ruimtestaat[[#This Row],[Frequentie weekend]]&gt;0,VALUE(LEFT(Z709,1))*S709,0)</f>
        <v>0</v>
      </c>
      <c r="AB709" s="33">
        <f>IF($AA709&gt;0,VLOOKUP($K709,Ruimtegroepen[],3,FALSE)*VLOOKUP($M709,Vloersoorten[],3,FALSE)*VLOOKUP($Z709,Frequenties[],3,FALSE)*VLOOKUP(#REF!,Locaties[],3,FALSE),0)</f>
        <v>0</v>
      </c>
      <c r="AC709" s="33"/>
      <c r="AD709" s="33"/>
      <c r="AE709" s="33">
        <f>Ruimtestaat[[#This Row],[uren / jaar weekend]]*Tariefsopbouw!$D$40</f>
        <v>0</v>
      </c>
      <c r="AF709" s="79">
        <f>Ruimtestaat[[#This Row],[Prest. (m2 /jaar) weekend]]+Ruimtestaat[[#This Row],[Prest. (m2 /jaar) werkdagen]]</f>
        <v>8600</v>
      </c>
      <c r="AG709" s="79">
        <f>Ruimtestaat[[#This Row],[uren / jaar weekend]]+Ruimtestaat[[#This Row],[uren / jaar werkdagen]]</f>
        <v>0</v>
      </c>
      <c r="AH709" s="80">
        <f>Ruimtestaat[[#This Row],[kosten / jaar weekend]]+Ruimtestaat[[#This Row],[kosten / jaar werkdagen]]</f>
        <v>0</v>
      </c>
    </row>
    <row r="710" spans="1:34" ht="15" customHeight="1">
      <c r="A710" s="256">
        <v>10</v>
      </c>
      <c r="B710" s="171" t="str">
        <f>VLOOKUP(Ruimtestaat[[#This Row],[Code]],Locaties[#All],2,FALSE)</f>
        <v>De Stapsteen (2 gebouwen)</v>
      </c>
      <c r="C710" s="258" t="str">
        <f>VLOOKUP(Ruimtestaat[[#This Row],[Code]],Locaties[#All],4,FALSE)</f>
        <v>J. Perkstraat 5-11</v>
      </c>
      <c r="D710" s="258" t="str">
        <f>VLOOKUP(Ruimtestaat[[#This Row],[Code]],Locaties[#All],5,FALSE)</f>
        <v>7532JR</v>
      </c>
      <c r="E710" s="258" t="str">
        <f>VLOOKUP(Ruimtestaat[[#This Row],[Code]],Locaties[#All],6,FALSE)</f>
        <v>Hengelo</v>
      </c>
      <c r="F710" s="257"/>
      <c r="G710" s="257" t="s">
        <v>563</v>
      </c>
      <c r="H710" s="171"/>
      <c r="I710" s="257" t="s">
        <v>476</v>
      </c>
      <c r="J710" s="259" t="s">
        <v>683</v>
      </c>
      <c r="K710" s="171">
        <v>5</v>
      </c>
      <c r="L710" s="260" t="str">
        <f>VLOOKUP(Ruimtestaat[[#This Row],[Ruimte code]],Ruimtegroepen[#All],2,FALSE)</f>
        <v>Sanitair</v>
      </c>
      <c r="M710" s="212" t="s">
        <v>111</v>
      </c>
      <c r="N710" s="257" t="s">
        <v>606</v>
      </c>
      <c r="O710" s="261">
        <v>7</v>
      </c>
      <c r="P710" s="183"/>
      <c r="Q710" s="212" t="str">
        <f>VLOOKUP(Ruimtestaat[[#This Row],[Ruimte code]],Ruimtegroepen[#All],4,FALSE)</f>
        <v>S  (Sanitair)</v>
      </c>
      <c r="R710" s="184"/>
      <c r="S710" s="185">
        <v>40</v>
      </c>
      <c r="T710" s="185" t="s">
        <v>2</v>
      </c>
      <c r="U710" s="185">
        <f>IF(S710&gt;0,IF(RIGHT(Ruimtestaat[[#This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0" s="185">
        <f>IF(U710&gt;0,VLOOKUP($K710,Ruimtegroepen[],3,FALSE)*VLOOKUP($M710,Vloersoorten[],3,FALSE)*VLOOKUP($T710,Frequenties[],3,FALSE)*VLOOKUP($A710,Locaties[],3,FALSE),0)</f>
        <v>0</v>
      </c>
      <c r="W710" s="185">
        <f>Ruimtestaat[[#This Row],[Uitvoeringen werkdagen]]*Ruimtestaat[[#This Row],[Oppervlak (netto)]]</f>
        <v>1400</v>
      </c>
      <c r="X710" s="220">
        <f>IF(V710&gt;0,Ruimtestaat[[#This Row],[Prest. (m2 /jaar) werkdagen]]/Ruimtestaat[[#This Row],[Norm (m2/uur) werkdagen]],0)</f>
        <v>0</v>
      </c>
      <c r="Y710" s="221">
        <f>Ruimtestaat[[#This Row],[uren / jaar werkdagen]]*Tariefsopbouw!$D$38</f>
        <v>0</v>
      </c>
      <c r="Z710" s="33"/>
      <c r="AA710" s="33">
        <f>IF(Ruimtestaat[[#This Row],[Frequentie weekend]]&gt;0,VALUE(LEFT(Z710,1))*S710,0)</f>
        <v>0</v>
      </c>
      <c r="AB710" s="33">
        <f>IF($AA710&gt;0,VLOOKUP($K710,Ruimtegroepen[],3,FALSE)*VLOOKUP($M710,Vloersoorten[],3,FALSE)*VLOOKUP($Z710,Frequenties[],3,FALSE)*VLOOKUP(#REF!,Locaties[],3,FALSE),0)</f>
        <v>0</v>
      </c>
      <c r="AC710" s="33"/>
      <c r="AD710" s="33"/>
      <c r="AE710" s="33">
        <f>Ruimtestaat[[#This Row],[uren / jaar weekend]]*Tariefsopbouw!$D$40</f>
        <v>0</v>
      </c>
      <c r="AF710" s="79">
        <f>Ruimtestaat[[#This Row],[Prest. (m2 /jaar) weekend]]+Ruimtestaat[[#This Row],[Prest. (m2 /jaar) werkdagen]]</f>
        <v>1400</v>
      </c>
      <c r="AG710" s="79">
        <f>Ruimtestaat[[#This Row],[uren / jaar weekend]]+Ruimtestaat[[#This Row],[uren / jaar werkdagen]]</f>
        <v>0</v>
      </c>
      <c r="AH710" s="80">
        <f>Ruimtestaat[[#This Row],[kosten / jaar weekend]]+Ruimtestaat[[#This Row],[kosten / jaar werkdagen]]</f>
        <v>0</v>
      </c>
    </row>
    <row r="711" spans="1:34" ht="15" customHeight="1">
      <c r="A711" s="256">
        <v>10</v>
      </c>
      <c r="B711" s="171" t="str">
        <f>VLOOKUP(Ruimtestaat[[#This Row],[Code]],Locaties[#All],2,FALSE)</f>
        <v>De Stapsteen (2 gebouwen)</v>
      </c>
      <c r="C711" s="258" t="str">
        <f>VLOOKUP(Ruimtestaat[[#This Row],[Code]],Locaties[#All],4,FALSE)</f>
        <v>J. Perkstraat 5-11</v>
      </c>
      <c r="D711" s="258" t="str">
        <f>VLOOKUP(Ruimtestaat[[#This Row],[Code]],Locaties[#All],5,FALSE)</f>
        <v>7532JR</v>
      </c>
      <c r="E711" s="258" t="str">
        <f>VLOOKUP(Ruimtestaat[[#This Row],[Code]],Locaties[#All],6,FALSE)</f>
        <v>Hengelo</v>
      </c>
      <c r="F711" s="257"/>
      <c r="G711" s="257" t="s">
        <v>563</v>
      </c>
      <c r="H711" s="171"/>
      <c r="I711" s="257" t="s">
        <v>684</v>
      </c>
      <c r="J711" s="259" t="s">
        <v>585</v>
      </c>
      <c r="K711" s="258">
        <v>20</v>
      </c>
      <c r="L711" s="260" t="str">
        <f>VLOOKUP(Ruimtestaat[[#This Row],[Ruimte code]],Ruimtegroepen[#All],2,FALSE)</f>
        <v>Niet in onderhoud</v>
      </c>
      <c r="M711" s="212" t="s">
        <v>111</v>
      </c>
      <c r="N711" s="257" t="s">
        <v>606</v>
      </c>
      <c r="O711" s="261"/>
      <c r="P711" s="183">
        <v>13</v>
      </c>
      <c r="Q711" s="212" t="str">
        <f>VLOOKUP(Ruimtestaat[[#This Row],[Ruimte code]],Ruimtegroepen[#All],4,FALSE)</f>
        <v>niet in onderhoud</v>
      </c>
      <c r="R711" s="184"/>
      <c r="S711" s="185"/>
      <c r="T711" s="185"/>
      <c r="U711" s="185">
        <f>IF(S711&gt;0,IF(RIGHT(Ruimtestaat[[#This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1" s="185">
        <f>IF(U711&gt;0,VLOOKUP($K711,Ruimtegroepen[],3,FALSE)*VLOOKUP($M711,Vloersoorten[],3,FALSE)*VLOOKUP($T711,Frequenties[],3,FALSE)*VLOOKUP($A711,Locaties[],3,FALSE),0)</f>
        <v>0</v>
      </c>
      <c r="W711" s="185">
        <f>Ruimtestaat[[#This Row],[Uitvoeringen werkdagen]]*Ruimtestaat[[#This Row],[Oppervlak (netto)]]</f>
        <v>0</v>
      </c>
      <c r="X711" s="220">
        <f>IF(V711&gt;0,Ruimtestaat[[#This Row],[Prest. (m2 /jaar) werkdagen]]/Ruimtestaat[[#This Row],[Norm (m2/uur) werkdagen]],0)</f>
        <v>0</v>
      </c>
      <c r="Y711" s="221">
        <f>Ruimtestaat[[#This Row],[uren / jaar werkdagen]]*Tariefsopbouw!$D$38</f>
        <v>0</v>
      </c>
      <c r="Z711" s="33"/>
      <c r="AA711" s="33">
        <f>IF(Ruimtestaat[[#This Row],[Frequentie weekend]]&gt;0,VALUE(LEFT(Z711,1))*S711,0)</f>
        <v>0</v>
      </c>
      <c r="AB711" s="33">
        <f>IF($AA711&gt;0,VLOOKUP($K711,Ruimtegroepen[],3,FALSE)*VLOOKUP($M711,Vloersoorten[],3,FALSE)*VLOOKUP($Z711,Frequenties[],3,FALSE)*VLOOKUP(#REF!,Locaties[],3,FALSE),0)</f>
        <v>0</v>
      </c>
      <c r="AC711" s="33"/>
      <c r="AD711" s="33"/>
      <c r="AE711" s="33">
        <f>Ruimtestaat[[#This Row],[uren / jaar weekend]]*Tariefsopbouw!$D$40</f>
        <v>0</v>
      </c>
      <c r="AF711" s="79">
        <f>Ruimtestaat[[#This Row],[Prest. (m2 /jaar) weekend]]+Ruimtestaat[[#This Row],[Prest. (m2 /jaar) werkdagen]]</f>
        <v>0</v>
      </c>
      <c r="AG711" s="79">
        <f>Ruimtestaat[[#This Row],[uren / jaar weekend]]+Ruimtestaat[[#This Row],[uren / jaar werkdagen]]</f>
        <v>0</v>
      </c>
      <c r="AH711" s="80">
        <f>Ruimtestaat[[#This Row],[kosten / jaar weekend]]+Ruimtestaat[[#This Row],[kosten / jaar werkdagen]]</f>
        <v>0</v>
      </c>
    </row>
    <row r="712" spans="1:34" ht="15" customHeight="1">
      <c r="A712" s="256">
        <v>10</v>
      </c>
      <c r="B712" s="171" t="str">
        <f>VLOOKUP(Ruimtestaat[[#This Row],[Code]],Locaties[#All],2,FALSE)</f>
        <v>De Stapsteen (2 gebouwen)</v>
      </c>
      <c r="C712" s="258" t="str">
        <f>VLOOKUP(Ruimtestaat[[#This Row],[Code]],Locaties[#All],4,FALSE)</f>
        <v>J. Perkstraat 5-11</v>
      </c>
      <c r="D712" s="258" t="str">
        <f>VLOOKUP(Ruimtestaat[[#This Row],[Code]],Locaties[#All],5,FALSE)</f>
        <v>7532JR</v>
      </c>
      <c r="E712" s="258" t="str">
        <f>VLOOKUP(Ruimtestaat[[#This Row],[Code]],Locaties[#All],6,FALSE)</f>
        <v>Hengelo</v>
      </c>
      <c r="F712" s="257"/>
      <c r="G712" s="257" t="s">
        <v>563</v>
      </c>
      <c r="H712" s="171"/>
      <c r="I712" s="257" t="s">
        <v>478</v>
      </c>
      <c r="J712" s="259" t="s">
        <v>576</v>
      </c>
      <c r="K712" s="258">
        <v>16</v>
      </c>
      <c r="L712" s="260" t="str">
        <f>VLOOKUP(Ruimtestaat[[#This Row],[Ruimte code]],Ruimtegroepen[#All],2,FALSE)</f>
        <v>Leslokalen</v>
      </c>
      <c r="M712" s="258" t="s">
        <v>598</v>
      </c>
      <c r="N712" s="257" t="s">
        <v>132</v>
      </c>
      <c r="O712" s="261">
        <v>43</v>
      </c>
      <c r="P712" s="183"/>
      <c r="Q712" s="212" t="str">
        <f>VLOOKUP(Ruimtestaat[[#This Row],[Ruimte code]],Ruimtegroepen[#All],4,FALSE)</f>
        <v>L  (Lesruimte)</v>
      </c>
      <c r="R712" s="184"/>
      <c r="S712" s="185">
        <v>40</v>
      </c>
      <c r="T712" s="185" t="s">
        <v>2</v>
      </c>
      <c r="U712" s="185">
        <f>IF(S712&gt;0,IF(RIGHT(Ruimtestaat[[#This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2" s="185">
        <f>IF(U712&gt;0,VLOOKUP($K712,Ruimtegroepen[],3,FALSE)*VLOOKUP($M712,Vloersoorten[],3,FALSE)*VLOOKUP($T712,Frequenties[],3,FALSE)*VLOOKUP($A712,Locaties[],3,FALSE),0)</f>
        <v>0</v>
      </c>
      <c r="W712" s="185">
        <f>Ruimtestaat[[#This Row],[Uitvoeringen werkdagen]]*Ruimtestaat[[#This Row],[Oppervlak (netto)]]</f>
        <v>8600</v>
      </c>
      <c r="X712" s="220">
        <f>IF(V712&gt;0,Ruimtestaat[[#This Row],[Prest. (m2 /jaar) werkdagen]]/Ruimtestaat[[#This Row],[Norm (m2/uur) werkdagen]],0)</f>
        <v>0</v>
      </c>
      <c r="Y712" s="221">
        <f>Ruimtestaat[[#This Row],[uren / jaar werkdagen]]*Tariefsopbouw!$D$38</f>
        <v>0</v>
      </c>
      <c r="Z712" s="33"/>
      <c r="AA712" s="33">
        <f>IF(Ruimtestaat[[#This Row],[Frequentie weekend]]&gt;0,VALUE(LEFT(Z712,1))*S712,0)</f>
        <v>0</v>
      </c>
      <c r="AB712" s="33">
        <f>IF($AA712&gt;0,VLOOKUP($K712,Ruimtegroepen[],3,FALSE)*VLOOKUP($M712,Vloersoorten[],3,FALSE)*VLOOKUP($Z712,Frequenties[],3,FALSE)*VLOOKUP(#REF!,Locaties[],3,FALSE),0)</f>
        <v>0</v>
      </c>
      <c r="AC712" s="33"/>
      <c r="AD712" s="33"/>
      <c r="AE712" s="33">
        <f>Ruimtestaat[[#This Row],[uren / jaar weekend]]*Tariefsopbouw!$D$40</f>
        <v>0</v>
      </c>
      <c r="AF712" s="79">
        <f>Ruimtestaat[[#This Row],[Prest. (m2 /jaar) weekend]]+Ruimtestaat[[#This Row],[Prest. (m2 /jaar) werkdagen]]</f>
        <v>8600</v>
      </c>
      <c r="AG712" s="79">
        <f>Ruimtestaat[[#This Row],[uren / jaar weekend]]+Ruimtestaat[[#This Row],[uren / jaar werkdagen]]</f>
        <v>0</v>
      </c>
      <c r="AH712" s="80">
        <f>Ruimtestaat[[#This Row],[kosten / jaar weekend]]+Ruimtestaat[[#This Row],[kosten / jaar werkdagen]]</f>
        <v>0</v>
      </c>
    </row>
    <row r="713" spans="1:34" ht="15" customHeight="1">
      <c r="A713" s="256">
        <v>10</v>
      </c>
      <c r="B713" s="171" t="str">
        <f>VLOOKUP(Ruimtestaat[[#This Row],[Code]],Locaties[#All],2,FALSE)</f>
        <v>De Stapsteen (2 gebouwen)</v>
      </c>
      <c r="C713" s="258" t="str">
        <f>VLOOKUP(Ruimtestaat[[#This Row],[Code]],Locaties[#All],4,FALSE)</f>
        <v>J. Perkstraat 5-11</v>
      </c>
      <c r="D713" s="258" t="str">
        <f>VLOOKUP(Ruimtestaat[[#This Row],[Code]],Locaties[#All],5,FALSE)</f>
        <v>7532JR</v>
      </c>
      <c r="E713" s="258" t="str">
        <f>VLOOKUP(Ruimtestaat[[#This Row],[Code]],Locaties[#All],6,FALSE)</f>
        <v>Hengelo</v>
      </c>
      <c r="F713" s="257"/>
      <c r="G713" s="257" t="s">
        <v>563</v>
      </c>
      <c r="H713" s="171"/>
      <c r="I713" s="257" t="s">
        <v>479</v>
      </c>
      <c r="J713" s="259" t="s">
        <v>683</v>
      </c>
      <c r="K713" s="171">
        <v>5</v>
      </c>
      <c r="L713" s="260" t="str">
        <f>VLOOKUP(Ruimtestaat[[#This Row],[Ruimte code]],Ruimtegroepen[#All],2,FALSE)</f>
        <v>Sanitair</v>
      </c>
      <c r="M713" s="212" t="s">
        <v>111</v>
      </c>
      <c r="N713" s="257" t="s">
        <v>606</v>
      </c>
      <c r="O713" s="261">
        <v>7</v>
      </c>
      <c r="P713" s="183"/>
      <c r="Q713" s="212" t="str">
        <f>VLOOKUP(Ruimtestaat[[#This Row],[Ruimte code]],Ruimtegroepen[#All],4,FALSE)</f>
        <v>S  (Sanitair)</v>
      </c>
      <c r="R713" s="184"/>
      <c r="S713" s="185">
        <v>40</v>
      </c>
      <c r="T713" s="185" t="s">
        <v>2</v>
      </c>
      <c r="U713" s="185">
        <f>IF(S713&gt;0,IF(RIGHT(Ruimtestaat[[#This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3" s="185">
        <f>IF(U713&gt;0,VLOOKUP($K713,Ruimtegroepen[],3,FALSE)*VLOOKUP($M713,Vloersoorten[],3,FALSE)*VLOOKUP($T713,Frequenties[],3,FALSE)*VLOOKUP($A713,Locaties[],3,FALSE),0)</f>
        <v>0</v>
      </c>
      <c r="W713" s="185">
        <f>Ruimtestaat[[#This Row],[Uitvoeringen werkdagen]]*Ruimtestaat[[#This Row],[Oppervlak (netto)]]</f>
        <v>1400</v>
      </c>
      <c r="X713" s="220">
        <f>IF(V713&gt;0,Ruimtestaat[[#This Row],[Prest. (m2 /jaar) werkdagen]]/Ruimtestaat[[#This Row],[Norm (m2/uur) werkdagen]],0)</f>
        <v>0</v>
      </c>
      <c r="Y713" s="221">
        <f>Ruimtestaat[[#This Row],[uren / jaar werkdagen]]*Tariefsopbouw!$D$38</f>
        <v>0</v>
      </c>
      <c r="Z713" s="33"/>
      <c r="AA713" s="33">
        <f>IF(Ruimtestaat[[#This Row],[Frequentie weekend]]&gt;0,VALUE(LEFT(Z713,1))*S713,0)</f>
        <v>0</v>
      </c>
      <c r="AB713" s="33">
        <f>IF($AA713&gt;0,VLOOKUP($K713,Ruimtegroepen[],3,FALSE)*VLOOKUP($M713,Vloersoorten[],3,FALSE)*VLOOKUP($Z713,Frequenties[],3,FALSE)*VLOOKUP(#REF!,Locaties[],3,FALSE),0)</f>
        <v>0</v>
      </c>
      <c r="AC713" s="33"/>
      <c r="AD713" s="33"/>
      <c r="AE713" s="33">
        <f>Ruimtestaat[[#This Row],[uren / jaar weekend]]*Tariefsopbouw!$D$40</f>
        <v>0</v>
      </c>
      <c r="AF713" s="79">
        <f>Ruimtestaat[[#This Row],[Prest. (m2 /jaar) weekend]]+Ruimtestaat[[#This Row],[Prest. (m2 /jaar) werkdagen]]</f>
        <v>1400</v>
      </c>
      <c r="AG713" s="79">
        <f>Ruimtestaat[[#This Row],[uren / jaar weekend]]+Ruimtestaat[[#This Row],[uren / jaar werkdagen]]</f>
        <v>0</v>
      </c>
      <c r="AH713" s="80">
        <f>Ruimtestaat[[#This Row],[kosten / jaar weekend]]+Ruimtestaat[[#This Row],[kosten / jaar werkdagen]]</f>
        <v>0</v>
      </c>
    </row>
    <row r="714" spans="1:34" ht="15" customHeight="1">
      <c r="A714" s="256">
        <v>10</v>
      </c>
      <c r="B714" s="171" t="str">
        <f>VLOOKUP(Ruimtestaat[[#This Row],[Code]],Locaties[#All],2,FALSE)</f>
        <v>De Stapsteen (2 gebouwen)</v>
      </c>
      <c r="C714" s="258" t="str">
        <f>VLOOKUP(Ruimtestaat[[#This Row],[Code]],Locaties[#All],4,FALSE)</f>
        <v>J. Perkstraat 5-11</v>
      </c>
      <c r="D714" s="258" t="str">
        <f>VLOOKUP(Ruimtestaat[[#This Row],[Code]],Locaties[#All],5,FALSE)</f>
        <v>7532JR</v>
      </c>
      <c r="E714" s="258" t="str">
        <f>VLOOKUP(Ruimtestaat[[#This Row],[Code]],Locaties[#All],6,FALSE)</f>
        <v>Hengelo</v>
      </c>
      <c r="F714" s="257"/>
      <c r="G714" s="257" t="s">
        <v>563</v>
      </c>
      <c r="H714" s="171"/>
      <c r="I714" s="257" t="s">
        <v>480</v>
      </c>
      <c r="J714" s="259" t="s">
        <v>650</v>
      </c>
      <c r="K714" s="185">
        <v>20</v>
      </c>
      <c r="L714" s="260" t="str">
        <f>VLOOKUP(Ruimtestaat[[#This Row],[Ruimte code]],Ruimtegroepen[#All],2,FALSE)</f>
        <v>Niet in onderhoud</v>
      </c>
      <c r="M714" s="258" t="s">
        <v>598</v>
      </c>
      <c r="N714" s="257" t="s">
        <v>132</v>
      </c>
      <c r="O714" s="261"/>
      <c r="P714" s="183">
        <v>7.5</v>
      </c>
      <c r="Q714" s="212" t="str">
        <f>VLOOKUP(Ruimtestaat[[#This Row],[Ruimte code]],Ruimtegroepen[#All],4,FALSE)</f>
        <v>niet in onderhoud</v>
      </c>
      <c r="R714" s="184"/>
      <c r="S714" s="185"/>
      <c r="T714" s="185" t="s">
        <v>3</v>
      </c>
      <c r="U714" s="185">
        <f>IF(S714&gt;0,IF(RIGHT(Ruimtestaat[[#This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4" s="185">
        <f>IF(U714&gt;0,VLOOKUP($K714,Ruimtegroepen[],3,FALSE)*VLOOKUP($M714,Vloersoorten[],3,FALSE)*VLOOKUP($T714,Frequenties[],3,FALSE)*VLOOKUP($A714,Locaties[],3,FALSE),0)</f>
        <v>0</v>
      </c>
      <c r="W714" s="185">
        <f>Ruimtestaat[[#This Row],[Uitvoeringen werkdagen]]*Ruimtestaat[[#This Row],[Oppervlak (netto)]]</f>
        <v>0</v>
      </c>
      <c r="X714" s="220">
        <f>IF(V714&gt;0,Ruimtestaat[[#This Row],[Prest. (m2 /jaar) werkdagen]]/Ruimtestaat[[#This Row],[Norm (m2/uur) werkdagen]],0)</f>
        <v>0</v>
      </c>
      <c r="Y714" s="221">
        <f>Ruimtestaat[[#This Row],[uren / jaar werkdagen]]*Tariefsopbouw!$D$38</f>
        <v>0</v>
      </c>
      <c r="Z714" s="33"/>
      <c r="AA714" s="33">
        <f>IF(Ruimtestaat[[#This Row],[Frequentie weekend]]&gt;0,VALUE(LEFT(Z714,1))*S714,0)</f>
        <v>0</v>
      </c>
      <c r="AB714" s="33">
        <f>IF($AA714&gt;0,VLOOKUP($K714,Ruimtegroepen[],3,FALSE)*VLOOKUP($M714,Vloersoorten[],3,FALSE)*VLOOKUP($Z714,Frequenties[],3,FALSE)*VLOOKUP(#REF!,Locaties[],3,FALSE),0)</f>
        <v>0</v>
      </c>
      <c r="AC714" s="33"/>
      <c r="AD714" s="33"/>
      <c r="AE714" s="33">
        <f>Ruimtestaat[[#This Row],[uren / jaar weekend]]*Tariefsopbouw!$D$40</f>
        <v>0</v>
      </c>
      <c r="AF714" s="79">
        <f>Ruimtestaat[[#This Row],[Prest. (m2 /jaar) weekend]]+Ruimtestaat[[#This Row],[Prest. (m2 /jaar) werkdagen]]</f>
        <v>0</v>
      </c>
      <c r="AG714" s="79">
        <f>Ruimtestaat[[#This Row],[uren / jaar weekend]]+Ruimtestaat[[#This Row],[uren / jaar werkdagen]]</f>
        <v>0</v>
      </c>
      <c r="AH714" s="80">
        <f>Ruimtestaat[[#This Row],[kosten / jaar weekend]]+Ruimtestaat[[#This Row],[kosten / jaar werkdagen]]</f>
        <v>0</v>
      </c>
    </row>
    <row r="715" spans="1:34" ht="15" customHeight="1">
      <c r="A715" s="256">
        <v>10</v>
      </c>
      <c r="B715" s="171" t="str">
        <f>VLOOKUP(Ruimtestaat[[#This Row],[Code]],Locaties[#All],2,FALSE)</f>
        <v>De Stapsteen (2 gebouwen)</v>
      </c>
      <c r="C715" s="258" t="str">
        <f>VLOOKUP(Ruimtestaat[[#This Row],[Code]],Locaties[#All],4,FALSE)</f>
        <v>J. Perkstraat 5-11</v>
      </c>
      <c r="D715" s="258" t="str">
        <f>VLOOKUP(Ruimtestaat[[#This Row],[Code]],Locaties[#All],5,FALSE)</f>
        <v>7532JR</v>
      </c>
      <c r="E715" s="258" t="str">
        <f>VLOOKUP(Ruimtestaat[[#This Row],[Code]],Locaties[#All],6,FALSE)</f>
        <v>Hengelo</v>
      </c>
      <c r="F715" s="257"/>
      <c r="G715" s="257" t="s">
        <v>563</v>
      </c>
      <c r="H715" s="171"/>
      <c r="I715" s="257" t="s">
        <v>481</v>
      </c>
      <c r="J715" s="259" t="s">
        <v>576</v>
      </c>
      <c r="K715" s="258">
        <v>16</v>
      </c>
      <c r="L715" s="260" t="str">
        <f>VLOOKUP(Ruimtestaat[[#This Row],[Ruimte code]],Ruimtegroepen[#All],2,FALSE)</f>
        <v>Leslokalen</v>
      </c>
      <c r="M715" s="258" t="s">
        <v>598</v>
      </c>
      <c r="N715" s="257" t="s">
        <v>132</v>
      </c>
      <c r="O715" s="261">
        <v>78</v>
      </c>
      <c r="P715" s="183"/>
      <c r="Q715" s="212" t="str">
        <f>VLOOKUP(Ruimtestaat[[#This Row],[Ruimte code]],Ruimtegroepen[#All],4,FALSE)</f>
        <v>L  (Lesruimte)</v>
      </c>
      <c r="R715" s="184"/>
      <c r="S715" s="185">
        <v>40</v>
      </c>
      <c r="T715" s="185" t="s">
        <v>2</v>
      </c>
      <c r="U715" s="185">
        <f>IF(S715&gt;0,IF(RIGHT(Ruimtestaat[[#This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5" s="185">
        <f>IF(U715&gt;0,VLOOKUP($K715,Ruimtegroepen[],3,FALSE)*VLOOKUP($M715,Vloersoorten[],3,FALSE)*VLOOKUP($T715,Frequenties[],3,FALSE)*VLOOKUP($A715,Locaties[],3,FALSE),0)</f>
        <v>0</v>
      </c>
      <c r="W715" s="185">
        <f>Ruimtestaat[[#This Row],[Uitvoeringen werkdagen]]*Ruimtestaat[[#This Row],[Oppervlak (netto)]]</f>
        <v>15600</v>
      </c>
      <c r="X715" s="220">
        <f>IF(V715&gt;0,Ruimtestaat[[#This Row],[Prest. (m2 /jaar) werkdagen]]/Ruimtestaat[[#This Row],[Norm (m2/uur) werkdagen]],0)</f>
        <v>0</v>
      </c>
      <c r="Y715" s="221">
        <f>Ruimtestaat[[#This Row],[uren / jaar werkdagen]]*Tariefsopbouw!$D$38</f>
        <v>0</v>
      </c>
      <c r="Z715" s="33"/>
      <c r="AA715" s="33">
        <f>IF(Ruimtestaat[[#This Row],[Frequentie weekend]]&gt;0,VALUE(LEFT(Z715,1))*S715,0)</f>
        <v>0</v>
      </c>
      <c r="AB715" s="33">
        <f>IF($AA715&gt;0,VLOOKUP($K715,Ruimtegroepen[],3,FALSE)*VLOOKUP($M715,Vloersoorten[],3,FALSE)*VLOOKUP($Z715,Frequenties[],3,FALSE)*VLOOKUP(#REF!,Locaties[],3,FALSE),0)</f>
        <v>0</v>
      </c>
      <c r="AC715" s="33"/>
      <c r="AD715" s="33"/>
      <c r="AE715" s="33">
        <f>Ruimtestaat[[#This Row],[uren / jaar weekend]]*Tariefsopbouw!$D$40</f>
        <v>0</v>
      </c>
      <c r="AF715" s="79">
        <f>Ruimtestaat[[#This Row],[Prest. (m2 /jaar) weekend]]+Ruimtestaat[[#This Row],[Prest. (m2 /jaar) werkdagen]]</f>
        <v>15600</v>
      </c>
      <c r="AG715" s="79">
        <f>Ruimtestaat[[#This Row],[uren / jaar weekend]]+Ruimtestaat[[#This Row],[uren / jaar werkdagen]]</f>
        <v>0</v>
      </c>
      <c r="AH715" s="80">
        <f>Ruimtestaat[[#This Row],[kosten / jaar weekend]]+Ruimtestaat[[#This Row],[kosten / jaar werkdagen]]</f>
        <v>0</v>
      </c>
    </row>
    <row r="716" spans="1:34" ht="15" customHeight="1">
      <c r="A716" s="256">
        <v>10</v>
      </c>
      <c r="B716" s="171" t="str">
        <f>VLOOKUP(Ruimtestaat[[#This Row],[Code]],Locaties[#All],2,FALSE)</f>
        <v>De Stapsteen (2 gebouwen)</v>
      </c>
      <c r="C716" s="258" t="str">
        <f>VLOOKUP(Ruimtestaat[[#This Row],[Code]],Locaties[#All],4,FALSE)</f>
        <v>J. Perkstraat 5-11</v>
      </c>
      <c r="D716" s="258" t="str">
        <f>VLOOKUP(Ruimtestaat[[#This Row],[Code]],Locaties[#All],5,FALSE)</f>
        <v>7532JR</v>
      </c>
      <c r="E716" s="258" t="str">
        <f>VLOOKUP(Ruimtestaat[[#This Row],[Code]],Locaties[#All],6,FALSE)</f>
        <v>Hengelo</v>
      </c>
      <c r="F716" s="257"/>
      <c r="G716" s="257" t="s">
        <v>563</v>
      </c>
      <c r="H716" s="171"/>
      <c r="I716" s="257" t="s">
        <v>482</v>
      </c>
      <c r="J716" s="259" t="s">
        <v>685</v>
      </c>
      <c r="K716" s="171">
        <v>20</v>
      </c>
      <c r="L716" s="260" t="str">
        <f>VLOOKUP(Ruimtestaat[[#This Row],[Ruimte code]],Ruimtegroepen[#All],2,FALSE)</f>
        <v>Niet in onderhoud</v>
      </c>
      <c r="M716" s="258" t="s">
        <v>598</v>
      </c>
      <c r="N716" s="257" t="s">
        <v>132</v>
      </c>
      <c r="O716" s="261"/>
      <c r="P716" s="183">
        <v>39</v>
      </c>
      <c r="Q716" s="212" t="str">
        <f>VLOOKUP(Ruimtestaat[[#This Row],[Ruimte code]],Ruimtegroepen[#All],4,FALSE)</f>
        <v>niet in onderhoud</v>
      </c>
      <c r="R716" s="184"/>
      <c r="S716" s="185"/>
      <c r="T716" s="185"/>
      <c r="U716" s="185">
        <f>IF(S716&gt;0,IF(RIGHT(Ruimtestaat[[#This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6" s="185">
        <f>IF(U716&gt;0,VLOOKUP($K716,Ruimtegroepen[],3,FALSE)*VLOOKUP($M716,Vloersoorten[],3,FALSE)*VLOOKUP($T716,Frequenties[],3,FALSE)*VLOOKUP($A716,Locaties[],3,FALSE),0)</f>
        <v>0</v>
      </c>
      <c r="W716" s="185">
        <f>Ruimtestaat[[#This Row],[Uitvoeringen werkdagen]]*Ruimtestaat[[#This Row],[Oppervlak (netto)]]</f>
        <v>0</v>
      </c>
      <c r="X716" s="220">
        <f>IF(V716&gt;0,Ruimtestaat[[#This Row],[Prest. (m2 /jaar) werkdagen]]/Ruimtestaat[[#This Row],[Norm (m2/uur) werkdagen]],0)</f>
        <v>0</v>
      </c>
      <c r="Y716" s="221">
        <f>Ruimtestaat[[#This Row],[uren / jaar werkdagen]]*Tariefsopbouw!$D$38</f>
        <v>0</v>
      </c>
      <c r="Z716" s="33"/>
      <c r="AA716" s="33">
        <f>IF(Ruimtestaat[[#This Row],[Frequentie weekend]]&gt;0,VALUE(LEFT(Z716,1))*S716,0)</f>
        <v>0</v>
      </c>
      <c r="AB716" s="33">
        <f>IF($AA716&gt;0,VLOOKUP($K716,Ruimtegroepen[],3,FALSE)*VLOOKUP($M716,Vloersoorten[],3,FALSE)*VLOOKUP($Z716,Frequenties[],3,FALSE)*VLOOKUP(#REF!,Locaties[],3,FALSE),0)</f>
        <v>0</v>
      </c>
      <c r="AC716" s="33"/>
      <c r="AD716" s="33"/>
      <c r="AE716" s="33">
        <f>Ruimtestaat[[#This Row],[uren / jaar weekend]]*Tariefsopbouw!$D$40</f>
        <v>0</v>
      </c>
      <c r="AF716" s="79">
        <f>Ruimtestaat[[#This Row],[Prest. (m2 /jaar) weekend]]+Ruimtestaat[[#This Row],[Prest. (m2 /jaar) werkdagen]]</f>
        <v>0</v>
      </c>
      <c r="AG716" s="79">
        <f>Ruimtestaat[[#This Row],[uren / jaar weekend]]+Ruimtestaat[[#This Row],[uren / jaar werkdagen]]</f>
        <v>0</v>
      </c>
      <c r="AH716" s="80">
        <f>Ruimtestaat[[#This Row],[kosten / jaar weekend]]+Ruimtestaat[[#This Row],[kosten / jaar werkdagen]]</f>
        <v>0</v>
      </c>
    </row>
    <row r="717" spans="1:34" ht="15" customHeight="1">
      <c r="A717" s="256">
        <v>10</v>
      </c>
      <c r="B717" s="171" t="str">
        <f>VLOOKUP(Ruimtestaat[[#This Row],[Code]],Locaties[#All],2,FALSE)</f>
        <v>De Stapsteen (2 gebouwen)</v>
      </c>
      <c r="C717" s="258" t="str">
        <f>VLOOKUP(Ruimtestaat[[#This Row],[Code]],Locaties[#All],4,FALSE)</f>
        <v>J. Perkstraat 5-11</v>
      </c>
      <c r="D717" s="258" t="str">
        <f>VLOOKUP(Ruimtestaat[[#This Row],[Code]],Locaties[#All],5,FALSE)</f>
        <v>7532JR</v>
      </c>
      <c r="E717" s="258" t="str">
        <f>VLOOKUP(Ruimtestaat[[#This Row],[Code]],Locaties[#All],6,FALSE)</f>
        <v>Hengelo</v>
      </c>
      <c r="F717" s="257"/>
      <c r="G717" s="257" t="s">
        <v>563</v>
      </c>
      <c r="H717" s="171"/>
      <c r="I717" s="257" t="s">
        <v>483</v>
      </c>
      <c r="J717" s="259" t="s">
        <v>686</v>
      </c>
      <c r="K717" s="171">
        <v>20</v>
      </c>
      <c r="L717" s="260" t="str">
        <f>VLOOKUP(Ruimtestaat[[#This Row],[Ruimte code]],Ruimtegroepen[#All],2,FALSE)</f>
        <v>Niet in onderhoud</v>
      </c>
      <c r="M717" s="258" t="s">
        <v>598</v>
      </c>
      <c r="N717" s="257" t="s">
        <v>132</v>
      </c>
      <c r="O717" s="261"/>
      <c r="P717" s="183">
        <v>11</v>
      </c>
      <c r="Q717" s="212" t="str">
        <f>VLOOKUP(Ruimtestaat[[#This Row],[Ruimte code]],Ruimtegroepen[#All],4,FALSE)</f>
        <v>niet in onderhoud</v>
      </c>
      <c r="R717" s="184"/>
      <c r="S717" s="185"/>
      <c r="T717" s="185"/>
      <c r="U717" s="185">
        <f>IF(S717&gt;0,IF(RIGHT(Ruimtestaat[[#This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7" s="185">
        <f>IF(U717&gt;0,VLOOKUP($K717,Ruimtegroepen[],3,FALSE)*VLOOKUP($M717,Vloersoorten[],3,FALSE)*VLOOKUP($T717,Frequenties[],3,FALSE)*VLOOKUP($A717,Locaties[],3,FALSE),0)</f>
        <v>0</v>
      </c>
      <c r="W717" s="185">
        <f>Ruimtestaat[[#This Row],[Uitvoeringen werkdagen]]*Ruimtestaat[[#This Row],[Oppervlak (netto)]]</f>
        <v>0</v>
      </c>
      <c r="X717" s="220">
        <f>IF(V717&gt;0,Ruimtestaat[[#This Row],[Prest. (m2 /jaar) werkdagen]]/Ruimtestaat[[#This Row],[Norm (m2/uur) werkdagen]],0)</f>
        <v>0</v>
      </c>
      <c r="Y717" s="221">
        <f>Ruimtestaat[[#This Row],[uren / jaar werkdagen]]*Tariefsopbouw!$D$38</f>
        <v>0</v>
      </c>
      <c r="Z717" s="33"/>
      <c r="AA717" s="33">
        <f>IF(Ruimtestaat[[#This Row],[Frequentie weekend]]&gt;0,VALUE(LEFT(Z717,1))*S717,0)</f>
        <v>0</v>
      </c>
      <c r="AB717" s="33">
        <f>IF($AA717&gt;0,VLOOKUP($K717,Ruimtegroepen[],3,FALSE)*VLOOKUP($M717,Vloersoorten[],3,FALSE)*VLOOKUP($Z717,Frequenties[],3,FALSE)*VLOOKUP(#REF!,Locaties[],3,FALSE),0)</f>
        <v>0</v>
      </c>
      <c r="AC717" s="33"/>
      <c r="AD717" s="33"/>
      <c r="AE717" s="33">
        <f>Ruimtestaat[[#This Row],[uren / jaar weekend]]*Tariefsopbouw!$D$40</f>
        <v>0</v>
      </c>
      <c r="AF717" s="79">
        <f>Ruimtestaat[[#This Row],[Prest. (m2 /jaar) weekend]]+Ruimtestaat[[#This Row],[Prest. (m2 /jaar) werkdagen]]</f>
        <v>0</v>
      </c>
      <c r="AG717" s="79">
        <f>Ruimtestaat[[#This Row],[uren / jaar weekend]]+Ruimtestaat[[#This Row],[uren / jaar werkdagen]]</f>
        <v>0</v>
      </c>
      <c r="AH717" s="80">
        <f>Ruimtestaat[[#This Row],[kosten / jaar weekend]]+Ruimtestaat[[#This Row],[kosten / jaar werkdagen]]</f>
        <v>0</v>
      </c>
    </row>
    <row r="718" spans="1:34" ht="15" customHeight="1">
      <c r="A718" s="256">
        <v>10</v>
      </c>
      <c r="B718" s="171" t="str">
        <f>VLOOKUP(Ruimtestaat[[#This Row],[Code]],Locaties[#All],2,FALSE)</f>
        <v>De Stapsteen (2 gebouwen)</v>
      </c>
      <c r="C718" s="258" t="str">
        <f>VLOOKUP(Ruimtestaat[[#This Row],[Code]],Locaties[#All],4,FALSE)</f>
        <v>J. Perkstraat 5-11</v>
      </c>
      <c r="D718" s="258" t="str">
        <f>VLOOKUP(Ruimtestaat[[#This Row],[Code]],Locaties[#All],5,FALSE)</f>
        <v>7532JR</v>
      </c>
      <c r="E718" s="258" t="str">
        <f>VLOOKUP(Ruimtestaat[[#This Row],[Code]],Locaties[#All],6,FALSE)</f>
        <v>Hengelo</v>
      </c>
      <c r="F718" s="257"/>
      <c r="G718" s="257" t="s">
        <v>563</v>
      </c>
      <c r="H718" s="171"/>
      <c r="I718" s="257" t="s">
        <v>486</v>
      </c>
      <c r="J718" s="259" t="s">
        <v>571</v>
      </c>
      <c r="K718" s="171">
        <v>2</v>
      </c>
      <c r="L718" s="260" t="str">
        <f>VLOOKUP(Ruimtestaat[[#This Row],[Ruimte code]],Ruimtegroepen[#All],2,FALSE)</f>
        <v>Kantoren</v>
      </c>
      <c r="M718" s="258" t="s">
        <v>597</v>
      </c>
      <c r="N718" s="257" t="s">
        <v>38</v>
      </c>
      <c r="O718" s="261">
        <v>16</v>
      </c>
      <c r="P718" s="183"/>
      <c r="Q718" s="212" t="str">
        <f>VLOOKUP(Ruimtestaat[[#This Row],[Ruimte code]],Ruimtegroepen[#All],4,FALSE)</f>
        <v>B  (Bureauruimte)</v>
      </c>
      <c r="R718" s="184"/>
      <c r="S718" s="185">
        <v>40</v>
      </c>
      <c r="T718" s="185" t="s">
        <v>18</v>
      </c>
      <c r="U718" s="185">
        <f>IF(S718&gt;0,IF(RIGHT(Ruimtestaat[[#This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18" s="185">
        <f>IF(U718&gt;0,VLOOKUP($K718,Ruimtegroepen[],3,FALSE)*VLOOKUP($M718,Vloersoorten[],3,FALSE)*VLOOKUP($T718,Frequenties[],3,FALSE)*VLOOKUP($A718,Locaties[],3,FALSE),0)</f>
        <v>0</v>
      </c>
      <c r="W718" s="185">
        <f>Ruimtestaat[[#This Row],[Uitvoeringen werkdagen]]*Ruimtestaat[[#This Row],[Oppervlak (netto)]]</f>
        <v>1920</v>
      </c>
      <c r="X718" s="220">
        <f>IF(V718&gt;0,Ruimtestaat[[#This Row],[Prest. (m2 /jaar) werkdagen]]/Ruimtestaat[[#This Row],[Norm (m2/uur) werkdagen]],0)</f>
        <v>0</v>
      </c>
      <c r="Y718" s="221">
        <f>Ruimtestaat[[#This Row],[uren / jaar werkdagen]]*Tariefsopbouw!$D$38</f>
        <v>0</v>
      </c>
      <c r="Z718" s="33"/>
      <c r="AA718" s="33">
        <f>IF(Ruimtestaat[[#This Row],[Frequentie weekend]]&gt;0,VALUE(LEFT(Z718,1))*S718,0)</f>
        <v>0</v>
      </c>
      <c r="AB718" s="33">
        <f>IF($AA718&gt;0,VLOOKUP($K718,Ruimtegroepen[],3,FALSE)*VLOOKUP($M718,Vloersoorten[],3,FALSE)*VLOOKUP($Z718,Frequenties[],3,FALSE)*VLOOKUP(#REF!,Locaties[],3,FALSE),0)</f>
        <v>0</v>
      </c>
      <c r="AC718" s="33"/>
      <c r="AD718" s="33"/>
      <c r="AE718" s="33">
        <f>Ruimtestaat[[#This Row],[uren / jaar weekend]]*Tariefsopbouw!$D$40</f>
        <v>0</v>
      </c>
      <c r="AF718" s="79">
        <f>Ruimtestaat[[#This Row],[Prest. (m2 /jaar) weekend]]+Ruimtestaat[[#This Row],[Prest. (m2 /jaar) werkdagen]]</f>
        <v>1920</v>
      </c>
      <c r="AG718" s="79">
        <f>Ruimtestaat[[#This Row],[uren / jaar weekend]]+Ruimtestaat[[#This Row],[uren / jaar werkdagen]]</f>
        <v>0</v>
      </c>
      <c r="AH718" s="80">
        <f>Ruimtestaat[[#This Row],[kosten / jaar weekend]]+Ruimtestaat[[#This Row],[kosten / jaar werkdagen]]</f>
        <v>0</v>
      </c>
    </row>
    <row r="719" spans="1:34" ht="15" customHeight="1">
      <c r="A719" s="256">
        <v>10</v>
      </c>
      <c r="B719" s="171" t="str">
        <f>VLOOKUP(Ruimtestaat[[#This Row],[Code]],Locaties[#All],2,FALSE)</f>
        <v>De Stapsteen (2 gebouwen)</v>
      </c>
      <c r="C719" s="258" t="str">
        <f>VLOOKUP(Ruimtestaat[[#This Row],[Code]],Locaties[#All],4,FALSE)</f>
        <v>J. Perkstraat 5-11</v>
      </c>
      <c r="D719" s="258" t="str">
        <f>VLOOKUP(Ruimtestaat[[#This Row],[Code]],Locaties[#All],5,FALSE)</f>
        <v>7532JR</v>
      </c>
      <c r="E719" s="258" t="str">
        <f>VLOOKUP(Ruimtestaat[[#This Row],[Code]],Locaties[#All],6,FALSE)</f>
        <v>Hengelo</v>
      </c>
      <c r="F719" s="257"/>
      <c r="G719" s="257" t="s">
        <v>563</v>
      </c>
      <c r="H719" s="171"/>
      <c r="I719" s="257" t="s">
        <v>487</v>
      </c>
      <c r="J719" s="259" t="s">
        <v>585</v>
      </c>
      <c r="K719" s="171">
        <v>20</v>
      </c>
      <c r="L719" s="260" t="str">
        <f>VLOOKUP(Ruimtestaat[[#This Row],[Ruimte code]],Ruimtegroepen[#All],2,FALSE)</f>
        <v>Niet in onderhoud</v>
      </c>
      <c r="M719" s="258" t="s">
        <v>598</v>
      </c>
      <c r="N719" s="257" t="s">
        <v>132</v>
      </c>
      <c r="O719" s="261"/>
      <c r="P719" s="183">
        <v>7</v>
      </c>
      <c r="Q719" s="212" t="str">
        <f>VLOOKUP(Ruimtestaat[[#This Row],[Ruimte code]],Ruimtegroepen[#All],4,FALSE)</f>
        <v>niet in onderhoud</v>
      </c>
      <c r="R719" s="184"/>
      <c r="S719" s="185"/>
      <c r="T719" s="185"/>
      <c r="U719" s="185">
        <f>IF(S719&gt;0,IF(RIGHT(Ruimtestaat[[#This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9" s="185">
        <f>IF(U719&gt;0,VLOOKUP($K719,Ruimtegroepen[],3,FALSE)*VLOOKUP($M719,Vloersoorten[],3,FALSE)*VLOOKUP($T719,Frequenties[],3,FALSE)*VLOOKUP($A719,Locaties[],3,FALSE),0)</f>
        <v>0</v>
      </c>
      <c r="W719" s="185">
        <f>Ruimtestaat[[#This Row],[Uitvoeringen werkdagen]]*Ruimtestaat[[#This Row],[Oppervlak (netto)]]</f>
        <v>0</v>
      </c>
      <c r="X719" s="220">
        <f>IF(V719&gt;0,Ruimtestaat[[#This Row],[Prest. (m2 /jaar) werkdagen]]/Ruimtestaat[[#This Row],[Norm (m2/uur) werkdagen]],0)</f>
        <v>0</v>
      </c>
      <c r="Y719" s="221">
        <f>Ruimtestaat[[#This Row],[uren / jaar werkdagen]]*Tariefsopbouw!$D$38</f>
        <v>0</v>
      </c>
      <c r="Z719" s="33"/>
      <c r="AA719" s="33">
        <f>IF(Ruimtestaat[[#This Row],[Frequentie weekend]]&gt;0,VALUE(LEFT(Z719,1))*S719,0)</f>
        <v>0</v>
      </c>
      <c r="AB719" s="33">
        <f>IF($AA719&gt;0,VLOOKUP($K719,Ruimtegroepen[],3,FALSE)*VLOOKUP($M719,Vloersoorten[],3,FALSE)*VLOOKUP($Z719,Frequenties[],3,FALSE)*VLOOKUP(#REF!,Locaties[],3,FALSE),0)</f>
        <v>0</v>
      </c>
      <c r="AC719" s="33"/>
      <c r="AD719" s="33"/>
      <c r="AE719" s="33">
        <f>Ruimtestaat[[#This Row],[uren / jaar weekend]]*Tariefsopbouw!$D$40</f>
        <v>0</v>
      </c>
      <c r="AF719" s="79">
        <f>Ruimtestaat[[#This Row],[Prest. (m2 /jaar) weekend]]+Ruimtestaat[[#This Row],[Prest. (m2 /jaar) werkdagen]]</f>
        <v>0</v>
      </c>
      <c r="AG719" s="79">
        <f>Ruimtestaat[[#This Row],[uren / jaar weekend]]+Ruimtestaat[[#This Row],[uren / jaar werkdagen]]</f>
        <v>0</v>
      </c>
      <c r="AH719" s="80">
        <f>Ruimtestaat[[#This Row],[kosten / jaar weekend]]+Ruimtestaat[[#This Row],[kosten / jaar werkdagen]]</f>
        <v>0</v>
      </c>
    </row>
    <row r="720" spans="1:34" ht="15" customHeight="1">
      <c r="A720" s="256">
        <v>10</v>
      </c>
      <c r="B720" s="171" t="str">
        <f>VLOOKUP(Ruimtestaat[[#This Row],[Code]],Locaties[#All],2,FALSE)</f>
        <v>De Stapsteen (2 gebouwen)</v>
      </c>
      <c r="C720" s="258" t="str">
        <f>VLOOKUP(Ruimtestaat[[#This Row],[Code]],Locaties[#All],4,FALSE)</f>
        <v>J. Perkstraat 5-11</v>
      </c>
      <c r="D720" s="258" t="str">
        <f>VLOOKUP(Ruimtestaat[[#This Row],[Code]],Locaties[#All],5,FALSE)</f>
        <v>7532JR</v>
      </c>
      <c r="E720" s="258" t="str">
        <f>VLOOKUP(Ruimtestaat[[#This Row],[Code]],Locaties[#All],6,FALSE)</f>
        <v>Hengelo</v>
      </c>
      <c r="F720" s="257"/>
      <c r="G720" s="257" t="s">
        <v>563</v>
      </c>
      <c r="H720" s="171"/>
      <c r="I720" s="257" t="s">
        <v>446</v>
      </c>
      <c r="J720" s="259" t="s">
        <v>40</v>
      </c>
      <c r="K720" s="258">
        <v>7</v>
      </c>
      <c r="L720" s="260" t="str">
        <f>VLOOKUP(Ruimtestaat[[#This Row],[Ruimte code]],Ruimtegroepen[#All],2,FALSE)</f>
        <v>Entree</v>
      </c>
      <c r="M720" s="258" t="s">
        <v>597</v>
      </c>
      <c r="N720" s="257" t="s">
        <v>604</v>
      </c>
      <c r="O720" s="261">
        <v>5</v>
      </c>
      <c r="P720" s="183"/>
      <c r="Q720" s="212" t="str">
        <f>VLOOKUP(Ruimtestaat[[#This Row],[Ruimte code]],Ruimtegroepen[#All],4,FALSE)</f>
        <v>V  (Verkeersruimte)</v>
      </c>
      <c r="R720" s="184"/>
      <c r="S720" s="185">
        <v>40</v>
      </c>
      <c r="T720" s="185" t="s">
        <v>2</v>
      </c>
      <c r="U720" s="185">
        <f>IF(S720&gt;0,IF(RIGHT(Ruimtestaat[[#This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0" s="185">
        <f>IF(U720&gt;0,VLOOKUP($K720,Ruimtegroepen[],3,FALSE)*VLOOKUP($M720,Vloersoorten[],3,FALSE)*VLOOKUP($T720,Frequenties[],3,FALSE)*VLOOKUP($A720,Locaties[],3,FALSE),0)</f>
        <v>0</v>
      </c>
      <c r="W720" s="185">
        <f>Ruimtestaat[[#This Row],[Uitvoeringen werkdagen]]*Ruimtestaat[[#This Row],[Oppervlak (netto)]]</f>
        <v>1000</v>
      </c>
      <c r="X720" s="220">
        <f>IF(V720&gt;0,Ruimtestaat[[#This Row],[Prest. (m2 /jaar) werkdagen]]/Ruimtestaat[[#This Row],[Norm (m2/uur) werkdagen]],0)</f>
        <v>0</v>
      </c>
      <c r="Y720" s="221">
        <f>Ruimtestaat[[#This Row],[uren / jaar werkdagen]]*Tariefsopbouw!$D$38</f>
        <v>0</v>
      </c>
      <c r="Z720" s="33"/>
      <c r="AA720" s="33">
        <f>IF(Ruimtestaat[[#This Row],[Frequentie weekend]]&gt;0,VALUE(LEFT(Z720,1))*S720,0)</f>
        <v>0</v>
      </c>
      <c r="AB720" s="33">
        <f>IF($AA720&gt;0,VLOOKUP($K720,Ruimtegroepen[],3,FALSE)*VLOOKUP($M720,Vloersoorten[],3,FALSE)*VLOOKUP($Z720,Frequenties[],3,FALSE)*VLOOKUP(#REF!,Locaties[],3,FALSE),0)</f>
        <v>0</v>
      </c>
      <c r="AC720" s="33"/>
      <c r="AD720" s="33"/>
      <c r="AE720" s="33">
        <f>Ruimtestaat[[#This Row],[uren / jaar weekend]]*Tariefsopbouw!$D$40</f>
        <v>0</v>
      </c>
      <c r="AF720" s="79">
        <f>Ruimtestaat[[#This Row],[Prest. (m2 /jaar) weekend]]+Ruimtestaat[[#This Row],[Prest. (m2 /jaar) werkdagen]]</f>
        <v>1000</v>
      </c>
      <c r="AG720" s="79">
        <f>Ruimtestaat[[#This Row],[uren / jaar weekend]]+Ruimtestaat[[#This Row],[uren / jaar werkdagen]]</f>
        <v>0</v>
      </c>
      <c r="AH720" s="80">
        <f>Ruimtestaat[[#This Row],[kosten / jaar weekend]]+Ruimtestaat[[#This Row],[kosten / jaar werkdagen]]</f>
        <v>0</v>
      </c>
    </row>
    <row r="721" spans="1:34" ht="15" customHeight="1">
      <c r="A721" s="256">
        <v>10</v>
      </c>
      <c r="B721" s="171" t="str">
        <f>VLOOKUP(Ruimtestaat[[#This Row],[Code]],Locaties[#All],2,FALSE)</f>
        <v>De Stapsteen (2 gebouwen)</v>
      </c>
      <c r="C721" s="258" t="str">
        <f>VLOOKUP(Ruimtestaat[[#This Row],[Code]],Locaties[#All],4,FALSE)</f>
        <v>J. Perkstraat 5-11</v>
      </c>
      <c r="D721" s="258" t="str">
        <f>VLOOKUP(Ruimtestaat[[#This Row],[Code]],Locaties[#All],5,FALSE)</f>
        <v>7532JR</v>
      </c>
      <c r="E721" s="258" t="str">
        <f>VLOOKUP(Ruimtestaat[[#This Row],[Code]],Locaties[#All],6,FALSE)</f>
        <v>Hengelo</v>
      </c>
      <c r="F721" s="257"/>
      <c r="G721" s="257" t="s">
        <v>563</v>
      </c>
      <c r="H721" s="171"/>
      <c r="I721" s="257" t="s">
        <v>447</v>
      </c>
      <c r="J721" s="259" t="s">
        <v>583</v>
      </c>
      <c r="K721" s="171">
        <v>20</v>
      </c>
      <c r="L721" s="260" t="str">
        <f>VLOOKUP(Ruimtestaat[[#This Row],[Ruimte code]],Ruimtegroepen[#All],2,FALSE)</f>
        <v>Niet in onderhoud</v>
      </c>
      <c r="M721" s="258" t="s">
        <v>598</v>
      </c>
      <c r="N721" s="257" t="s">
        <v>132</v>
      </c>
      <c r="O721" s="261"/>
      <c r="P721" s="183">
        <v>1.3</v>
      </c>
      <c r="Q721" s="212" t="str">
        <f>VLOOKUP(Ruimtestaat[[#This Row],[Ruimte code]],Ruimtegroepen[#All],4,FALSE)</f>
        <v>niet in onderhoud</v>
      </c>
      <c r="R721" s="184"/>
      <c r="S721" s="185"/>
      <c r="T721" s="185" t="s">
        <v>3</v>
      </c>
      <c r="U721" s="185">
        <f>IF(S721&gt;0,IF(RIGHT(Ruimtestaat[[#This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21" s="185">
        <f>IF(U721&gt;0,VLOOKUP($K721,Ruimtegroepen[],3,FALSE)*VLOOKUP($M721,Vloersoorten[],3,FALSE)*VLOOKUP($T721,Frequenties[],3,FALSE)*VLOOKUP($A721,Locaties[],3,FALSE),0)</f>
        <v>0</v>
      </c>
      <c r="W721" s="185">
        <f>Ruimtestaat[[#This Row],[Uitvoeringen werkdagen]]*Ruimtestaat[[#This Row],[Oppervlak (netto)]]</f>
        <v>0</v>
      </c>
      <c r="X721" s="220">
        <f>IF(V721&gt;0,Ruimtestaat[[#This Row],[Prest. (m2 /jaar) werkdagen]]/Ruimtestaat[[#This Row],[Norm (m2/uur) werkdagen]],0)</f>
        <v>0</v>
      </c>
      <c r="Y721" s="221">
        <f>Ruimtestaat[[#This Row],[uren / jaar werkdagen]]*Tariefsopbouw!$D$38</f>
        <v>0</v>
      </c>
      <c r="Z721" s="33"/>
      <c r="AA721" s="33">
        <f>IF(Ruimtestaat[[#This Row],[Frequentie weekend]]&gt;0,VALUE(LEFT(Z721,1))*S721,0)</f>
        <v>0</v>
      </c>
      <c r="AB721" s="33">
        <f>IF($AA721&gt;0,VLOOKUP($K721,Ruimtegroepen[],3,FALSE)*VLOOKUP($M721,Vloersoorten[],3,FALSE)*VLOOKUP($Z721,Frequenties[],3,FALSE)*VLOOKUP(#REF!,Locaties[],3,FALSE),0)</f>
        <v>0</v>
      </c>
      <c r="AC721" s="33"/>
      <c r="AD721" s="33"/>
      <c r="AE721" s="33">
        <f>Ruimtestaat[[#This Row],[uren / jaar weekend]]*Tariefsopbouw!$D$40</f>
        <v>0</v>
      </c>
      <c r="AF721" s="79">
        <f>Ruimtestaat[[#This Row],[Prest. (m2 /jaar) weekend]]+Ruimtestaat[[#This Row],[Prest. (m2 /jaar) werkdagen]]</f>
        <v>0</v>
      </c>
      <c r="AG721" s="79">
        <f>Ruimtestaat[[#This Row],[uren / jaar weekend]]+Ruimtestaat[[#This Row],[uren / jaar werkdagen]]</f>
        <v>0</v>
      </c>
      <c r="AH721" s="80">
        <f>Ruimtestaat[[#This Row],[kosten / jaar weekend]]+Ruimtestaat[[#This Row],[kosten / jaar werkdagen]]</f>
        <v>0</v>
      </c>
    </row>
    <row r="722" spans="1:34" ht="15" customHeight="1">
      <c r="A722" s="256">
        <v>10</v>
      </c>
      <c r="B722" s="171" t="str">
        <f>VLOOKUP(Ruimtestaat[[#This Row],[Code]],Locaties[#All],2,FALSE)</f>
        <v>De Stapsteen (2 gebouwen)</v>
      </c>
      <c r="C722" s="258" t="str">
        <f>VLOOKUP(Ruimtestaat[[#This Row],[Code]],Locaties[#All],4,FALSE)</f>
        <v>J. Perkstraat 5-11</v>
      </c>
      <c r="D722" s="258" t="str">
        <f>VLOOKUP(Ruimtestaat[[#This Row],[Code]],Locaties[#All],5,FALSE)</f>
        <v>7532JR</v>
      </c>
      <c r="E722" s="258" t="str">
        <f>VLOOKUP(Ruimtestaat[[#This Row],[Code]],Locaties[#All],6,FALSE)</f>
        <v>Hengelo</v>
      </c>
      <c r="F722" s="257"/>
      <c r="G722" s="257" t="s">
        <v>563</v>
      </c>
      <c r="H722" s="171"/>
      <c r="I722" s="257" t="s">
        <v>448</v>
      </c>
      <c r="J722" s="259" t="s">
        <v>615</v>
      </c>
      <c r="K722" s="185">
        <v>6</v>
      </c>
      <c r="L722" s="260" t="str">
        <f>VLOOKUP(Ruimtestaat[[#This Row],[Ruimte code]],Ruimtegroepen[#All],2,FALSE)</f>
        <v>Gangen/hallen</v>
      </c>
      <c r="M722" s="258" t="s">
        <v>598</v>
      </c>
      <c r="N722" s="257" t="s">
        <v>132</v>
      </c>
      <c r="O722" s="261">
        <v>70</v>
      </c>
      <c r="P722" s="183"/>
      <c r="Q722" s="212" t="str">
        <f>VLOOKUP(Ruimtestaat[[#This Row],[Ruimte code]],Ruimtegroepen[#All],4,FALSE)</f>
        <v>V  (Verkeersruimte)</v>
      </c>
      <c r="R722" s="184"/>
      <c r="S722" s="185">
        <v>40</v>
      </c>
      <c r="T722" s="185" t="s">
        <v>2</v>
      </c>
      <c r="U722" s="185">
        <f>IF(S722&gt;0,IF(RIGHT(Ruimtestaat[[#This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2" s="185">
        <f>IF(U722&gt;0,VLOOKUP($K722,Ruimtegroepen[],3,FALSE)*VLOOKUP($M722,Vloersoorten[],3,FALSE)*VLOOKUP($T722,Frequenties[],3,FALSE)*VLOOKUP($A722,Locaties[],3,FALSE),0)</f>
        <v>0</v>
      </c>
      <c r="W722" s="185">
        <f>Ruimtestaat[[#This Row],[Uitvoeringen werkdagen]]*Ruimtestaat[[#This Row],[Oppervlak (netto)]]</f>
        <v>14000</v>
      </c>
      <c r="X722" s="220">
        <f>IF(V722&gt;0,Ruimtestaat[[#This Row],[Prest. (m2 /jaar) werkdagen]]/Ruimtestaat[[#This Row],[Norm (m2/uur) werkdagen]],0)</f>
        <v>0</v>
      </c>
      <c r="Y722" s="221">
        <f>Ruimtestaat[[#This Row],[uren / jaar werkdagen]]*Tariefsopbouw!$D$38</f>
        <v>0</v>
      </c>
      <c r="Z722" s="33"/>
      <c r="AA722" s="33">
        <f>IF(Ruimtestaat[[#This Row],[Frequentie weekend]]&gt;0,VALUE(LEFT(Z722,1))*S722,0)</f>
        <v>0</v>
      </c>
      <c r="AB722" s="33">
        <f>IF($AA722&gt;0,VLOOKUP($K722,Ruimtegroepen[],3,FALSE)*VLOOKUP($M722,Vloersoorten[],3,FALSE)*VLOOKUP($Z722,Frequenties[],3,FALSE)*VLOOKUP(#REF!,Locaties[],3,FALSE),0)</f>
        <v>0</v>
      </c>
      <c r="AC722" s="33"/>
      <c r="AD722" s="33"/>
      <c r="AE722" s="33">
        <f>Ruimtestaat[[#This Row],[uren / jaar weekend]]*Tariefsopbouw!$D$40</f>
        <v>0</v>
      </c>
      <c r="AF722" s="79">
        <f>Ruimtestaat[[#This Row],[Prest. (m2 /jaar) weekend]]+Ruimtestaat[[#This Row],[Prest. (m2 /jaar) werkdagen]]</f>
        <v>14000</v>
      </c>
      <c r="AG722" s="79">
        <f>Ruimtestaat[[#This Row],[uren / jaar weekend]]+Ruimtestaat[[#This Row],[uren / jaar werkdagen]]</f>
        <v>0</v>
      </c>
      <c r="AH722" s="80">
        <f>Ruimtestaat[[#This Row],[kosten / jaar weekend]]+Ruimtestaat[[#This Row],[kosten / jaar werkdagen]]</f>
        <v>0</v>
      </c>
    </row>
    <row r="723" spans="1:34" ht="15" customHeight="1">
      <c r="A723" s="256">
        <v>10</v>
      </c>
      <c r="B723" s="171" t="str">
        <f>VLOOKUP(Ruimtestaat[[#This Row],[Code]],Locaties[#All],2,FALSE)</f>
        <v>De Stapsteen (2 gebouwen)</v>
      </c>
      <c r="C723" s="258" t="str">
        <f>VLOOKUP(Ruimtestaat[[#This Row],[Code]],Locaties[#All],4,FALSE)</f>
        <v>J. Perkstraat 5-11</v>
      </c>
      <c r="D723" s="258" t="str">
        <f>VLOOKUP(Ruimtestaat[[#This Row],[Code]],Locaties[#All],5,FALSE)</f>
        <v>7532JR</v>
      </c>
      <c r="E723" s="258" t="str">
        <f>VLOOKUP(Ruimtestaat[[#This Row],[Code]],Locaties[#All],6,FALSE)</f>
        <v>Hengelo</v>
      </c>
      <c r="F723" s="257"/>
      <c r="G723" s="257" t="s">
        <v>563</v>
      </c>
      <c r="H723" s="171"/>
      <c r="I723" s="257" t="s">
        <v>678</v>
      </c>
      <c r="J723" s="259" t="s">
        <v>574</v>
      </c>
      <c r="K723" s="258">
        <v>6</v>
      </c>
      <c r="L723" s="260" t="str">
        <f>VLOOKUP(Ruimtestaat[[#This Row],[Ruimte code]],Ruimtegroepen[#All],2,FALSE)</f>
        <v>Gangen/hallen</v>
      </c>
      <c r="M723" s="258" t="s">
        <v>598</v>
      </c>
      <c r="N723" s="257" t="s">
        <v>132</v>
      </c>
      <c r="O723" s="261">
        <v>94</v>
      </c>
      <c r="P723" s="183"/>
      <c r="Q723" s="212" t="str">
        <f>VLOOKUP(Ruimtestaat[[#This Row],[Ruimte code]],Ruimtegroepen[#All],4,FALSE)</f>
        <v>V  (Verkeersruimte)</v>
      </c>
      <c r="R723" s="184"/>
      <c r="S723" s="185">
        <v>40</v>
      </c>
      <c r="T723" s="185" t="s">
        <v>2</v>
      </c>
      <c r="U723" s="185">
        <f>IF(S723&gt;0,IF(RIGHT(Ruimtestaat[[#This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3" s="185">
        <f>IF(U723&gt;0,VLOOKUP($K723,Ruimtegroepen[],3,FALSE)*VLOOKUP($M723,Vloersoorten[],3,FALSE)*VLOOKUP($T723,Frequenties[],3,FALSE)*VLOOKUP($A723,Locaties[],3,FALSE),0)</f>
        <v>0</v>
      </c>
      <c r="W723" s="185">
        <f>Ruimtestaat[[#This Row],[Uitvoeringen werkdagen]]*Ruimtestaat[[#This Row],[Oppervlak (netto)]]</f>
        <v>18800</v>
      </c>
      <c r="X723" s="220">
        <f>IF(V723&gt;0,Ruimtestaat[[#This Row],[Prest. (m2 /jaar) werkdagen]]/Ruimtestaat[[#This Row],[Norm (m2/uur) werkdagen]],0)</f>
        <v>0</v>
      </c>
      <c r="Y723" s="221">
        <f>Ruimtestaat[[#This Row],[uren / jaar werkdagen]]*Tariefsopbouw!$D$38</f>
        <v>0</v>
      </c>
      <c r="Z723" s="33"/>
      <c r="AA723" s="33">
        <f>IF(Ruimtestaat[[#This Row],[Frequentie weekend]]&gt;0,VALUE(LEFT(Z723,1))*S723,0)</f>
        <v>0</v>
      </c>
      <c r="AB723" s="33">
        <f>IF($AA723&gt;0,VLOOKUP($K723,Ruimtegroepen[],3,FALSE)*VLOOKUP($M723,Vloersoorten[],3,FALSE)*VLOOKUP($Z723,Frequenties[],3,FALSE)*VLOOKUP(#REF!,Locaties[],3,FALSE),0)</f>
        <v>0</v>
      </c>
      <c r="AC723" s="33"/>
      <c r="AD723" s="33"/>
      <c r="AE723" s="33">
        <f>Ruimtestaat[[#This Row],[uren / jaar weekend]]*Tariefsopbouw!$D$40</f>
        <v>0</v>
      </c>
      <c r="AF723" s="79">
        <f>Ruimtestaat[[#This Row],[Prest. (m2 /jaar) weekend]]+Ruimtestaat[[#This Row],[Prest. (m2 /jaar) werkdagen]]</f>
        <v>18800</v>
      </c>
      <c r="AG723" s="79">
        <f>Ruimtestaat[[#This Row],[uren / jaar weekend]]+Ruimtestaat[[#This Row],[uren / jaar werkdagen]]</f>
        <v>0</v>
      </c>
      <c r="AH723" s="80">
        <f>Ruimtestaat[[#This Row],[kosten / jaar weekend]]+Ruimtestaat[[#This Row],[kosten / jaar werkdagen]]</f>
        <v>0</v>
      </c>
    </row>
    <row r="724" spans="1:34" ht="15" customHeight="1">
      <c r="A724" s="256">
        <v>10</v>
      </c>
      <c r="B724" s="171" t="str">
        <f>VLOOKUP(Ruimtestaat[[#This Row],[Code]],Locaties[#All],2,FALSE)</f>
        <v>De Stapsteen (2 gebouwen)</v>
      </c>
      <c r="C724" s="258" t="str">
        <f>VLOOKUP(Ruimtestaat[[#This Row],[Code]],Locaties[#All],4,FALSE)</f>
        <v>J. Perkstraat 5-11</v>
      </c>
      <c r="D724" s="258" t="str">
        <f>VLOOKUP(Ruimtestaat[[#This Row],[Code]],Locaties[#All],5,FALSE)</f>
        <v>7532JR</v>
      </c>
      <c r="E724" s="258" t="str">
        <f>VLOOKUP(Ruimtestaat[[#This Row],[Code]],Locaties[#All],6,FALSE)</f>
        <v>Hengelo</v>
      </c>
      <c r="F724" s="257"/>
      <c r="G724" s="257" t="s">
        <v>563</v>
      </c>
      <c r="H724" s="171"/>
      <c r="I724" s="257" t="s">
        <v>679</v>
      </c>
      <c r="J724" s="259" t="s">
        <v>574</v>
      </c>
      <c r="K724" s="258">
        <v>6</v>
      </c>
      <c r="L724" s="260" t="str">
        <f>VLOOKUP(Ruimtestaat[[#This Row],[Ruimte code]],Ruimtegroepen[#All],2,FALSE)</f>
        <v>Gangen/hallen</v>
      </c>
      <c r="M724" s="185" t="s">
        <v>598</v>
      </c>
      <c r="N724" s="257" t="s">
        <v>132</v>
      </c>
      <c r="O724" s="261">
        <v>65</v>
      </c>
      <c r="P724" s="183"/>
      <c r="Q724" s="212" t="str">
        <f>VLOOKUP(Ruimtestaat[[#This Row],[Ruimte code]],Ruimtegroepen[#All],4,FALSE)</f>
        <v>V  (Verkeersruimte)</v>
      </c>
      <c r="R724" s="184"/>
      <c r="S724" s="185">
        <v>40</v>
      </c>
      <c r="T724" s="185" t="s">
        <v>2</v>
      </c>
      <c r="U724" s="185">
        <f>IF(S724&gt;0,IF(RIGHT(Ruimtestaat[[#This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4" s="185">
        <f>IF(U724&gt;0,VLOOKUP($K724,Ruimtegroepen[],3,FALSE)*VLOOKUP($M724,Vloersoorten[],3,FALSE)*VLOOKUP($T724,Frequenties[],3,FALSE)*VLOOKUP($A724,Locaties[],3,FALSE),0)</f>
        <v>0</v>
      </c>
      <c r="W724" s="185">
        <f>Ruimtestaat[[#This Row],[Uitvoeringen werkdagen]]*Ruimtestaat[[#This Row],[Oppervlak (netto)]]</f>
        <v>13000</v>
      </c>
      <c r="X724" s="220">
        <f>IF(V724&gt;0,Ruimtestaat[[#This Row],[Prest. (m2 /jaar) werkdagen]]/Ruimtestaat[[#This Row],[Norm (m2/uur) werkdagen]],0)</f>
        <v>0</v>
      </c>
      <c r="Y724" s="221">
        <f>Ruimtestaat[[#This Row],[uren / jaar werkdagen]]*Tariefsopbouw!$D$38</f>
        <v>0</v>
      </c>
      <c r="Z724" s="33"/>
      <c r="AA724" s="33">
        <f>IF(Ruimtestaat[[#This Row],[Frequentie weekend]]&gt;0,VALUE(LEFT(Z724,1))*S724,0)</f>
        <v>0</v>
      </c>
      <c r="AB724" s="33">
        <f>IF($AA724&gt;0,VLOOKUP($K724,Ruimtegroepen[],3,FALSE)*VLOOKUP($M724,Vloersoorten[],3,FALSE)*VLOOKUP($Z724,Frequenties[],3,FALSE)*VLOOKUP(#REF!,Locaties[],3,FALSE),0)</f>
        <v>0</v>
      </c>
      <c r="AC724" s="33"/>
      <c r="AD724" s="33"/>
      <c r="AE724" s="33">
        <f>Ruimtestaat[[#This Row],[uren / jaar weekend]]*Tariefsopbouw!$D$40</f>
        <v>0</v>
      </c>
      <c r="AF724" s="79">
        <f>Ruimtestaat[[#This Row],[Prest. (m2 /jaar) weekend]]+Ruimtestaat[[#This Row],[Prest. (m2 /jaar) werkdagen]]</f>
        <v>13000</v>
      </c>
      <c r="AG724" s="79">
        <f>Ruimtestaat[[#This Row],[uren / jaar weekend]]+Ruimtestaat[[#This Row],[uren / jaar werkdagen]]</f>
        <v>0</v>
      </c>
      <c r="AH724" s="80">
        <f>Ruimtestaat[[#This Row],[kosten / jaar weekend]]+Ruimtestaat[[#This Row],[kosten / jaar werkdagen]]</f>
        <v>0</v>
      </c>
    </row>
    <row r="725" spans="1:34" ht="15" customHeight="1">
      <c r="A725" s="256">
        <v>10</v>
      </c>
      <c r="B725" s="171" t="str">
        <f>VLOOKUP(Ruimtestaat[[#This Row],[Code]],Locaties[#All],2,FALSE)</f>
        <v>De Stapsteen (2 gebouwen)</v>
      </c>
      <c r="C725" s="258" t="str">
        <f>VLOOKUP(Ruimtestaat[[#This Row],[Code]],Locaties[#All],4,FALSE)</f>
        <v>J. Perkstraat 5-11</v>
      </c>
      <c r="D725" s="258" t="str">
        <f>VLOOKUP(Ruimtestaat[[#This Row],[Code]],Locaties[#All],5,FALSE)</f>
        <v>7532JR</v>
      </c>
      <c r="E725" s="258" t="str">
        <f>VLOOKUP(Ruimtestaat[[#This Row],[Code]],Locaties[#All],6,FALSE)</f>
        <v>Hengelo</v>
      </c>
      <c r="F725" s="257"/>
      <c r="G725" s="257" t="s">
        <v>563</v>
      </c>
      <c r="H725" s="171"/>
      <c r="I725" s="257" t="s">
        <v>680</v>
      </c>
      <c r="J725" s="259" t="s">
        <v>574</v>
      </c>
      <c r="K725" s="258">
        <v>6</v>
      </c>
      <c r="L725" s="260" t="str">
        <f>VLOOKUP(Ruimtestaat[[#This Row],[Ruimte code]],Ruimtegroepen[#All],2,FALSE)</f>
        <v>Gangen/hallen</v>
      </c>
      <c r="M725" s="185" t="s">
        <v>598</v>
      </c>
      <c r="N725" s="257" t="s">
        <v>132</v>
      </c>
      <c r="O725" s="261">
        <v>30</v>
      </c>
      <c r="P725" s="183"/>
      <c r="Q725" s="212" t="str">
        <f>VLOOKUP(Ruimtestaat[[#This Row],[Ruimte code]],Ruimtegroepen[#All],4,FALSE)</f>
        <v>V  (Verkeersruimte)</v>
      </c>
      <c r="R725" s="184"/>
      <c r="S725" s="185">
        <v>40</v>
      </c>
      <c r="T725" s="185" t="s">
        <v>2</v>
      </c>
      <c r="U725" s="185">
        <f>IF(S725&gt;0,IF(RIGHT(Ruimtestaat[[#This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5" s="185">
        <f>IF(U725&gt;0,VLOOKUP($K725,Ruimtegroepen[],3,FALSE)*VLOOKUP($M725,Vloersoorten[],3,FALSE)*VLOOKUP($T725,Frequenties[],3,FALSE)*VLOOKUP($A725,Locaties[],3,FALSE),0)</f>
        <v>0</v>
      </c>
      <c r="W725" s="185">
        <f>Ruimtestaat[[#This Row],[Uitvoeringen werkdagen]]*Ruimtestaat[[#This Row],[Oppervlak (netto)]]</f>
        <v>6000</v>
      </c>
      <c r="X725" s="220">
        <f>IF(V725&gt;0,Ruimtestaat[[#This Row],[Prest. (m2 /jaar) werkdagen]]/Ruimtestaat[[#This Row],[Norm (m2/uur) werkdagen]],0)</f>
        <v>0</v>
      </c>
      <c r="Y725" s="221">
        <f>Ruimtestaat[[#This Row],[uren / jaar werkdagen]]*Tariefsopbouw!$D$38</f>
        <v>0</v>
      </c>
      <c r="Z725" s="33"/>
      <c r="AA725" s="33">
        <f>IF(Ruimtestaat[[#This Row],[Frequentie weekend]]&gt;0,VALUE(LEFT(Z725,1))*S725,0)</f>
        <v>0</v>
      </c>
      <c r="AB725" s="33">
        <f>IF($AA725&gt;0,VLOOKUP($K725,Ruimtegroepen[],3,FALSE)*VLOOKUP($M725,Vloersoorten[],3,FALSE)*VLOOKUP($Z725,Frequenties[],3,FALSE)*VLOOKUP(#REF!,Locaties[],3,FALSE),0)</f>
        <v>0</v>
      </c>
      <c r="AC725" s="33"/>
      <c r="AD725" s="33"/>
      <c r="AE725" s="33">
        <f>Ruimtestaat[[#This Row],[uren / jaar weekend]]*Tariefsopbouw!$D$40</f>
        <v>0</v>
      </c>
      <c r="AF725" s="79">
        <f>Ruimtestaat[[#This Row],[Prest. (m2 /jaar) weekend]]+Ruimtestaat[[#This Row],[Prest. (m2 /jaar) werkdagen]]</f>
        <v>6000</v>
      </c>
      <c r="AG725" s="79">
        <f>Ruimtestaat[[#This Row],[uren / jaar weekend]]+Ruimtestaat[[#This Row],[uren / jaar werkdagen]]</f>
        <v>0</v>
      </c>
      <c r="AH725" s="80">
        <f>Ruimtestaat[[#This Row],[kosten / jaar weekend]]+Ruimtestaat[[#This Row],[kosten / jaar werkdagen]]</f>
        <v>0</v>
      </c>
    </row>
    <row r="726" spans="1:34" ht="15" customHeight="1">
      <c r="A726" s="256">
        <v>10</v>
      </c>
      <c r="B726" s="171" t="str">
        <f>VLOOKUP(Ruimtestaat[[#This Row],[Code]],Locaties[#All],2,FALSE)</f>
        <v>De Stapsteen (2 gebouwen)</v>
      </c>
      <c r="C726" s="258" t="str">
        <f>VLOOKUP(Ruimtestaat[[#This Row],[Code]],Locaties[#All],4,FALSE)</f>
        <v>J. Perkstraat 5-11</v>
      </c>
      <c r="D726" s="258" t="str">
        <f>VLOOKUP(Ruimtestaat[[#This Row],[Code]],Locaties[#All],5,FALSE)</f>
        <v>7532JR</v>
      </c>
      <c r="E726" s="258" t="str">
        <f>VLOOKUP(Ruimtestaat[[#This Row],[Code]],Locaties[#All],6,FALSE)</f>
        <v>Hengelo</v>
      </c>
      <c r="F726" s="257"/>
      <c r="G726" s="257" t="s">
        <v>563</v>
      </c>
      <c r="H726" s="171"/>
      <c r="I726" s="257" t="s">
        <v>681</v>
      </c>
      <c r="J726" s="259" t="s">
        <v>574</v>
      </c>
      <c r="K726" s="258">
        <v>6</v>
      </c>
      <c r="L726" s="260" t="str">
        <f>VLOOKUP(Ruimtestaat[[#This Row],[Ruimte code]],Ruimtegroepen[#All],2,FALSE)</f>
        <v>Gangen/hallen</v>
      </c>
      <c r="M726" s="258" t="s">
        <v>598</v>
      </c>
      <c r="N726" s="257" t="s">
        <v>132</v>
      </c>
      <c r="O726" s="261">
        <v>70</v>
      </c>
      <c r="P726" s="183"/>
      <c r="Q726" s="212" t="str">
        <f>VLOOKUP(Ruimtestaat[[#This Row],[Ruimte code]],Ruimtegroepen[#All],4,FALSE)</f>
        <v>V  (Verkeersruimte)</v>
      </c>
      <c r="R726" s="184"/>
      <c r="S726" s="185">
        <v>40</v>
      </c>
      <c r="T726" s="185" t="s">
        <v>2</v>
      </c>
      <c r="U726" s="185">
        <f>IF(S726&gt;0,IF(RIGHT(Ruimtestaat[[#This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6" s="185">
        <f>IF(U726&gt;0,VLOOKUP($K726,Ruimtegroepen[],3,FALSE)*VLOOKUP($M726,Vloersoorten[],3,FALSE)*VLOOKUP($T726,Frequenties[],3,FALSE)*VLOOKUP($A726,Locaties[],3,FALSE),0)</f>
        <v>0</v>
      </c>
      <c r="W726" s="185">
        <f>Ruimtestaat[[#This Row],[Uitvoeringen werkdagen]]*Ruimtestaat[[#This Row],[Oppervlak (netto)]]</f>
        <v>14000</v>
      </c>
      <c r="X726" s="220">
        <f>IF(V726&gt;0,Ruimtestaat[[#This Row],[Prest. (m2 /jaar) werkdagen]]/Ruimtestaat[[#This Row],[Norm (m2/uur) werkdagen]],0)</f>
        <v>0</v>
      </c>
      <c r="Y726" s="221">
        <f>Ruimtestaat[[#This Row],[uren / jaar werkdagen]]*Tariefsopbouw!$D$38</f>
        <v>0</v>
      </c>
      <c r="Z726" s="33"/>
      <c r="AA726" s="33">
        <f>IF(Ruimtestaat[[#This Row],[Frequentie weekend]]&gt;0,VALUE(LEFT(Z726,1))*S726,0)</f>
        <v>0</v>
      </c>
      <c r="AB726" s="33">
        <f>IF($AA726&gt;0,VLOOKUP($K726,Ruimtegroepen[],3,FALSE)*VLOOKUP($M726,Vloersoorten[],3,FALSE)*VLOOKUP($Z726,Frequenties[],3,FALSE)*VLOOKUP(#REF!,Locaties[],3,FALSE),0)</f>
        <v>0</v>
      </c>
      <c r="AC726" s="33"/>
      <c r="AD726" s="33"/>
      <c r="AE726" s="33">
        <f>Ruimtestaat[[#This Row],[uren / jaar weekend]]*Tariefsopbouw!$D$40</f>
        <v>0</v>
      </c>
      <c r="AF726" s="79">
        <f>Ruimtestaat[[#This Row],[Prest. (m2 /jaar) weekend]]+Ruimtestaat[[#This Row],[Prest. (m2 /jaar) werkdagen]]</f>
        <v>14000</v>
      </c>
      <c r="AG726" s="79">
        <f>Ruimtestaat[[#This Row],[uren / jaar weekend]]+Ruimtestaat[[#This Row],[uren / jaar werkdagen]]</f>
        <v>0</v>
      </c>
      <c r="AH726" s="80">
        <f>Ruimtestaat[[#This Row],[kosten / jaar weekend]]+Ruimtestaat[[#This Row],[kosten / jaar werkdagen]]</f>
        <v>0</v>
      </c>
    </row>
    <row r="727" spans="1:34" ht="15" customHeight="1">
      <c r="A727" s="256">
        <v>10</v>
      </c>
      <c r="B727" s="171" t="str">
        <f>VLOOKUP(Ruimtestaat[[#This Row],[Code]],Locaties[#All],2,FALSE)</f>
        <v>De Stapsteen (2 gebouwen)</v>
      </c>
      <c r="C727" s="258" t="str">
        <f>VLOOKUP(Ruimtestaat[[#This Row],[Code]],Locaties[#All],4,FALSE)</f>
        <v>J. Perkstraat 5-11</v>
      </c>
      <c r="D727" s="258" t="str">
        <f>VLOOKUP(Ruimtestaat[[#This Row],[Code]],Locaties[#All],5,FALSE)</f>
        <v>7532JR</v>
      </c>
      <c r="E727" s="258" t="str">
        <f>VLOOKUP(Ruimtestaat[[#This Row],[Code]],Locaties[#All],6,FALSE)</f>
        <v>Hengelo</v>
      </c>
      <c r="F727" s="257"/>
      <c r="G727" s="257" t="s">
        <v>563</v>
      </c>
      <c r="H727" s="171"/>
      <c r="I727" s="257" t="s">
        <v>449</v>
      </c>
      <c r="J727" s="259" t="s">
        <v>571</v>
      </c>
      <c r="K727" s="224">
        <v>2</v>
      </c>
      <c r="L727" s="260" t="str">
        <f>VLOOKUP(Ruimtestaat[[#This Row],[Ruimte code]],Ruimtegroepen[#All],2,FALSE)</f>
        <v>Kantoren</v>
      </c>
      <c r="M727" s="258" t="s">
        <v>597</v>
      </c>
      <c r="N727" s="257" t="s">
        <v>38</v>
      </c>
      <c r="O727" s="261">
        <v>20</v>
      </c>
      <c r="P727" s="183"/>
      <c r="Q727" s="212" t="str">
        <f>VLOOKUP(Ruimtestaat[[#This Row],[Ruimte code]],Ruimtegroepen[#All],4,FALSE)</f>
        <v>B  (Bureauruimte)</v>
      </c>
      <c r="R727" s="184"/>
      <c r="S727" s="185">
        <v>40</v>
      </c>
      <c r="T727" s="185" t="s">
        <v>18</v>
      </c>
      <c r="U727" s="185">
        <f>IF(S727&gt;0,IF(RIGHT(Ruimtestaat[[#This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27" s="185">
        <f>IF(U727&gt;0,VLOOKUP($K727,Ruimtegroepen[],3,FALSE)*VLOOKUP($M727,Vloersoorten[],3,FALSE)*VLOOKUP($T727,Frequenties[],3,FALSE)*VLOOKUP($A727,Locaties[],3,FALSE),0)</f>
        <v>0</v>
      </c>
      <c r="W727" s="185">
        <f>Ruimtestaat[[#This Row],[Uitvoeringen werkdagen]]*Ruimtestaat[[#This Row],[Oppervlak (netto)]]</f>
        <v>2400</v>
      </c>
      <c r="X727" s="220">
        <f>IF(V727&gt;0,Ruimtestaat[[#This Row],[Prest. (m2 /jaar) werkdagen]]/Ruimtestaat[[#This Row],[Norm (m2/uur) werkdagen]],0)</f>
        <v>0</v>
      </c>
      <c r="Y727" s="221">
        <f>Ruimtestaat[[#This Row],[uren / jaar werkdagen]]*Tariefsopbouw!$D$38</f>
        <v>0</v>
      </c>
      <c r="Z727" s="33"/>
      <c r="AA727" s="33">
        <f>IF(Ruimtestaat[[#This Row],[Frequentie weekend]]&gt;0,VALUE(LEFT(Z727,1))*S727,0)</f>
        <v>0</v>
      </c>
      <c r="AB727" s="33">
        <f>IF($AA727&gt;0,VLOOKUP($K727,Ruimtegroepen[],3,FALSE)*VLOOKUP($M727,Vloersoorten[],3,FALSE)*VLOOKUP($Z727,Frequenties[],3,FALSE)*VLOOKUP(#REF!,Locaties[],3,FALSE),0)</f>
        <v>0</v>
      </c>
      <c r="AC727" s="33"/>
      <c r="AD727" s="33"/>
      <c r="AE727" s="33">
        <f>Ruimtestaat[[#This Row],[uren / jaar weekend]]*Tariefsopbouw!$D$40</f>
        <v>0</v>
      </c>
      <c r="AF727" s="79">
        <f>Ruimtestaat[[#This Row],[Prest. (m2 /jaar) weekend]]+Ruimtestaat[[#This Row],[Prest. (m2 /jaar) werkdagen]]</f>
        <v>2400</v>
      </c>
      <c r="AG727" s="79">
        <f>Ruimtestaat[[#This Row],[uren / jaar weekend]]+Ruimtestaat[[#This Row],[uren / jaar werkdagen]]</f>
        <v>0</v>
      </c>
      <c r="AH727" s="80">
        <f>Ruimtestaat[[#This Row],[kosten / jaar weekend]]+Ruimtestaat[[#This Row],[kosten / jaar werkdagen]]</f>
        <v>0</v>
      </c>
    </row>
    <row r="728" spans="1:34" ht="15" customHeight="1">
      <c r="A728" s="256">
        <v>10</v>
      </c>
      <c r="B728" s="171" t="str">
        <f>VLOOKUP(Ruimtestaat[[#This Row],[Code]],Locaties[#All],2,FALSE)</f>
        <v>De Stapsteen (2 gebouwen)</v>
      </c>
      <c r="C728" s="258" t="str">
        <f>VLOOKUP(Ruimtestaat[[#This Row],[Code]],Locaties[#All],4,FALSE)</f>
        <v>J. Perkstraat 5-11</v>
      </c>
      <c r="D728" s="258" t="str">
        <f>VLOOKUP(Ruimtestaat[[#This Row],[Code]],Locaties[#All],5,FALSE)</f>
        <v>7532JR</v>
      </c>
      <c r="E728" s="258" t="str">
        <f>VLOOKUP(Ruimtestaat[[#This Row],[Code]],Locaties[#All],6,FALSE)</f>
        <v>Hengelo</v>
      </c>
      <c r="F728" s="257"/>
      <c r="G728" s="257" t="s">
        <v>563</v>
      </c>
      <c r="H728" s="171"/>
      <c r="I728" s="257" t="s">
        <v>450</v>
      </c>
      <c r="J728" s="259" t="s">
        <v>571</v>
      </c>
      <c r="K728" s="258">
        <v>2</v>
      </c>
      <c r="L728" s="260" t="str">
        <f>VLOOKUP(Ruimtestaat[[#This Row],[Ruimte code]],Ruimtegroepen[#All],2,FALSE)</f>
        <v>Kantoren</v>
      </c>
      <c r="M728" s="212" t="s">
        <v>597</v>
      </c>
      <c r="N728" s="257" t="s">
        <v>38</v>
      </c>
      <c r="O728" s="261">
        <v>20</v>
      </c>
      <c r="P728" s="183"/>
      <c r="Q728" s="212" t="str">
        <f>VLOOKUP(Ruimtestaat[[#This Row],[Ruimte code]],Ruimtegroepen[#All],4,FALSE)</f>
        <v>B  (Bureauruimte)</v>
      </c>
      <c r="R728" s="184"/>
      <c r="S728" s="185">
        <v>40</v>
      </c>
      <c r="T728" s="185" t="s">
        <v>18</v>
      </c>
      <c r="U728" s="185">
        <f>IF(S728&gt;0,IF(RIGHT(Ruimtestaat[[#This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28" s="185">
        <f>IF(U728&gt;0,VLOOKUP($K728,Ruimtegroepen[],3,FALSE)*VLOOKUP($M728,Vloersoorten[],3,FALSE)*VLOOKUP($T728,Frequenties[],3,FALSE)*VLOOKUP($A728,Locaties[],3,FALSE),0)</f>
        <v>0</v>
      </c>
      <c r="W728" s="185">
        <f>Ruimtestaat[[#This Row],[Uitvoeringen werkdagen]]*Ruimtestaat[[#This Row],[Oppervlak (netto)]]</f>
        <v>2400</v>
      </c>
      <c r="X728" s="220">
        <f>IF(V728&gt;0,Ruimtestaat[[#This Row],[Prest. (m2 /jaar) werkdagen]]/Ruimtestaat[[#This Row],[Norm (m2/uur) werkdagen]],0)</f>
        <v>0</v>
      </c>
      <c r="Y728" s="221">
        <f>Ruimtestaat[[#This Row],[uren / jaar werkdagen]]*Tariefsopbouw!$D$38</f>
        <v>0</v>
      </c>
      <c r="Z728" s="33"/>
      <c r="AA728" s="33">
        <f>IF(Ruimtestaat[[#This Row],[Frequentie weekend]]&gt;0,VALUE(LEFT(Z728,1))*S728,0)</f>
        <v>0</v>
      </c>
      <c r="AB728" s="33">
        <f>IF($AA728&gt;0,VLOOKUP($K728,Ruimtegroepen[],3,FALSE)*VLOOKUP($M728,Vloersoorten[],3,FALSE)*VLOOKUP($Z728,Frequenties[],3,FALSE)*VLOOKUP(#REF!,Locaties[],3,FALSE),0)</f>
        <v>0</v>
      </c>
      <c r="AC728" s="33"/>
      <c r="AD728" s="33"/>
      <c r="AE728" s="33">
        <f>Ruimtestaat[[#This Row],[uren / jaar weekend]]*Tariefsopbouw!$D$40</f>
        <v>0</v>
      </c>
      <c r="AF728" s="79">
        <f>Ruimtestaat[[#This Row],[Prest. (m2 /jaar) weekend]]+Ruimtestaat[[#This Row],[Prest. (m2 /jaar) werkdagen]]</f>
        <v>2400</v>
      </c>
      <c r="AG728" s="79">
        <f>Ruimtestaat[[#This Row],[uren / jaar weekend]]+Ruimtestaat[[#This Row],[uren / jaar werkdagen]]</f>
        <v>0</v>
      </c>
      <c r="AH728" s="80">
        <f>Ruimtestaat[[#This Row],[kosten / jaar weekend]]+Ruimtestaat[[#This Row],[kosten / jaar werkdagen]]</f>
        <v>0</v>
      </c>
    </row>
    <row r="729" spans="1:34" ht="15" customHeight="1">
      <c r="A729" s="256">
        <v>10</v>
      </c>
      <c r="B729" s="171" t="str">
        <f>VLOOKUP(Ruimtestaat[[#This Row],[Code]],Locaties[#All],2,FALSE)</f>
        <v>De Stapsteen (2 gebouwen)</v>
      </c>
      <c r="C729" s="258" t="str">
        <f>VLOOKUP(Ruimtestaat[[#This Row],[Code]],Locaties[#All],4,FALSE)</f>
        <v>J. Perkstraat 5-11</v>
      </c>
      <c r="D729" s="258" t="str">
        <f>VLOOKUP(Ruimtestaat[[#This Row],[Code]],Locaties[#All],5,FALSE)</f>
        <v>7532JR</v>
      </c>
      <c r="E729" s="258" t="str">
        <f>VLOOKUP(Ruimtestaat[[#This Row],[Code]],Locaties[#All],6,FALSE)</f>
        <v>Hengelo</v>
      </c>
      <c r="F729" s="257"/>
      <c r="G729" s="257" t="s">
        <v>563</v>
      </c>
      <c r="H729" s="171"/>
      <c r="I729" s="257" t="s">
        <v>451</v>
      </c>
      <c r="J729" s="259" t="s">
        <v>687</v>
      </c>
      <c r="K729" s="171">
        <v>13</v>
      </c>
      <c r="L729" s="260" t="str">
        <f>VLOOKUP(Ruimtestaat[[#This Row],[Ruimte code]],Ruimtegroepen[#All],2,FALSE)</f>
        <v>Behandelkamer</v>
      </c>
      <c r="M729" s="258" t="s">
        <v>598</v>
      </c>
      <c r="N729" s="257" t="s">
        <v>132</v>
      </c>
      <c r="O729" s="261">
        <v>40</v>
      </c>
      <c r="P729" s="183"/>
      <c r="Q729" s="212" t="str">
        <f>VLOOKUP(Ruimtestaat[[#This Row],[Ruimte code]],Ruimtegroepen[#All],4,FALSE)</f>
        <v>B  (Bureauruimte)</v>
      </c>
      <c r="R729" s="184"/>
      <c r="S729" s="185">
        <v>40</v>
      </c>
      <c r="T729" s="185" t="s">
        <v>2</v>
      </c>
      <c r="U729" s="185">
        <f>IF(S729&gt;0,IF(RIGHT(Ruimtestaat[[#This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9" s="185">
        <f>IF(U729&gt;0,VLOOKUP($K729,Ruimtegroepen[],3,FALSE)*VLOOKUP($M729,Vloersoorten[],3,FALSE)*VLOOKUP($T729,Frequenties[],3,FALSE)*VLOOKUP($A729,Locaties[],3,FALSE),0)</f>
        <v>0</v>
      </c>
      <c r="W729" s="185">
        <f>Ruimtestaat[[#This Row],[Uitvoeringen werkdagen]]*Ruimtestaat[[#This Row],[Oppervlak (netto)]]</f>
        <v>8000</v>
      </c>
      <c r="X729" s="220">
        <f>IF(V729&gt;0,Ruimtestaat[[#This Row],[Prest. (m2 /jaar) werkdagen]]/Ruimtestaat[[#This Row],[Norm (m2/uur) werkdagen]],0)</f>
        <v>0</v>
      </c>
      <c r="Y729" s="221">
        <f>Ruimtestaat[[#This Row],[uren / jaar werkdagen]]*Tariefsopbouw!$D$38</f>
        <v>0</v>
      </c>
      <c r="Z729" s="33"/>
      <c r="AA729" s="33">
        <f>IF(Ruimtestaat[[#This Row],[Frequentie weekend]]&gt;0,VALUE(LEFT(Z729,1))*S729,0)</f>
        <v>0</v>
      </c>
      <c r="AB729" s="33">
        <f>IF($AA729&gt;0,VLOOKUP($K729,Ruimtegroepen[],3,FALSE)*VLOOKUP($M729,Vloersoorten[],3,FALSE)*VLOOKUP($Z729,Frequenties[],3,FALSE)*VLOOKUP(#REF!,Locaties[],3,FALSE),0)</f>
        <v>0</v>
      </c>
      <c r="AC729" s="33"/>
      <c r="AD729" s="33"/>
      <c r="AE729" s="33">
        <f>Ruimtestaat[[#This Row],[uren / jaar weekend]]*Tariefsopbouw!$D$40</f>
        <v>0</v>
      </c>
      <c r="AF729" s="79">
        <f>Ruimtestaat[[#This Row],[Prest. (m2 /jaar) weekend]]+Ruimtestaat[[#This Row],[Prest. (m2 /jaar) werkdagen]]</f>
        <v>8000</v>
      </c>
      <c r="AG729" s="79">
        <f>Ruimtestaat[[#This Row],[uren / jaar weekend]]+Ruimtestaat[[#This Row],[uren / jaar werkdagen]]</f>
        <v>0</v>
      </c>
      <c r="AH729" s="80">
        <f>Ruimtestaat[[#This Row],[kosten / jaar weekend]]+Ruimtestaat[[#This Row],[kosten / jaar werkdagen]]</f>
        <v>0</v>
      </c>
    </row>
    <row r="730" spans="1:34" ht="15" customHeight="1">
      <c r="A730" s="256">
        <v>10</v>
      </c>
      <c r="B730" s="171" t="str">
        <f>VLOOKUP(Ruimtestaat[[#This Row],[Code]],Locaties[#All],2,FALSE)</f>
        <v>De Stapsteen (2 gebouwen)</v>
      </c>
      <c r="C730" s="258" t="str">
        <f>VLOOKUP(Ruimtestaat[[#This Row],[Code]],Locaties[#All],4,FALSE)</f>
        <v>J. Perkstraat 5-11</v>
      </c>
      <c r="D730" s="258" t="str">
        <f>VLOOKUP(Ruimtestaat[[#This Row],[Code]],Locaties[#All],5,FALSE)</f>
        <v>7532JR</v>
      </c>
      <c r="E730" s="258" t="str">
        <f>VLOOKUP(Ruimtestaat[[#This Row],[Code]],Locaties[#All],6,FALSE)</f>
        <v>Hengelo</v>
      </c>
      <c r="F730" s="257"/>
      <c r="G730" s="257" t="s">
        <v>563</v>
      </c>
      <c r="H730" s="171"/>
      <c r="I730" s="257" t="s">
        <v>452</v>
      </c>
      <c r="J730" s="259" t="s">
        <v>682</v>
      </c>
      <c r="K730" s="171">
        <v>12</v>
      </c>
      <c r="L730" s="260" t="str">
        <f>VLOOKUP(Ruimtestaat[[#This Row],[Ruimte code]],Ruimtegroepen[#All],2,FALSE)</f>
        <v>Kantine</v>
      </c>
      <c r="M730" s="258" t="s">
        <v>598</v>
      </c>
      <c r="N730" s="257" t="s">
        <v>132</v>
      </c>
      <c r="O730" s="261">
        <v>38</v>
      </c>
      <c r="P730" s="183"/>
      <c r="Q730" s="212" t="str">
        <f>VLOOKUP(Ruimtestaat[[#This Row],[Ruimte code]],Ruimtegroepen[#All],4,FALSE)</f>
        <v>V  (Verkeersruimte)</v>
      </c>
      <c r="R730" s="184"/>
      <c r="S730" s="185">
        <v>40</v>
      </c>
      <c r="T730" s="185" t="s">
        <v>2</v>
      </c>
      <c r="U730" s="185">
        <f>IF(S730&gt;0,IF(RIGHT(Ruimtestaat[[#This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0" s="185">
        <f>IF(U730&gt;0,VLOOKUP($K730,Ruimtegroepen[],3,FALSE)*VLOOKUP($M730,Vloersoorten[],3,FALSE)*VLOOKUP($T730,Frequenties[],3,FALSE)*VLOOKUP($A730,Locaties[],3,FALSE),0)</f>
        <v>0</v>
      </c>
      <c r="W730" s="185">
        <f>Ruimtestaat[[#This Row],[Uitvoeringen werkdagen]]*Ruimtestaat[[#This Row],[Oppervlak (netto)]]</f>
        <v>7600</v>
      </c>
      <c r="X730" s="220">
        <f>IF(V730&gt;0,Ruimtestaat[[#This Row],[Prest. (m2 /jaar) werkdagen]]/Ruimtestaat[[#This Row],[Norm (m2/uur) werkdagen]],0)</f>
        <v>0</v>
      </c>
      <c r="Y730" s="221">
        <f>Ruimtestaat[[#This Row],[uren / jaar werkdagen]]*Tariefsopbouw!$D$38</f>
        <v>0</v>
      </c>
      <c r="Z730" s="33"/>
      <c r="AA730" s="33">
        <f>IF(Ruimtestaat[[#This Row],[Frequentie weekend]]&gt;0,VALUE(LEFT(Z730,1))*S730,0)</f>
        <v>0</v>
      </c>
      <c r="AB730" s="33">
        <f>IF($AA730&gt;0,VLOOKUP($K730,Ruimtegroepen[],3,FALSE)*VLOOKUP($M730,Vloersoorten[],3,FALSE)*VLOOKUP($Z730,Frequenties[],3,FALSE)*VLOOKUP(#REF!,Locaties[],3,FALSE),0)</f>
        <v>0</v>
      </c>
      <c r="AC730" s="33"/>
      <c r="AD730" s="33"/>
      <c r="AE730" s="33">
        <f>Ruimtestaat[[#This Row],[uren / jaar weekend]]*Tariefsopbouw!$D$40</f>
        <v>0</v>
      </c>
      <c r="AF730" s="79">
        <f>Ruimtestaat[[#This Row],[Prest. (m2 /jaar) weekend]]+Ruimtestaat[[#This Row],[Prest. (m2 /jaar) werkdagen]]</f>
        <v>7600</v>
      </c>
      <c r="AG730" s="79">
        <f>Ruimtestaat[[#This Row],[uren / jaar weekend]]+Ruimtestaat[[#This Row],[uren / jaar werkdagen]]</f>
        <v>0</v>
      </c>
      <c r="AH730" s="80">
        <f>Ruimtestaat[[#This Row],[kosten / jaar weekend]]+Ruimtestaat[[#This Row],[kosten / jaar werkdagen]]</f>
        <v>0</v>
      </c>
    </row>
    <row r="731" spans="1:34" ht="15" customHeight="1">
      <c r="A731" s="256">
        <v>10</v>
      </c>
      <c r="B731" s="171" t="str">
        <f>VLOOKUP(Ruimtestaat[[#This Row],[Code]],Locaties[#All],2,FALSE)</f>
        <v>De Stapsteen (2 gebouwen)</v>
      </c>
      <c r="C731" s="258" t="str">
        <f>VLOOKUP(Ruimtestaat[[#This Row],[Code]],Locaties[#All],4,FALSE)</f>
        <v>J. Perkstraat 5-11</v>
      </c>
      <c r="D731" s="258" t="str">
        <f>VLOOKUP(Ruimtestaat[[#This Row],[Code]],Locaties[#All],5,FALSE)</f>
        <v>7532JR</v>
      </c>
      <c r="E731" s="258" t="str">
        <f>VLOOKUP(Ruimtestaat[[#This Row],[Code]],Locaties[#All],6,FALSE)</f>
        <v>Hengelo</v>
      </c>
      <c r="F731" s="257"/>
      <c r="G731" s="257" t="s">
        <v>563</v>
      </c>
      <c r="H731" s="171"/>
      <c r="I731" s="257" t="s">
        <v>453</v>
      </c>
      <c r="J731" s="259" t="s">
        <v>569</v>
      </c>
      <c r="K731" s="258">
        <v>5</v>
      </c>
      <c r="L731" s="260" t="str">
        <f>VLOOKUP(Ruimtestaat[[#This Row],[Ruimte code]],Ruimtegroepen[#All],2,FALSE)</f>
        <v>Sanitair</v>
      </c>
      <c r="M731" s="212" t="s">
        <v>111</v>
      </c>
      <c r="N731" s="257" t="s">
        <v>606</v>
      </c>
      <c r="O731" s="261">
        <v>1.3</v>
      </c>
      <c r="P731" s="183"/>
      <c r="Q731" s="212" t="str">
        <f>VLOOKUP(Ruimtestaat[[#This Row],[Ruimte code]],Ruimtegroepen[#All],4,FALSE)</f>
        <v>S  (Sanitair)</v>
      </c>
      <c r="R731" s="184"/>
      <c r="S731" s="185">
        <v>40</v>
      </c>
      <c r="T731" s="185" t="s">
        <v>2</v>
      </c>
      <c r="U731" s="185">
        <f>IF(S731&gt;0,IF(RIGHT(Ruimtestaat[[#This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1" s="185">
        <f>IF(U731&gt;0,VLOOKUP($K731,Ruimtegroepen[],3,FALSE)*VLOOKUP($M731,Vloersoorten[],3,FALSE)*VLOOKUP($T731,Frequenties[],3,FALSE)*VLOOKUP($A731,Locaties[],3,FALSE),0)</f>
        <v>0</v>
      </c>
      <c r="W731" s="185">
        <f>Ruimtestaat[[#This Row],[Uitvoeringen werkdagen]]*Ruimtestaat[[#This Row],[Oppervlak (netto)]]</f>
        <v>260</v>
      </c>
      <c r="X731" s="220">
        <f>IF(V731&gt;0,Ruimtestaat[[#This Row],[Prest. (m2 /jaar) werkdagen]]/Ruimtestaat[[#This Row],[Norm (m2/uur) werkdagen]],0)</f>
        <v>0</v>
      </c>
      <c r="Y731" s="221">
        <f>Ruimtestaat[[#This Row],[uren / jaar werkdagen]]*Tariefsopbouw!$D$38</f>
        <v>0</v>
      </c>
      <c r="Z731" s="33"/>
      <c r="AA731" s="33">
        <f>IF(Ruimtestaat[[#This Row],[Frequentie weekend]]&gt;0,VALUE(LEFT(Z731,1))*S731,0)</f>
        <v>0</v>
      </c>
      <c r="AB731" s="33">
        <f>IF($AA731&gt;0,VLOOKUP($K731,Ruimtegroepen[],3,FALSE)*VLOOKUP($M731,Vloersoorten[],3,FALSE)*VLOOKUP($Z731,Frequenties[],3,FALSE)*VLOOKUP(#REF!,Locaties[],3,FALSE),0)</f>
        <v>0</v>
      </c>
      <c r="AC731" s="33"/>
      <c r="AD731" s="33"/>
      <c r="AE731" s="33">
        <f>Ruimtestaat[[#This Row],[uren / jaar weekend]]*Tariefsopbouw!$D$40</f>
        <v>0</v>
      </c>
      <c r="AF731" s="79">
        <f>Ruimtestaat[[#This Row],[Prest. (m2 /jaar) weekend]]+Ruimtestaat[[#This Row],[Prest. (m2 /jaar) werkdagen]]</f>
        <v>260</v>
      </c>
      <c r="AG731" s="79">
        <f>Ruimtestaat[[#This Row],[uren / jaar weekend]]+Ruimtestaat[[#This Row],[uren / jaar werkdagen]]</f>
        <v>0</v>
      </c>
      <c r="AH731" s="80">
        <f>Ruimtestaat[[#This Row],[kosten / jaar weekend]]+Ruimtestaat[[#This Row],[kosten / jaar werkdagen]]</f>
        <v>0</v>
      </c>
    </row>
    <row r="732" spans="1:34" ht="15" customHeight="1">
      <c r="A732" s="256">
        <v>10</v>
      </c>
      <c r="B732" s="171" t="str">
        <f>VLOOKUP(Ruimtestaat[[#This Row],[Code]],Locaties[#All],2,FALSE)</f>
        <v>De Stapsteen (2 gebouwen)</v>
      </c>
      <c r="C732" s="258" t="str">
        <f>VLOOKUP(Ruimtestaat[[#This Row],[Code]],Locaties[#All],4,FALSE)</f>
        <v>J. Perkstraat 5-11</v>
      </c>
      <c r="D732" s="258" t="str">
        <f>VLOOKUP(Ruimtestaat[[#This Row],[Code]],Locaties[#All],5,FALSE)</f>
        <v>7532JR</v>
      </c>
      <c r="E732" s="258" t="str">
        <f>VLOOKUP(Ruimtestaat[[#This Row],[Code]],Locaties[#All],6,FALSE)</f>
        <v>Hengelo</v>
      </c>
      <c r="F732" s="257"/>
      <c r="G732" s="257" t="s">
        <v>563</v>
      </c>
      <c r="H732" s="171"/>
      <c r="I732" s="257" t="s">
        <v>454</v>
      </c>
      <c r="J732" s="259" t="s">
        <v>683</v>
      </c>
      <c r="K732" s="258">
        <v>5</v>
      </c>
      <c r="L732" s="260" t="str">
        <f>VLOOKUP(Ruimtestaat[[#This Row],[Ruimte code]],Ruimtegroepen[#All],2,FALSE)</f>
        <v>Sanitair</v>
      </c>
      <c r="M732" s="212" t="s">
        <v>111</v>
      </c>
      <c r="N732" s="257" t="s">
        <v>606</v>
      </c>
      <c r="O732" s="261">
        <v>9</v>
      </c>
      <c r="P732" s="183"/>
      <c r="Q732" s="212" t="str">
        <f>VLOOKUP(Ruimtestaat[[#This Row],[Ruimte code]],Ruimtegroepen[#All],4,FALSE)</f>
        <v>S  (Sanitair)</v>
      </c>
      <c r="R732" s="184"/>
      <c r="S732" s="185">
        <v>40</v>
      </c>
      <c r="T732" s="185" t="s">
        <v>2</v>
      </c>
      <c r="U732" s="185">
        <f>IF(S732&gt;0,IF(RIGHT(Ruimtestaat[[#This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2" s="185">
        <f>IF(U732&gt;0,VLOOKUP($K732,Ruimtegroepen[],3,FALSE)*VLOOKUP($M732,Vloersoorten[],3,FALSE)*VLOOKUP($T732,Frequenties[],3,FALSE)*VLOOKUP($A732,Locaties[],3,FALSE),0)</f>
        <v>0</v>
      </c>
      <c r="W732" s="185">
        <f>Ruimtestaat[[#This Row],[Uitvoeringen werkdagen]]*Ruimtestaat[[#This Row],[Oppervlak (netto)]]</f>
        <v>1800</v>
      </c>
      <c r="X732" s="220">
        <f>IF(V732&gt;0,Ruimtestaat[[#This Row],[Prest. (m2 /jaar) werkdagen]]/Ruimtestaat[[#This Row],[Norm (m2/uur) werkdagen]],0)</f>
        <v>0</v>
      </c>
      <c r="Y732" s="221">
        <f>Ruimtestaat[[#This Row],[uren / jaar werkdagen]]*Tariefsopbouw!$D$38</f>
        <v>0</v>
      </c>
      <c r="Z732" s="33"/>
      <c r="AA732" s="33">
        <f>IF(Ruimtestaat[[#This Row],[Frequentie weekend]]&gt;0,VALUE(LEFT(Z732,1))*S732,0)</f>
        <v>0</v>
      </c>
      <c r="AB732" s="33">
        <f>IF($AA732&gt;0,VLOOKUP($K732,Ruimtegroepen[],3,FALSE)*VLOOKUP($M732,Vloersoorten[],3,FALSE)*VLOOKUP($Z732,Frequenties[],3,FALSE)*VLOOKUP(#REF!,Locaties[],3,FALSE),0)</f>
        <v>0</v>
      </c>
      <c r="AC732" s="33"/>
      <c r="AD732" s="33"/>
      <c r="AE732" s="33">
        <f>Ruimtestaat[[#This Row],[uren / jaar weekend]]*Tariefsopbouw!$D$40</f>
        <v>0</v>
      </c>
      <c r="AF732" s="79">
        <f>Ruimtestaat[[#This Row],[Prest. (m2 /jaar) weekend]]+Ruimtestaat[[#This Row],[Prest. (m2 /jaar) werkdagen]]</f>
        <v>1800</v>
      </c>
      <c r="AG732" s="79">
        <f>Ruimtestaat[[#This Row],[uren / jaar weekend]]+Ruimtestaat[[#This Row],[uren / jaar werkdagen]]</f>
        <v>0</v>
      </c>
      <c r="AH732" s="80">
        <f>Ruimtestaat[[#This Row],[kosten / jaar weekend]]+Ruimtestaat[[#This Row],[kosten / jaar werkdagen]]</f>
        <v>0</v>
      </c>
    </row>
    <row r="733" spans="1:34" ht="15" customHeight="1">
      <c r="A733" s="256">
        <v>10</v>
      </c>
      <c r="B733" s="171" t="str">
        <f>VLOOKUP(Ruimtestaat[[#This Row],[Code]],Locaties[#All],2,FALSE)</f>
        <v>De Stapsteen (2 gebouwen)</v>
      </c>
      <c r="C733" s="258" t="str">
        <f>VLOOKUP(Ruimtestaat[[#This Row],[Code]],Locaties[#All],4,FALSE)</f>
        <v>J. Perkstraat 5-11</v>
      </c>
      <c r="D733" s="258" t="str">
        <f>VLOOKUP(Ruimtestaat[[#This Row],[Code]],Locaties[#All],5,FALSE)</f>
        <v>7532JR</v>
      </c>
      <c r="E733" s="258" t="str">
        <f>VLOOKUP(Ruimtestaat[[#This Row],[Code]],Locaties[#All],6,FALSE)</f>
        <v>Hengelo</v>
      </c>
      <c r="F733" s="257"/>
      <c r="G733" s="257" t="s">
        <v>563</v>
      </c>
      <c r="H733" s="171"/>
      <c r="I733" s="257" t="s">
        <v>455</v>
      </c>
      <c r="J733" s="259" t="s">
        <v>683</v>
      </c>
      <c r="K733" s="185">
        <v>5</v>
      </c>
      <c r="L733" s="260" t="str">
        <f>VLOOKUP(Ruimtestaat[[#This Row],[Ruimte code]],Ruimtegroepen[#All],2,FALSE)</f>
        <v>Sanitair</v>
      </c>
      <c r="M733" s="212" t="s">
        <v>111</v>
      </c>
      <c r="N733" s="257" t="s">
        <v>606</v>
      </c>
      <c r="O733" s="261">
        <v>9</v>
      </c>
      <c r="P733" s="183"/>
      <c r="Q733" s="212" t="str">
        <f>VLOOKUP(Ruimtestaat[[#This Row],[Ruimte code]],Ruimtegroepen[#All],4,FALSE)</f>
        <v>S  (Sanitair)</v>
      </c>
      <c r="R733" s="184"/>
      <c r="S733" s="185">
        <v>40</v>
      </c>
      <c r="T733" s="185" t="s">
        <v>2</v>
      </c>
      <c r="U733" s="185">
        <f>IF(S733&gt;0,IF(RIGHT(Ruimtestaat[[#This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3" s="185">
        <f>IF(U733&gt;0,VLOOKUP($K733,Ruimtegroepen[],3,FALSE)*VLOOKUP($M733,Vloersoorten[],3,FALSE)*VLOOKUP($T733,Frequenties[],3,FALSE)*VLOOKUP($A733,Locaties[],3,FALSE),0)</f>
        <v>0</v>
      </c>
      <c r="W733" s="185">
        <f>Ruimtestaat[[#This Row],[Uitvoeringen werkdagen]]*Ruimtestaat[[#This Row],[Oppervlak (netto)]]</f>
        <v>1800</v>
      </c>
      <c r="X733" s="220">
        <f>IF(V733&gt;0,Ruimtestaat[[#This Row],[Prest. (m2 /jaar) werkdagen]]/Ruimtestaat[[#This Row],[Norm (m2/uur) werkdagen]],0)</f>
        <v>0</v>
      </c>
      <c r="Y733" s="221">
        <f>Ruimtestaat[[#This Row],[uren / jaar werkdagen]]*Tariefsopbouw!$D$38</f>
        <v>0</v>
      </c>
      <c r="Z733" s="33"/>
      <c r="AA733" s="33">
        <f>IF(Ruimtestaat[[#This Row],[Frequentie weekend]]&gt;0,VALUE(LEFT(Z733,1))*S733,0)</f>
        <v>0</v>
      </c>
      <c r="AB733" s="33">
        <f>IF($AA733&gt;0,VLOOKUP($K733,Ruimtegroepen[],3,FALSE)*VLOOKUP($M733,Vloersoorten[],3,FALSE)*VLOOKUP($Z733,Frequenties[],3,FALSE)*VLOOKUP(#REF!,Locaties[],3,FALSE),0)</f>
        <v>0</v>
      </c>
      <c r="AC733" s="33"/>
      <c r="AD733" s="33"/>
      <c r="AE733" s="33">
        <f>Ruimtestaat[[#This Row],[uren / jaar weekend]]*Tariefsopbouw!$D$40</f>
        <v>0</v>
      </c>
      <c r="AF733" s="79">
        <f>Ruimtestaat[[#This Row],[Prest. (m2 /jaar) weekend]]+Ruimtestaat[[#This Row],[Prest. (m2 /jaar) werkdagen]]</f>
        <v>1800</v>
      </c>
      <c r="AG733" s="79">
        <f>Ruimtestaat[[#This Row],[uren / jaar weekend]]+Ruimtestaat[[#This Row],[uren / jaar werkdagen]]</f>
        <v>0</v>
      </c>
      <c r="AH733" s="80">
        <f>Ruimtestaat[[#This Row],[kosten / jaar weekend]]+Ruimtestaat[[#This Row],[kosten / jaar werkdagen]]</f>
        <v>0</v>
      </c>
    </row>
    <row r="734" spans="1:34" ht="15" customHeight="1">
      <c r="A734" s="256">
        <v>10</v>
      </c>
      <c r="B734" s="171" t="str">
        <f>VLOOKUP(Ruimtestaat[[#This Row],[Code]],Locaties[#All],2,FALSE)</f>
        <v>De Stapsteen (2 gebouwen)</v>
      </c>
      <c r="C734" s="258" t="str">
        <f>VLOOKUP(Ruimtestaat[[#This Row],[Code]],Locaties[#All],4,FALSE)</f>
        <v>J. Perkstraat 5-11</v>
      </c>
      <c r="D734" s="258" t="str">
        <f>VLOOKUP(Ruimtestaat[[#This Row],[Code]],Locaties[#All],5,FALSE)</f>
        <v>7532JR</v>
      </c>
      <c r="E734" s="258" t="str">
        <f>VLOOKUP(Ruimtestaat[[#This Row],[Code]],Locaties[#All],6,FALSE)</f>
        <v>Hengelo</v>
      </c>
      <c r="F734" s="257"/>
      <c r="G734" s="257" t="s">
        <v>563</v>
      </c>
      <c r="H734" s="171"/>
      <c r="I734" s="257" t="s">
        <v>456</v>
      </c>
      <c r="J734" s="259" t="s">
        <v>623</v>
      </c>
      <c r="K734" s="258">
        <v>20</v>
      </c>
      <c r="L734" s="260" t="str">
        <f>VLOOKUP(Ruimtestaat[[#This Row],[Ruimte code]],Ruimtegroepen[#All],2,FALSE)</f>
        <v>Niet in onderhoud</v>
      </c>
      <c r="M734" s="258" t="s">
        <v>598</v>
      </c>
      <c r="N734" s="257" t="s">
        <v>132</v>
      </c>
      <c r="O734" s="261"/>
      <c r="P734" s="183">
        <v>1.3</v>
      </c>
      <c r="Q734" s="212" t="str">
        <f>VLOOKUP(Ruimtestaat[[#This Row],[Ruimte code]],Ruimtegroepen[#All],4,FALSE)</f>
        <v>niet in onderhoud</v>
      </c>
      <c r="R734" s="184"/>
      <c r="S734" s="185"/>
      <c r="T734" s="185" t="s">
        <v>3</v>
      </c>
      <c r="U734" s="185">
        <f>IF(S734&gt;0,IF(RIGHT(Ruimtestaat[[#This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34" s="185">
        <f>IF(U734&gt;0,VLOOKUP($K734,Ruimtegroepen[],3,FALSE)*VLOOKUP($M734,Vloersoorten[],3,FALSE)*VLOOKUP($T734,Frequenties[],3,FALSE)*VLOOKUP($A734,Locaties[],3,FALSE),0)</f>
        <v>0</v>
      </c>
      <c r="W734" s="185">
        <f>Ruimtestaat[[#This Row],[Uitvoeringen werkdagen]]*Ruimtestaat[[#This Row],[Oppervlak (netto)]]</f>
        <v>0</v>
      </c>
      <c r="X734" s="220">
        <f>IF(V734&gt;0,Ruimtestaat[[#This Row],[Prest. (m2 /jaar) werkdagen]]/Ruimtestaat[[#This Row],[Norm (m2/uur) werkdagen]],0)</f>
        <v>0</v>
      </c>
      <c r="Y734" s="221">
        <f>Ruimtestaat[[#This Row],[uren / jaar werkdagen]]*Tariefsopbouw!$D$38</f>
        <v>0</v>
      </c>
      <c r="Z734" s="33"/>
      <c r="AA734" s="33">
        <f>IF(Ruimtestaat[[#This Row],[Frequentie weekend]]&gt;0,VALUE(LEFT(Z734,1))*S734,0)</f>
        <v>0</v>
      </c>
      <c r="AB734" s="33">
        <f>IF($AA734&gt;0,VLOOKUP($K734,Ruimtegroepen[],3,FALSE)*VLOOKUP($M734,Vloersoorten[],3,FALSE)*VLOOKUP($Z734,Frequenties[],3,FALSE)*VLOOKUP(#REF!,Locaties[],3,FALSE),0)</f>
        <v>0</v>
      </c>
      <c r="AC734" s="33"/>
      <c r="AD734" s="33"/>
      <c r="AE734" s="33">
        <f>Ruimtestaat[[#This Row],[uren / jaar weekend]]*Tariefsopbouw!$D$40</f>
        <v>0</v>
      </c>
      <c r="AF734" s="79">
        <f>Ruimtestaat[[#This Row],[Prest. (m2 /jaar) weekend]]+Ruimtestaat[[#This Row],[Prest. (m2 /jaar) werkdagen]]</f>
        <v>0</v>
      </c>
      <c r="AG734" s="79">
        <f>Ruimtestaat[[#This Row],[uren / jaar weekend]]+Ruimtestaat[[#This Row],[uren / jaar werkdagen]]</f>
        <v>0</v>
      </c>
      <c r="AH734" s="80">
        <f>Ruimtestaat[[#This Row],[kosten / jaar weekend]]+Ruimtestaat[[#This Row],[kosten / jaar werkdagen]]</f>
        <v>0</v>
      </c>
    </row>
    <row r="735" spans="1:34" ht="15" customHeight="1">
      <c r="A735" s="256">
        <v>10</v>
      </c>
      <c r="B735" s="171" t="str">
        <f>VLOOKUP(Ruimtestaat[[#This Row],[Code]],Locaties[#All],2,FALSE)</f>
        <v>De Stapsteen (2 gebouwen)</v>
      </c>
      <c r="C735" s="258" t="str">
        <f>VLOOKUP(Ruimtestaat[[#This Row],[Code]],Locaties[#All],4,FALSE)</f>
        <v>J. Perkstraat 5-11</v>
      </c>
      <c r="D735" s="258" t="str">
        <f>VLOOKUP(Ruimtestaat[[#This Row],[Code]],Locaties[#All],5,FALSE)</f>
        <v>7532JR</v>
      </c>
      <c r="E735" s="258" t="str">
        <f>VLOOKUP(Ruimtestaat[[#This Row],[Code]],Locaties[#All],6,FALSE)</f>
        <v>Hengelo</v>
      </c>
      <c r="F735" s="257"/>
      <c r="G735" s="257" t="s">
        <v>563</v>
      </c>
      <c r="H735" s="171"/>
      <c r="I735" s="257" t="s">
        <v>457</v>
      </c>
      <c r="J735" s="259" t="s">
        <v>576</v>
      </c>
      <c r="K735" s="185">
        <v>16</v>
      </c>
      <c r="L735" s="260" t="str">
        <f>VLOOKUP(Ruimtestaat[[#This Row],[Ruimte code]],Ruimtegroepen[#All],2,FALSE)</f>
        <v>Leslokalen</v>
      </c>
      <c r="M735" s="258" t="s">
        <v>598</v>
      </c>
      <c r="N735" s="257" t="s">
        <v>132</v>
      </c>
      <c r="O735" s="261">
        <v>43</v>
      </c>
      <c r="P735" s="183"/>
      <c r="Q735" s="212" t="str">
        <f>VLOOKUP(Ruimtestaat[[#This Row],[Ruimte code]],Ruimtegroepen[#All],4,FALSE)</f>
        <v>L  (Lesruimte)</v>
      </c>
      <c r="R735" s="184"/>
      <c r="S735" s="185">
        <v>40</v>
      </c>
      <c r="T735" s="185" t="s">
        <v>2</v>
      </c>
      <c r="U735" s="185">
        <f>IF(S735&gt;0,IF(RIGHT(Ruimtestaat[[#This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5" s="185">
        <f>IF(U735&gt;0,VLOOKUP($K735,Ruimtegroepen[],3,FALSE)*VLOOKUP($M735,Vloersoorten[],3,FALSE)*VLOOKUP($T735,Frequenties[],3,FALSE)*VLOOKUP($A735,Locaties[],3,FALSE),0)</f>
        <v>0</v>
      </c>
      <c r="W735" s="185">
        <f>Ruimtestaat[[#This Row],[Uitvoeringen werkdagen]]*Ruimtestaat[[#This Row],[Oppervlak (netto)]]</f>
        <v>8600</v>
      </c>
      <c r="X735" s="220">
        <f>IF(V735&gt;0,Ruimtestaat[[#This Row],[Prest. (m2 /jaar) werkdagen]]/Ruimtestaat[[#This Row],[Norm (m2/uur) werkdagen]],0)</f>
        <v>0</v>
      </c>
      <c r="Y735" s="221">
        <f>Ruimtestaat[[#This Row],[uren / jaar werkdagen]]*Tariefsopbouw!$D$38</f>
        <v>0</v>
      </c>
      <c r="Z735" s="33"/>
      <c r="AA735" s="33">
        <f>IF(Ruimtestaat[[#This Row],[Frequentie weekend]]&gt;0,VALUE(LEFT(Z735,1))*S735,0)</f>
        <v>0</v>
      </c>
      <c r="AB735" s="33">
        <f>IF($AA735&gt;0,VLOOKUP($K735,Ruimtegroepen[],3,FALSE)*VLOOKUP($M735,Vloersoorten[],3,FALSE)*VLOOKUP($Z735,Frequenties[],3,FALSE)*VLOOKUP(#REF!,Locaties[],3,FALSE),0)</f>
        <v>0</v>
      </c>
      <c r="AC735" s="33"/>
      <c r="AD735" s="33"/>
      <c r="AE735" s="33">
        <f>Ruimtestaat[[#This Row],[uren / jaar weekend]]*Tariefsopbouw!$D$40</f>
        <v>0</v>
      </c>
      <c r="AF735" s="79">
        <f>Ruimtestaat[[#This Row],[Prest. (m2 /jaar) weekend]]+Ruimtestaat[[#This Row],[Prest. (m2 /jaar) werkdagen]]</f>
        <v>8600</v>
      </c>
      <c r="AG735" s="79">
        <f>Ruimtestaat[[#This Row],[uren / jaar weekend]]+Ruimtestaat[[#This Row],[uren / jaar werkdagen]]</f>
        <v>0</v>
      </c>
      <c r="AH735" s="80">
        <f>Ruimtestaat[[#This Row],[kosten / jaar weekend]]+Ruimtestaat[[#This Row],[kosten / jaar werkdagen]]</f>
        <v>0</v>
      </c>
    </row>
    <row r="736" spans="1:34" ht="15" customHeight="1">
      <c r="A736" s="256">
        <v>10</v>
      </c>
      <c r="B736" s="171" t="str">
        <f>VLOOKUP(Ruimtestaat[[#This Row],[Code]],Locaties[#All],2,FALSE)</f>
        <v>De Stapsteen (2 gebouwen)</v>
      </c>
      <c r="C736" s="258" t="str">
        <f>VLOOKUP(Ruimtestaat[[#This Row],[Code]],Locaties[#All],4,FALSE)</f>
        <v>J. Perkstraat 5-11</v>
      </c>
      <c r="D736" s="258" t="str">
        <f>VLOOKUP(Ruimtestaat[[#This Row],[Code]],Locaties[#All],5,FALSE)</f>
        <v>7532JR</v>
      </c>
      <c r="E736" s="258" t="str">
        <f>VLOOKUP(Ruimtestaat[[#This Row],[Code]],Locaties[#All],6,FALSE)</f>
        <v>Hengelo</v>
      </c>
      <c r="F736" s="257"/>
      <c r="G736" s="257" t="s">
        <v>563</v>
      </c>
      <c r="H736" s="171"/>
      <c r="I736" s="257" t="s">
        <v>458</v>
      </c>
      <c r="J736" s="259" t="s">
        <v>576</v>
      </c>
      <c r="K736" s="185">
        <v>16</v>
      </c>
      <c r="L736" s="260" t="str">
        <f>VLOOKUP(Ruimtestaat[[#This Row],[Ruimte code]],Ruimtegroepen[#All],2,FALSE)</f>
        <v>Leslokalen</v>
      </c>
      <c r="M736" s="258" t="s">
        <v>598</v>
      </c>
      <c r="N736" s="257" t="s">
        <v>132</v>
      </c>
      <c r="O736" s="261">
        <v>43</v>
      </c>
      <c r="P736" s="183"/>
      <c r="Q736" s="212" t="str">
        <f>VLOOKUP(Ruimtestaat[[#This Row],[Ruimte code]],Ruimtegroepen[#All],4,FALSE)</f>
        <v>L  (Lesruimte)</v>
      </c>
      <c r="R736" s="184"/>
      <c r="S736" s="185">
        <v>40</v>
      </c>
      <c r="T736" s="185" t="s">
        <v>2</v>
      </c>
      <c r="U736" s="185">
        <f>IF(S736&gt;0,IF(RIGHT(Ruimtestaat[[#This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6" s="185">
        <f>IF(U736&gt;0,VLOOKUP($K736,Ruimtegroepen[],3,FALSE)*VLOOKUP($M736,Vloersoorten[],3,FALSE)*VLOOKUP($T736,Frequenties[],3,FALSE)*VLOOKUP($A736,Locaties[],3,FALSE),0)</f>
        <v>0</v>
      </c>
      <c r="W736" s="185">
        <f>Ruimtestaat[[#This Row],[Uitvoeringen werkdagen]]*Ruimtestaat[[#This Row],[Oppervlak (netto)]]</f>
        <v>8600</v>
      </c>
      <c r="X736" s="220">
        <f>IF(V736&gt;0,Ruimtestaat[[#This Row],[Prest. (m2 /jaar) werkdagen]]/Ruimtestaat[[#This Row],[Norm (m2/uur) werkdagen]],0)</f>
        <v>0</v>
      </c>
      <c r="Y736" s="221">
        <f>Ruimtestaat[[#This Row],[uren / jaar werkdagen]]*Tariefsopbouw!$D$38</f>
        <v>0</v>
      </c>
      <c r="Z736" s="33"/>
      <c r="AA736" s="33">
        <f>IF(Ruimtestaat[[#This Row],[Frequentie weekend]]&gt;0,VALUE(LEFT(Z736,1))*S736,0)</f>
        <v>0</v>
      </c>
      <c r="AB736" s="33">
        <f>IF($AA736&gt;0,VLOOKUP($K736,Ruimtegroepen[],3,FALSE)*VLOOKUP($M736,Vloersoorten[],3,FALSE)*VLOOKUP($Z736,Frequenties[],3,FALSE)*VLOOKUP(#REF!,Locaties[],3,FALSE),0)</f>
        <v>0</v>
      </c>
      <c r="AC736" s="33"/>
      <c r="AD736" s="33"/>
      <c r="AE736" s="33">
        <f>Ruimtestaat[[#This Row],[uren / jaar weekend]]*Tariefsopbouw!$D$40</f>
        <v>0</v>
      </c>
      <c r="AF736" s="79">
        <f>Ruimtestaat[[#This Row],[Prest. (m2 /jaar) weekend]]+Ruimtestaat[[#This Row],[Prest. (m2 /jaar) werkdagen]]</f>
        <v>8600</v>
      </c>
      <c r="AG736" s="79">
        <f>Ruimtestaat[[#This Row],[uren / jaar weekend]]+Ruimtestaat[[#This Row],[uren / jaar werkdagen]]</f>
        <v>0</v>
      </c>
      <c r="AH736" s="80">
        <f>Ruimtestaat[[#This Row],[kosten / jaar weekend]]+Ruimtestaat[[#This Row],[kosten / jaar werkdagen]]</f>
        <v>0</v>
      </c>
    </row>
    <row r="737" spans="1:34" ht="15" customHeight="1">
      <c r="A737" s="256">
        <v>10</v>
      </c>
      <c r="B737" s="171" t="str">
        <f>VLOOKUP(Ruimtestaat[[#This Row],[Code]],Locaties[#All],2,FALSE)</f>
        <v>De Stapsteen (2 gebouwen)</v>
      </c>
      <c r="C737" s="258" t="str">
        <f>VLOOKUP(Ruimtestaat[[#This Row],[Code]],Locaties[#All],4,FALSE)</f>
        <v>J. Perkstraat 5-11</v>
      </c>
      <c r="D737" s="258" t="str">
        <f>VLOOKUP(Ruimtestaat[[#This Row],[Code]],Locaties[#All],5,FALSE)</f>
        <v>7532JR</v>
      </c>
      <c r="E737" s="258" t="str">
        <f>VLOOKUP(Ruimtestaat[[#This Row],[Code]],Locaties[#All],6,FALSE)</f>
        <v>Hengelo</v>
      </c>
      <c r="F737" s="257"/>
      <c r="G737" s="257" t="s">
        <v>563</v>
      </c>
      <c r="H737" s="171"/>
      <c r="I737" s="257" t="s">
        <v>459</v>
      </c>
      <c r="J737" s="259" t="s">
        <v>576</v>
      </c>
      <c r="K737" s="185">
        <v>16</v>
      </c>
      <c r="L737" s="260" t="str">
        <f>VLOOKUP(Ruimtestaat[[#This Row],[Ruimte code]],Ruimtegroepen[#All],2,FALSE)</f>
        <v>Leslokalen</v>
      </c>
      <c r="M737" s="258" t="s">
        <v>598</v>
      </c>
      <c r="N737" s="257" t="s">
        <v>132</v>
      </c>
      <c r="O737" s="261">
        <v>43</v>
      </c>
      <c r="P737" s="183"/>
      <c r="Q737" s="212" t="str">
        <f>VLOOKUP(Ruimtestaat[[#This Row],[Ruimte code]],Ruimtegroepen[#All],4,FALSE)</f>
        <v>L  (Lesruimte)</v>
      </c>
      <c r="R737" s="184"/>
      <c r="S737" s="185">
        <v>40</v>
      </c>
      <c r="T737" s="185" t="s">
        <v>2</v>
      </c>
      <c r="U737" s="185">
        <f>IF(S737&gt;0,IF(RIGHT(Ruimtestaat[[#This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7" s="185">
        <f>IF(U737&gt;0,VLOOKUP($K737,Ruimtegroepen[],3,FALSE)*VLOOKUP($M737,Vloersoorten[],3,FALSE)*VLOOKUP($T737,Frequenties[],3,FALSE)*VLOOKUP($A737,Locaties[],3,FALSE),0)</f>
        <v>0</v>
      </c>
      <c r="W737" s="185">
        <f>Ruimtestaat[[#This Row],[Uitvoeringen werkdagen]]*Ruimtestaat[[#This Row],[Oppervlak (netto)]]</f>
        <v>8600</v>
      </c>
      <c r="X737" s="220">
        <f>IF(V737&gt;0,Ruimtestaat[[#This Row],[Prest. (m2 /jaar) werkdagen]]/Ruimtestaat[[#This Row],[Norm (m2/uur) werkdagen]],0)</f>
        <v>0</v>
      </c>
      <c r="Y737" s="221">
        <f>Ruimtestaat[[#This Row],[uren / jaar werkdagen]]*Tariefsopbouw!$D$38</f>
        <v>0</v>
      </c>
      <c r="Z737" s="33"/>
      <c r="AA737" s="33">
        <f>IF(Ruimtestaat[[#This Row],[Frequentie weekend]]&gt;0,VALUE(LEFT(Z737,1))*S737,0)</f>
        <v>0</v>
      </c>
      <c r="AB737" s="33">
        <f>IF($AA737&gt;0,VLOOKUP($K737,Ruimtegroepen[],3,FALSE)*VLOOKUP($M737,Vloersoorten[],3,FALSE)*VLOOKUP($Z737,Frequenties[],3,FALSE)*VLOOKUP(#REF!,Locaties[],3,FALSE),0)</f>
        <v>0</v>
      </c>
      <c r="AC737" s="33"/>
      <c r="AD737" s="33"/>
      <c r="AE737" s="33">
        <f>Ruimtestaat[[#This Row],[uren / jaar weekend]]*Tariefsopbouw!$D$40</f>
        <v>0</v>
      </c>
      <c r="AF737" s="79">
        <f>Ruimtestaat[[#This Row],[Prest. (m2 /jaar) weekend]]+Ruimtestaat[[#This Row],[Prest. (m2 /jaar) werkdagen]]</f>
        <v>8600</v>
      </c>
      <c r="AG737" s="79">
        <f>Ruimtestaat[[#This Row],[uren / jaar weekend]]+Ruimtestaat[[#This Row],[uren / jaar werkdagen]]</f>
        <v>0</v>
      </c>
      <c r="AH737" s="80">
        <f>Ruimtestaat[[#This Row],[kosten / jaar weekend]]+Ruimtestaat[[#This Row],[kosten / jaar werkdagen]]</f>
        <v>0</v>
      </c>
    </row>
    <row r="738" spans="1:34" ht="15" customHeight="1">
      <c r="A738" s="256">
        <v>10</v>
      </c>
      <c r="B738" s="171" t="str">
        <f>VLOOKUP(Ruimtestaat[[#This Row],[Code]],Locaties[#All],2,FALSE)</f>
        <v>De Stapsteen (2 gebouwen)</v>
      </c>
      <c r="C738" s="258" t="str">
        <f>VLOOKUP(Ruimtestaat[[#This Row],[Code]],Locaties[#All],4,FALSE)</f>
        <v>J. Perkstraat 5-11</v>
      </c>
      <c r="D738" s="258" t="str">
        <f>VLOOKUP(Ruimtestaat[[#This Row],[Code]],Locaties[#All],5,FALSE)</f>
        <v>7532JR</v>
      </c>
      <c r="E738" s="258" t="str">
        <f>VLOOKUP(Ruimtestaat[[#This Row],[Code]],Locaties[#All],6,FALSE)</f>
        <v>Hengelo</v>
      </c>
      <c r="F738" s="257"/>
      <c r="G738" s="257" t="s">
        <v>563</v>
      </c>
      <c r="H738" s="171"/>
      <c r="I738" s="257" t="s">
        <v>460</v>
      </c>
      <c r="J738" s="259" t="s">
        <v>576</v>
      </c>
      <c r="K738" s="185">
        <v>16</v>
      </c>
      <c r="L738" s="260" t="str">
        <f>VLOOKUP(Ruimtestaat[[#This Row],[Ruimte code]],Ruimtegroepen[#All],2,FALSE)</f>
        <v>Leslokalen</v>
      </c>
      <c r="M738" s="258" t="s">
        <v>598</v>
      </c>
      <c r="N738" s="257" t="s">
        <v>132</v>
      </c>
      <c r="O738" s="261">
        <v>43</v>
      </c>
      <c r="P738" s="183"/>
      <c r="Q738" s="212" t="str">
        <f>VLOOKUP(Ruimtestaat[[#This Row],[Ruimte code]],Ruimtegroepen[#All],4,FALSE)</f>
        <v>L  (Lesruimte)</v>
      </c>
      <c r="R738" s="184"/>
      <c r="S738" s="185">
        <v>40</v>
      </c>
      <c r="T738" s="185" t="s">
        <v>2</v>
      </c>
      <c r="U738" s="185">
        <f>IF(S738&gt;0,IF(RIGHT(Ruimtestaat[[#This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8" s="185">
        <f>IF(U738&gt;0,VLOOKUP($K738,Ruimtegroepen[],3,FALSE)*VLOOKUP($M738,Vloersoorten[],3,FALSE)*VLOOKUP($T738,Frequenties[],3,FALSE)*VLOOKUP($A738,Locaties[],3,FALSE),0)</f>
        <v>0</v>
      </c>
      <c r="W738" s="185">
        <f>Ruimtestaat[[#This Row],[Uitvoeringen werkdagen]]*Ruimtestaat[[#This Row],[Oppervlak (netto)]]</f>
        <v>8600</v>
      </c>
      <c r="X738" s="220">
        <f>IF(V738&gt;0,Ruimtestaat[[#This Row],[Prest. (m2 /jaar) werkdagen]]/Ruimtestaat[[#This Row],[Norm (m2/uur) werkdagen]],0)</f>
        <v>0</v>
      </c>
      <c r="Y738" s="221">
        <f>Ruimtestaat[[#This Row],[uren / jaar werkdagen]]*Tariefsopbouw!$D$38</f>
        <v>0</v>
      </c>
      <c r="Z738" s="33"/>
      <c r="AA738" s="33">
        <f>IF(Ruimtestaat[[#This Row],[Frequentie weekend]]&gt;0,VALUE(LEFT(Z738,1))*S738,0)</f>
        <v>0</v>
      </c>
      <c r="AB738" s="33">
        <f>IF($AA738&gt;0,VLOOKUP($K738,Ruimtegroepen[],3,FALSE)*VLOOKUP($M738,Vloersoorten[],3,FALSE)*VLOOKUP($Z738,Frequenties[],3,FALSE)*VLOOKUP(#REF!,Locaties[],3,FALSE),0)</f>
        <v>0</v>
      </c>
      <c r="AC738" s="33"/>
      <c r="AD738" s="33"/>
      <c r="AE738" s="33">
        <f>Ruimtestaat[[#This Row],[uren / jaar weekend]]*Tariefsopbouw!$D$40</f>
        <v>0</v>
      </c>
      <c r="AF738" s="79">
        <f>Ruimtestaat[[#This Row],[Prest. (m2 /jaar) weekend]]+Ruimtestaat[[#This Row],[Prest. (m2 /jaar) werkdagen]]</f>
        <v>8600</v>
      </c>
      <c r="AG738" s="79">
        <f>Ruimtestaat[[#This Row],[uren / jaar weekend]]+Ruimtestaat[[#This Row],[uren / jaar werkdagen]]</f>
        <v>0</v>
      </c>
      <c r="AH738" s="80">
        <f>Ruimtestaat[[#This Row],[kosten / jaar weekend]]+Ruimtestaat[[#This Row],[kosten / jaar werkdagen]]</f>
        <v>0</v>
      </c>
    </row>
    <row r="739" spans="1:34" ht="15" customHeight="1">
      <c r="A739" s="256">
        <v>10</v>
      </c>
      <c r="B739" s="171" t="str">
        <f>VLOOKUP(Ruimtestaat[[#This Row],[Code]],Locaties[#All],2,FALSE)</f>
        <v>De Stapsteen (2 gebouwen)</v>
      </c>
      <c r="C739" s="258" t="str">
        <f>VLOOKUP(Ruimtestaat[[#This Row],[Code]],Locaties[#All],4,FALSE)</f>
        <v>J. Perkstraat 5-11</v>
      </c>
      <c r="D739" s="258" t="str">
        <f>VLOOKUP(Ruimtestaat[[#This Row],[Code]],Locaties[#All],5,FALSE)</f>
        <v>7532JR</v>
      </c>
      <c r="E739" s="258" t="str">
        <f>VLOOKUP(Ruimtestaat[[#This Row],[Code]],Locaties[#All],6,FALSE)</f>
        <v>Hengelo</v>
      </c>
      <c r="F739" s="257"/>
      <c r="G739" s="257" t="s">
        <v>563</v>
      </c>
      <c r="H739" s="171"/>
      <c r="I739" s="257" t="s">
        <v>461</v>
      </c>
      <c r="J739" s="259" t="s">
        <v>250</v>
      </c>
      <c r="K739" s="224">
        <v>11</v>
      </c>
      <c r="L739" s="260" t="str">
        <f>VLOOKUP(Ruimtestaat[[#This Row],[Ruimte code]],Ruimtegroepen[#All],2,FALSE)</f>
        <v>Garderobes</v>
      </c>
      <c r="M739" s="258" t="s">
        <v>598</v>
      </c>
      <c r="N739" s="257" t="s">
        <v>132</v>
      </c>
      <c r="O739" s="261">
        <v>9.5</v>
      </c>
      <c r="P739" s="183"/>
      <c r="Q739" s="212" t="str">
        <f>VLOOKUP(Ruimtestaat[[#This Row],[Ruimte code]],Ruimtegroepen[#All],4,FALSE)</f>
        <v>V  (Verkeersruimte)</v>
      </c>
      <c r="R739" s="184"/>
      <c r="S739" s="185">
        <v>40</v>
      </c>
      <c r="T739" s="185" t="s">
        <v>2</v>
      </c>
      <c r="U739" s="185">
        <f>IF(S739&gt;0,IF(RIGHT(Ruimtestaat[[#This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9" s="185">
        <f>IF(U739&gt;0,VLOOKUP($K739,Ruimtegroepen[],3,FALSE)*VLOOKUP($M739,Vloersoorten[],3,FALSE)*VLOOKUP($T739,Frequenties[],3,FALSE)*VLOOKUP($A739,Locaties[],3,FALSE),0)</f>
        <v>0</v>
      </c>
      <c r="W739" s="185">
        <f>Ruimtestaat[[#This Row],[Uitvoeringen werkdagen]]*Ruimtestaat[[#This Row],[Oppervlak (netto)]]</f>
        <v>1900</v>
      </c>
      <c r="X739" s="220">
        <f>IF(V739&gt;0,Ruimtestaat[[#This Row],[Prest. (m2 /jaar) werkdagen]]/Ruimtestaat[[#This Row],[Norm (m2/uur) werkdagen]],0)</f>
        <v>0</v>
      </c>
      <c r="Y739" s="221">
        <f>Ruimtestaat[[#This Row],[uren / jaar werkdagen]]*Tariefsopbouw!$D$38</f>
        <v>0</v>
      </c>
      <c r="Z739" s="33"/>
      <c r="AA739" s="33">
        <f>IF(Ruimtestaat[[#This Row],[Frequentie weekend]]&gt;0,VALUE(LEFT(Z739,1))*S739,0)</f>
        <v>0</v>
      </c>
      <c r="AB739" s="33">
        <f>IF($AA739&gt;0,VLOOKUP($K739,Ruimtegroepen[],3,FALSE)*VLOOKUP($M739,Vloersoorten[],3,FALSE)*VLOOKUP($Z739,Frequenties[],3,FALSE)*VLOOKUP(#REF!,Locaties[],3,FALSE),0)</f>
        <v>0</v>
      </c>
      <c r="AC739" s="33"/>
      <c r="AD739" s="33"/>
      <c r="AE739" s="33">
        <f>Ruimtestaat[[#This Row],[uren / jaar weekend]]*Tariefsopbouw!$D$40</f>
        <v>0</v>
      </c>
      <c r="AF739" s="79">
        <f>Ruimtestaat[[#This Row],[Prest. (m2 /jaar) weekend]]+Ruimtestaat[[#This Row],[Prest. (m2 /jaar) werkdagen]]</f>
        <v>1900</v>
      </c>
      <c r="AG739" s="79">
        <f>Ruimtestaat[[#This Row],[uren / jaar weekend]]+Ruimtestaat[[#This Row],[uren / jaar werkdagen]]</f>
        <v>0</v>
      </c>
      <c r="AH739" s="80">
        <f>Ruimtestaat[[#This Row],[kosten / jaar weekend]]+Ruimtestaat[[#This Row],[kosten / jaar werkdagen]]</f>
        <v>0</v>
      </c>
    </row>
    <row r="740" spans="1:34" ht="15" customHeight="1">
      <c r="A740" s="256">
        <v>10</v>
      </c>
      <c r="B740" s="171" t="str">
        <f>VLOOKUP(Ruimtestaat[[#This Row],[Code]],Locaties[#All],2,FALSE)</f>
        <v>De Stapsteen (2 gebouwen)</v>
      </c>
      <c r="C740" s="258" t="str">
        <f>VLOOKUP(Ruimtestaat[[#This Row],[Code]],Locaties[#All],4,FALSE)</f>
        <v>J. Perkstraat 5-11</v>
      </c>
      <c r="D740" s="258" t="str">
        <f>VLOOKUP(Ruimtestaat[[#This Row],[Code]],Locaties[#All],5,FALSE)</f>
        <v>7532JR</v>
      </c>
      <c r="E740" s="258" t="str">
        <f>VLOOKUP(Ruimtestaat[[#This Row],[Code]],Locaties[#All],6,FALSE)</f>
        <v>Hengelo</v>
      </c>
      <c r="F740" s="257"/>
      <c r="G740" s="257" t="s">
        <v>563</v>
      </c>
      <c r="H740" s="171"/>
      <c r="I740" s="257" t="s">
        <v>462</v>
      </c>
      <c r="J740" s="259" t="s">
        <v>250</v>
      </c>
      <c r="K740" s="185">
        <v>11</v>
      </c>
      <c r="L740" s="260" t="str">
        <f>VLOOKUP(Ruimtestaat[[#This Row],[Ruimte code]],Ruimtegroepen[#All],2,FALSE)</f>
        <v>Garderobes</v>
      </c>
      <c r="M740" s="258" t="s">
        <v>598</v>
      </c>
      <c r="N740" s="257" t="s">
        <v>132</v>
      </c>
      <c r="O740" s="261">
        <v>9.5</v>
      </c>
      <c r="P740" s="183"/>
      <c r="Q740" s="212" t="str">
        <f>VLOOKUP(Ruimtestaat[[#This Row],[Ruimte code]],Ruimtegroepen[#All],4,FALSE)</f>
        <v>V  (Verkeersruimte)</v>
      </c>
      <c r="R740" s="184"/>
      <c r="S740" s="185">
        <v>40</v>
      </c>
      <c r="T740" s="185" t="s">
        <v>2</v>
      </c>
      <c r="U740" s="185">
        <f>IF(S740&gt;0,IF(RIGHT(Ruimtestaat[[#This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0" s="185">
        <f>IF(U740&gt;0,VLOOKUP($K740,Ruimtegroepen[],3,FALSE)*VLOOKUP($M740,Vloersoorten[],3,FALSE)*VLOOKUP($T740,Frequenties[],3,FALSE)*VLOOKUP($A740,Locaties[],3,FALSE),0)</f>
        <v>0</v>
      </c>
      <c r="W740" s="185">
        <f>Ruimtestaat[[#This Row],[Uitvoeringen werkdagen]]*Ruimtestaat[[#This Row],[Oppervlak (netto)]]</f>
        <v>1900</v>
      </c>
      <c r="X740" s="220">
        <f>IF(V740&gt;0,Ruimtestaat[[#This Row],[Prest. (m2 /jaar) werkdagen]]/Ruimtestaat[[#This Row],[Norm (m2/uur) werkdagen]],0)</f>
        <v>0</v>
      </c>
      <c r="Y740" s="221">
        <f>Ruimtestaat[[#This Row],[uren / jaar werkdagen]]*Tariefsopbouw!$D$38</f>
        <v>0</v>
      </c>
      <c r="Z740" s="33"/>
      <c r="AA740" s="33">
        <f>IF(Ruimtestaat[[#This Row],[Frequentie weekend]]&gt;0,VALUE(LEFT(Z740,1))*S740,0)</f>
        <v>0</v>
      </c>
      <c r="AB740" s="33">
        <f>IF($AA740&gt;0,VLOOKUP($K740,Ruimtegroepen[],3,FALSE)*VLOOKUP($M740,Vloersoorten[],3,FALSE)*VLOOKUP($Z740,Frequenties[],3,FALSE)*VLOOKUP(#REF!,Locaties[],3,FALSE),0)</f>
        <v>0</v>
      </c>
      <c r="AC740" s="33"/>
      <c r="AD740" s="33"/>
      <c r="AE740" s="33">
        <f>Ruimtestaat[[#This Row],[uren / jaar weekend]]*Tariefsopbouw!$D$40</f>
        <v>0</v>
      </c>
      <c r="AF740" s="79">
        <f>Ruimtestaat[[#This Row],[Prest. (m2 /jaar) weekend]]+Ruimtestaat[[#This Row],[Prest. (m2 /jaar) werkdagen]]</f>
        <v>1900</v>
      </c>
      <c r="AG740" s="79">
        <f>Ruimtestaat[[#This Row],[uren / jaar weekend]]+Ruimtestaat[[#This Row],[uren / jaar werkdagen]]</f>
        <v>0</v>
      </c>
      <c r="AH740" s="80">
        <f>Ruimtestaat[[#This Row],[kosten / jaar weekend]]+Ruimtestaat[[#This Row],[kosten / jaar werkdagen]]</f>
        <v>0</v>
      </c>
    </row>
    <row r="741" spans="1:34" ht="15" customHeight="1">
      <c r="A741" s="256">
        <v>10</v>
      </c>
      <c r="B741" s="171" t="str">
        <f>VLOOKUP(Ruimtestaat[[#This Row],[Code]],Locaties[#All],2,FALSE)</f>
        <v>De Stapsteen (2 gebouwen)</v>
      </c>
      <c r="C741" s="258" t="str">
        <f>VLOOKUP(Ruimtestaat[[#This Row],[Code]],Locaties[#All],4,FALSE)</f>
        <v>J. Perkstraat 5-11</v>
      </c>
      <c r="D741" s="258" t="str">
        <f>VLOOKUP(Ruimtestaat[[#This Row],[Code]],Locaties[#All],5,FALSE)</f>
        <v>7532JR</v>
      </c>
      <c r="E741" s="258" t="str">
        <f>VLOOKUP(Ruimtestaat[[#This Row],[Code]],Locaties[#All],6,FALSE)</f>
        <v>Hengelo</v>
      </c>
      <c r="F741" s="257"/>
      <c r="G741" s="257" t="s">
        <v>563</v>
      </c>
      <c r="H741" s="171"/>
      <c r="I741" s="257" t="s">
        <v>463</v>
      </c>
      <c r="J741" s="259" t="s">
        <v>576</v>
      </c>
      <c r="K741" s="185">
        <v>16</v>
      </c>
      <c r="L741" s="260" t="str">
        <f>VLOOKUP(Ruimtestaat[[#This Row],[Ruimte code]],Ruimtegroepen[#All],2,FALSE)</f>
        <v>Leslokalen</v>
      </c>
      <c r="M741" s="258" t="s">
        <v>598</v>
      </c>
      <c r="N741" s="257" t="s">
        <v>132</v>
      </c>
      <c r="O741" s="261">
        <v>58</v>
      </c>
      <c r="P741" s="183"/>
      <c r="Q741" s="212" t="str">
        <f>VLOOKUP(Ruimtestaat[[#This Row],[Ruimte code]],Ruimtegroepen[#All],4,FALSE)</f>
        <v>L  (Lesruimte)</v>
      </c>
      <c r="R741" s="184"/>
      <c r="S741" s="185">
        <v>40</v>
      </c>
      <c r="T741" s="185" t="s">
        <v>2</v>
      </c>
      <c r="U741" s="185">
        <f>IF(S741&gt;0,IF(RIGHT(Ruimtestaat[[#This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1" s="185">
        <f>IF(U741&gt;0,VLOOKUP($K741,Ruimtegroepen[],3,FALSE)*VLOOKUP($M741,Vloersoorten[],3,FALSE)*VLOOKUP($T741,Frequenties[],3,FALSE)*VLOOKUP($A741,Locaties[],3,FALSE),0)</f>
        <v>0</v>
      </c>
      <c r="W741" s="185">
        <f>Ruimtestaat[[#This Row],[Uitvoeringen werkdagen]]*Ruimtestaat[[#This Row],[Oppervlak (netto)]]</f>
        <v>11600</v>
      </c>
      <c r="X741" s="220">
        <f>IF(V741&gt;0,Ruimtestaat[[#This Row],[Prest. (m2 /jaar) werkdagen]]/Ruimtestaat[[#This Row],[Norm (m2/uur) werkdagen]],0)</f>
        <v>0</v>
      </c>
      <c r="Y741" s="221">
        <f>Ruimtestaat[[#This Row],[uren / jaar werkdagen]]*Tariefsopbouw!$D$38</f>
        <v>0</v>
      </c>
      <c r="Z741" s="33"/>
      <c r="AA741" s="33">
        <f>IF(Ruimtestaat[[#This Row],[Frequentie weekend]]&gt;0,VALUE(LEFT(Z741,1))*S741,0)</f>
        <v>0</v>
      </c>
      <c r="AB741" s="33">
        <f>IF($AA741&gt;0,VLOOKUP($K741,Ruimtegroepen[],3,FALSE)*VLOOKUP($M741,Vloersoorten[],3,FALSE)*VLOOKUP($Z741,Frequenties[],3,FALSE)*VLOOKUP(#REF!,Locaties[],3,FALSE),0)</f>
        <v>0</v>
      </c>
      <c r="AC741" s="33"/>
      <c r="AD741" s="33"/>
      <c r="AE741" s="33">
        <f>Ruimtestaat[[#This Row],[uren / jaar weekend]]*Tariefsopbouw!$D$40</f>
        <v>0</v>
      </c>
      <c r="AF741" s="79">
        <f>Ruimtestaat[[#This Row],[Prest. (m2 /jaar) weekend]]+Ruimtestaat[[#This Row],[Prest. (m2 /jaar) werkdagen]]</f>
        <v>11600</v>
      </c>
      <c r="AG741" s="79">
        <f>Ruimtestaat[[#This Row],[uren / jaar weekend]]+Ruimtestaat[[#This Row],[uren / jaar werkdagen]]</f>
        <v>0</v>
      </c>
      <c r="AH741" s="80">
        <f>Ruimtestaat[[#This Row],[kosten / jaar weekend]]+Ruimtestaat[[#This Row],[kosten / jaar werkdagen]]</f>
        <v>0</v>
      </c>
    </row>
    <row r="742" spans="1:34" ht="15" customHeight="1">
      <c r="A742" s="256">
        <v>10</v>
      </c>
      <c r="B742" s="171" t="str">
        <f>VLOOKUP(Ruimtestaat[[#This Row],[Code]],Locaties[#All],2,FALSE)</f>
        <v>De Stapsteen (2 gebouwen)</v>
      </c>
      <c r="C742" s="258" t="str">
        <f>VLOOKUP(Ruimtestaat[[#This Row],[Code]],Locaties[#All],4,FALSE)</f>
        <v>J. Perkstraat 5-11</v>
      </c>
      <c r="D742" s="258" t="str">
        <f>VLOOKUP(Ruimtestaat[[#This Row],[Code]],Locaties[#All],5,FALSE)</f>
        <v>7532JR</v>
      </c>
      <c r="E742" s="258" t="str">
        <f>VLOOKUP(Ruimtestaat[[#This Row],[Code]],Locaties[#All],6,FALSE)</f>
        <v>Hengelo</v>
      </c>
      <c r="F742" s="257"/>
      <c r="G742" s="257" t="s">
        <v>563</v>
      </c>
      <c r="H742" s="171"/>
      <c r="I742" s="257" t="s">
        <v>464</v>
      </c>
      <c r="J742" s="259" t="s">
        <v>603</v>
      </c>
      <c r="K742" s="258">
        <v>9</v>
      </c>
      <c r="L742" s="260" t="str">
        <f>VLOOKUP(Ruimtestaat[[#This Row],[Ruimte code]],Ruimtegroepen[#All],2,FALSE)</f>
        <v>Time-out ruimte</v>
      </c>
      <c r="M742" s="185" t="s">
        <v>598</v>
      </c>
      <c r="N742" s="257" t="s">
        <v>132</v>
      </c>
      <c r="O742" s="261">
        <v>33</v>
      </c>
      <c r="P742" s="183"/>
      <c r="Q742" s="212" t="str">
        <f>VLOOKUP(Ruimtestaat[[#This Row],[Ruimte code]],Ruimtegroepen[#All],4,FALSE)</f>
        <v>V  (Verkeersruimte)</v>
      </c>
      <c r="R742" s="184"/>
      <c r="S742" s="185">
        <v>40</v>
      </c>
      <c r="T742" s="185" t="s">
        <v>17</v>
      </c>
      <c r="U742" s="185">
        <f>IF(S742&gt;0,IF(RIGHT(Ruimtestaat[[#This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742" s="185">
        <f>IF(U742&gt;0,VLOOKUP($K742,Ruimtegroepen[],3,FALSE)*VLOOKUP($M742,Vloersoorten[],3,FALSE)*VLOOKUP($T742,Frequenties[],3,FALSE)*VLOOKUP($A742,Locaties[],3,FALSE),0)</f>
        <v>0</v>
      </c>
      <c r="W742" s="185">
        <f>Ruimtestaat[[#This Row],[Uitvoeringen werkdagen]]*Ruimtestaat[[#This Row],[Oppervlak (netto)]]</f>
        <v>2640</v>
      </c>
      <c r="X742" s="220">
        <f>IF(V742&gt;0,Ruimtestaat[[#This Row],[Prest. (m2 /jaar) werkdagen]]/Ruimtestaat[[#This Row],[Norm (m2/uur) werkdagen]],0)</f>
        <v>0</v>
      </c>
      <c r="Y742" s="221">
        <f>Ruimtestaat[[#This Row],[uren / jaar werkdagen]]*Tariefsopbouw!$D$38</f>
        <v>0</v>
      </c>
      <c r="Z742" s="33"/>
      <c r="AA742" s="33">
        <f>IF(Ruimtestaat[[#This Row],[Frequentie weekend]]&gt;0,VALUE(LEFT(Z742,1))*S742,0)</f>
        <v>0</v>
      </c>
      <c r="AB742" s="33">
        <f>IF($AA742&gt;0,VLOOKUP($K742,Ruimtegroepen[],3,FALSE)*VLOOKUP($M742,Vloersoorten[],3,FALSE)*VLOOKUP($Z742,Frequenties[],3,FALSE)*VLOOKUP(#REF!,Locaties[],3,FALSE),0)</f>
        <v>0</v>
      </c>
      <c r="AC742" s="33"/>
      <c r="AD742" s="33"/>
      <c r="AE742" s="33">
        <f>Ruimtestaat[[#This Row],[uren / jaar weekend]]*Tariefsopbouw!$D$40</f>
        <v>0</v>
      </c>
      <c r="AF742" s="79">
        <f>Ruimtestaat[[#This Row],[Prest. (m2 /jaar) weekend]]+Ruimtestaat[[#This Row],[Prest. (m2 /jaar) werkdagen]]</f>
        <v>2640</v>
      </c>
      <c r="AG742" s="79">
        <f>Ruimtestaat[[#This Row],[uren / jaar weekend]]+Ruimtestaat[[#This Row],[uren / jaar werkdagen]]</f>
        <v>0</v>
      </c>
      <c r="AH742" s="80">
        <f>Ruimtestaat[[#This Row],[kosten / jaar weekend]]+Ruimtestaat[[#This Row],[kosten / jaar werkdagen]]</f>
        <v>0</v>
      </c>
    </row>
    <row r="743" spans="1:34" ht="15" customHeight="1">
      <c r="A743" s="256">
        <v>10</v>
      </c>
      <c r="B743" s="171" t="str">
        <f>VLOOKUP(Ruimtestaat[[#This Row],[Code]],Locaties[#All],2,FALSE)</f>
        <v>De Stapsteen (2 gebouwen)</v>
      </c>
      <c r="C743" s="258" t="str">
        <f>VLOOKUP(Ruimtestaat[[#This Row],[Code]],Locaties[#All],4,FALSE)</f>
        <v>J. Perkstraat 5-11</v>
      </c>
      <c r="D743" s="258" t="str">
        <f>VLOOKUP(Ruimtestaat[[#This Row],[Code]],Locaties[#All],5,FALSE)</f>
        <v>7532JR</v>
      </c>
      <c r="E743" s="258" t="str">
        <f>VLOOKUP(Ruimtestaat[[#This Row],[Code]],Locaties[#All],6,FALSE)</f>
        <v>Hengelo</v>
      </c>
      <c r="F743" s="257"/>
      <c r="G743" s="257" t="s">
        <v>563</v>
      </c>
      <c r="H743" s="171"/>
      <c r="I743" s="257" t="s">
        <v>465</v>
      </c>
      <c r="J743" s="259" t="s">
        <v>603</v>
      </c>
      <c r="K743" s="224">
        <v>9</v>
      </c>
      <c r="L743" s="260" t="str">
        <f>VLOOKUP(Ruimtestaat[[#This Row],[Ruimte code]],Ruimtegroepen[#All],2,FALSE)</f>
        <v>Time-out ruimte</v>
      </c>
      <c r="M743" s="258" t="s">
        <v>598</v>
      </c>
      <c r="N743" s="257" t="s">
        <v>132</v>
      </c>
      <c r="O743" s="261">
        <v>16</v>
      </c>
      <c r="P743" s="183"/>
      <c r="Q743" s="212" t="str">
        <f>VLOOKUP(Ruimtestaat[[#This Row],[Ruimte code]],Ruimtegroepen[#All],4,FALSE)</f>
        <v>V  (Verkeersruimte)</v>
      </c>
      <c r="R743" s="184"/>
      <c r="S743" s="185">
        <v>40</v>
      </c>
      <c r="T743" s="185" t="s">
        <v>17</v>
      </c>
      <c r="U743" s="185">
        <f>IF(S743&gt;0,IF(RIGHT(Ruimtestaat[[#This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743" s="185">
        <f>IF(U743&gt;0,VLOOKUP($K743,Ruimtegroepen[],3,FALSE)*VLOOKUP($M743,Vloersoorten[],3,FALSE)*VLOOKUP($T743,Frequenties[],3,FALSE)*VLOOKUP($A743,Locaties[],3,FALSE),0)</f>
        <v>0</v>
      </c>
      <c r="W743" s="185">
        <f>Ruimtestaat[[#This Row],[Uitvoeringen werkdagen]]*Ruimtestaat[[#This Row],[Oppervlak (netto)]]</f>
        <v>1280</v>
      </c>
      <c r="X743" s="220">
        <f>IF(V743&gt;0,Ruimtestaat[[#This Row],[Prest. (m2 /jaar) werkdagen]]/Ruimtestaat[[#This Row],[Norm (m2/uur) werkdagen]],0)</f>
        <v>0</v>
      </c>
      <c r="Y743" s="221">
        <f>Ruimtestaat[[#This Row],[uren / jaar werkdagen]]*Tariefsopbouw!$D$38</f>
        <v>0</v>
      </c>
      <c r="Z743" s="33"/>
      <c r="AA743" s="33">
        <f>IF(Ruimtestaat[[#This Row],[Frequentie weekend]]&gt;0,VALUE(LEFT(Z743,1))*S743,0)</f>
        <v>0</v>
      </c>
      <c r="AB743" s="33">
        <f>IF($AA743&gt;0,VLOOKUP($K743,Ruimtegroepen[],3,FALSE)*VLOOKUP($M743,Vloersoorten[],3,FALSE)*VLOOKUP($Z743,Frequenties[],3,FALSE)*VLOOKUP(#REF!,Locaties[],3,FALSE),0)</f>
        <v>0</v>
      </c>
      <c r="AC743" s="33"/>
      <c r="AD743" s="33"/>
      <c r="AE743" s="33">
        <f>Ruimtestaat[[#This Row],[uren / jaar weekend]]*Tariefsopbouw!$D$40</f>
        <v>0</v>
      </c>
      <c r="AF743" s="79">
        <f>Ruimtestaat[[#This Row],[Prest. (m2 /jaar) weekend]]+Ruimtestaat[[#This Row],[Prest. (m2 /jaar) werkdagen]]</f>
        <v>1280</v>
      </c>
      <c r="AG743" s="79">
        <f>Ruimtestaat[[#This Row],[uren / jaar weekend]]+Ruimtestaat[[#This Row],[uren / jaar werkdagen]]</f>
        <v>0</v>
      </c>
      <c r="AH743" s="80">
        <f>Ruimtestaat[[#This Row],[kosten / jaar weekend]]+Ruimtestaat[[#This Row],[kosten / jaar werkdagen]]</f>
        <v>0</v>
      </c>
    </row>
    <row r="744" spans="1:34" ht="15" customHeight="1">
      <c r="A744" s="256">
        <v>10</v>
      </c>
      <c r="B744" s="171" t="str">
        <f>VLOOKUP(Ruimtestaat[[#This Row],[Code]],Locaties[#All],2,FALSE)</f>
        <v>De Stapsteen (2 gebouwen)</v>
      </c>
      <c r="C744" s="258" t="str">
        <f>VLOOKUP(Ruimtestaat[[#This Row],[Code]],Locaties[#All],4,FALSE)</f>
        <v>J. Perkstraat 5-11</v>
      </c>
      <c r="D744" s="258" t="str">
        <f>VLOOKUP(Ruimtestaat[[#This Row],[Code]],Locaties[#All],5,FALSE)</f>
        <v>7532JR</v>
      </c>
      <c r="E744" s="258" t="str">
        <f>VLOOKUP(Ruimtestaat[[#This Row],[Code]],Locaties[#All],6,FALSE)</f>
        <v>Hengelo</v>
      </c>
      <c r="F744" s="257"/>
      <c r="G744" s="257" t="s">
        <v>563</v>
      </c>
      <c r="H744" s="171"/>
      <c r="I744" s="257" t="s">
        <v>466</v>
      </c>
      <c r="J744" s="259" t="s">
        <v>603</v>
      </c>
      <c r="K744" s="258">
        <v>9</v>
      </c>
      <c r="L744" s="260" t="str">
        <f>VLOOKUP(Ruimtestaat[[#This Row],[Ruimte code]],Ruimtegroepen[#All],2,FALSE)</f>
        <v>Time-out ruimte</v>
      </c>
      <c r="M744" s="185" t="s">
        <v>598</v>
      </c>
      <c r="N744" s="257" t="s">
        <v>132</v>
      </c>
      <c r="O744" s="261">
        <v>10</v>
      </c>
      <c r="P744" s="183"/>
      <c r="Q744" s="212" t="str">
        <f>VLOOKUP(Ruimtestaat[[#This Row],[Ruimte code]],Ruimtegroepen[#All],4,FALSE)</f>
        <v>V  (Verkeersruimte)</v>
      </c>
      <c r="R744" s="184"/>
      <c r="S744" s="185">
        <v>40</v>
      </c>
      <c r="T744" s="185" t="s">
        <v>17</v>
      </c>
      <c r="U744" s="185">
        <f>IF(S744&gt;0,IF(RIGHT(Ruimtestaat[[#This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744" s="185">
        <f>IF(U744&gt;0,VLOOKUP($K744,Ruimtegroepen[],3,FALSE)*VLOOKUP($M744,Vloersoorten[],3,FALSE)*VLOOKUP($T744,Frequenties[],3,FALSE)*VLOOKUP($A744,Locaties[],3,FALSE),0)</f>
        <v>0</v>
      </c>
      <c r="W744" s="185">
        <f>Ruimtestaat[[#This Row],[Uitvoeringen werkdagen]]*Ruimtestaat[[#This Row],[Oppervlak (netto)]]</f>
        <v>800</v>
      </c>
      <c r="X744" s="220">
        <f>IF(V744&gt;0,Ruimtestaat[[#This Row],[Prest. (m2 /jaar) werkdagen]]/Ruimtestaat[[#This Row],[Norm (m2/uur) werkdagen]],0)</f>
        <v>0</v>
      </c>
      <c r="Y744" s="221">
        <f>Ruimtestaat[[#This Row],[uren / jaar werkdagen]]*Tariefsopbouw!$D$38</f>
        <v>0</v>
      </c>
      <c r="Z744" s="33"/>
      <c r="AA744" s="33">
        <f>IF(Ruimtestaat[[#This Row],[Frequentie weekend]]&gt;0,VALUE(LEFT(Z744,1))*S744,0)</f>
        <v>0</v>
      </c>
      <c r="AB744" s="33">
        <f>IF($AA744&gt;0,VLOOKUP($K744,Ruimtegroepen[],3,FALSE)*VLOOKUP($M744,Vloersoorten[],3,FALSE)*VLOOKUP($Z744,Frequenties[],3,FALSE)*VLOOKUP(#REF!,Locaties[],3,FALSE),0)</f>
        <v>0</v>
      </c>
      <c r="AC744" s="33"/>
      <c r="AD744" s="33"/>
      <c r="AE744" s="33">
        <f>Ruimtestaat[[#This Row],[uren / jaar weekend]]*Tariefsopbouw!$D$40</f>
        <v>0</v>
      </c>
      <c r="AF744" s="79">
        <f>Ruimtestaat[[#This Row],[Prest. (m2 /jaar) weekend]]+Ruimtestaat[[#This Row],[Prest. (m2 /jaar) werkdagen]]</f>
        <v>800</v>
      </c>
      <c r="AG744" s="79">
        <f>Ruimtestaat[[#This Row],[uren / jaar weekend]]+Ruimtestaat[[#This Row],[uren / jaar werkdagen]]</f>
        <v>0</v>
      </c>
      <c r="AH744" s="80">
        <f>Ruimtestaat[[#This Row],[kosten / jaar weekend]]+Ruimtestaat[[#This Row],[kosten / jaar werkdagen]]</f>
        <v>0</v>
      </c>
    </row>
    <row r="745" spans="1:34" ht="15" customHeight="1">
      <c r="A745" s="256">
        <v>10</v>
      </c>
      <c r="B745" s="171" t="str">
        <f>VLOOKUP(Ruimtestaat[[#This Row],[Code]],Locaties[#All],2,FALSE)</f>
        <v>De Stapsteen (2 gebouwen)</v>
      </c>
      <c r="C745" s="258" t="str">
        <f>VLOOKUP(Ruimtestaat[[#This Row],[Code]],Locaties[#All],4,FALSE)</f>
        <v>J. Perkstraat 5-11</v>
      </c>
      <c r="D745" s="258" t="str">
        <f>VLOOKUP(Ruimtestaat[[#This Row],[Code]],Locaties[#All],5,FALSE)</f>
        <v>7532JR</v>
      </c>
      <c r="E745" s="258" t="str">
        <f>VLOOKUP(Ruimtestaat[[#This Row],[Code]],Locaties[#All],6,FALSE)</f>
        <v>Hengelo</v>
      </c>
      <c r="F745" s="257"/>
      <c r="G745" s="257" t="s">
        <v>563</v>
      </c>
      <c r="H745" s="171"/>
      <c r="I745" s="257" t="s">
        <v>467</v>
      </c>
      <c r="J745" s="259" t="s">
        <v>585</v>
      </c>
      <c r="K745" s="258">
        <v>20</v>
      </c>
      <c r="L745" s="260" t="str">
        <f>VLOOKUP(Ruimtestaat[[#This Row],[Ruimte code]],Ruimtegroepen[#All],2,FALSE)</f>
        <v>Niet in onderhoud</v>
      </c>
      <c r="M745" s="185" t="s">
        <v>598</v>
      </c>
      <c r="N745" s="257" t="s">
        <v>132</v>
      </c>
      <c r="O745" s="261"/>
      <c r="P745" s="183">
        <v>7.5</v>
      </c>
      <c r="Q745" s="212" t="str">
        <f>VLOOKUP(Ruimtestaat[[#This Row],[Ruimte code]],Ruimtegroepen[#All],4,FALSE)</f>
        <v>niet in onderhoud</v>
      </c>
      <c r="R745" s="184"/>
      <c r="S745" s="185"/>
      <c r="T745" s="185"/>
      <c r="U745" s="185">
        <f>IF(S745&gt;0,IF(RIGHT(Ruimtestaat[[#This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45" s="185">
        <f>IF(U745&gt;0,VLOOKUP($K745,Ruimtegroepen[],3,FALSE)*VLOOKUP($M745,Vloersoorten[],3,FALSE)*VLOOKUP($T745,Frequenties[],3,FALSE)*VLOOKUP($A745,Locaties[],3,FALSE),0)</f>
        <v>0</v>
      </c>
      <c r="W745" s="185">
        <f>Ruimtestaat[[#This Row],[Uitvoeringen werkdagen]]*Ruimtestaat[[#This Row],[Oppervlak (netto)]]</f>
        <v>0</v>
      </c>
      <c r="X745" s="220">
        <f>IF(V745&gt;0,Ruimtestaat[[#This Row],[Prest. (m2 /jaar) werkdagen]]/Ruimtestaat[[#This Row],[Norm (m2/uur) werkdagen]],0)</f>
        <v>0</v>
      </c>
      <c r="Y745" s="221">
        <f>Ruimtestaat[[#This Row],[uren / jaar werkdagen]]*Tariefsopbouw!$D$38</f>
        <v>0</v>
      </c>
      <c r="Z745" s="33"/>
      <c r="AA745" s="33">
        <f>IF(Ruimtestaat[[#This Row],[Frequentie weekend]]&gt;0,VALUE(LEFT(Z745,1))*S745,0)</f>
        <v>0</v>
      </c>
      <c r="AB745" s="33">
        <f>IF($AA745&gt;0,VLOOKUP($K745,Ruimtegroepen[],3,FALSE)*VLOOKUP($M745,Vloersoorten[],3,FALSE)*VLOOKUP($Z745,Frequenties[],3,FALSE)*VLOOKUP(#REF!,Locaties[],3,FALSE),0)</f>
        <v>0</v>
      </c>
      <c r="AC745" s="33"/>
      <c r="AD745" s="33"/>
      <c r="AE745" s="33">
        <f>Ruimtestaat[[#This Row],[uren / jaar weekend]]*Tariefsopbouw!$D$40</f>
        <v>0</v>
      </c>
      <c r="AF745" s="79">
        <f>Ruimtestaat[[#This Row],[Prest. (m2 /jaar) weekend]]+Ruimtestaat[[#This Row],[Prest. (m2 /jaar) werkdagen]]</f>
        <v>0</v>
      </c>
      <c r="AG745" s="79">
        <f>Ruimtestaat[[#This Row],[uren / jaar weekend]]+Ruimtestaat[[#This Row],[uren / jaar werkdagen]]</f>
        <v>0</v>
      </c>
      <c r="AH745" s="80">
        <f>Ruimtestaat[[#This Row],[kosten / jaar weekend]]+Ruimtestaat[[#This Row],[kosten / jaar werkdagen]]</f>
        <v>0</v>
      </c>
    </row>
    <row r="746" spans="1:34" ht="15" customHeight="1">
      <c r="A746" s="256">
        <v>10</v>
      </c>
      <c r="B746" s="171" t="str">
        <f>VLOOKUP(Ruimtestaat[[#This Row],[Code]],Locaties[#All],2,FALSE)</f>
        <v>De Stapsteen (2 gebouwen)</v>
      </c>
      <c r="C746" s="258" t="str">
        <f>VLOOKUP(Ruimtestaat[[#This Row],[Code]],Locaties[#All],4,FALSE)</f>
        <v>J. Perkstraat 5-11</v>
      </c>
      <c r="D746" s="258" t="str">
        <f>VLOOKUP(Ruimtestaat[[#This Row],[Code]],Locaties[#All],5,FALSE)</f>
        <v>7532JR</v>
      </c>
      <c r="E746" s="258" t="str">
        <f>VLOOKUP(Ruimtestaat[[#This Row],[Code]],Locaties[#All],6,FALSE)</f>
        <v>Hengelo</v>
      </c>
      <c r="F746" s="257"/>
      <c r="G746" s="257" t="s">
        <v>563</v>
      </c>
      <c r="H746" s="171"/>
      <c r="I746" s="257" t="s">
        <v>468</v>
      </c>
      <c r="J746" s="259" t="s">
        <v>574</v>
      </c>
      <c r="K746" s="171">
        <v>6</v>
      </c>
      <c r="L746" s="260" t="str">
        <f>VLOOKUP(Ruimtestaat[[#This Row],[Ruimte code]],Ruimtegroepen[#All],2,FALSE)</f>
        <v>Gangen/hallen</v>
      </c>
      <c r="M746" s="258" t="s">
        <v>598</v>
      </c>
      <c r="N746" s="257" t="s">
        <v>132</v>
      </c>
      <c r="O746" s="261">
        <v>10</v>
      </c>
      <c r="P746" s="183"/>
      <c r="Q746" s="212" t="str">
        <f>VLOOKUP(Ruimtestaat[[#This Row],[Ruimte code]],Ruimtegroepen[#All],4,FALSE)</f>
        <v>V  (Verkeersruimte)</v>
      </c>
      <c r="R746" s="184"/>
      <c r="S746" s="185">
        <v>40</v>
      </c>
      <c r="T746" s="185" t="s">
        <v>2</v>
      </c>
      <c r="U746" s="185">
        <f>IF(S746&gt;0,IF(RIGHT(Ruimtestaat[[#This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6" s="185">
        <f>IF(U746&gt;0,VLOOKUP($K746,Ruimtegroepen[],3,FALSE)*VLOOKUP($M746,Vloersoorten[],3,FALSE)*VLOOKUP($T746,Frequenties[],3,FALSE)*VLOOKUP($A746,Locaties[],3,FALSE),0)</f>
        <v>0</v>
      </c>
      <c r="W746" s="185">
        <f>Ruimtestaat[[#This Row],[Uitvoeringen werkdagen]]*Ruimtestaat[[#This Row],[Oppervlak (netto)]]</f>
        <v>2000</v>
      </c>
      <c r="X746" s="220">
        <f>IF(V746&gt;0,Ruimtestaat[[#This Row],[Prest. (m2 /jaar) werkdagen]]/Ruimtestaat[[#This Row],[Norm (m2/uur) werkdagen]],0)</f>
        <v>0</v>
      </c>
      <c r="Y746" s="221">
        <f>Ruimtestaat[[#This Row],[uren / jaar werkdagen]]*Tariefsopbouw!$D$38</f>
        <v>0</v>
      </c>
      <c r="Z746" s="33"/>
      <c r="AA746" s="33">
        <f>IF(Ruimtestaat[[#This Row],[Frequentie weekend]]&gt;0,VALUE(LEFT(Z746,1))*S746,0)</f>
        <v>0</v>
      </c>
      <c r="AB746" s="33">
        <f>IF($AA746&gt;0,VLOOKUP($K746,Ruimtegroepen[],3,FALSE)*VLOOKUP($M746,Vloersoorten[],3,FALSE)*VLOOKUP($Z746,Frequenties[],3,FALSE)*VLOOKUP(#REF!,Locaties[],3,FALSE),0)</f>
        <v>0</v>
      </c>
      <c r="AC746" s="33"/>
      <c r="AD746" s="33"/>
      <c r="AE746" s="33">
        <f>Ruimtestaat[[#This Row],[uren / jaar weekend]]*Tariefsopbouw!$D$40</f>
        <v>0</v>
      </c>
      <c r="AF746" s="79">
        <f>Ruimtestaat[[#This Row],[Prest. (m2 /jaar) weekend]]+Ruimtestaat[[#This Row],[Prest. (m2 /jaar) werkdagen]]</f>
        <v>2000</v>
      </c>
      <c r="AG746" s="79">
        <f>Ruimtestaat[[#This Row],[uren / jaar weekend]]+Ruimtestaat[[#This Row],[uren / jaar werkdagen]]</f>
        <v>0</v>
      </c>
      <c r="AH746" s="80">
        <f>Ruimtestaat[[#This Row],[kosten / jaar weekend]]+Ruimtestaat[[#This Row],[kosten / jaar werkdagen]]</f>
        <v>0</v>
      </c>
    </row>
    <row r="747" spans="1:34" ht="15" customHeight="1">
      <c r="A747" s="256">
        <v>10</v>
      </c>
      <c r="B747" s="171" t="str">
        <f>VLOOKUP(Ruimtestaat[[#This Row],[Code]],Locaties[#All],2,FALSE)</f>
        <v>De Stapsteen (2 gebouwen)</v>
      </c>
      <c r="C747" s="258" t="str">
        <f>VLOOKUP(Ruimtestaat[[#This Row],[Code]],Locaties[#All],4,FALSE)</f>
        <v>J. Perkstraat 5-11</v>
      </c>
      <c r="D747" s="258" t="str">
        <f>VLOOKUP(Ruimtestaat[[#This Row],[Code]],Locaties[#All],5,FALSE)</f>
        <v>7532JR</v>
      </c>
      <c r="E747" s="258" t="str">
        <f>VLOOKUP(Ruimtestaat[[#This Row],[Code]],Locaties[#All],6,FALSE)</f>
        <v>Hengelo</v>
      </c>
      <c r="F747" s="257"/>
      <c r="G747" s="257" t="s">
        <v>563</v>
      </c>
      <c r="H747" s="171"/>
      <c r="I747" s="257" t="s">
        <v>469</v>
      </c>
      <c r="J747" s="259" t="s">
        <v>585</v>
      </c>
      <c r="K747" s="258">
        <v>20</v>
      </c>
      <c r="L747" s="260" t="str">
        <f>VLOOKUP(Ruimtestaat[[#This Row],[Ruimte code]],Ruimtegroepen[#All],2,FALSE)</f>
        <v>Niet in onderhoud</v>
      </c>
      <c r="M747" s="185" t="s">
        <v>598</v>
      </c>
      <c r="N747" s="257" t="s">
        <v>132</v>
      </c>
      <c r="O747" s="261"/>
      <c r="P747" s="183">
        <v>8</v>
      </c>
      <c r="Q747" s="212" t="str">
        <f>VLOOKUP(Ruimtestaat[[#This Row],[Ruimte code]],Ruimtegroepen[#All],4,FALSE)</f>
        <v>niet in onderhoud</v>
      </c>
      <c r="R747" s="184"/>
      <c r="S747" s="185"/>
      <c r="T747" s="185"/>
      <c r="U747" s="185">
        <f>IF(S747&gt;0,IF(RIGHT(Ruimtestaat[[#This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47" s="185">
        <f>IF(U747&gt;0,VLOOKUP($K747,Ruimtegroepen[],3,FALSE)*VLOOKUP($M747,Vloersoorten[],3,FALSE)*VLOOKUP($T747,Frequenties[],3,FALSE)*VLOOKUP($A747,Locaties[],3,FALSE),0)</f>
        <v>0</v>
      </c>
      <c r="W747" s="185">
        <f>Ruimtestaat[[#This Row],[Uitvoeringen werkdagen]]*Ruimtestaat[[#This Row],[Oppervlak (netto)]]</f>
        <v>0</v>
      </c>
      <c r="X747" s="220">
        <f>IF(V747&gt;0,Ruimtestaat[[#This Row],[Prest. (m2 /jaar) werkdagen]]/Ruimtestaat[[#This Row],[Norm (m2/uur) werkdagen]],0)</f>
        <v>0</v>
      </c>
      <c r="Y747" s="221">
        <f>Ruimtestaat[[#This Row],[uren / jaar werkdagen]]*Tariefsopbouw!$D$38</f>
        <v>0</v>
      </c>
      <c r="Z747" s="33"/>
      <c r="AA747" s="33">
        <f>IF(Ruimtestaat[[#This Row],[Frequentie weekend]]&gt;0,VALUE(LEFT(Z747,1))*S747,0)</f>
        <v>0</v>
      </c>
      <c r="AB747" s="33">
        <f>IF($AA747&gt;0,VLOOKUP($K747,Ruimtegroepen[],3,FALSE)*VLOOKUP($M747,Vloersoorten[],3,FALSE)*VLOOKUP($Z747,Frequenties[],3,FALSE)*VLOOKUP(#REF!,Locaties[],3,FALSE),0)</f>
        <v>0</v>
      </c>
      <c r="AC747" s="33"/>
      <c r="AD747" s="33"/>
      <c r="AE747" s="33">
        <f>Ruimtestaat[[#This Row],[uren / jaar weekend]]*Tariefsopbouw!$D$40</f>
        <v>0</v>
      </c>
      <c r="AF747" s="79">
        <f>Ruimtestaat[[#This Row],[Prest. (m2 /jaar) weekend]]+Ruimtestaat[[#This Row],[Prest. (m2 /jaar) werkdagen]]</f>
        <v>0</v>
      </c>
      <c r="AG747" s="79">
        <f>Ruimtestaat[[#This Row],[uren / jaar weekend]]+Ruimtestaat[[#This Row],[uren / jaar werkdagen]]</f>
        <v>0</v>
      </c>
      <c r="AH747" s="80">
        <f>Ruimtestaat[[#This Row],[kosten / jaar weekend]]+Ruimtestaat[[#This Row],[kosten / jaar werkdagen]]</f>
        <v>0</v>
      </c>
    </row>
    <row r="748" spans="1:34" ht="15" customHeight="1">
      <c r="A748" s="256">
        <v>10</v>
      </c>
      <c r="B748" s="171" t="str">
        <f>VLOOKUP(Ruimtestaat[[#This Row],[Code]],Locaties[#All],2,FALSE)</f>
        <v>De Stapsteen (2 gebouwen)</v>
      </c>
      <c r="C748" s="258" t="str">
        <f>VLOOKUP(Ruimtestaat[[#This Row],[Code]],Locaties[#All],4,FALSE)</f>
        <v>J. Perkstraat 5-11</v>
      </c>
      <c r="D748" s="258" t="str">
        <f>VLOOKUP(Ruimtestaat[[#This Row],[Code]],Locaties[#All],5,FALSE)</f>
        <v>7532JR</v>
      </c>
      <c r="E748" s="258" t="str">
        <f>VLOOKUP(Ruimtestaat[[#This Row],[Code]],Locaties[#All],6,FALSE)</f>
        <v>Hengelo</v>
      </c>
      <c r="F748" s="257"/>
      <c r="G748" s="257" t="s">
        <v>563</v>
      </c>
      <c r="H748" s="171"/>
      <c r="I748" s="257" t="s">
        <v>470</v>
      </c>
      <c r="J748" s="259" t="s">
        <v>600</v>
      </c>
      <c r="K748" s="185">
        <v>15</v>
      </c>
      <c r="L748" s="260" t="str">
        <f>VLOOKUP(Ruimtestaat[[#This Row],[Ruimte code]],Ruimtegroepen[#All],2,FALSE)</f>
        <v>Keuken/pantry</v>
      </c>
      <c r="M748" s="258" t="s">
        <v>598</v>
      </c>
      <c r="N748" s="257" t="s">
        <v>132</v>
      </c>
      <c r="O748" s="261">
        <v>5</v>
      </c>
      <c r="P748" s="183"/>
      <c r="Q748" s="212" t="str">
        <f>VLOOKUP(Ruimtestaat[[#This Row],[Ruimte code]],Ruimtegroepen[#All],4,FALSE)</f>
        <v>V  (Verkeersruimte)</v>
      </c>
      <c r="R748" s="184"/>
      <c r="S748" s="185">
        <v>40</v>
      </c>
      <c r="T748" s="185" t="s">
        <v>15</v>
      </c>
      <c r="U748" s="185">
        <f>IF(S748&gt;0,IF(RIGHT(Ruimtestaat[[#This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48" s="185">
        <f>IF(U748&gt;0,VLOOKUP($K748,Ruimtegroepen[],3,FALSE)*VLOOKUP($M748,Vloersoorten[],3,FALSE)*VLOOKUP($T748,Frequenties[],3,FALSE)*VLOOKUP($A748,Locaties[],3,FALSE),0)</f>
        <v>0</v>
      </c>
      <c r="W748" s="185">
        <f>Ruimtestaat[[#This Row],[Uitvoeringen werkdagen]]*Ruimtestaat[[#This Row],[Oppervlak (netto)]]</f>
        <v>200</v>
      </c>
      <c r="X748" s="220">
        <f>IF(V748&gt;0,Ruimtestaat[[#This Row],[Prest. (m2 /jaar) werkdagen]]/Ruimtestaat[[#This Row],[Norm (m2/uur) werkdagen]],0)</f>
        <v>0</v>
      </c>
      <c r="Y748" s="221">
        <f>Ruimtestaat[[#This Row],[uren / jaar werkdagen]]*Tariefsopbouw!$D$38</f>
        <v>0</v>
      </c>
      <c r="Z748" s="33"/>
      <c r="AA748" s="33">
        <f>IF(Ruimtestaat[[#This Row],[Frequentie weekend]]&gt;0,VALUE(LEFT(Z748,1))*S748,0)</f>
        <v>0</v>
      </c>
      <c r="AB748" s="33">
        <f>IF($AA748&gt;0,VLOOKUP($K748,Ruimtegroepen[],3,FALSE)*VLOOKUP($M748,Vloersoorten[],3,FALSE)*VLOOKUP($Z748,Frequenties[],3,FALSE)*VLOOKUP(#REF!,Locaties[],3,FALSE),0)</f>
        <v>0</v>
      </c>
      <c r="AC748" s="33"/>
      <c r="AD748" s="33"/>
      <c r="AE748" s="33">
        <f>Ruimtestaat[[#This Row],[uren / jaar weekend]]*Tariefsopbouw!$D$40</f>
        <v>0</v>
      </c>
      <c r="AF748" s="79">
        <f>Ruimtestaat[[#This Row],[Prest. (m2 /jaar) weekend]]+Ruimtestaat[[#This Row],[Prest. (m2 /jaar) werkdagen]]</f>
        <v>200</v>
      </c>
      <c r="AG748" s="79">
        <f>Ruimtestaat[[#This Row],[uren / jaar weekend]]+Ruimtestaat[[#This Row],[uren / jaar werkdagen]]</f>
        <v>0</v>
      </c>
      <c r="AH748" s="80">
        <f>Ruimtestaat[[#This Row],[kosten / jaar weekend]]+Ruimtestaat[[#This Row],[kosten / jaar werkdagen]]</f>
        <v>0</v>
      </c>
    </row>
    <row r="749" spans="1:34" ht="15" customHeight="1">
      <c r="A749" s="256">
        <v>10</v>
      </c>
      <c r="B749" s="171" t="str">
        <f>VLOOKUP(Ruimtestaat[[#This Row],[Code]],Locaties[#All],2,FALSE)</f>
        <v>De Stapsteen (2 gebouwen)</v>
      </c>
      <c r="C749" s="258" t="str">
        <f>VLOOKUP(Ruimtestaat[[#This Row],[Code]],Locaties[#All],4,FALSE)</f>
        <v>J. Perkstraat 5-11</v>
      </c>
      <c r="D749" s="258" t="str">
        <f>VLOOKUP(Ruimtestaat[[#This Row],[Code]],Locaties[#All],5,FALSE)</f>
        <v>7532JR</v>
      </c>
      <c r="E749" s="258" t="str">
        <f>VLOOKUP(Ruimtestaat[[#This Row],[Code]],Locaties[#All],6,FALSE)</f>
        <v>Hengelo</v>
      </c>
      <c r="F749" s="257"/>
      <c r="G749" s="257" t="s">
        <v>563</v>
      </c>
      <c r="H749" s="171"/>
      <c r="I749" s="257" t="s">
        <v>471</v>
      </c>
      <c r="J749" s="259" t="s">
        <v>603</v>
      </c>
      <c r="K749" s="258">
        <v>9</v>
      </c>
      <c r="L749" s="260" t="str">
        <f>VLOOKUP(Ruimtestaat[[#This Row],[Ruimte code]],Ruimtegroepen[#All],2,FALSE)</f>
        <v>Time-out ruimte</v>
      </c>
      <c r="M749" s="185" t="s">
        <v>598</v>
      </c>
      <c r="N749" s="257" t="s">
        <v>132</v>
      </c>
      <c r="O749" s="261">
        <v>7</v>
      </c>
      <c r="P749" s="183"/>
      <c r="Q749" s="212" t="str">
        <f>VLOOKUP(Ruimtestaat[[#This Row],[Ruimte code]],Ruimtegroepen[#All],4,FALSE)</f>
        <v>V  (Verkeersruimte)</v>
      </c>
      <c r="R749" s="184"/>
      <c r="S749" s="185">
        <v>40</v>
      </c>
      <c r="T749" s="185" t="s">
        <v>15</v>
      </c>
      <c r="U749" s="185">
        <f>IF(S749&gt;0,IF(RIGHT(Ruimtestaat[[#This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49" s="185">
        <f>IF(U749&gt;0,VLOOKUP($K749,Ruimtegroepen[],3,FALSE)*VLOOKUP($M749,Vloersoorten[],3,FALSE)*VLOOKUP($T749,Frequenties[],3,FALSE)*VLOOKUP($A749,Locaties[],3,FALSE),0)</f>
        <v>0</v>
      </c>
      <c r="W749" s="185">
        <f>Ruimtestaat[[#This Row],[Uitvoeringen werkdagen]]*Ruimtestaat[[#This Row],[Oppervlak (netto)]]</f>
        <v>280</v>
      </c>
      <c r="X749" s="220">
        <f>IF(V749&gt;0,Ruimtestaat[[#This Row],[Prest. (m2 /jaar) werkdagen]]/Ruimtestaat[[#This Row],[Norm (m2/uur) werkdagen]],0)</f>
        <v>0</v>
      </c>
      <c r="Y749" s="221">
        <f>Ruimtestaat[[#This Row],[uren / jaar werkdagen]]*Tariefsopbouw!$D$38</f>
        <v>0</v>
      </c>
      <c r="Z749" s="33"/>
      <c r="AA749" s="33">
        <f>IF(Ruimtestaat[[#This Row],[Frequentie weekend]]&gt;0,VALUE(LEFT(Z749,1))*S749,0)</f>
        <v>0</v>
      </c>
      <c r="AB749" s="33">
        <f>IF($AA749&gt;0,VLOOKUP($K749,Ruimtegroepen[],3,FALSE)*VLOOKUP($M749,Vloersoorten[],3,FALSE)*VLOOKUP($Z749,Frequenties[],3,FALSE)*VLOOKUP(#REF!,Locaties[],3,FALSE),0)</f>
        <v>0</v>
      </c>
      <c r="AC749" s="33"/>
      <c r="AD749" s="33"/>
      <c r="AE749" s="33">
        <f>Ruimtestaat[[#This Row],[uren / jaar weekend]]*Tariefsopbouw!$D$40</f>
        <v>0</v>
      </c>
      <c r="AF749" s="79">
        <f>Ruimtestaat[[#This Row],[Prest. (m2 /jaar) weekend]]+Ruimtestaat[[#This Row],[Prest. (m2 /jaar) werkdagen]]</f>
        <v>280</v>
      </c>
      <c r="AG749" s="79">
        <f>Ruimtestaat[[#This Row],[uren / jaar weekend]]+Ruimtestaat[[#This Row],[uren / jaar werkdagen]]</f>
        <v>0</v>
      </c>
      <c r="AH749" s="80">
        <f>Ruimtestaat[[#This Row],[kosten / jaar weekend]]+Ruimtestaat[[#This Row],[kosten / jaar werkdagen]]</f>
        <v>0</v>
      </c>
    </row>
    <row r="750" spans="1:34" ht="15" customHeight="1">
      <c r="A750" s="256">
        <v>10</v>
      </c>
      <c r="B750" s="171" t="str">
        <f>VLOOKUP(Ruimtestaat[[#This Row],[Code]],Locaties[#All],2,FALSE)</f>
        <v>De Stapsteen (2 gebouwen)</v>
      </c>
      <c r="C750" s="258" t="str">
        <f>VLOOKUP(Ruimtestaat[[#This Row],[Code]],Locaties[#All],4,FALSE)</f>
        <v>J. Perkstraat 5-11</v>
      </c>
      <c r="D750" s="258" t="str">
        <f>VLOOKUP(Ruimtestaat[[#This Row],[Code]],Locaties[#All],5,FALSE)</f>
        <v>7532JR</v>
      </c>
      <c r="E750" s="258" t="str">
        <f>VLOOKUP(Ruimtestaat[[#This Row],[Code]],Locaties[#All],6,FALSE)</f>
        <v>Hengelo</v>
      </c>
      <c r="F750" s="257"/>
      <c r="G750" s="257" t="s">
        <v>563</v>
      </c>
      <c r="H750" s="171"/>
      <c r="I750" s="257" t="s">
        <v>472</v>
      </c>
      <c r="J750" s="259" t="s">
        <v>571</v>
      </c>
      <c r="K750" s="171">
        <v>2</v>
      </c>
      <c r="L750" s="260" t="str">
        <f>VLOOKUP(Ruimtestaat[[#This Row],[Ruimte code]],Ruimtegroepen[#All],2,FALSE)</f>
        <v>Kantoren</v>
      </c>
      <c r="M750" s="258" t="s">
        <v>597</v>
      </c>
      <c r="N750" s="257" t="s">
        <v>38</v>
      </c>
      <c r="O750" s="261">
        <v>14</v>
      </c>
      <c r="P750" s="183"/>
      <c r="Q750" s="212" t="str">
        <f>VLOOKUP(Ruimtestaat[[#This Row],[Ruimte code]],Ruimtegroepen[#All],4,FALSE)</f>
        <v>B  (Bureauruimte)</v>
      </c>
      <c r="R750" s="184"/>
      <c r="S750" s="185">
        <v>40</v>
      </c>
      <c r="T750" s="185" t="s">
        <v>18</v>
      </c>
      <c r="U750" s="185">
        <f>IF(S750&gt;0,IF(RIGHT(Ruimtestaat[[#This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50" s="185">
        <f>IF(U750&gt;0,VLOOKUP($K750,Ruimtegroepen[],3,FALSE)*VLOOKUP($M750,Vloersoorten[],3,FALSE)*VLOOKUP($T750,Frequenties[],3,FALSE)*VLOOKUP($A750,Locaties[],3,FALSE),0)</f>
        <v>0</v>
      </c>
      <c r="W750" s="185">
        <f>Ruimtestaat[[#This Row],[Uitvoeringen werkdagen]]*Ruimtestaat[[#This Row],[Oppervlak (netto)]]</f>
        <v>1680</v>
      </c>
      <c r="X750" s="220">
        <f>IF(V750&gt;0,Ruimtestaat[[#This Row],[Prest. (m2 /jaar) werkdagen]]/Ruimtestaat[[#This Row],[Norm (m2/uur) werkdagen]],0)</f>
        <v>0</v>
      </c>
      <c r="Y750" s="221">
        <f>Ruimtestaat[[#This Row],[uren / jaar werkdagen]]*Tariefsopbouw!$D$38</f>
        <v>0</v>
      </c>
      <c r="Z750" s="33"/>
      <c r="AA750" s="33">
        <f>IF(Ruimtestaat[[#This Row],[Frequentie weekend]]&gt;0,VALUE(LEFT(Z750,1))*S750,0)</f>
        <v>0</v>
      </c>
      <c r="AB750" s="33">
        <f>IF($AA750&gt;0,VLOOKUP($K750,Ruimtegroepen[],3,FALSE)*VLOOKUP($M750,Vloersoorten[],3,FALSE)*VLOOKUP($Z750,Frequenties[],3,FALSE)*VLOOKUP(#REF!,Locaties[],3,FALSE),0)</f>
        <v>0</v>
      </c>
      <c r="AC750" s="33"/>
      <c r="AD750" s="33"/>
      <c r="AE750" s="33">
        <f>Ruimtestaat[[#This Row],[uren / jaar weekend]]*Tariefsopbouw!$D$40</f>
        <v>0</v>
      </c>
      <c r="AF750" s="79">
        <f>Ruimtestaat[[#This Row],[Prest. (m2 /jaar) weekend]]+Ruimtestaat[[#This Row],[Prest. (m2 /jaar) werkdagen]]</f>
        <v>1680</v>
      </c>
      <c r="AG750" s="79">
        <f>Ruimtestaat[[#This Row],[uren / jaar weekend]]+Ruimtestaat[[#This Row],[uren / jaar werkdagen]]</f>
        <v>0</v>
      </c>
      <c r="AH750" s="80">
        <f>Ruimtestaat[[#This Row],[kosten / jaar weekend]]+Ruimtestaat[[#This Row],[kosten / jaar werkdagen]]</f>
        <v>0</v>
      </c>
    </row>
    <row r="751" spans="1:34" ht="15" customHeight="1">
      <c r="A751" s="256">
        <v>10</v>
      </c>
      <c r="B751" s="171" t="str">
        <f>VLOOKUP(Ruimtestaat[[#This Row],[Code]],Locaties[#All],2,FALSE)</f>
        <v>De Stapsteen (2 gebouwen)</v>
      </c>
      <c r="C751" s="258" t="str">
        <f>VLOOKUP(Ruimtestaat[[#This Row],[Code]],Locaties[#All],4,FALSE)</f>
        <v>J. Perkstraat 5-11</v>
      </c>
      <c r="D751" s="258" t="str">
        <f>VLOOKUP(Ruimtestaat[[#This Row],[Code]],Locaties[#All],5,FALSE)</f>
        <v>7532JR</v>
      </c>
      <c r="E751" s="258" t="str">
        <f>VLOOKUP(Ruimtestaat[[#This Row],[Code]],Locaties[#All],6,FALSE)</f>
        <v>Hengelo</v>
      </c>
      <c r="F751" s="257"/>
      <c r="G751" s="257" t="s">
        <v>563</v>
      </c>
      <c r="H751" s="171"/>
      <c r="I751" s="257" t="s">
        <v>473</v>
      </c>
      <c r="J751" s="259" t="s">
        <v>577</v>
      </c>
      <c r="K751" s="171">
        <v>20</v>
      </c>
      <c r="L751" s="260" t="str">
        <f>VLOOKUP(Ruimtestaat[[#This Row],[Ruimte code]],Ruimtegroepen[#All],2,FALSE)</f>
        <v>Niet in onderhoud</v>
      </c>
      <c r="M751" s="258" t="s">
        <v>598</v>
      </c>
      <c r="N751" s="257" t="s">
        <v>132</v>
      </c>
      <c r="O751" s="261"/>
      <c r="P751" s="183">
        <v>1.5</v>
      </c>
      <c r="Q751" s="212" t="str">
        <f>VLOOKUP(Ruimtestaat[[#This Row],[Ruimte code]],Ruimtegroepen[#All],4,FALSE)</f>
        <v>niet in onderhoud</v>
      </c>
      <c r="R751" s="184"/>
      <c r="S751" s="185"/>
      <c r="T751" s="185" t="s">
        <v>3</v>
      </c>
      <c r="U751" s="185">
        <f>IF(S751&gt;0,IF(RIGHT(Ruimtestaat[[#This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51" s="185">
        <f>IF(U751&gt;0,VLOOKUP($K751,Ruimtegroepen[],3,FALSE)*VLOOKUP($M751,Vloersoorten[],3,FALSE)*VLOOKUP($T751,Frequenties[],3,FALSE)*VLOOKUP($A751,Locaties[],3,FALSE),0)</f>
        <v>0</v>
      </c>
      <c r="W751" s="185">
        <f>Ruimtestaat[[#This Row],[Uitvoeringen werkdagen]]*Ruimtestaat[[#This Row],[Oppervlak (netto)]]</f>
        <v>0</v>
      </c>
      <c r="X751" s="220">
        <f>IF(V751&gt;0,Ruimtestaat[[#This Row],[Prest. (m2 /jaar) werkdagen]]/Ruimtestaat[[#This Row],[Norm (m2/uur) werkdagen]],0)</f>
        <v>0</v>
      </c>
      <c r="Y751" s="221">
        <f>Ruimtestaat[[#This Row],[uren / jaar werkdagen]]*Tariefsopbouw!$D$38</f>
        <v>0</v>
      </c>
      <c r="Z751" s="33"/>
      <c r="AA751" s="33">
        <f>IF(Ruimtestaat[[#This Row],[Frequentie weekend]]&gt;0,VALUE(LEFT(Z751,1))*S751,0)</f>
        <v>0</v>
      </c>
      <c r="AB751" s="33">
        <f>IF($AA751&gt;0,VLOOKUP($K751,Ruimtegroepen[],3,FALSE)*VLOOKUP($M751,Vloersoorten[],3,FALSE)*VLOOKUP($Z751,Frequenties[],3,FALSE)*VLOOKUP(#REF!,Locaties[],3,FALSE),0)</f>
        <v>0</v>
      </c>
      <c r="AC751" s="33"/>
      <c r="AD751" s="33"/>
      <c r="AE751" s="33">
        <f>Ruimtestaat[[#This Row],[uren / jaar weekend]]*Tariefsopbouw!$D$40</f>
        <v>0</v>
      </c>
      <c r="AF751" s="79">
        <f>Ruimtestaat[[#This Row],[Prest. (m2 /jaar) weekend]]+Ruimtestaat[[#This Row],[Prest. (m2 /jaar) werkdagen]]</f>
        <v>0</v>
      </c>
      <c r="AG751" s="79">
        <f>Ruimtestaat[[#This Row],[uren / jaar weekend]]+Ruimtestaat[[#This Row],[uren / jaar werkdagen]]</f>
        <v>0</v>
      </c>
      <c r="AH751" s="80">
        <f>Ruimtestaat[[#This Row],[kosten / jaar weekend]]+Ruimtestaat[[#This Row],[kosten / jaar werkdagen]]</f>
        <v>0</v>
      </c>
    </row>
    <row r="752" spans="1:34" ht="15" customHeight="1">
      <c r="A752" s="256">
        <v>10</v>
      </c>
      <c r="B752" s="171" t="str">
        <f>VLOOKUP(Ruimtestaat[[#This Row],[Code]],Locaties[#All],2,FALSE)</f>
        <v>De Stapsteen (2 gebouwen)</v>
      </c>
      <c r="C752" s="258" t="str">
        <f>VLOOKUP(Ruimtestaat[[#This Row],[Code]],Locaties[#All],4,FALSE)</f>
        <v>J. Perkstraat 5-11</v>
      </c>
      <c r="D752" s="258" t="str">
        <f>VLOOKUP(Ruimtestaat[[#This Row],[Code]],Locaties[#All],5,FALSE)</f>
        <v>7532JR</v>
      </c>
      <c r="E752" s="258" t="str">
        <f>VLOOKUP(Ruimtestaat[[#This Row],[Code]],Locaties[#All],6,FALSE)</f>
        <v>Hengelo</v>
      </c>
      <c r="F752" s="257"/>
      <c r="G752" s="257" t="s">
        <v>563</v>
      </c>
      <c r="H752" s="171"/>
      <c r="I752" s="257" t="s">
        <v>474</v>
      </c>
      <c r="J752" s="259" t="s">
        <v>569</v>
      </c>
      <c r="K752" s="171">
        <v>5</v>
      </c>
      <c r="L752" s="260" t="str">
        <f>VLOOKUP(Ruimtestaat[[#This Row],[Ruimte code]],Ruimtegroepen[#All],2,FALSE)</f>
        <v>Sanitair</v>
      </c>
      <c r="M752" s="212" t="s">
        <v>111</v>
      </c>
      <c r="N752" s="257" t="s">
        <v>606</v>
      </c>
      <c r="O752" s="261">
        <v>1.5</v>
      </c>
      <c r="P752" s="183"/>
      <c r="Q752" s="212" t="str">
        <f>VLOOKUP(Ruimtestaat[[#This Row],[Ruimte code]],Ruimtegroepen[#All],4,FALSE)</f>
        <v>S  (Sanitair)</v>
      </c>
      <c r="R752" s="184"/>
      <c r="S752" s="185">
        <v>40</v>
      </c>
      <c r="T752" s="185" t="s">
        <v>2</v>
      </c>
      <c r="U752" s="185">
        <f>IF(S752&gt;0,IF(RIGHT(Ruimtestaat[[#This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2" s="185">
        <f>IF(U752&gt;0,VLOOKUP($K752,Ruimtegroepen[],3,FALSE)*VLOOKUP($M752,Vloersoorten[],3,FALSE)*VLOOKUP($T752,Frequenties[],3,FALSE)*VLOOKUP($A752,Locaties[],3,FALSE),0)</f>
        <v>0</v>
      </c>
      <c r="W752" s="185">
        <f>Ruimtestaat[[#This Row],[Uitvoeringen werkdagen]]*Ruimtestaat[[#This Row],[Oppervlak (netto)]]</f>
        <v>300</v>
      </c>
      <c r="X752" s="220">
        <f>IF(V752&gt;0,Ruimtestaat[[#This Row],[Prest. (m2 /jaar) werkdagen]]/Ruimtestaat[[#This Row],[Norm (m2/uur) werkdagen]],0)</f>
        <v>0</v>
      </c>
      <c r="Y752" s="221">
        <f>Ruimtestaat[[#This Row],[uren / jaar werkdagen]]*Tariefsopbouw!$D$38</f>
        <v>0</v>
      </c>
      <c r="Z752" s="33"/>
      <c r="AA752" s="33">
        <f>IF(Ruimtestaat[[#This Row],[Frequentie weekend]]&gt;0,VALUE(LEFT(Z752,1))*S752,0)</f>
        <v>0</v>
      </c>
      <c r="AB752" s="33">
        <f>IF($AA752&gt;0,VLOOKUP($K752,Ruimtegroepen[],3,FALSE)*VLOOKUP($M752,Vloersoorten[],3,FALSE)*VLOOKUP($Z752,Frequenties[],3,FALSE)*VLOOKUP(#REF!,Locaties[],3,FALSE),0)</f>
        <v>0</v>
      </c>
      <c r="AC752" s="33"/>
      <c r="AD752" s="33"/>
      <c r="AE752" s="33">
        <f>Ruimtestaat[[#This Row],[uren / jaar weekend]]*Tariefsopbouw!$D$40</f>
        <v>0</v>
      </c>
      <c r="AF752" s="79">
        <f>Ruimtestaat[[#This Row],[Prest. (m2 /jaar) weekend]]+Ruimtestaat[[#This Row],[Prest. (m2 /jaar) werkdagen]]</f>
        <v>300</v>
      </c>
      <c r="AG752" s="79">
        <f>Ruimtestaat[[#This Row],[uren / jaar weekend]]+Ruimtestaat[[#This Row],[uren / jaar werkdagen]]</f>
        <v>0</v>
      </c>
      <c r="AH752" s="80">
        <f>Ruimtestaat[[#This Row],[kosten / jaar weekend]]+Ruimtestaat[[#This Row],[kosten / jaar werkdagen]]</f>
        <v>0</v>
      </c>
    </row>
    <row r="753" spans="1:34" ht="15" customHeight="1">
      <c r="A753" s="256">
        <v>10</v>
      </c>
      <c r="B753" s="171" t="str">
        <f>VLOOKUP(Ruimtestaat[[#This Row],[Code]],Locaties[#All],2,FALSE)</f>
        <v>De Stapsteen (2 gebouwen)</v>
      </c>
      <c r="C753" s="258" t="str">
        <f>VLOOKUP(Ruimtestaat[[#This Row],[Code]],Locaties[#All],4,FALSE)</f>
        <v>J. Perkstraat 5-11</v>
      </c>
      <c r="D753" s="258" t="str">
        <f>VLOOKUP(Ruimtestaat[[#This Row],[Code]],Locaties[#All],5,FALSE)</f>
        <v>7532JR</v>
      </c>
      <c r="E753" s="258" t="str">
        <f>VLOOKUP(Ruimtestaat[[#This Row],[Code]],Locaties[#All],6,FALSE)</f>
        <v>Hengelo</v>
      </c>
      <c r="F753" s="257"/>
      <c r="G753" s="257" t="s">
        <v>563</v>
      </c>
      <c r="H753" s="171"/>
      <c r="I753" s="257" t="s">
        <v>475</v>
      </c>
      <c r="J753" s="259" t="s">
        <v>40</v>
      </c>
      <c r="K753" s="171">
        <v>7</v>
      </c>
      <c r="L753" s="260" t="str">
        <f>VLOOKUP(Ruimtestaat[[#This Row],[Ruimte code]],Ruimtegroepen[#All],2,FALSE)</f>
        <v>Entree</v>
      </c>
      <c r="M753" s="212" t="s">
        <v>597</v>
      </c>
      <c r="N753" s="257" t="s">
        <v>604</v>
      </c>
      <c r="O753" s="261">
        <v>7</v>
      </c>
      <c r="P753" s="183"/>
      <c r="Q753" s="212" t="str">
        <f>VLOOKUP(Ruimtestaat[[#This Row],[Ruimte code]],Ruimtegroepen[#All],4,FALSE)</f>
        <v>V  (Verkeersruimte)</v>
      </c>
      <c r="R753" s="184"/>
      <c r="S753" s="185">
        <v>40</v>
      </c>
      <c r="T753" s="185" t="s">
        <v>2</v>
      </c>
      <c r="U753" s="185">
        <f>IF(S753&gt;0,IF(RIGHT(Ruimtestaat[[#This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3" s="185">
        <f>IF(U753&gt;0,VLOOKUP($K753,Ruimtegroepen[],3,FALSE)*VLOOKUP($M753,Vloersoorten[],3,FALSE)*VLOOKUP($T753,Frequenties[],3,FALSE)*VLOOKUP($A753,Locaties[],3,FALSE),0)</f>
        <v>0</v>
      </c>
      <c r="W753" s="185">
        <f>Ruimtestaat[[#This Row],[Uitvoeringen werkdagen]]*Ruimtestaat[[#This Row],[Oppervlak (netto)]]</f>
        <v>1400</v>
      </c>
      <c r="X753" s="220">
        <f>IF(V753&gt;0,Ruimtestaat[[#This Row],[Prest. (m2 /jaar) werkdagen]]/Ruimtestaat[[#This Row],[Norm (m2/uur) werkdagen]],0)</f>
        <v>0</v>
      </c>
      <c r="Y753" s="221">
        <f>Ruimtestaat[[#This Row],[uren / jaar werkdagen]]*Tariefsopbouw!$D$38</f>
        <v>0</v>
      </c>
      <c r="Z753" s="33"/>
      <c r="AA753" s="33">
        <f>IF(Ruimtestaat[[#This Row],[Frequentie weekend]]&gt;0,VALUE(LEFT(Z753,1))*S753,0)</f>
        <v>0</v>
      </c>
      <c r="AB753" s="33">
        <f>IF($AA753&gt;0,VLOOKUP($K753,Ruimtegroepen[],3,FALSE)*VLOOKUP($M753,Vloersoorten[],3,FALSE)*VLOOKUP($Z753,Frequenties[],3,FALSE)*VLOOKUP(#REF!,Locaties[],3,FALSE),0)</f>
        <v>0</v>
      </c>
      <c r="AC753" s="33"/>
      <c r="AD753" s="33"/>
      <c r="AE753" s="33">
        <f>Ruimtestaat[[#This Row],[uren / jaar weekend]]*Tariefsopbouw!$D$40</f>
        <v>0</v>
      </c>
      <c r="AF753" s="79">
        <f>Ruimtestaat[[#This Row],[Prest. (m2 /jaar) weekend]]+Ruimtestaat[[#This Row],[Prest. (m2 /jaar) werkdagen]]</f>
        <v>1400</v>
      </c>
      <c r="AG753" s="79">
        <f>Ruimtestaat[[#This Row],[uren / jaar weekend]]+Ruimtestaat[[#This Row],[uren / jaar werkdagen]]</f>
        <v>0</v>
      </c>
      <c r="AH753" s="80">
        <f>Ruimtestaat[[#This Row],[kosten / jaar weekend]]+Ruimtestaat[[#This Row],[kosten / jaar werkdagen]]</f>
        <v>0</v>
      </c>
    </row>
    <row r="754" spans="1:34" ht="15" customHeight="1">
      <c r="A754" s="256">
        <v>10</v>
      </c>
      <c r="B754" s="171" t="str">
        <f>VLOOKUP(Ruimtestaat[[#This Row],[Code]],Locaties[#All],2,FALSE)</f>
        <v>De Stapsteen (2 gebouwen)</v>
      </c>
      <c r="C754" s="258" t="str">
        <f>VLOOKUP(Ruimtestaat[[#This Row],[Code]],Locaties[#All],4,FALSE)</f>
        <v>J. Perkstraat 5-11</v>
      </c>
      <c r="D754" s="258" t="str">
        <f>VLOOKUP(Ruimtestaat[[#This Row],[Code]],Locaties[#All],5,FALSE)</f>
        <v>7532JR</v>
      </c>
      <c r="E754" s="258" t="str">
        <f>VLOOKUP(Ruimtestaat[[#This Row],[Code]],Locaties[#All],6,FALSE)</f>
        <v>Hengelo</v>
      </c>
      <c r="F754" s="257"/>
      <c r="G754" s="257" t="s">
        <v>563</v>
      </c>
      <c r="H754" s="171"/>
      <c r="I754" s="257" t="s">
        <v>476</v>
      </c>
      <c r="J754" s="259" t="s">
        <v>576</v>
      </c>
      <c r="K754" s="258">
        <v>16</v>
      </c>
      <c r="L754" s="260" t="str">
        <f>VLOOKUP(Ruimtestaat[[#This Row],[Ruimte code]],Ruimtegroepen[#All],2,FALSE)</f>
        <v>Leslokalen</v>
      </c>
      <c r="M754" s="185" t="s">
        <v>598</v>
      </c>
      <c r="N754" s="257" t="s">
        <v>132</v>
      </c>
      <c r="O754" s="261">
        <v>43</v>
      </c>
      <c r="P754" s="183"/>
      <c r="Q754" s="212" t="str">
        <f>VLOOKUP(Ruimtestaat[[#This Row],[Ruimte code]],Ruimtegroepen[#All],4,FALSE)</f>
        <v>L  (Lesruimte)</v>
      </c>
      <c r="R754" s="184"/>
      <c r="S754" s="185">
        <v>40</v>
      </c>
      <c r="T754" s="185" t="s">
        <v>2</v>
      </c>
      <c r="U754" s="185">
        <f>IF(S754&gt;0,IF(RIGHT(Ruimtestaat[[#This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4" s="185">
        <f>IF(U754&gt;0,VLOOKUP($K754,Ruimtegroepen[],3,FALSE)*VLOOKUP($M754,Vloersoorten[],3,FALSE)*VLOOKUP($T754,Frequenties[],3,FALSE)*VLOOKUP($A754,Locaties[],3,FALSE),0)</f>
        <v>0</v>
      </c>
      <c r="W754" s="185">
        <f>Ruimtestaat[[#This Row],[Uitvoeringen werkdagen]]*Ruimtestaat[[#This Row],[Oppervlak (netto)]]</f>
        <v>8600</v>
      </c>
      <c r="X754" s="220">
        <f>IF(V754&gt;0,Ruimtestaat[[#This Row],[Prest. (m2 /jaar) werkdagen]]/Ruimtestaat[[#This Row],[Norm (m2/uur) werkdagen]],0)</f>
        <v>0</v>
      </c>
      <c r="Y754" s="221">
        <f>Ruimtestaat[[#This Row],[uren / jaar werkdagen]]*Tariefsopbouw!$D$38</f>
        <v>0</v>
      </c>
      <c r="Z754" s="33"/>
      <c r="AA754" s="33">
        <f>IF(Ruimtestaat[[#This Row],[Frequentie weekend]]&gt;0,VALUE(LEFT(Z754,1))*S754,0)</f>
        <v>0</v>
      </c>
      <c r="AB754" s="33">
        <f>IF($AA754&gt;0,VLOOKUP($K754,Ruimtegroepen[],3,FALSE)*VLOOKUP($M754,Vloersoorten[],3,FALSE)*VLOOKUP($Z754,Frequenties[],3,FALSE)*VLOOKUP(#REF!,Locaties[],3,FALSE),0)</f>
        <v>0</v>
      </c>
      <c r="AC754" s="33"/>
      <c r="AD754" s="33"/>
      <c r="AE754" s="33">
        <f>Ruimtestaat[[#This Row],[uren / jaar weekend]]*Tariefsopbouw!$D$40</f>
        <v>0</v>
      </c>
      <c r="AF754" s="79">
        <f>Ruimtestaat[[#This Row],[Prest. (m2 /jaar) weekend]]+Ruimtestaat[[#This Row],[Prest. (m2 /jaar) werkdagen]]</f>
        <v>8600</v>
      </c>
      <c r="AG754" s="79">
        <f>Ruimtestaat[[#This Row],[uren / jaar weekend]]+Ruimtestaat[[#This Row],[uren / jaar werkdagen]]</f>
        <v>0</v>
      </c>
      <c r="AH754" s="80">
        <f>Ruimtestaat[[#This Row],[kosten / jaar weekend]]+Ruimtestaat[[#This Row],[kosten / jaar werkdagen]]</f>
        <v>0</v>
      </c>
    </row>
    <row r="755" spans="1:34" ht="15" customHeight="1">
      <c r="A755" s="256">
        <v>10</v>
      </c>
      <c r="B755" s="171" t="str">
        <f>VLOOKUP(Ruimtestaat[[#This Row],[Code]],Locaties[#All],2,FALSE)</f>
        <v>De Stapsteen (2 gebouwen)</v>
      </c>
      <c r="C755" s="258" t="str">
        <f>VLOOKUP(Ruimtestaat[[#This Row],[Code]],Locaties[#All],4,FALSE)</f>
        <v>J. Perkstraat 5-11</v>
      </c>
      <c r="D755" s="258" t="str">
        <f>VLOOKUP(Ruimtestaat[[#This Row],[Code]],Locaties[#All],5,FALSE)</f>
        <v>7532JR</v>
      </c>
      <c r="E755" s="258" t="str">
        <f>VLOOKUP(Ruimtestaat[[#This Row],[Code]],Locaties[#All],6,FALSE)</f>
        <v>Hengelo</v>
      </c>
      <c r="F755" s="257"/>
      <c r="G755" s="257" t="s">
        <v>563</v>
      </c>
      <c r="H755" s="171"/>
      <c r="I755" s="257" t="s">
        <v>477</v>
      </c>
      <c r="J755" s="259" t="s">
        <v>683</v>
      </c>
      <c r="K755" s="171">
        <v>5</v>
      </c>
      <c r="L755" s="260" t="str">
        <f>VLOOKUP(Ruimtestaat[[#This Row],[Ruimte code]],Ruimtegroepen[#All],2,FALSE)</f>
        <v>Sanitair</v>
      </c>
      <c r="M755" s="212" t="s">
        <v>111</v>
      </c>
      <c r="N755" s="257" t="s">
        <v>606</v>
      </c>
      <c r="O755" s="261">
        <v>7</v>
      </c>
      <c r="P755" s="183"/>
      <c r="Q755" s="212" t="str">
        <f>VLOOKUP(Ruimtestaat[[#This Row],[Ruimte code]],Ruimtegroepen[#All],4,FALSE)</f>
        <v>S  (Sanitair)</v>
      </c>
      <c r="R755" s="184"/>
      <c r="S755" s="185">
        <v>40</v>
      </c>
      <c r="T755" s="185" t="s">
        <v>2</v>
      </c>
      <c r="U755" s="185">
        <f>IF(S755&gt;0,IF(RIGHT(Ruimtestaat[[#This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5" s="185">
        <f>IF(U755&gt;0,VLOOKUP($K755,Ruimtegroepen[],3,FALSE)*VLOOKUP($M755,Vloersoorten[],3,FALSE)*VLOOKUP($T755,Frequenties[],3,FALSE)*VLOOKUP($A755,Locaties[],3,FALSE),0)</f>
        <v>0</v>
      </c>
      <c r="W755" s="185">
        <f>Ruimtestaat[[#This Row],[Uitvoeringen werkdagen]]*Ruimtestaat[[#This Row],[Oppervlak (netto)]]</f>
        <v>1400</v>
      </c>
      <c r="X755" s="220">
        <f>IF(V755&gt;0,Ruimtestaat[[#This Row],[Prest. (m2 /jaar) werkdagen]]/Ruimtestaat[[#This Row],[Norm (m2/uur) werkdagen]],0)</f>
        <v>0</v>
      </c>
      <c r="Y755" s="221">
        <f>Ruimtestaat[[#This Row],[uren / jaar werkdagen]]*Tariefsopbouw!$D$38</f>
        <v>0</v>
      </c>
      <c r="Z755" s="33"/>
      <c r="AA755" s="33">
        <f>IF(Ruimtestaat[[#This Row],[Frequentie weekend]]&gt;0,VALUE(LEFT(Z755,1))*S755,0)</f>
        <v>0</v>
      </c>
      <c r="AB755" s="33">
        <f>IF($AA755&gt;0,VLOOKUP($K755,Ruimtegroepen[],3,FALSE)*VLOOKUP($M755,Vloersoorten[],3,FALSE)*VLOOKUP($Z755,Frequenties[],3,FALSE)*VLOOKUP(#REF!,Locaties[],3,FALSE),0)</f>
        <v>0</v>
      </c>
      <c r="AC755" s="33"/>
      <c r="AD755" s="33"/>
      <c r="AE755" s="33">
        <f>Ruimtestaat[[#This Row],[uren / jaar weekend]]*Tariefsopbouw!$D$40</f>
        <v>0</v>
      </c>
      <c r="AF755" s="79">
        <f>Ruimtestaat[[#This Row],[Prest. (m2 /jaar) weekend]]+Ruimtestaat[[#This Row],[Prest. (m2 /jaar) werkdagen]]</f>
        <v>1400</v>
      </c>
      <c r="AG755" s="79">
        <f>Ruimtestaat[[#This Row],[uren / jaar weekend]]+Ruimtestaat[[#This Row],[uren / jaar werkdagen]]</f>
        <v>0</v>
      </c>
      <c r="AH755" s="80">
        <f>Ruimtestaat[[#This Row],[kosten / jaar weekend]]+Ruimtestaat[[#This Row],[kosten / jaar werkdagen]]</f>
        <v>0</v>
      </c>
    </row>
    <row r="756" spans="1:34" ht="15" customHeight="1">
      <c r="A756" s="256">
        <v>10</v>
      </c>
      <c r="B756" s="171" t="str">
        <f>VLOOKUP(Ruimtestaat[[#This Row],[Code]],Locaties[#All],2,FALSE)</f>
        <v>De Stapsteen (2 gebouwen)</v>
      </c>
      <c r="C756" s="258" t="str">
        <f>VLOOKUP(Ruimtestaat[[#This Row],[Code]],Locaties[#All],4,FALSE)</f>
        <v>J. Perkstraat 5-11</v>
      </c>
      <c r="D756" s="258" t="str">
        <f>VLOOKUP(Ruimtestaat[[#This Row],[Code]],Locaties[#All],5,FALSE)</f>
        <v>7532JR</v>
      </c>
      <c r="E756" s="258" t="str">
        <f>VLOOKUP(Ruimtestaat[[#This Row],[Code]],Locaties[#All],6,FALSE)</f>
        <v>Hengelo</v>
      </c>
      <c r="F756" s="257"/>
      <c r="G756" s="257" t="s">
        <v>563</v>
      </c>
      <c r="H756" s="171"/>
      <c r="I756" s="257" t="s">
        <v>478</v>
      </c>
      <c r="J756" s="259" t="s">
        <v>573</v>
      </c>
      <c r="K756" s="224">
        <v>20</v>
      </c>
      <c r="L756" s="260" t="str">
        <f>VLOOKUP(Ruimtestaat[[#This Row],[Ruimte code]],Ruimtegroepen[#All],2,FALSE)</f>
        <v>Niet in onderhoud</v>
      </c>
      <c r="M756" s="212" t="s">
        <v>111</v>
      </c>
      <c r="N756" s="257" t="s">
        <v>605</v>
      </c>
      <c r="O756" s="261"/>
      <c r="P756" s="183">
        <v>13</v>
      </c>
      <c r="Q756" s="212" t="str">
        <f>VLOOKUP(Ruimtestaat[[#This Row],[Ruimte code]],Ruimtegroepen[#All],4,FALSE)</f>
        <v>niet in onderhoud</v>
      </c>
      <c r="R756" s="184"/>
      <c r="S756" s="185"/>
      <c r="T756" s="185" t="s">
        <v>3</v>
      </c>
      <c r="U756" s="185">
        <f>IF(S756&gt;0,IF(RIGHT(Ruimtestaat[[#This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56" s="185">
        <f>IF(U756&gt;0,VLOOKUP($K756,Ruimtegroepen[],3,FALSE)*VLOOKUP($M756,Vloersoorten[],3,FALSE)*VLOOKUP($T756,Frequenties[],3,FALSE)*VLOOKUP($A756,Locaties[],3,FALSE),0)</f>
        <v>0</v>
      </c>
      <c r="W756" s="185">
        <f>Ruimtestaat[[#This Row],[Uitvoeringen werkdagen]]*Ruimtestaat[[#This Row],[Oppervlak (netto)]]</f>
        <v>0</v>
      </c>
      <c r="X756" s="220">
        <f>IF(V756&gt;0,Ruimtestaat[[#This Row],[Prest. (m2 /jaar) werkdagen]]/Ruimtestaat[[#This Row],[Norm (m2/uur) werkdagen]],0)</f>
        <v>0</v>
      </c>
      <c r="Y756" s="221">
        <f>Ruimtestaat[[#This Row],[uren / jaar werkdagen]]*Tariefsopbouw!$D$38</f>
        <v>0</v>
      </c>
      <c r="Z756" s="33"/>
      <c r="AA756" s="33">
        <f>IF(Ruimtestaat[[#This Row],[Frequentie weekend]]&gt;0,VALUE(LEFT(Z756,1))*S756,0)</f>
        <v>0</v>
      </c>
      <c r="AB756" s="33">
        <f>IF($AA756&gt;0,VLOOKUP($K756,Ruimtegroepen[],3,FALSE)*VLOOKUP($M756,Vloersoorten[],3,FALSE)*VLOOKUP($Z756,Frequenties[],3,FALSE)*VLOOKUP(#REF!,Locaties[],3,FALSE),0)</f>
        <v>0</v>
      </c>
      <c r="AC756" s="33"/>
      <c r="AD756" s="33"/>
      <c r="AE756" s="33">
        <f>Ruimtestaat[[#This Row],[uren / jaar weekend]]*Tariefsopbouw!$D$40</f>
        <v>0</v>
      </c>
      <c r="AF756" s="79">
        <f>Ruimtestaat[[#This Row],[Prest. (m2 /jaar) weekend]]+Ruimtestaat[[#This Row],[Prest. (m2 /jaar) werkdagen]]</f>
        <v>0</v>
      </c>
      <c r="AG756" s="79">
        <f>Ruimtestaat[[#This Row],[uren / jaar weekend]]+Ruimtestaat[[#This Row],[uren / jaar werkdagen]]</f>
        <v>0</v>
      </c>
      <c r="AH756" s="80">
        <f>Ruimtestaat[[#This Row],[kosten / jaar weekend]]+Ruimtestaat[[#This Row],[kosten / jaar werkdagen]]</f>
        <v>0</v>
      </c>
    </row>
    <row r="757" spans="1:34" ht="15" customHeight="1">
      <c r="A757" s="256">
        <v>10</v>
      </c>
      <c r="B757" s="171" t="str">
        <f>VLOOKUP(Ruimtestaat[[#This Row],[Code]],Locaties[#All],2,FALSE)</f>
        <v>De Stapsteen (2 gebouwen)</v>
      </c>
      <c r="C757" s="258" t="str">
        <f>VLOOKUP(Ruimtestaat[[#This Row],[Code]],Locaties[#All],4,FALSE)</f>
        <v>J. Perkstraat 5-11</v>
      </c>
      <c r="D757" s="258" t="str">
        <f>VLOOKUP(Ruimtestaat[[#This Row],[Code]],Locaties[#All],5,FALSE)</f>
        <v>7532JR</v>
      </c>
      <c r="E757" s="258" t="str">
        <f>VLOOKUP(Ruimtestaat[[#This Row],[Code]],Locaties[#All],6,FALSE)</f>
        <v>Hengelo</v>
      </c>
      <c r="F757" s="257"/>
      <c r="G757" s="257" t="s">
        <v>563</v>
      </c>
      <c r="H757" s="171"/>
      <c r="I757" s="257" t="s">
        <v>479</v>
      </c>
      <c r="J757" s="259" t="s">
        <v>576</v>
      </c>
      <c r="K757" s="171">
        <v>16</v>
      </c>
      <c r="L757" s="260" t="str">
        <f>VLOOKUP(Ruimtestaat[[#This Row],[Ruimte code]],Ruimtegroepen[#All],2,FALSE)</f>
        <v>Leslokalen</v>
      </c>
      <c r="M757" s="258" t="s">
        <v>598</v>
      </c>
      <c r="N757" s="257" t="s">
        <v>132</v>
      </c>
      <c r="O757" s="261">
        <v>43</v>
      </c>
      <c r="P757" s="183"/>
      <c r="Q757" s="212" t="str">
        <f>VLOOKUP(Ruimtestaat[[#This Row],[Ruimte code]],Ruimtegroepen[#All],4,FALSE)</f>
        <v>L  (Lesruimte)</v>
      </c>
      <c r="R757" s="184"/>
      <c r="S757" s="185">
        <v>40</v>
      </c>
      <c r="T757" s="185" t="s">
        <v>2</v>
      </c>
      <c r="U757" s="185">
        <f>IF(S757&gt;0,IF(RIGHT(Ruimtestaat[[#This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7" s="185">
        <f>IF(U757&gt;0,VLOOKUP($K757,Ruimtegroepen[],3,FALSE)*VLOOKUP($M757,Vloersoorten[],3,FALSE)*VLOOKUP($T757,Frequenties[],3,FALSE)*VLOOKUP($A757,Locaties[],3,FALSE),0)</f>
        <v>0</v>
      </c>
      <c r="W757" s="185">
        <f>Ruimtestaat[[#This Row],[Uitvoeringen werkdagen]]*Ruimtestaat[[#This Row],[Oppervlak (netto)]]</f>
        <v>8600</v>
      </c>
      <c r="X757" s="220">
        <f>IF(V757&gt;0,Ruimtestaat[[#This Row],[Prest. (m2 /jaar) werkdagen]]/Ruimtestaat[[#This Row],[Norm (m2/uur) werkdagen]],0)</f>
        <v>0</v>
      </c>
      <c r="Y757" s="221">
        <f>Ruimtestaat[[#This Row],[uren / jaar werkdagen]]*Tariefsopbouw!$D$38</f>
        <v>0</v>
      </c>
      <c r="Z757" s="33"/>
      <c r="AA757" s="33">
        <f>IF(Ruimtestaat[[#This Row],[Frequentie weekend]]&gt;0,VALUE(LEFT(Z757,1))*S757,0)</f>
        <v>0</v>
      </c>
      <c r="AB757" s="33">
        <f>IF($AA757&gt;0,VLOOKUP($K757,Ruimtegroepen[],3,FALSE)*VLOOKUP($M757,Vloersoorten[],3,FALSE)*VLOOKUP($Z757,Frequenties[],3,FALSE)*VLOOKUP(#REF!,Locaties[],3,FALSE),0)</f>
        <v>0</v>
      </c>
      <c r="AC757" s="33"/>
      <c r="AD757" s="33"/>
      <c r="AE757" s="33">
        <f>Ruimtestaat[[#This Row],[uren / jaar weekend]]*Tariefsopbouw!$D$40</f>
        <v>0</v>
      </c>
      <c r="AF757" s="79">
        <f>Ruimtestaat[[#This Row],[Prest. (m2 /jaar) weekend]]+Ruimtestaat[[#This Row],[Prest. (m2 /jaar) werkdagen]]</f>
        <v>8600</v>
      </c>
      <c r="AG757" s="79">
        <f>Ruimtestaat[[#This Row],[uren / jaar weekend]]+Ruimtestaat[[#This Row],[uren / jaar werkdagen]]</f>
        <v>0</v>
      </c>
      <c r="AH757" s="80">
        <f>Ruimtestaat[[#This Row],[kosten / jaar weekend]]+Ruimtestaat[[#This Row],[kosten / jaar werkdagen]]</f>
        <v>0</v>
      </c>
    </row>
    <row r="758" spans="1:34" ht="15" customHeight="1">
      <c r="A758" s="256">
        <v>10</v>
      </c>
      <c r="B758" s="171" t="str">
        <f>VLOOKUP(Ruimtestaat[[#This Row],[Code]],Locaties[#All],2,FALSE)</f>
        <v>De Stapsteen (2 gebouwen)</v>
      </c>
      <c r="C758" s="258" t="str">
        <f>VLOOKUP(Ruimtestaat[[#This Row],[Code]],Locaties[#All],4,FALSE)</f>
        <v>J. Perkstraat 5-11</v>
      </c>
      <c r="D758" s="258" t="str">
        <f>VLOOKUP(Ruimtestaat[[#This Row],[Code]],Locaties[#All],5,FALSE)</f>
        <v>7532JR</v>
      </c>
      <c r="E758" s="258" t="str">
        <f>VLOOKUP(Ruimtestaat[[#This Row],[Code]],Locaties[#All],6,FALSE)</f>
        <v>Hengelo</v>
      </c>
      <c r="F758" s="257"/>
      <c r="G758" s="257" t="s">
        <v>563</v>
      </c>
      <c r="H758" s="171"/>
      <c r="I758" s="257" t="s">
        <v>480</v>
      </c>
      <c r="J758" s="259" t="s">
        <v>683</v>
      </c>
      <c r="K758" s="171">
        <v>5</v>
      </c>
      <c r="L758" s="260" t="str">
        <f>VLOOKUP(Ruimtestaat[[#This Row],[Ruimte code]],Ruimtegroepen[#All],2,FALSE)</f>
        <v>Sanitair</v>
      </c>
      <c r="M758" s="212" t="s">
        <v>111</v>
      </c>
      <c r="N758" s="257" t="s">
        <v>606</v>
      </c>
      <c r="O758" s="261">
        <v>7</v>
      </c>
      <c r="P758" s="183"/>
      <c r="Q758" s="212" t="str">
        <f>VLOOKUP(Ruimtestaat[[#This Row],[Ruimte code]],Ruimtegroepen[#All],4,FALSE)</f>
        <v>S  (Sanitair)</v>
      </c>
      <c r="R758" s="184"/>
      <c r="S758" s="185">
        <v>40</v>
      </c>
      <c r="T758" s="185" t="s">
        <v>2</v>
      </c>
      <c r="U758" s="185">
        <f>IF(S758&gt;0,IF(RIGHT(Ruimtestaat[[#This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8" s="185">
        <f>IF(U758&gt;0,VLOOKUP($K758,Ruimtegroepen[],3,FALSE)*VLOOKUP($M758,Vloersoorten[],3,FALSE)*VLOOKUP($T758,Frequenties[],3,FALSE)*VLOOKUP($A758,Locaties[],3,FALSE),0)</f>
        <v>0</v>
      </c>
      <c r="W758" s="185">
        <f>Ruimtestaat[[#This Row],[Uitvoeringen werkdagen]]*Ruimtestaat[[#This Row],[Oppervlak (netto)]]</f>
        <v>1400</v>
      </c>
      <c r="X758" s="220">
        <f>IF(V758&gt;0,Ruimtestaat[[#This Row],[Prest. (m2 /jaar) werkdagen]]/Ruimtestaat[[#This Row],[Norm (m2/uur) werkdagen]],0)</f>
        <v>0</v>
      </c>
      <c r="Y758" s="221">
        <f>Ruimtestaat[[#This Row],[uren / jaar werkdagen]]*Tariefsopbouw!$D$38</f>
        <v>0</v>
      </c>
      <c r="Z758" s="33"/>
      <c r="AA758" s="33">
        <f>IF(Ruimtestaat[[#This Row],[Frequentie weekend]]&gt;0,VALUE(LEFT(Z758,1))*S758,0)</f>
        <v>0</v>
      </c>
      <c r="AB758" s="33">
        <f>IF($AA758&gt;0,VLOOKUP($K758,Ruimtegroepen[],3,FALSE)*VLOOKUP($M758,Vloersoorten[],3,FALSE)*VLOOKUP($Z758,Frequenties[],3,FALSE)*VLOOKUP(#REF!,Locaties[],3,FALSE),0)</f>
        <v>0</v>
      </c>
      <c r="AC758" s="33"/>
      <c r="AD758" s="33"/>
      <c r="AE758" s="33">
        <f>Ruimtestaat[[#This Row],[uren / jaar weekend]]*Tariefsopbouw!$D$40</f>
        <v>0</v>
      </c>
      <c r="AF758" s="79">
        <f>Ruimtestaat[[#This Row],[Prest. (m2 /jaar) weekend]]+Ruimtestaat[[#This Row],[Prest. (m2 /jaar) werkdagen]]</f>
        <v>1400</v>
      </c>
      <c r="AG758" s="79">
        <f>Ruimtestaat[[#This Row],[uren / jaar weekend]]+Ruimtestaat[[#This Row],[uren / jaar werkdagen]]</f>
        <v>0</v>
      </c>
      <c r="AH758" s="80">
        <f>Ruimtestaat[[#This Row],[kosten / jaar weekend]]+Ruimtestaat[[#This Row],[kosten / jaar werkdagen]]</f>
        <v>0</v>
      </c>
    </row>
    <row r="759" spans="1:34" ht="15" customHeight="1">
      <c r="A759" s="256">
        <v>10</v>
      </c>
      <c r="B759" s="171" t="str">
        <f>VLOOKUP(Ruimtestaat[[#This Row],[Code]],Locaties[#All],2,FALSE)</f>
        <v>De Stapsteen (2 gebouwen)</v>
      </c>
      <c r="C759" s="258" t="str">
        <f>VLOOKUP(Ruimtestaat[[#This Row],[Code]],Locaties[#All],4,FALSE)</f>
        <v>J. Perkstraat 5-11</v>
      </c>
      <c r="D759" s="258" t="str">
        <f>VLOOKUP(Ruimtestaat[[#This Row],[Code]],Locaties[#All],5,FALSE)</f>
        <v>7532JR</v>
      </c>
      <c r="E759" s="258" t="str">
        <f>VLOOKUP(Ruimtestaat[[#This Row],[Code]],Locaties[#All],6,FALSE)</f>
        <v>Hengelo</v>
      </c>
      <c r="F759" s="257"/>
      <c r="G759" s="257" t="s">
        <v>563</v>
      </c>
      <c r="H759" s="171"/>
      <c r="I759" s="257" t="s">
        <v>481</v>
      </c>
      <c r="J759" s="259" t="s">
        <v>650</v>
      </c>
      <c r="K759" s="171">
        <v>20</v>
      </c>
      <c r="L759" s="260" t="str">
        <f>VLOOKUP(Ruimtestaat[[#This Row],[Ruimte code]],Ruimtegroepen[#All],2,FALSE)</f>
        <v>Niet in onderhoud</v>
      </c>
      <c r="M759" s="258" t="s">
        <v>598</v>
      </c>
      <c r="N759" s="257" t="s">
        <v>132</v>
      </c>
      <c r="O759" s="261"/>
      <c r="P759" s="183">
        <v>5</v>
      </c>
      <c r="Q759" s="212" t="str">
        <f>VLOOKUP(Ruimtestaat[[#This Row],[Ruimte code]],Ruimtegroepen[#All],4,FALSE)</f>
        <v>niet in onderhoud</v>
      </c>
      <c r="R759" s="184"/>
      <c r="S759" s="185"/>
      <c r="T759" s="185" t="s">
        <v>3</v>
      </c>
      <c r="U759" s="185">
        <f>IF(S759&gt;0,IF(RIGHT(Ruimtestaat[[#This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59" s="185">
        <f>IF(U759&gt;0,VLOOKUP($K759,Ruimtegroepen[],3,FALSE)*VLOOKUP($M759,Vloersoorten[],3,FALSE)*VLOOKUP($T759,Frequenties[],3,FALSE)*VLOOKUP($A759,Locaties[],3,FALSE),0)</f>
        <v>0</v>
      </c>
      <c r="W759" s="185">
        <f>Ruimtestaat[[#This Row],[Uitvoeringen werkdagen]]*Ruimtestaat[[#This Row],[Oppervlak (netto)]]</f>
        <v>0</v>
      </c>
      <c r="X759" s="220">
        <f>IF(V759&gt;0,Ruimtestaat[[#This Row],[Prest. (m2 /jaar) werkdagen]]/Ruimtestaat[[#This Row],[Norm (m2/uur) werkdagen]],0)</f>
        <v>0</v>
      </c>
      <c r="Y759" s="221">
        <f>Ruimtestaat[[#This Row],[uren / jaar werkdagen]]*Tariefsopbouw!$D$38</f>
        <v>0</v>
      </c>
      <c r="Z759" s="33"/>
      <c r="AA759" s="33">
        <f>IF(Ruimtestaat[[#This Row],[Frequentie weekend]]&gt;0,VALUE(LEFT(Z759,1))*S759,0)</f>
        <v>0</v>
      </c>
      <c r="AB759" s="33">
        <f>IF($AA759&gt;0,VLOOKUP($K759,Ruimtegroepen[],3,FALSE)*VLOOKUP($M759,Vloersoorten[],3,FALSE)*VLOOKUP($Z759,Frequenties[],3,FALSE)*VLOOKUP(#REF!,Locaties[],3,FALSE),0)</f>
        <v>0</v>
      </c>
      <c r="AC759" s="33"/>
      <c r="AD759" s="33"/>
      <c r="AE759" s="33">
        <f>Ruimtestaat[[#This Row],[uren / jaar weekend]]*Tariefsopbouw!$D$40</f>
        <v>0</v>
      </c>
      <c r="AF759" s="79">
        <f>Ruimtestaat[[#This Row],[Prest. (m2 /jaar) weekend]]+Ruimtestaat[[#This Row],[Prest. (m2 /jaar) werkdagen]]</f>
        <v>0</v>
      </c>
      <c r="AG759" s="79">
        <f>Ruimtestaat[[#This Row],[uren / jaar weekend]]+Ruimtestaat[[#This Row],[uren / jaar werkdagen]]</f>
        <v>0</v>
      </c>
      <c r="AH759" s="80">
        <f>Ruimtestaat[[#This Row],[kosten / jaar weekend]]+Ruimtestaat[[#This Row],[kosten / jaar werkdagen]]</f>
        <v>0</v>
      </c>
    </row>
    <row r="760" spans="1:34" ht="15" customHeight="1">
      <c r="A760" s="256">
        <v>10</v>
      </c>
      <c r="B760" s="171" t="str">
        <f>VLOOKUP(Ruimtestaat[[#This Row],[Code]],Locaties[#All],2,FALSE)</f>
        <v>De Stapsteen (2 gebouwen)</v>
      </c>
      <c r="C760" s="258" t="str">
        <f>VLOOKUP(Ruimtestaat[[#This Row],[Code]],Locaties[#All],4,FALSE)</f>
        <v>J. Perkstraat 5-11</v>
      </c>
      <c r="D760" s="258" t="str">
        <f>VLOOKUP(Ruimtestaat[[#This Row],[Code]],Locaties[#All],5,FALSE)</f>
        <v>7532JR</v>
      </c>
      <c r="E760" s="258" t="str">
        <f>VLOOKUP(Ruimtestaat[[#This Row],[Code]],Locaties[#All],6,FALSE)</f>
        <v>Hengelo</v>
      </c>
      <c r="F760" s="257"/>
      <c r="G760" s="257" t="s">
        <v>563</v>
      </c>
      <c r="H760" s="171"/>
      <c r="I760" s="257" t="s">
        <v>482</v>
      </c>
      <c r="J760" s="259" t="s">
        <v>574</v>
      </c>
      <c r="K760" s="258">
        <v>6</v>
      </c>
      <c r="L760" s="260" t="str">
        <f>VLOOKUP(Ruimtestaat[[#This Row],[Ruimte code]],Ruimtegroepen[#All],2,FALSE)</f>
        <v>Gangen/hallen</v>
      </c>
      <c r="M760" s="185" t="s">
        <v>598</v>
      </c>
      <c r="N760" s="257" t="s">
        <v>132</v>
      </c>
      <c r="O760" s="261">
        <v>6</v>
      </c>
      <c r="P760" s="183"/>
      <c r="Q760" s="212" t="str">
        <f>VLOOKUP(Ruimtestaat[[#This Row],[Ruimte code]],Ruimtegroepen[#All],4,FALSE)</f>
        <v>V  (Verkeersruimte)</v>
      </c>
      <c r="R760" s="184"/>
      <c r="S760" s="185">
        <v>40</v>
      </c>
      <c r="T760" s="185" t="s">
        <v>2</v>
      </c>
      <c r="U760" s="185">
        <f>IF(S760&gt;0,IF(RIGHT(Ruimtestaat[[#This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0" s="185">
        <f>IF(U760&gt;0,VLOOKUP($K760,Ruimtegroepen[],3,FALSE)*VLOOKUP($M760,Vloersoorten[],3,FALSE)*VLOOKUP($T760,Frequenties[],3,FALSE)*VLOOKUP($A760,Locaties[],3,FALSE),0)</f>
        <v>0</v>
      </c>
      <c r="W760" s="185">
        <f>Ruimtestaat[[#This Row],[Uitvoeringen werkdagen]]*Ruimtestaat[[#This Row],[Oppervlak (netto)]]</f>
        <v>1200</v>
      </c>
      <c r="X760" s="220">
        <f>IF(V760&gt;0,Ruimtestaat[[#This Row],[Prest. (m2 /jaar) werkdagen]]/Ruimtestaat[[#This Row],[Norm (m2/uur) werkdagen]],0)</f>
        <v>0</v>
      </c>
      <c r="Y760" s="221">
        <f>Ruimtestaat[[#This Row],[uren / jaar werkdagen]]*Tariefsopbouw!$D$38</f>
        <v>0</v>
      </c>
      <c r="Z760" s="33"/>
      <c r="AA760" s="33">
        <f>IF(Ruimtestaat[[#This Row],[Frequentie weekend]]&gt;0,VALUE(LEFT(Z760,1))*S760,0)</f>
        <v>0</v>
      </c>
      <c r="AB760" s="33">
        <f>IF($AA760&gt;0,VLOOKUP($K760,Ruimtegroepen[],3,FALSE)*VLOOKUP($M760,Vloersoorten[],3,FALSE)*VLOOKUP($Z760,Frequenties[],3,FALSE)*VLOOKUP(#REF!,Locaties[],3,FALSE),0)</f>
        <v>0</v>
      </c>
      <c r="AC760" s="33"/>
      <c r="AD760" s="33"/>
      <c r="AE760" s="33">
        <f>Ruimtestaat[[#This Row],[uren / jaar weekend]]*Tariefsopbouw!$D$40</f>
        <v>0</v>
      </c>
      <c r="AF760" s="79">
        <f>Ruimtestaat[[#This Row],[Prest. (m2 /jaar) weekend]]+Ruimtestaat[[#This Row],[Prest. (m2 /jaar) werkdagen]]</f>
        <v>1200</v>
      </c>
      <c r="AG760" s="79">
        <f>Ruimtestaat[[#This Row],[uren / jaar weekend]]+Ruimtestaat[[#This Row],[uren / jaar werkdagen]]</f>
        <v>0</v>
      </c>
      <c r="AH760" s="80">
        <f>Ruimtestaat[[#This Row],[kosten / jaar weekend]]+Ruimtestaat[[#This Row],[kosten / jaar werkdagen]]</f>
        <v>0</v>
      </c>
    </row>
    <row r="761" spans="1:34" ht="15" customHeight="1">
      <c r="A761" s="256">
        <v>10</v>
      </c>
      <c r="B761" s="171" t="str">
        <f>VLOOKUP(Ruimtestaat[[#This Row],[Code]],Locaties[#All],2,FALSE)</f>
        <v>De Stapsteen (2 gebouwen)</v>
      </c>
      <c r="C761" s="258" t="str">
        <f>VLOOKUP(Ruimtestaat[[#This Row],[Code]],Locaties[#All],4,FALSE)</f>
        <v>J. Perkstraat 5-11</v>
      </c>
      <c r="D761" s="258" t="str">
        <f>VLOOKUP(Ruimtestaat[[#This Row],[Code]],Locaties[#All],5,FALSE)</f>
        <v>7532JR</v>
      </c>
      <c r="E761" s="258" t="str">
        <f>VLOOKUP(Ruimtestaat[[#This Row],[Code]],Locaties[#All],6,FALSE)</f>
        <v>Hengelo</v>
      </c>
      <c r="F761" s="257"/>
      <c r="G761" s="257" t="s">
        <v>563</v>
      </c>
      <c r="H761" s="171"/>
      <c r="I761" s="257" t="s">
        <v>483</v>
      </c>
      <c r="J761" s="259" t="s">
        <v>571</v>
      </c>
      <c r="K761" s="258">
        <v>2</v>
      </c>
      <c r="L761" s="260" t="str">
        <f>VLOOKUP(Ruimtestaat[[#This Row],[Ruimte code]],Ruimtegroepen[#All],2,FALSE)</f>
        <v>Kantoren</v>
      </c>
      <c r="M761" s="185" t="s">
        <v>598</v>
      </c>
      <c r="N761" s="257" t="s">
        <v>132</v>
      </c>
      <c r="O761" s="261">
        <v>40</v>
      </c>
      <c r="P761" s="183"/>
      <c r="Q761" s="212" t="str">
        <f>VLOOKUP(Ruimtestaat[[#This Row],[Ruimte code]],Ruimtegroepen[#All],4,FALSE)</f>
        <v>B  (Bureauruimte)</v>
      </c>
      <c r="R761" s="184"/>
      <c r="S761" s="185">
        <v>40</v>
      </c>
      <c r="T761" s="185" t="s">
        <v>18</v>
      </c>
      <c r="U761" s="185">
        <f>IF(S761&gt;0,IF(RIGHT(Ruimtestaat[[#This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61" s="185">
        <f>IF(U761&gt;0,VLOOKUP($K761,Ruimtegroepen[],3,FALSE)*VLOOKUP($M761,Vloersoorten[],3,FALSE)*VLOOKUP($T761,Frequenties[],3,FALSE)*VLOOKUP($A761,Locaties[],3,FALSE),0)</f>
        <v>0</v>
      </c>
      <c r="W761" s="185">
        <f>Ruimtestaat[[#This Row],[Uitvoeringen werkdagen]]*Ruimtestaat[[#This Row],[Oppervlak (netto)]]</f>
        <v>4800</v>
      </c>
      <c r="X761" s="220">
        <f>IF(V761&gt;0,Ruimtestaat[[#This Row],[Prest. (m2 /jaar) werkdagen]]/Ruimtestaat[[#This Row],[Norm (m2/uur) werkdagen]],0)</f>
        <v>0</v>
      </c>
      <c r="Y761" s="221">
        <f>Ruimtestaat[[#This Row],[uren / jaar werkdagen]]*Tariefsopbouw!$D$38</f>
        <v>0</v>
      </c>
      <c r="Z761" s="33"/>
      <c r="AA761" s="33">
        <f>IF(Ruimtestaat[[#This Row],[Frequentie weekend]]&gt;0,VALUE(LEFT(Z761,1))*S761,0)</f>
        <v>0</v>
      </c>
      <c r="AB761" s="33">
        <f>IF($AA761&gt;0,VLOOKUP($K761,Ruimtegroepen[],3,FALSE)*VLOOKUP($M761,Vloersoorten[],3,FALSE)*VLOOKUP($Z761,Frequenties[],3,FALSE)*VLOOKUP(#REF!,Locaties[],3,FALSE),0)</f>
        <v>0</v>
      </c>
      <c r="AC761" s="33"/>
      <c r="AD761" s="33"/>
      <c r="AE761" s="33">
        <f>Ruimtestaat[[#This Row],[uren / jaar weekend]]*Tariefsopbouw!$D$40</f>
        <v>0</v>
      </c>
      <c r="AF761" s="79">
        <f>Ruimtestaat[[#This Row],[Prest. (m2 /jaar) weekend]]+Ruimtestaat[[#This Row],[Prest. (m2 /jaar) werkdagen]]</f>
        <v>4800</v>
      </c>
      <c r="AG761" s="79">
        <f>Ruimtestaat[[#This Row],[uren / jaar weekend]]+Ruimtestaat[[#This Row],[uren / jaar werkdagen]]</f>
        <v>0</v>
      </c>
      <c r="AH761" s="80">
        <f>Ruimtestaat[[#This Row],[kosten / jaar weekend]]+Ruimtestaat[[#This Row],[kosten / jaar werkdagen]]</f>
        <v>0</v>
      </c>
    </row>
    <row r="762" spans="1:34" ht="15" customHeight="1">
      <c r="A762" s="256">
        <v>10</v>
      </c>
      <c r="B762" s="171" t="str">
        <f>VLOOKUP(Ruimtestaat[[#This Row],[Code]],Locaties[#All],2,FALSE)</f>
        <v>De Stapsteen (2 gebouwen)</v>
      </c>
      <c r="C762" s="258" t="str">
        <f>VLOOKUP(Ruimtestaat[[#This Row],[Code]],Locaties[#All],4,FALSE)</f>
        <v>J. Perkstraat 5-11</v>
      </c>
      <c r="D762" s="258" t="str">
        <f>VLOOKUP(Ruimtestaat[[#This Row],[Code]],Locaties[#All],5,FALSE)</f>
        <v>7532JR</v>
      </c>
      <c r="E762" s="258" t="str">
        <f>VLOOKUP(Ruimtestaat[[#This Row],[Code]],Locaties[#All],6,FALSE)</f>
        <v>Hengelo</v>
      </c>
      <c r="F762" s="257"/>
      <c r="G762" s="257" t="s">
        <v>563</v>
      </c>
      <c r="H762" s="171"/>
      <c r="I762" s="257" t="s">
        <v>484</v>
      </c>
      <c r="J762" s="259" t="s">
        <v>585</v>
      </c>
      <c r="K762" s="171">
        <v>20</v>
      </c>
      <c r="L762" s="260" t="str">
        <f>VLOOKUP(Ruimtestaat[[#This Row],[Ruimte code]],Ruimtegroepen[#All],2,FALSE)</f>
        <v>Niet in onderhoud</v>
      </c>
      <c r="M762" s="185" t="s">
        <v>598</v>
      </c>
      <c r="N762" s="257" t="s">
        <v>132</v>
      </c>
      <c r="O762" s="261"/>
      <c r="P762" s="183">
        <v>13</v>
      </c>
      <c r="Q762" s="212" t="str">
        <f>VLOOKUP(Ruimtestaat[[#This Row],[Ruimte code]],Ruimtegroepen[#All],4,FALSE)</f>
        <v>niet in onderhoud</v>
      </c>
      <c r="R762" s="184"/>
      <c r="S762" s="185"/>
      <c r="T762" s="185"/>
      <c r="U762" s="185">
        <f>IF(S762&gt;0,IF(RIGHT(Ruimtestaat[[#This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62" s="185">
        <f>IF(U762&gt;0,VLOOKUP($K762,Ruimtegroepen[],3,FALSE)*VLOOKUP($M762,Vloersoorten[],3,FALSE)*VLOOKUP($T762,Frequenties[],3,FALSE)*VLOOKUP($A762,Locaties[],3,FALSE),0)</f>
        <v>0</v>
      </c>
      <c r="W762" s="185">
        <f>Ruimtestaat[[#This Row],[Uitvoeringen werkdagen]]*Ruimtestaat[[#This Row],[Oppervlak (netto)]]</f>
        <v>0</v>
      </c>
      <c r="X762" s="220">
        <f>IF(V762&gt;0,Ruimtestaat[[#This Row],[Prest. (m2 /jaar) werkdagen]]/Ruimtestaat[[#This Row],[Norm (m2/uur) werkdagen]],0)</f>
        <v>0</v>
      </c>
      <c r="Y762" s="221">
        <f>Ruimtestaat[[#This Row],[uren / jaar werkdagen]]*Tariefsopbouw!$D$38</f>
        <v>0</v>
      </c>
      <c r="Z762" s="33"/>
      <c r="AA762" s="33">
        <f>IF(Ruimtestaat[[#This Row],[Frequentie weekend]]&gt;0,VALUE(LEFT(Z762,1))*S762,0)</f>
        <v>0</v>
      </c>
      <c r="AB762" s="33">
        <f>IF($AA762&gt;0,VLOOKUP($K762,Ruimtegroepen[],3,FALSE)*VLOOKUP($M762,Vloersoorten[],3,FALSE)*VLOOKUP($Z762,Frequenties[],3,FALSE)*VLOOKUP(#REF!,Locaties[],3,FALSE),0)</f>
        <v>0</v>
      </c>
      <c r="AC762" s="33"/>
      <c r="AD762" s="33"/>
      <c r="AE762" s="33">
        <f>Ruimtestaat[[#This Row],[uren / jaar weekend]]*Tariefsopbouw!$D$40</f>
        <v>0</v>
      </c>
      <c r="AF762" s="79">
        <f>Ruimtestaat[[#This Row],[Prest. (m2 /jaar) weekend]]+Ruimtestaat[[#This Row],[Prest. (m2 /jaar) werkdagen]]</f>
        <v>0</v>
      </c>
      <c r="AG762" s="79">
        <f>Ruimtestaat[[#This Row],[uren / jaar weekend]]+Ruimtestaat[[#This Row],[uren / jaar werkdagen]]</f>
        <v>0</v>
      </c>
      <c r="AH762" s="80">
        <f>Ruimtestaat[[#This Row],[kosten / jaar weekend]]+Ruimtestaat[[#This Row],[kosten / jaar werkdagen]]</f>
        <v>0</v>
      </c>
    </row>
    <row r="763" spans="1:34" ht="15" customHeight="1">
      <c r="A763" s="256">
        <v>10</v>
      </c>
      <c r="B763" s="171" t="str">
        <f>VLOOKUP(Ruimtestaat[[#This Row],[Code]],Locaties[#All],2,FALSE)</f>
        <v>De Stapsteen (2 gebouwen)</v>
      </c>
      <c r="C763" s="258" t="str">
        <f>VLOOKUP(Ruimtestaat[[#This Row],[Code]],Locaties[#All],4,FALSE)</f>
        <v>J. Perkstraat 5-11</v>
      </c>
      <c r="D763" s="258" t="str">
        <f>VLOOKUP(Ruimtestaat[[#This Row],[Code]],Locaties[#All],5,FALSE)</f>
        <v>7532JR</v>
      </c>
      <c r="E763" s="258" t="str">
        <f>VLOOKUP(Ruimtestaat[[#This Row],[Code]],Locaties[#All],6,FALSE)</f>
        <v>Hengelo</v>
      </c>
      <c r="F763" s="257"/>
      <c r="G763" s="257" t="s">
        <v>563</v>
      </c>
      <c r="H763" s="171"/>
      <c r="I763" s="257" t="s">
        <v>688</v>
      </c>
      <c r="J763" s="259" t="s">
        <v>571</v>
      </c>
      <c r="K763" s="171">
        <v>2</v>
      </c>
      <c r="L763" s="260" t="str">
        <f>VLOOKUP(Ruimtestaat[[#This Row],[Ruimte code]],Ruimtegroepen[#All],2,FALSE)</f>
        <v>Kantoren</v>
      </c>
      <c r="M763" s="258" t="s">
        <v>598</v>
      </c>
      <c r="N763" s="257" t="s">
        <v>132</v>
      </c>
      <c r="O763" s="261">
        <v>12</v>
      </c>
      <c r="P763" s="183"/>
      <c r="Q763" s="212" t="str">
        <f>VLOOKUP(Ruimtestaat[[#This Row],[Ruimte code]],Ruimtegroepen[#All],4,FALSE)</f>
        <v>B  (Bureauruimte)</v>
      </c>
      <c r="R763" s="184"/>
      <c r="S763" s="185">
        <v>40</v>
      </c>
      <c r="T763" s="185" t="s">
        <v>18</v>
      </c>
      <c r="U763" s="185">
        <f>IF(S763&gt;0,IF(RIGHT(Ruimtestaat[[#This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63" s="185">
        <f>IF(U763&gt;0,VLOOKUP($K763,Ruimtegroepen[],3,FALSE)*VLOOKUP($M763,Vloersoorten[],3,FALSE)*VLOOKUP($T763,Frequenties[],3,FALSE)*VLOOKUP($A763,Locaties[],3,FALSE),0)</f>
        <v>0</v>
      </c>
      <c r="W763" s="185">
        <f>Ruimtestaat[[#This Row],[Uitvoeringen werkdagen]]*Ruimtestaat[[#This Row],[Oppervlak (netto)]]</f>
        <v>1440</v>
      </c>
      <c r="X763" s="220">
        <f>IF(V763&gt;0,Ruimtestaat[[#This Row],[Prest. (m2 /jaar) werkdagen]]/Ruimtestaat[[#This Row],[Norm (m2/uur) werkdagen]],0)</f>
        <v>0</v>
      </c>
      <c r="Y763" s="221">
        <f>Ruimtestaat[[#This Row],[uren / jaar werkdagen]]*Tariefsopbouw!$D$38</f>
        <v>0</v>
      </c>
      <c r="Z763" s="33"/>
      <c r="AA763" s="33">
        <f>IF(Ruimtestaat[[#This Row],[Frequentie weekend]]&gt;0,VALUE(LEFT(Z763,1))*S763,0)</f>
        <v>0</v>
      </c>
      <c r="AB763" s="33">
        <f>IF($AA763&gt;0,VLOOKUP($K763,Ruimtegroepen[],3,FALSE)*VLOOKUP($M763,Vloersoorten[],3,FALSE)*VLOOKUP($Z763,Frequenties[],3,FALSE)*VLOOKUP(#REF!,Locaties[],3,FALSE),0)</f>
        <v>0</v>
      </c>
      <c r="AC763" s="33"/>
      <c r="AD763" s="33"/>
      <c r="AE763" s="33">
        <f>Ruimtestaat[[#This Row],[uren / jaar weekend]]*Tariefsopbouw!$D$40</f>
        <v>0</v>
      </c>
      <c r="AF763" s="79">
        <f>Ruimtestaat[[#This Row],[Prest. (m2 /jaar) weekend]]+Ruimtestaat[[#This Row],[Prest. (m2 /jaar) werkdagen]]</f>
        <v>1440</v>
      </c>
      <c r="AG763" s="79">
        <f>Ruimtestaat[[#This Row],[uren / jaar weekend]]+Ruimtestaat[[#This Row],[uren / jaar werkdagen]]</f>
        <v>0</v>
      </c>
      <c r="AH763" s="80">
        <f>Ruimtestaat[[#This Row],[kosten / jaar weekend]]+Ruimtestaat[[#This Row],[kosten / jaar werkdagen]]</f>
        <v>0</v>
      </c>
    </row>
    <row r="764" spans="1:34" ht="15" customHeight="1">
      <c r="A764" s="256">
        <v>10</v>
      </c>
      <c r="B764" s="171" t="str">
        <f>VLOOKUP(Ruimtestaat[[#This Row],[Code]],Locaties[#All],2,FALSE)</f>
        <v>De Stapsteen (2 gebouwen)</v>
      </c>
      <c r="C764" s="258" t="str">
        <f>VLOOKUP(Ruimtestaat[[#This Row],[Code]],Locaties[#All],4,FALSE)</f>
        <v>J. Perkstraat 5-11</v>
      </c>
      <c r="D764" s="258" t="str">
        <f>VLOOKUP(Ruimtestaat[[#This Row],[Code]],Locaties[#All],5,FALSE)</f>
        <v>7532JR</v>
      </c>
      <c r="E764" s="258" t="str">
        <f>VLOOKUP(Ruimtestaat[[#This Row],[Code]],Locaties[#All],6,FALSE)</f>
        <v>Hengelo</v>
      </c>
      <c r="F764" s="257"/>
      <c r="G764" s="257" t="s">
        <v>563</v>
      </c>
      <c r="H764" s="171"/>
      <c r="I764" s="257" t="s">
        <v>485</v>
      </c>
      <c r="J764" s="259" t="s">
        <v>61</v>
      </c>
      <c r="K764" s="171">
        <v>3</v>
      </c>
      <c r="L764" s="260" t="str">
        <f>VLOOKUP(Ruimtestaat[[#This Row],[Ruimte code]],Ruimtegroepen[#All],2,FALSE)</f>
        <v>Reproruimte</v>
      </c>
      <c r="M764" s="258" t="s">
        <v>598</v>
      </c>
      <c r="N764" s="257" t="s">
        <v>132</v>
      </c>
      <c r="O764" s="261">
        <v>12</v>
      </c>
      <c r="P764" s="183"/>
      <c r="Q764" s="212" t="str">
        <f>VLOOKUP(Ruimtestaat[[#This Row],[Ruimte code]],Ruimtegroepen[#All],4,FALSE)</f>
        <v>V  (Verkeersruimte)</v>
      </c>
      <c r="R764" s="184"/>
      <c r="S764" s="185">
        <v>40</v>
      </c>
      <c r="T764" s="185" t="s">
        <v>15</v>
      </c>
      <c r="U764" s="185">
        <f>IF(S764&gt;0,IF(RIGHT(Ruimtestaat[[#This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64" s="185">
        <f>IF(U764&gt;0,VLOOKUP($K764,Ruimtegroepen[],3,FALSE)*VLOOKUP($M764,Vloersoorten[],3,FALSE)*VLOOKUP($T764,Frequenties[],3,FALSE)*VLOOKUP($A764,Locaties[],3,FALSE),0)</f>
        <v>0</v>
      </c>
      <c r="W764" s="185">
        <f>Ruimtestaat[[#This Row],[Uitvoeringen werkdagen]]*Ruimtestaat[[#This Row],[Oppervlak (netto)]]</f>
        <v>480</v>
      </c>
      <c r="X764" s="220">
        <f>IF(V764&gt;0,Ruimtestaat[[#This Row],[Prest. (m2 /jaar) werkdagen]]/Ruimtestaat[[#This Row],[Norm (m2/uur) werkdagen]],0)</f>
        <v>0</v>
      </c>
      <c r="Y764" s="221">
        <f>Ruimtestaat[[#This Row],[uren / jaar werkdagen]]*Tariefsopbouw!$D$38</f>
        <v>0</v>
      </c>
      <c r="Z764" s="33"/>
      <c r="AA764" s="33">
        <f>IF(Ruimtestaat[[#This Row],[Frequentie weekend]]&gt;0,VALUE(LEFT(Z764,1))*S764,0)</f>
        <v>0</v>
      </c>
      <c r="AB764" s="33">
        <f>IF($AA764&gt;0,VLOOKUP($K764,Ruimtegroepen[],3,FALSE)*VLOOKUP($M764,Vloersoorten[],3,FALSE)*VLOOKUP($Z764,Frequenties[],3,FALSE)*VLOOKUP(#REF!,Locaties[],3,FALSE),0)</f>
        <v>0</v>
      </c>
      <c r="AC764" s="33"/>
      <c r="AD764" s="33"/>
      <c r="AE764" s="33">
        <f>Ruimtestaat[[#This Row],[uren / jaar weekend]]*Tariefsopbouw!$D$40</f>
        <v>0</v>
      </c>
      <c r="AF764" s="79">
        <f>Ruimtestaat[[#This Row],[Prest. (m2 /jaar) weekend]]+Ruimtestaat[[#This Row],[Prest. (m2 /jaar) werkdagen]]</f>
        <v>480</v>
      </c>
      <c r="AG764" s="79">
        <f>Ruimtestaat[[#This Row],[uren / jaar weekend]]+Ruimtestaat[[#This Row],[uren / jaar werkdagen]]</f>
        <v>0</v>
      </c>
      <c r="AH764" s="80">
        <f>Ruimtestaat[[#This Row],[kosten / jaar weekend]]+Ruimtestaat[[#This Row],[kosten / jaar werkdagen]]</f>
        <v>0</v>
      </c>
    </row>
    <row r="765" spans="1:34" ht="15" customHeight="1">
      <c r="A765" s="256">
        <v>10</v>
      </c>
      <c r="B765" s="171" t="str">
        <f>VLOOKUP(Ruimtestaat[[#This Row],[Code]],Locaties[#All],2,FALSE)</f>
        <v>De Stapsteen (2 gebouwen)</v>
      </c>
      <c r="C765" s="258" t="str">
        <f>VLOOKUP(Ruimtestaat[[#This Row],[Code]],Locaties[#All],4,FALSE)</f>
        <v>J. Perkstraat 5-11</v>
      </c>
      <c r="D765" s="258" t="str">
        <f>VLOOKUP(Ruimtestaat[[#This Row],[Code]],Locaties[#All],5,FALSE)</f>
        <v>7532JR</v>
      </c>
      <c r="E765" s="258" t="str">
        <f>VLOOKUP(Ruimtestaat[[#This Row],[Code]],Locaties[#All],6,FALSE)</f>
        <v>Hengelo</v>
      </c>
      <c r="F765" s="257"/>
      <c r="G765" s="257" t="s">
        <v>563</v>
      </c>
      <c r="H765" s="171"/>
      <c r="I765" s="257" t="s">
        <v>486</v>
      </c>
      <c r="J765" s="259" t="s">
        <v>571</v>
      </c>
      <c r="K765" s="258">
        <v>2</v>
      </c>
      <c r="L765" s="260" t="str">
        <f>VLOOKUP(Ruimtestaat[[#This Row],[Ruimte code]],Ruimtegroepen[#All],2,FALSE)</f>
        <v>Kantoren</v>
      </c>
      <c r="M765" s="185" t="s">
        <v>597</v>
      </c>
      <c r="N765" s="257" t="s">
        <v>38</v>
      </c>
      <c r="O765" s="261">
        <v>16</v>
      </c>
      <c r="P765" s="183"/>
      <c r="Q765" s="212" t="str">
        <f>VLOOKUP(Ruimtestaat[[#This Row],[Ruimte code]],Ruimtegroepen[#All],4,FALSE)</f>
        <v>B  (Bureauruimte)</v>
      </c>
      <c r="R765" s="184"/>
      <c r="S765" s="185">
        <v>40</v>
      </c>
      <c r="T765" s="185" t="s">
        <v>18</v>
      </c>
      <c r="U765" s="185">
        <f>IF(S765&gt;0,IF(RIGHT(Ruimtestaat[[#This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65" s="185">
        <f>IF(U765&gt;0,VLOOKUP($K765,Ruimtegroepen[],3,FALSE)*VLOOKUP($M765,Vloersoorten[],3,FALSE)*VLOOKUP($T765,Frequenties[],3,FALSE)*VLOOKUP($A765,Locaties[],3,FALSE),0)</f>
        <v>0</v>
      </c>
      <c r="W765" s="185">
        <f>Ruimtestaat[[#This Row],[Uitvoeringen werkdagen]]*Ruimtestaat[[#This Row],[Oppervlak (netto)]]</f>
        <v>1920</v>
      </c>
      <c r="X765" s="220">
        <f>IF(V765&gt;0,Ruimtestaat[[#This Row],[Prest. (m2 /jaar) werkdagen]]/Ruimtestaat[[#This Row],[Norm (m2/uur) werkdagen]],0)</f>
        <v>0</v>
      </c>
      <c r="Y765" s="221">
        <f>Ruimtestaat[[#This Row],[uren / jaar werkdagen]]*Tariefsopbouw!$D$38</f>
        <v>0</v>
      </c>
      <c r="Z765" s="33"/>
      <c r="AA765" s="33">
        <f>IF(Ruimtestaat[[#This Row],[Frequentie weekend]]&gt;0,VALUE(LEFT(Z765,1))*S765,0)</f>
        <v>0</v>
      </c>
      <c r="AB765" s="33">
        <f>IF($AA765&gt;0,VLOOKUP($K765,Ruimtegroepen[],3,FALSE)*VLOOKUP($M765,Vloersoorten[],3,FALSE)*VLOOKUP($Z765,Frequenties[],3,FALSE)*VLOOKUP(#REF!,Locaties[],3,FALSE),0)</f>
        <v>0</v>
      </c>
      <c r="AC765" s="33"/>
      <c r="AD765" s="33"/>
      <c r="AE765" s="33">
        <f>Ruimtestaat[[#This Row],[uren / jaar weekend]]*Tariefsopbouw!$D$40</f>
        <v>0</v>
      </c>
      <c r="AF765" s="79">
        <f>Ruimtestaat[[#This Row],[Prest. (m2 /jaar) weekend]]+Ruimtestaat[[#This Row],[Prest. (m2 /jaar) werkdagen]]</f>
        <v>1920</v>
      </c>
      <c r="AG765" s="79">
        <f>Ruimtestaat[[#This Row],[uren / jaar weekend]]+Ruimtestaat[[#This Row],[uren / jaar werkdagen]]</f>
        <v>0</v>
      </c>
      <c r="AH765" s="80">
        <f>Ruimtestaat[[#This Row],[kosten / jaar weekend]]+Ruimtestaat[[#This Row],[kosten / jaar werkdagen]]</f>
        <v>0</v>
      </c>
    </row>
    <row r="766" spans="1:34" ht="15" customHeight="1">
      <c r="A766" s="256">
        <v>10</v>
      </c>
      <c r="B766" s="171" t="str">
        <f>VLOOKUP(Ruimtestaat[[#This Row],[Code]],Locaties[#All],2,FALSE)</f>
        <v>De Stapsteen (2 gebouwen)</v>
      </c>
      <c r="C766" s="258" t="str">
        <f>VLOOKUP(Ruimtestaat[[#This Row],[Code]],Locaties[#All],4,FALSE)</f>
        <v>J. Perkstraat 5-11</v>
      </c>
      <c r="D766" s="258" t="str">
        <f>VLOOKUP(Ruimtestaat[[#This Row],[Code]],Locaties[#All],5,FALSE)</f>
        <v>7532JR</v>
      </c>
      <c r="E766" s="258" t="str">
        <f>VLOOKUP(Ruimtestaat[[#This Row],[Code]],Locaties[#All],6,FALSE)</f>
        <v>Hengelo</v>
      </c>
      <c r="F766" s="257"/>
      <c r="G766" s="257" t="s">
        <v>563</v>
      </c>
      <c r="H766" s="171"/>
      <c r="I766" s="257" t="s">
        <v>487</v>
      </c>
      <c r="J766" s="259" t="s">
        <v>585</v>
      </c>
      <c r="K766" s="171">
        <v>20</v>
      </c>
      <c r="L766" s="260" t="str">
        <f>VLOOKUP(Ruimtestaat[[#This Row],[Ruimte code]],Ruimtegroepen[#All],2,FALSE)</f>
        <v>Niet in onderhoud</v>
      </c>
      <c r="M766" s="185" t="s">
        <v>598</v>
      </c>
      <c r="N766" s="257" t="s">
        <v>132</v>
      </c>
      <c r="O766" s="261"/>
      <c r="P766" s="183">
        <v>7</v>
      </c>
      <c r="Q766" s="212" t="str">
        <f>VLOOKUP(Ruimtestaat[[#This Row],[Ruimte code]],Ruimtegroepen[#All],4,FALSE)</f>
        <v>niet in onderhoud</v>
      </c>
      <c r="R766" s="184"/>
      <c r="S766" s="185"/>
      <c r="T766" s="185"/>
      <c r="U766" s="185">
        <f>IF(S766&gt;0,IF(RIGHT(Ruimtestaat[[#This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66" s="185">
        <f>IF(U766&gt;0,VLOOKUP($K766,Ruimtegroepen[],3,FALSE)*VLOOKUP($M766,Vloersoorten[],3,FALSE)*VLOOKUP($T766,Frequenties[],3,FALSE)*VLOOKUP($A766,Locaties[],3,FALSE),0)</f>
        <v>0</v>
      </c>
      <c r="W766" s="185">
        <f>Ruimtestaat[[#This Row],[Uitvoeringen werkdagen]]*Ruimtestaat[[#This Row],[Oppervlak (netto)]]</f>
        <v>0</v>
      </c>
      <c r="X766" s="220">
        <f>IF(V766&gt;0,Ruimtestaat[[#This Row],[Prest. (m2 /jaar) werkdagen]]/Ruimtestaat[[#This Row],[Norm (m2/uur) werkdagen]],0)</f>
        <v>0</v>
      </c>
      <c r="Y766" s="221">
        <f>Ruimtestaat[[#This Row],[uren / jaar werkdagen]]*Tariefsopbouw!$D$38</f>
        <v>0</v>
      </c>
      <c r="Z766" s="33"/>
      <c r="AA766" s="33">
        <f>IF(Ruimtestaat[[#This Row],[Frequentie weekend]]&gt;0,VALUE(LEFT(Z766,1))*S766,0)</f>
        <v>0</v>
      </c>
      <c r="AB766" s="33">
        <f>IF($AA766&gt;0,VLOOKUP($K766,Ruimtegroepen[],3,FALSE)*VLOOKUP($M766,Vloersoorten[],3,FALSE)*VLOOKUP($Z766,Frequenties[],3,FALSE)*VLOOKUP(#REF!,Locaties[],3,FALSE),0)</f>
        <v>0</v>
      </c>
      <c r="AC766" s="33"/>
      <c r="AD766" s="33"/>
      <c r="AE766" s="33">
        <f>Ruimtestaat[[#This Row],[uren / jaar weekend]]*Tariefsopbouw!$D$40</f>
        <v>0</v>
      </c>
      <c r="AF766" s="79">
        <f>Ruimtestaat[[#This Row],[Prest. (m2 /jaar) weekend]]+Ruimtestaat[[#This Row],[Prest. (m2 /jaar) werkdagen]]</f>
        <v>0</v>
      </c>
      <c r="AG766" s="79">
        <f>Ruimtestaat[[#This Row],[uren / jaar weekend]]+Ruimtestaat[[#This Row],[uren / jaar werkdagen]]</f>
        <v>0</v>
      </c>
      <c r="AH766" s="80">
        <f>Ruimtestaat[[#This Row],[kosten / jaar weekend]]+Ruimtestaat[[#This Row],[kosten / jaar werkdagen]]</f>
        <v>0</v>
      </c>
    </row>
    <row r="767" spans="1:34" ht="15" customHeight="1">
      <c r="A767" s="256">
        <v>11</v>
      </c>
      <c r="B767" s="171" t="str">
        <f>VLOOKUP(Ruimtestaat[[#This Row],[Code]],Locaties[#All],2,FALSE)</f>
        <v>De Bouwsteen / Het Fundament</v>
      </c>
      <c r="C767" s="258" t="str">
        <f>VLOOKUP(Ruimtestaat[[#This Row],[Code]],Locaties[#All],4,FALSE)</f>
        <v>Anna Reynvaanweg 50</v>
      </c>
      <c r="D767" s="258" t="str">
        <f>VLOOKUP(Ruimtestaat[[#This Row],[Code]],Locaties[#All],5,FALSE)</f>
        <v>7555SG</v>
      </c>
      <c r="E767" s="258" t="str">
        <f>VLOOKUP(Ruimtestaat[[#This Row],[Code]],Locaties[#All],6,FALSE)</f>
        <v>Hengelo</v>
      </c>
      <c r="F767" s="257"/>
      <c r="G767" s="257" t="s">
        <v>563</v>
      </c>
      <c r="H767" s="171"/>
      <c r="I767" s="257" t="s">
        <v>446</v>
      </c>
      <c r="J767" s="259" t="s">
        <v>40</v>
      </c>
      <c r="K767" s="258">
        <v>7</v>
      </c>
      <c r="L767" s="260" t="str">
        <f>VLOOKUP(Ruimtestaat[[#This Row],[Ruimte code]],Ruimtegroepen[#All],2,FALSE)</f>
        <v>Entree</v>
      </c>
      <c r="M767" s="185" t="s">
        <v>597</v>
      </c>
      <c r="N767" s="257" t="s">
        <v>594</v>
      </c>
      <c r="O767" s="261">
        <v>18.399999999999999</v>
      </c>
      <c r="P767" s="183"/>
      <c r="Q767" s="212" t="str">
        <f>VLOOKUP(Ruimtestaat[[#This Row],[Ruimte code]],Ruimtegroepen[#All],4,FALSE)</f>
        <v>V  (Verkeersruimte)</v>
      </c>
      <c r="R767" s="184"/>
      <c r="S767" s="185">
        <v>40</v>
      </c>
      <c r="T767" s="185" t="s">
        <v>2</v>
      </c>
      <c r="U767" s="185">
        <f>IF(S767&gt;0,IF(RIGHT(Ruimtestaat[[#This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7" s="185">
        <f>IF(U767&gt;0,VLOOKUP($K767,Ruimtegroepen[],3,FALSE)*VLOOKUP($M767,Vloersoorten[],3,FALSE)*VLOOKUP($T767,Frequenties[],3,FALSE)*VLOOKUP($A767,Locaties[],3,FALSE),0)</f>
        <v>0</v>
      </c>
      <c r="W767" s="185">
        <f>Ruimtestaat[[#This Row],[Uitvoeringen werkdagen]]*Ruimtestaat[[#This Row],[Oppervlak (netto)]]</f>
        <v>3679.9999999999995</v>
      </c>
      <c r="X767" s="220">
        <f>IF(V767&gt;0,Ruimtestaat[[#This Row],[Prest. (m2 /jaar) werkdagen]]/Ruimtestaat[[#This Row],[Norm (m2/uur) werkdagen]],0)</f>
        <v>0</v>
      </c>
      <c r="Y767" s="221">
        <f>Ruimtestaat[[#This Row],[uren / jaar werkdagen]]*Tariefsopbouw!$D$38</f>
        <v>0</v>
      </c>
      <c r="Z767" s="33"/>
      <c r="AA767" s="33">
        <f>IF(Ruimtestaat[[#This Row],[Frequentie weekend]]&gt;0,VALUE(LEFT(Z767,1))*S767,0)</f>
        <v>0</v>
      </c>
      <c r="AB767" s="33">
        <f>IF($AA767&gt;0,VLOOKUP($K767,Ruimtegroepen[],3,FALSE)*VLOOKUP($M767,Vloersoorten[],3,FALSE)*VLOOKUP($Z767,Frequenties[],3,FALSE)*VLOOKUP(#REF!,Locaties[],3,FALSE),0)</f>
        <v>0</v>
      </c>
      <c r="AC767" s="33"/>
      <c r="AD767" s="33"/>
      <c r="AE767" s="33">
        <f>Ruimtestaat[[#This Row],[uren / jaar weekend]]*Tariefsopbouw!$D$40</f>
        <v>0</v>
      </c>
      <c r="AF767" s="79">
        <f>Ruimtestaat[[#This Row],[Prest. (m2 /jaar) weekend]]+Ruimtestaat[[#This Row],[Prest. (m2 /jaar) werkdagen]]</f>
        <v>3679.9999999999995</v>
      </c>
      <c r="AG767" s="79">
        <f>Ruimtestaat[[#This Row],[uren / jaar weekend]]+Ruimtestaat[[#This Row],[uren / jaar werkdagen]]</f>
        <v>0</v>
      </c>
      <c r="AH767" s="80">
        <f>Ruimtestaat[[#This Row],[kosten / jaar weekend]]+Ruimtestaat[[#This Row],[kosten / jaar werkdagen]]</f>
        <v>0</v>
      </c>
    </row>
    <row r="768" spans="1:34" ht="15" customHeight="1">
      <c r="A768" s="256">
        <v>11</v>
      </c>
      <c r="B768" s="171" t="str">
        <f>VLOOKUP(Ruimtestaat[[#This Row],[Code]],Locaties[#All],2,FALSE)</f>
        <v>De Bouwsteen / Het Fundament</v>
      </c>
      <c r="C768" s="258" t="str">
        <f>VLOOKUP(Ruimtestaat[[#This Row],[Code]],Locaties[#All],4,FALSE)</f>
        <v>Anna Reynvaanweg 50</v>
      </c>
      <c r="D768" s="258" t="str">
        <f>VLOOKUP(Ruimtestaat[[#This Row],[Code]],Locaties[#All],5,FALSE)</f>
        <v>7555SG</v>
      </c>
      <c r="E768" s="258" t="str">
        <f>VLOOKUP(Ruimtestaat[[#This Row],[Code]],Locaties[#All],6,FALSE)</f>
        <v>Hengelo</v>
      </c>
      <c r="F768" s="257"/>
      <c r="G768" s="257" t="s">
        <v>563</v>
      </c>
      <c r="H768" s="171"/>
      <c r="I768" s="257" t="s">
        <v>447</v>
      </c>
      <c r="J768" s="259" t="s">
        <v>593</v>
      </c>
      <c r="K768" s="258">
        <v>14</v>
      </c>
      <c r="L768" s="260" t="str">
        <f>VLOOKUP(Ruimtestaat[[#This Row],[Ruimte code]],Ruimtegroepen[#All],2,FALSE)</f>
        <v>Praktijklokalen</v>
      </c>
      <c r="M768" s="185" t="s">
        <v>598</v>
      </c>
      <c r="N768" s="257" t="s">
        <v>132</v>
      </c>
      <c r="O768" s="261">
        <v>78.400000000000006</v>
      </c>
      <c r="P768" s="183"/>
      <c r="Q768" s="212" t="str">
        <f>VLOOKUP(Ruimtestaat[[#This Row],[Ruimte code]],Ruimtegroepen[#All],4,FALSE)</f>
        <v>L  (Lesruimte)</v>
      </c>
      <c r="R768" s="184"/>
      <c r="S768" s="185">
        <v>40</v>
      </c>
      <c r="T768" s="185" t="s">
        <v>2</v>
      </c>
      <c r="U768" s="185">
        <f>IF(S768&gt;0,IF(RIGHT(Ruimtestaat[[#This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8" s="185">
        <f>IF(U768&gt;0,VLOOKUP($K768,Ruimtegroepen[],3,FALSE)*VLOOKUP($M768,Vloersoorten[],3,FALSE)*VLOOKUP($T768,Frequenties[],3,FALSE)*VLOOKUP($A768,Locaties[],3,FALSE),0)</f>
        <v>0</v>
      </c>
      <c r="W768" s="185">
        <f>Ruimtestaat[[#This Row],[Uitvoeringen werkdagen]]*Ruimtestaat[[#This Row],[Oppervlak (netto)]]</f>
        <v>15680.000000000002</v>
      </c>
      <c r="X768" s="220">
        <f>IF(V768&gt;0,Ruimtestaat[[#This Row],[Prest. (m2 /jaar) werkdagen]]/Ruimtestaat[[#This Row],[Norm (m2/uur) werkdagen]],0)</f>
        <v>0</v>
      </c>
      <c r="Y768" s="221">
        <f>Ruimtestaat[[#This Row],[uren / jaar werkdagen]]*Tariefsopbouw!$D$38</f>
        <v>0</v>
      </c>
      <c r="Z768" s="33"/>
      <c r="AA768" s="33">
        <f>IF(Ruimtestaat[[#This Row],[Frequentie weekend]]&gt;0,VALUE(LEFT(Z768,1))*S768,0)</f>
        <v>0</v>
      </c>
      <c r="AB768" s="33">
        <f>IF($AA768&gt;0,VLOOKUP($K768,Ruimtegroepen[],3,FALSE)*VLOOKUP($M768,Vloersoorten[],3,FALSE)*VLOOKUP($Z768,Frequenties[],3,FALSE)*VLOOKUP(#REF!,Locaties[],3,FALSE),0)</f>
        <v>0</v>
      </c>
      <c r="AC768" s="33"/>
      <c r="AD768" s="33"/>
      <c r="AE768" s="33">
        <f>Ruimtestaat[[#This Row],[uren / jaar weekend]]*Tariefsopbouw!$D$40</f>
        <v>0</v>
      </c>
      <c r="AF768" s="79">
        <f>Ruimtestaat[[#This Row],[Prest. (m2 /jaar) weekend]]+Ruimtestaat[[#This Row],[Prest. (m2 /jaar) werkdagen]]</f>
        <v>15680.000000000002</v>
      </c>
      <c r="AG768" s="79">
        <f>Ruimtestaat[[#This Row],[uren / jaar weekend]]+Ruimtestaat[[#This Row],[uren / jaar werkdagen]]</f>
        <v>0</v>
      </c>
      <c r="AH768" s="80">
        <f>Ruimtestaat[[#This Row],[kosten / jaar weekend]]+Ruimtestaat[[#This Row],[kosten / jaar werkdagen]]</f>
        <v>0</v>
      </c>
    </row>
    <row r="769" spans="1:34" ht="15" customHeight="1">
      <c r="A769" s="256">
        <v>11</v>
      </c>
      <c r="B769" s="171" t="str">
        <f>VLOOKUP(Ruimtestaat[[#This Row],[Code]],Locaties[#All],2,FALSE)</f>
        <v>De Bouwsteen / Het Fundament</v>
      </c>
      <c r="C769" s="258" t="str">
        <f>VLOOKUP(Ruimtestaat[[#This Row],[Code]],Locaties[#All],4,FALSE)</f>
        <v>Anna Reynvaanweg 50</v>
      </c>
      <c r="D769" s="258" t="str">
        <f>VLOOKUP(Ruimtestaat[[#This Row],[Code]],Locaties[#All],5,FALSE)</f>
        <v>7555SG</v>
      </c>
      <c r="E769" s="258" t="str">
        <f>VLOOKUP(Ruimtestaat[[#This Row],[Code]],Locaties[#All],6,FALSE)</f>
        <v>Hengelo</v>
      </c>
      <c r="F769" s="257"/>
      <c r="G769" s="257" t="s">
        <v>563</v>
      </c>
      <c r="H769" s="171"/>
      <c r="I769" s="257" t="s">
        <v>448</v>
      </c>
      <c r="J769" s="259" t="s">
        <v>565</v>
      </c>
      <c r="K769" s="258">
        <v>1</v>
      </c>
      <c r="L769" s="260" t="str">
        <f>VLOOKUP(Ruimtestaat[[#This Row],[Ruimte code]],Ruimtegroepen[#All],2,FALSE)</f>
        <v>Magazijnen/bergingen</v>
      </c>
      <c r="M769" s="212" t="s">
        <v>111</v>
      </c>
      <c r="N769" s="257" t="s">
        <v>595</v>
      </c>
      <c r="O769" s="261">
        <v>7.8</v>
      </c>
      <c r="P769" s="183"/>
      <c r="Q769" s="212" t="str">
        <f>VLOOKUP(Ruimtestaat[[#This Row],[Ruimte code]],Ruimtegroepen[#All],4,FALSE)</f>
        <v>V  (Verkeersruimte)</v>
      </c>
      <c r="R769" s="184"/>
      <c r="S769" s="185">
        <v>40</v>
      </c>
      <c r="T769" s="185" t="s">
        <v>16</v>
      </c>
      <c r="U769" s="185">
        <f>IF(S769&gt;0,IF(RIGHT(Ruimtestaat[[#This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769" s="185">
        <f>IF(U769&gt;0,VLOOKUP($K769,Ruimtegroepen[],3,FALSE)*VLOOKUP($M769,Vloersoorten[],3,FALSE)*VLOOKUP($T769,Frequenties[],3,FALSE)*VLOOKUP($A769,Locaties[],3,FALSE),0)</f>
        <v>0</v>
      </c>
      <c r="W769" s="185">
        <f>Ruimtestaat[[#This Row],[Uitvoeringen werkdagen]]*Ruimtestaat[[#This Row],[Oppervlak (netto)]]</f>
        <v>93.6</v>
      </c>
      <c r="X769" s="220">
        <f>IF(V769&gt;0,Ruimtestaat[[#This Row],[Prest. (m2 /jaar) werkdagen]]/Ruimtestaat[[#This Row],[Norm (m2/uur) werkdagen]],0)</f>
        <v>0</v>
      </c>
      <c r="Y769" s="221">
        <f>Ruimtestaat[[#This Row],[uren / jaar werkdagen]]*Tariefsopbouw!$D$38</f>
        <v>0</v>
      </c>
      <c r="Z769" s="33"/>
      <c r="AA769" s="33">
        <f>IF(Ruimtestaat[[#This Row],[Frequentie weekend]]&gt;0,VALUE(LEFT(Z769,1))*S769,0)</f>
        <v>0</v>
      </c>
      <c r="AB769" s="33">
        <f>IF($AA769&gt;0,VLOOKUP($K769,Ruimtegroepen[],3,FALSE)*VLOOKUP($M769,Vloersoorten[],3,FALSE)*VLOOKUP($Z769,Frequenties[],3,FALSE)*VLOOKUP(#REF!,Locaties[],3,FALSE),0)</f>
        <v>0</v>
      </c>
      <c r="AC769" s="33"/>
      <c r="AD769" s="33"/>
      <c r="AE769" s="33">
        <f>Ruimtestaat[[#This Row],[uren / jaar weekend]]*Tariefsopbouw!$D$40</f>
        <v>0</v>
      </c>
      <c r="AF769" s="79">
        <f>Ruimtestaat[[#This Row],[Prest. (m2 /jaar) weekend]]+Ruimtestaat[[#This Row],[Prest. (m2 /jaar) werkdagen]]</f>
        <v>93.6</v>
      </c>
      <c r="AG769" s="79">
        <f>Ruimtestaat[[#This Row],[uren / jaar weekend]]+Ruimtestaat[[#This Row],[uren / jaar werkdagen]]</f>
        <v>0</v>
      </c>
      <c r="AH769" s="80">
        <f>Ruimtestaat[[#This Row],[kosten / jaar weekend]]+Ruimtestaat[[#This Row],[kosten / jaar werkdagen]]</f>
        <v>0</v>
      </c>
    </row>
    <row r="770" spans="1:34" ht="15" customHeight="1">
      <c r="A770" s="256">
        <v>11</v>
      </c>
      <c r="B770" s="171" t="str">
        <f>VLOOKUP(Ruimtestaat[[#This Row],[Code]],Locaties[#All],2,FALSE)</f>
        <v>De Bouwsteen / Het Fundament</v>
      </c>
      <c r="C770" s="258" t="str">
        <f>VLOOKUP(Ruimtestaat[[#This Row],[Code]],Locaties[#All],4,FALSE)</f>
        <v>Anna Reynvaanweg 50</v>
      </c>
      <c r="D770" s="258" t="str">
        <f>VLOOKUP(Ruimtestaat[[#This Row],[Code]],Locaties[#All],5,FALSE)</f>
        <v>7555SG</v>
      </c>
      <c r="E770" s="258" t="str">
        <f>VLOOKUP(Ruimtestaat[[#This Row],[Code]],Locaties[#All],6,FALSE)</f>
        <v>Hengelo</v>
      </c>
      <c r="F770" s="257"/>
      <c r="G770" s="257" t="s">
        <v>563</v>
      </c>
      <c r="H770" s="171"/>
      <c r="I770" s="257" t="s">
        <v>449</v>
      </c>
      <c r="J770" s="259" t="s">
        <v>566</v>
      </c>
      <c r="K770" s="171">
        <v>1</v>
      </c>
      <c r="L770" s="260" t="str">
        <f>VLOOKUP(Ruimtestaat[[#This Row],[Ruimte code]],Ruimtegroepen[#All],2,FALSE)</f>
        <v>Magazijnen/bergingen</v>
      </c>
      <c r="M770" s="212" t="s">
        <v>111</v>
      </c>
      <c r="N770" s="257" t="s">
        <v>595</v>
      </c>
      <c r="O770" s="261">
        <v>7</v>
      </c>
      <c r="P770" s="183"/>
      <c r="Q770" s="212" t="str">
        <f>VLOOKUP(Ruimtestaat[[#This Row],[Ruimte code]],Ruimtegroepen[#All],4,FALSE)</f>
        <v>V  (Verkeersruimte)</v>
      </c>
      <c r="R770" s="184"/>
      <c r="S770" s="185">
        <v>40</v>
      </c>
      <c r="T770" s="185" t="s">
        <v>15</v>
      </c>
      <c r="U770" s="185">
        <f>IF(S770&gt;0,IF(RIGHT(Ruimtestaat[[#This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70" s="185">
        <f>IF(U770&gt;0,VLOOKUP($K770,Ruimtegroepen[],3,FALSE)*VLOOKUP($M770,Vloersoorten[],3,FALSE)*VLOOKUP($T770,Frequenties[],3,FALSE)*VLOOKUP($A770,Locaties[],3,FALSE),0)</f>
        <v>0</v>
      </c>
      <c r="W770" s="185">
        <f>Ruimtestaat[[#This Row],[Uitvoeringen werkdagen]]*Ruimtestaat[[#This Row],[Oppervlak (netto)]]</f>
        <v>280</v>
      </c>
      <c r="X770" s="220">
        <f>IF(V770&gt;0,Ruimtestaat[[#This Row],[Prest. (m2 /jaar) werkdagen]]/Ruimtestaat[[#This Row],[Norm (m2/uur) werkdagen]],0)</f>
        <v>0</v>
      </c>
      <c r="Y770" s="221">
        <f>Ruimtestaat[[#This Row],[uren / jaar werkdagen]]*Tariefsopbouw!$D$38</f>
        <v>0</v>
      </c>
      <c r="Z770" s="33"/>
      <c r="AA770" s="33">
        <f>IF(Ruimtestaat[[#This Row],[Frequentie weekend]]&gt;0,VALUE(LEFT(Z770,1))*S770,0)</f>
        <v>0</v>
      </c>
      <c r="AB770" s="33">
        <f>IF($AA770&gt;0,VLOOKUP($K770,Ruimtegroepen[],3,FALSE)*VLOOKUP($M770,Vloersoorten[],3,FALSE)*VLOOKUP($Z770,Frequenties[],3,FALSE)*VLOOKUP(#REF!,Locaties[],3,FALSE),0)</f>
        <v>0</v>
      </c>
      <c r="AC770" s="33"/>
      <c r="AD770" s="33"/>
      <c r="AE770" s="33">
        <f>Ruimtestaat[[#This Row],[uren / jaar weekend]]*Tariefsopbouw!$D$40</f>
        <v>0</v>
      </c>
      <c r="AF770" s="79">
        <f>Ruimtestaat[[#This Row],[Prest. (m2 /jaar) weekend]]+Ruimtestaat[[#This Row],[Prest. (m2 /jaar) werkdagen]]</f>
        <v>280</v>
      </c>
      <c r="AG770" s="79">
        <f>Ruimtestaat[[#This Row],[uren / jaar weekend]]+Ruimtestaat[[#This Row],[uren / jaar werkdagen]]</f>
        <v>0</v>
      </c>
      <c r="AH770" s="80">
        <f>Ruimtestaat[[#This Row],[kosten / jaar weekend]]+Ruimtestaat[[#This Row],[kosten / jaar werkdagen]]</f>
        <v>0</v>
      </c>
    </row>
    <row r="771" spans="1:34" ht="15" customHeight="1">
      <c r="A771" s="256">
        <v>11</v>
      </c>
      <c r="B771" s="171" t="str">
        <f>VLOOKUP(Ruimtestaat[[#This Row],[Code]],Locaties[#All],2,FALSE)</f>
        <v>De Bouwsteen / Het Fundament</v>
      </c>
      <c r="C771" s="258" t="str">
        <f>VLOOKUP(Ruimtestaat[[#This Row],[Code]],Locaties[#All],4,FALSE)</f>
        <v>Anna Reynvaanweg 50</v>
      </c>
      <c r="D771" s="258" t="str">
        <f>VLOOKUP(Ruimtestaat[[#This Row],[Code]],Locaties[#All],5,FALSE)</f>
        <v>7555SG</v>
      </c>
      <c r="E771" s="258" t="str">
        <f>VLOOKUP(Ruimtestaat[[#This Row],[Code]],Locaties[#All],6,FALSE)</f>
        <v>Hengelo</v>
      </c>
      <c r="F771" s="257"/>
      <c r="G771" s="257" t="s">
        <v>563</v>
      </c>
      <c r="H771" s="171"/>
      <c r="I771" s="257" t="s">
        <v>450</v>
      </c>
      <c r="J771" s="259" t="s">
        <v>567</v>
      </c>
      <c r="K771" s="258">
        <v>9</v>
      </c>
      <c r="L771" s="260" t="str">
        <f>VLOOKUP(Ruimtestaat[[#This Row],[Ruimte code]],Ruimtegroepen[#All],2,FALSE)</f>
        <v>Time-out ruimte</v>
      </c>
      <c r="M771" s="185" t="s">
        <v>598</v>
      </c>
      <c r="N771" s="257" t="s">
        <v>132</v>
      </c>
      <c r="O771" s="261">
        <v>7.2</v>
      </c>
      <c r="P771" s="183"/>
      <c r="Q771" s="212" t="str">
        <f>VLOOKUP(Ruimtestaat[[#This Row],[Ruimte code]],Ruimtegroepen[#All],4,FALSE)</f>
        <v>V  (Verkeersruimte)</v>
      </c>
      <c r="R771" s="184"/>
      <c r="S771" s="185">
        <v>40</v>
      </c>
      <c r="T771" s="185" t="s">
        <v>2</v>
      </c>
      <c r="U771" s="185">
        <f>IF(S771&gt;0,IF(RIGHT(Ruimtestaat[[#This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1" s="185">
        <f>IF(U771&gt;0,VLOOKUP($K771,Ruimtegroepen[],3,FALSE)*VLOOKUP($M771,Vloersoorten[],3,FALSE)*VLOOKUP($T771,Frequenties[],3,FALSE)*VLOOKUP($A771,Locaties[],3,FALSE),0)</f>
        <v>0</v>
      </c>
      <c r="W771" s="185">
        <f>Ruimtestaat[[#This Row],[Uitvoeringen werkdagen]]*Ruimtestaat[[#This Row],[Oppervlak (netto)]]</f>
        <v>1440</v>
      </c>
      <c r="X771" s="220">
        <f>IF(V771&gt;0,Ruimtestaat[[#This Row],[Prest. (m2 /jaar) werkdagen]]/Ruimtestaat[[#This Row],[Norm (m2/uur) werkdagen]],0)</f>
        <v>0</v>
      </c>
      <c r="Y771" s="221">
        <f>Ruimtestaat[[#This Row],[uren / jaar werkdagen]]*Tariefsopbouw!$D$38</f>
        <v>0</v>
      </c>
      <c r="Z771" s="33"/>
      <c r="AA771" s="33">
        <f>IF(Ruimtestaat[[#This Row],[Frequentie weekend]]&gt;0,VALUE(LEFT(Z771,1))*S771,0)</f>
        <v>0</v>
      </c>
      <c r="AB771" s="33">
        <f>IF($AA771&gt;0,VLOOKUP($K771,Ruimtegroepen[],3,FALSE)*VLOOKUP($M771,Vloersoorten[],3,FALSE)*VLOOKUP($Z771,Frequenties[],3,FALSE)*VLOOKUP(#REF!,Locaties[],3,FALSE),0)</f>
        <v>0</v>
      </c>
      <c r="AC771" s="33"/>
      <c r="AD771" s="33"/>
      <c r="AE771" s="33">
        <f>Ruimtestaat[[#This Row],[uren / jaar weekend]]*Tariefsopbouw!$D$40</f>
        <v>0</v>
      </c>
      <c r="AF771" s="79">
        <f>Ruimtestaat[[#This Row],[Prest. (m2 /jaar) weekend]]+Ruimtestaat[[#This Row],[Prest. (m2 /jaar) werkdagen]]</f>
        <v>1440</v>
      </c>
      <c r="AG771" s="79">
        <f>Ruimtestaat[[#This Row],[uren / jaar weekend]]+Ruimtestaat[[#This Row],[uren / jaar werkdagen]]</f>
        <v>0</v>
      </c>
      <c r="AH771" s="80">
        <f>Ruimtestaat[[#This Row],[kosten / jaar weekend]]+Ruimtestaat[[#This Row],[kosten / jaar werkdagen]]</f>
        <v>0</v>
      </c>
    </row>
    <row r="772" spans="1:34" ht="15" customHeight="1">
      <c r="A772" s="256">
        <v>11</v>
      </c>
      <c r="B772" s="171" t="str">
        <f>VLOOKUP(Ruimtestaat[[#This Row],[Code]],Locaties[#All],2,FALSE)</f>
        <v>De Bouwsteen / Het Fundament</v>
      </c>
      <c r="C772" s="258" t="str">
        <f>VLOOKUP(Ruimtestaat[[#This Row],[Code]],Locaties[#All],4,FALSE)</f>
        <v>Anna Reynvaanweg 50</v>
      </c>
      <c r="D772" s="258" t="str">
        <f>VLOOKUP(Ruimtestaat[[#This Row],[Code]],Locaties[#All],5,FALSE)</f>
        <v>7555SG</v>
      </c>
      <c r="E772" s="258" t="str">
        <f>VLOOKUP(Ruimtestaat[[#This Row],[Code]],Locaties[#All],6,FALSE)</f>
        <v>Hengelo</v>
      </c>
      <c r="F772" s="257"/>
      <c r="G772" s="257" t="s">
        <v>563</v>
      </c>
      <c r="H772" s="171"/>
      <c r="I772" s="257" t="s">
        <v>451</v>
      </c>
      <c r="J772" s="259" t="s">
        <v>568</v>
      </c>
      <c r="K772" s="171">
        <v>6</v>
      </c>
      <c r="L772" s="260" t="str">
        <f>VLOOKUP(Ruimtestaat[[#This Row],[Ruimte code]],Ruimtegroepen[#All],2,FALSE)</f>
        <v>Gangen/hallen</v>
      </c>
      <c r="M772" s="212" t="s">
        <v>111</v>
      </c>
      <c r="N772" s="257" t="s">
        <v>595</v>
      </c>
      <c r="O772" s="261">
        <v>2</v>
      </c>
      <c r="P772" s="183"/>
      <c r="Q772" s="212" t="str">
        <f>VLOOKUP(Ruimtestaat[[#This Row],[Ruimte code]],Ruimtegroepen[#All],4,FALSE)</f>
        <v>V  (Verkeersruimte)</v>
      </c>
      <c r="R772" s="184"/>
      <c r="S772" s="185">
        <v>40</v>
      </c>
      <c r="T772" s="185" t="s">
        <v>2</v>
      </c>
      <c r="U772" s="185">
        <f>IF(S772&gt;0,IF(RIGHT(Ruimtestaat[[#This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2" s="185">
        <f>IF(U772&gt;0,VLOOKUP($K772,Ruimtegroepen[],3,FALSE)*VLOOKUP($M772,Vloersoorten[],3,FALSE)*VLOOKUP($T772,Frequenties[],3,FALSE)*VLOOKUP($A772,Locaties[],3,FALSE),0)</f>
        <v>0</v>
      </c>
      <c r="W772" s="185">
        <f>Ruimtestaat[[#This Row],[Uitvoeringen werkdagen]]*Ruimtestaat[[#This Row],[Oppervlak (netto)]]</f>
        <v>400</v>
      </c>
      <c r="X772" s="220">
        <f>IF(V772&gt;0,Ruimtestaat[[#This Row],[Prest. (m2 /jaar) werkdagen]]/Ruimtestaat[[#This Row],[Norm (m2/uur) werkdagen]],0)</f>
        <v>0</v>
      </c>
      <c r="Y772" s="221">
        <f>Ruimtestaat[[#This Row],[uren / jaar werkdagen]]*Tariefsopbouw!$D$38</f>
        <v>0</v>
      </c>
      <c r="Z772" s="33"/>
      <c r="AA772" s="33">
        <f>IF(Ruimtestaat[[#This Row],[Frequentie weekend]]&gt;0,VALUE(LEFT(Z772,1))*S772,0)</f>
        <v>0</v>
      </c>
      <c r="AB772" s="33">
        <f>IF($AA772&gt;0,VLOOKUP($K772,Ruimtegroepen[],3,FALSE)*VLOOKUP($M772,Vloersoorten[],3,FALSE)*VLOOKUP($Z772,Frequenties[],3,FALSE)*VLOOKUP(#REF!,Locaties[],3,FALSE),0)</f>
        <v>0</v>
      </c>
      <c r="AC772" s="33"/>
      <c r="AD772" s="33"/>
      <c r="AE772" s="33">
        <f>Ruimtestaat[[#This Row],[uren / jaar weekend]]*Tariefsopbouw!$D$40</f>
        <v>0</v>
      </c>
      <c r="AF772" s="79">
        <f>Ruimtestaat[[#This Row],[Prest. (m2 /jaar) weekend]]+Ruimtestaat[[#This Row],[Prest. (m2 /jaar) werkdagen]]</f>
        <v>400</v>
      </c>
      <c r="AG772" s="79">
        <f>Ruimtestaat[[#This Row],[uren / jaar weekend]]+Ruimtestaat[[#This Row],[uren / jaar werkdagen]]</f>
        <v>0</v>
      </c>
      <c r="AH772" s="80">
        <f>Ruimtestaat[[#This Row],[kosten / jaar weekend]]+Ruimtestaat[[#This Row],[kosten / jaar werkdagen]]</f>
        <v>0</v>
      </c>
    </row>
    <row r="773" spans="1:34" ht="15" customHeight="1">
      <c r="A773" s="256">
        <v>11</v>
      </c>
      <c r="B773" s="171" t="str">
        <f>VLOOKUP(Ruimtestaat[[#This Row],[Code]],Locaties[#All],2,FALSE)</f>
        <v>De Bouwsteen / Het Fundament</v>
      </c>
      <c r="C773" s="258" t="str">
        <f>VLOOKUP(Ruimtestaat[[#This Row],[Code]],Locaties[#All],4,FALSE)</f>
        <v>Anna Reynvaanweg 50</v>
      </c>
      <c r="D773" s="258" t="str">
        <f>VLOOKUP(Ruimtestaat[[#This Row],[Code]],Locaties[#All],5,FALSE)</f>
        <v>7555SG</v>
      </c>
      <c r="E773" s="258" t="str">
        <f>VLOOKUP(Ruimtestaat[[#This Row],[Code]],Locaties[#All],6,FALSE)</f>
        <v>Hengelo</v>
      </c>
      <c r="F773" s="257"/>
      <c r="G773" s="257" t="s">
        <v>563</v>
      </c>
      <c r="H773" s="171"/>
      <c r="I773" s="257" t="s">
        <v>452</v>
      </c>
      <c r="J773" s="259" t="s">
        <v>569</v>
      </c>
      <c r="K773" s="185">
        <v>5</v>
      </c>
      <c r="L773" s="260" t="str">
        <f>VLOOKUP(Ruimtestaat[[#This Row],[Ruimte code]],Ruimtegroepen[#All],2,FALSE)</f>
        <v>Sanitair</v>
      </c>
      <c r="M773" s="212" t="s">
        <v>111</v>
      </c>
      <c r="N773" s="257" t="s">
        <v>595</v>
      </c>
      <c r="O773" s="261">
        <v>1.7</v>
      </c>
      <c r="P773" s="183"/>
      <c r="Q773" s="212" t="str">
        <f>VLOOKUP(Ruimtestaat[[#This Row],[Ruimte code]],Ruimtegroepen[#All],4,FALSE)</f>
        <v>S  (Sanitair)</v>
      </c>
      <c r="R773" s="184"/>
      <c r="S773" s="185">
        <v>40</v>
      </c>
      <c r="T773" s="185" t="s">
        <v>2</v>
      </c>
      <c r="U773" s="185">
        <f>IF(S773&gt;0,IF(RIGHT(Ruimtestaat[[#This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3" s="185">
        <f>IF(U773&gt;0,VLOOKUP($K773,Ruimtegroepen[],3,FALSE)*VLOOKUP($M773,Vloersoorten[],3,FALSE)*VLOOKUP($T773,Frequenties[],3,FALSE)*VLOOKUP($A773,Locaties[],3,FALSE),0)</f>
        <v>0</v>
      </c>
      <c r="W773" s="185">
        <f>Ruimtestaat[[#This Row],[Uitvoeringen werkdagen]]*Ruimtestaat[[#This Row],[Oppervlak (netto)]]</f>
        <v>340</v>
      </c>
      <c r="X773" s="220">
        <f>IF(V773&gt;0,Ruimtestaat[[#This Row],[Prest. (m2 /jaar) werkdagen]]/Ruimtestaat[[#This Row],[Norm (m2/uur) werkdagen]],0)</f>
        <v>0</v>
      </c>
      <c r="Y773" s="221">
        <f>Ruimtestaat[[#This Row],[uren / jaar werkdagen]]*Tariefsopbouw!$D$38</f>
        <v>0</v>
      </c>
      <c r="Z773" s="33"/>
      <c r="AA773" s="33">
        <f>IF(Ruimtestaat[[#This Row],[Frequentie weekend]]&gt;0,VALUE(LEFT(Z773,1))*S773,0)</f>
        <v>0</v>
      </c>
      <c r="AB773" s="33">
        <f>IF($AA773&gt;0,VLOOKUP($K773,Ruimtegroepen[],3,FALSE)*VLOOKUP($M773,Vloersoorten[],3,FALSE)*VLOOKUP($Z773,Frequenties[],3,FALSE)*VLOOKUP(#REF!,Locaties[],3,FALSE),0)</f>
        <v>0</v>
      </c>
      <c r="AC773" s="33"/>
      <c r="AD773" s="33"/>
      <c r="AE773" s="33">
        <f>Ruimtestaat[[#This Row],[uren / jaar weekend]]*Tariefsopbouw!$D$40</f>
        <v>0</v>
      </c>
      <c r="AF773" s="79">
        <f>Ruimtestaat[[#This Row],[Prest. (m2 /jaar) weekend]]+Ruimtestaat[[#This Row],[Prest. (m2 /jaar) werkdagen]]</f>
        <v>340</v>
      </c>
      <c r="AG773" s="79">
        <f>Ruimtestaat[[#This Row],[uren / jaar weekend]]+Ruimtestaat[[#This Row],[uren / jaar werkdagen]]</f>
        <v>0</v>
      </c>
      <c r="AH773" s="80">
        <f>Ruimtestaat[[#This Row],[kosten / jaar weekend]]+Ruimtestaat[[#This Row],[kosten / jaar werkdagen]]</f>
        <v>0</v>
      </c>
    </row>
    <row r="774" spans="1:34" ht="15" customHeight="1">
      <c r="A774" s="256">
        <v>11</v>
      </c>
      <c r="B774" s="171" t="str">
        <f>VLOOKUP(Ruimtestaat[[#This Row],[Code]],Locaties[#All],2,FALSE)</f>
        <v>De Bouwsteen / Het Fundament</v>
      </c>
      <c r="C774" s="258" t="str">
        <f>VLOOKUP(Ruimtestaat[[#This Row],[Code]],Locaties[#All],4,FALSE)</f>
        <v>Anna Reynvaanweg 50</v>
      </c>
      <c r="D774" s="258" t="str">
        <f>VLOOKUP(Ruimtestaat[[#This Row],[Code]],Locaties[#All],5,FALSE)</f>
        <v>7555SG</v>
      </c>
      <c r="E774" s="258" t="str">
        <f>VLOOKUP(Ruimtestaat[[#This Row],[Code]],Locaties[#All],6,FALSE)</f>
        <v>Hengelo</v>
      </c>
      <c r="F774" s="257"/>
      <c r="G774" s="257" t="s">
        <v>563</v>
      </c>
      <c r="H774" s="171"/>
      <c r="I774" s="257" t="s">
        <v>453</v>
      </c>
      <c r="J774" s="259" t="s">
        <v>570</v>
      </c>
      <c r="K774" s="171">
        <v>4</v>
      </c>
      <c r="L774" s="260" t="str">
        <f>VLOOKUP(Ruimtestaat[[#This Row],[Ruimte code]],Ruimtegroepen[#All],2,FALSE)</f>
        <v>Vergader/spreekkamers</v>
      </c>
      <c r="M774" s="258" t="s">
        <v>598</v>
      </c>
      <c r="N774" s="257" t="s">
        <v>132</v>
      </c>
      <c r="O774" s="261">
        <v>24.5</v>
      </c>
      <c r="P774" s="183"/>
      <c r="Q774" s="212" t="str">
        <f>VLOOKUP(Ruimtestaat[[#This Row],[Ruimte code]],Ruimtegroepen[#All],4,FALSE)</f>
        <v>B  (Bureauruimte)</v>
      </c>
      <c r="R774" s="184"/>
      <c r="S774" s="185">
        <v>40</v>
      </c>
      <c r="T774" s="185" t="s">
        <v>18</v>
      </c>
      <c r="U774" s="185">
        <f>IF(S774&gt;0,IF(RIGHT(Ruimtestaat[[#This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74" s="185">
        <f>IF(U774&gt;0,VLOOKUP($K774,Ruimtegroepen[],3,FALSE)*VLOOKUP($M774,Vloersoorten[],3,FALSE)*VLOOKUP($T774,Frequenties[],3,FALSE)*VLOOKUP($A774,Locaties[],3,FALSE),0)</f>
        <v>0</v>
      </c>
      <c r="W774" s="185">
        <f>Ruimtestaat[[#This Row],[Uitvoeringen werkdagen]]*Ruimtestaat[[#This Row],[Oppervlak (netto)]]</f>
        <v>2940</v>
      </c>
      <c r="X774" s="220">
        <f>IF(V774&gt;0,Ruimtestaat[[#This Row],[Prest. (m2 /jaar) werkdagen]]/Ruimtestaat[[#This Row],[Norm (m2/uur) werkdagen]],0)</f>
        <v>0</v>
      </c>
      <c r="Y774" s="221">
        <f>Ruimtestaat[[#This Row],[uren / jaar werkdagen]]*Tariefsopbouw!$D$38</f>
        <v>0</v>
      </c>
      <c r="Z774" s="33"/>
      <c r="AA774" s="33">
        <f>IF(Ruimtestaat[[#This Row],[Frequentie weekend]]&gt;0,VALUE(LEFT(Z774,1))*S774,0)</f>
        <v>0</v>
      </c>
      <c r="AB774" s="33">
        <f>IF($AA774&gt;0,VLOOKUP($K774,Ruimtegroepen[],3,FALSE)*VLOOKUP($M774,Vloersoorten[],3,FALSE)*VLOOKUP($Z774,Frequenties[],3,FALSE)*VLOOKUP(#REF!,Locaties[],3,FALSE),0)</f>
        <v>0</v>
      </c>
      <c r="AC774" s="33"/>
      <c r="AD774" s="33"/>
      <c r="AE774" s="33">
        <f>Ruimtestaat[[#This Row],[uren / jaar weekend]]*Tariefsopbouw!$D$40</f>
        <v>0</v>
      </c>
      <c r="AF774" s="79">
        <f>Ruimtestaat[[#This Row],[Prest. (m2 /jaar) weekend]]+Ruimtestaat[[#This Row],[Prest. (m2 /jaar) werkdagen]]</f>
        <v>2940</v>
      </c>
      <c r="AG774" s="79">
        <f>Ruimtestaat[[#This Row],[uren / jaar weekend]]+Ruimtestaat[[#This Row],[uren / jaar werkdagen]]</f>
        <v>0</v>
      </c>
      <c r="AH774" s="80">
        <f>Ruimtestaat[[#This Row],[kosten / jaar weekend]]+Ruimtestaat[[#This Row],[kosten / jaar werkdagen]]</f>
        <v>0</v>
      </c>
    </row>
    <row r="775" spans="1:34" ht="15" customHeight="1">
      <c r="A775" s="256">
        <v>11</v>
      </c>
      <c r="B775" s="171" t="str">
        <f>VLOOKUP(Ruimtestaat[[#This Row],[Code]],Locaties[#All],2,FALSE)</f>
        <v>De Bouwsteen / Het Fundament</v>
      </c>
      <c r="C775" s="258" t="str">
        <f>VLOOKUP(Ruimtestaat[[#This Row],[Code]],Locaties[#All],4,FALSE)</f>
        <v>Anna Reynvaanweg 50</v>
      </c>
      <c r="D775" s="258" t="str">
        <f>VLOOKUP(Ruimtestaat[[#This Row],[Code]],Locaties[#All],5,FALSE)</f>
        <v>7555SG</v>
      </c>
      <c r="E775" s="258" t="str">
        <f>VLOOKUP(Ruimtestaat[[#This Row],[Code]],Locaties[#All],6,FALSE)</f>
        <v>Hengelo</v>
      </c>
      <c r="F775" s="257"/>
      <c r="G775" s="257" t="s">
        <v>563</v>
      </c>
      <c r="H775" s="171"/>
      <c r="I775" s="257" t="s">
        <v>454</v>
      </c>
      <c r="J775" s="259" t="s">
        <v>571</v>
      </c>
      <c r="K775" s="258">
        <v>2</v>
      </c>
      <c r="L775" s="260" t="str">
        <f>VLOOKUP(Ruimtestaat[[#This Row],[Ruimte code]],Ruimtegroepen[#All],2,FALSE)</f>
        <v>Kantoren</v>
      </c>
      <c r="M775" s="185" t="s">
        <v>597</v>
      </c>
      <c r="N775" s="257" t="s">
        <v>38</v>
      </c>
      <c r="O775" s="261">
        <v>20.8</v>
      </c>
      <c r="P775" s="183"/>
      <c r="Q775" s="212" t="str">
        <f>VLOOKUP(Ruimtestaat[[#This Row],[Ruimte code]],Ruimtegroepen[#All],4,FALSE)</f>
        <v>B  (Bureauruimte)</v>
      </c>
      <c r="R775" s="184"/>
      <c r="S775" s="185">
        <v>40</v>
      </c>
      <c r="T775" s="185" t="s">
        <v>18</v>
      </c>
      <c r="U775" s="185">
        <f>IF(S775&gt;0,IF(RIGHT(Ruimtestaat[[#This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75" s="185">
        <f>IF(U775&gt;0,VLOOKUP($K775,Ruimtegroepen[],3,FALSE)*VLOOKUP($M775,Vloersoorten[],3,FALSE)*VLOOKUP($T775,Frequenties[],3,FALSE)*VLOOKUP($A775,Locaties[],3,FALSE),0)</f>
        <v>0</v>
      </c>
      <c r="W775" s="185">
        <f>Ruimtestaat[[#This Row],[Uitvoeringen werkdagen]]*Ruimtestaat[[#This Row],[Oppervlak (netto)]]</f>
        <v>2496</v>
      </c>
      <c r="X775" s="220">
        <f>IF(V775&gt;0,Ruimtestaat[[#This Row],[Prest. (m2 /jaar) werkdagen]]/Ruimtestaat[[#This Row],[Norm (m2/uur) werkdagen]],0)</f>
        <v>0</v>
      </c>
      <c r="Y775" s="221">
        <f>Ruimtestaat[[#This Row],[uren / jaar werkdagen]]*Tariefsopbouw!$D$38</f>
        <v>0</v>
      </c>
      <c r="Z775" s="33"/>
      <c r="AA775" s="33">
        <f>IF(Ruimtestaat[[#This Row],[Frequentie weekend]]&gt;0,VALUE(LEFT(Z775,1))*S775,0)</f>
        <v>0</v>
      </c>
      <c r="AB775" s="33">
        <f>IF($AA775&gt;0,VLOOKUP($K775,Ruimtegroepen[],3,FALSE)*VLOOKUP($M775,Vloersoorten[],3,FALSE)*VLOOKUP($Z775,Frequenties[],3,FALSE)*VLOOKUP(#REF!,Locaties[],3,FALSE),0)</f>
        <v>0</v>
      </c>
      <c r="AC775" s="33"/>
      <c r="AD775" s="33"/>
      <c r="AE775" s="33">
        <f>Ruimtestaat[[#This Row],[uren / jaar weekend]]*Tariefsopbouw!$D$40</f>
        <v>0</v>
      </c>
      <c r="AF775" s="79">
        <f>Ruimtestaat[[#This Row],[Prest. (m2 /jaar) weekend]]+Ruimtestaat[[#This Row],[Prest. (m2 /jaar) werkdagen]]</f>
        <v>2496</v>
      </c>
      <c r="AG775" s="79">
        <f>Ruimtestaat[[#This Row],[uren / jaar weekend]]+Ruimtestaat[[#This Row],[uren / jaar werkdagen]]</f>
        <v>0</v>
      </c>
      <c r="AH775" s="80">
        <f>Ruimtestaat[[#This Row],[kosten / jaar weekend]]+Ruimtestaat[[#This Row],[kosten / jaar werkdagen]]</f>
        <v>0</v>
      </c>
    </row>
    <row r="776" spans="1:34" ht="15" customHeight="1">
      <c r="A776" s="256">
        <v>11</v>
      </c>
      <c r="B776" s="171" t="str">
        <f>VLOOKUP(Ruimtestaat[[#This Row],[Code]],Locaties[#All],2,FALSE)</f>
        <v>De Bouwsteen / Het Fundament</v>
      </c>
      <c r="C776" s="258" t="str">
        <f>VLOOKUP(Ruimtestaat[[#This Row],[Code]],Locaties[#All],4,FALSE)</f>
        <v>Anna Reynvaanweg 50</v>
      </c>
      <c r="D776" s="258" t="str">
        <f>VLOOKUP(Ruimtestaat[[#This Row],[Code]],Locaties[#All],5,FALSE)</f>
        <v>7555SG</v>
      </c>
      <c r="E776" s="258" t="str">
        <f>VLOOKUP(Ruimtestaat[[#This Row],[Code]],Locaties[#All],6,FALSE)</f>
        <v>Hengelo</v>
      </c>
      <c r="F776" s="257"/>
      <c r="G776" s="257" t="s">
        <v>563</v>
      </c>
      <c r="H776" s="171"/>
      <c r="I776" s="257" t="s">
        <v>455</v>
      </c>
      <c r="J776" s="259" t="s">
        <v>572</v>
      </c>
      <c r="K776" s="171">
        <v>2</v>
      </c>
      <c r="L776" s="260" t="str">
        <f>VLOOKUP(Ruimtestaat[[#This Row],[Ruimte code]],Ruimtegroepen[#All],2,FALSE)</f>
        <v>Kantoren</v>
      </c>
      <c r="M776" s="258" t="s">
        <v>597</v>
      </c>
      <c r="N776" s="257" t="s">
        <v>38</v>
      </c>
      <c r="O776" s="261">
        <v>15.6</v>
      </c>
      <c r="P776" s="183"/>
      <c r="Q776" s="212" t="str">
        <f>VLOOKUP(Ruimtestaat[[#This Row],[Ruimte code]],Ruimtegroepen[#All],4,FALSE)</f>
        <v>B  (Bureauruimte)</v>
      </c>
      <c r="R776" s="184"/>
      <c r="S776" s="185">
        <v>40</v>
      </c>
      <c r="T776" s="185" t="s">
        <v>2</v>
      </c>
      <c r="U776" s="185">
        <f>IF(S776&gt;0,IF(RIGHT(Ruimtestaat[[#This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6" s="185">
        <f>IF(U776&gt;0,VLOOKUP($K776,Ruimtegroepen[],3,FALSE)*VLOOKUP($M776,Vloersoorten[],3,FALSE)*VLOOKUP($T776,Frequenties[],3,FALSE)*VLOOKUP($A776,Locaties[],3,FALSE),0)</f>
        <v>0</v>
      </c>
      <c r="W776" s="185">
        <f>Ruimtestaat[[#This Row],[Uitvoeringen werkdagen]]*Ruimtestaat[[#This Row],[Oppervlak (netto)]]</f>
        <v>3120</v>
      </c>
      <c r="X776" s="220">
        <f>IF(V776&gt;0,Ruimtestaat[[#This Row],[Prest. (m2 /jaar) werkdagen]]/Ruimtestaat[[#This Row],[Norm (m2/uur) werkdagen]],0)</f>
        <v>0</v>
      </c>
      <c r="Y776" s="221">
        <f>Ruimtestaat[[#This Row],[uren / jaar werkdagen]]*Tariefsopbouw!$D$38</f>
        <v>0</v>
      </c>
      <c r="Z776" s="33"/>
      <c r="AA776" s="33">
        <f>IF(Ruimtestaat[[#This Row],[Frequentie weekend]]&gt;0,VALUE(LEFT(Z776,1))*S776,0)</f>
        <v>0</v>
      </c>
      <c r="AB776" s="33">
        <f>IF($AA776&gt;0,VLOOKUP($K776,Ruimtegroepen[],3,FALSE)*VLOOKUP($M776,Vloersoorten[],3,FALSE)*VLOOKUP($Z776,Frequenties[],3,FALSE)*VLOOKUP(#REF!,Locaties[],3,FALSE),0)</f>
        <v>0</v>
      </c>
      <c r="AC776" s="33"/>
      <c r="AD776" s="33"/>
      <c r="AE776" s="33">
        <f>Ruimtestaat[[#This Row],[uren / jaar weekend]]*Tariefsopbouw!$D$40</f>
        <v>0</v>
      </c>
      <c r="AF776" s="79">
        <f>Ruimtestaat[[#This Row],[Prest. (m2 /jaar) weekend]]+Ruimtestaat[[#This Row],[Prest. (m2 /jaar) werkdagen]]</f>
        <v>3120</v>
      </c>
      <c r="AG776" s="79">
        <f>Ruimtestaat[[#This Row],[uren / jaar weekend]]+Ruimtestaat[[#This Row],[uren / jaar werkdagen]]</f>
        <v>0</v>
      </c>
      <c r="AH776" s="80">
        <f>Ruimtestaat[[#This Row],[kosten / jaar weekend]]+Ruimtestaat[[#This Row],[kosten / jaar werkdagen]]</f>
        <v>0</v>
      </c>
    </row>
    <row r="777" spans="1:34" ht="15" customHeight="1">
      <c r="A777" s="256">
        <v>11</v>
      </c>
      <c r="B777" s="171" t="str">
        <f>VLOOKUP(Ruimtestaat[[#This Row],[Code]],Locaties[#All],2,FALSE)</f>
        <v>De Bouwsteen / Het Fundament</v>
      </c>
      <c r="C777" s="258" t="str">
        <f>VLOOKUP(Ruimtestaat[[#This Row],[Code]],Locaties[#All],4,FALSE)</f>
        <v>Anna Reynvaanweg 50</v>
      </c>
      <c r="D777" s="258" t="str">
        <f>VLOOKUP(Ruimtestaat[[#This Row],[Code]],Locaties[#All],5,FALSE)</f>
        <v>7555SG</v>
      </c>
      <c r="E777" s="258" t="str">
        <f>VLOOKUP(Ruimtestaat[[#This Row],[Code]],Locaties[#All],6,FALSE)</f>
        <v>Hengelo</v>
      </c>
      <c r="F777" s="257"/>
      <c r="G777" s="257" t="s">
        <v>563</v>
      </c>
      <c r="H777" s="171"/>
      <c r="I777" s="257" t="s">
        <v>456</v>
      </c>
      <c r="J777" s="259" t="s">
        <v>573</v>
      </c>
      <c r="K777" s="258">
        <v>20</v>
      </c>
      <c r="L777" s="260" t="str">
        <f>VLOOKUP(Ruimtestaat[[#This Row],[Ruimte code]],Ruimtegroepen[#All],2,FALSE)</f>
        <v>Niet in onderhoud</v>
      </c>
      <c r="M777" s="212" t="s">
        <v>111</v>
      </c>
      <c r="N777" s="257" t="s">
        <v>128</v>
      </c>
      <c r="O777" s="261"/>
      <c r="P777" s="183">
        <v>8.1999999999999993</v>
      </c>
      <c r="Q777" s="212" t="str">
        <f>VLOOKUP(Ruimtestaat[[#This Row],[Ruimte code]],Ruimtegroepen[#All],4,FALSE)</f>
        <v>niet in onderhoud</v>
      </c>
      <c r="R777" s="184"/>
      <c r="S777" s="185"/>
      <c r="T777" s="185" t="s">
        <v>3</v>
      </c>
      <c r="U777" s="185">
        <f>IF(S777&gt;0,IF(RIGHT(Ruimtestaat[[#This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77" s="185">
        <f>IF(U777&gt;0,VLOOKUP($K777,Ruimtegroepen[],3,FALSE)*VLOOKUP($M777,Vloersoorten[],3,FALSE)*VLOOKUP($T777,Frequenties[],3,FALSE)*VLOOKUP($A777,Locaties[],3,FALSE),0)</f>
        <v>0</v>
      </c>
      <c r="W777" s="185">
        <f>Ruimtestaat[[#This Row],[Uitvoeringen werkdagen]]*Ruimtestaat[[#This Row],[Oppervlak (netto)]]</f>
        <v>0</v>
      </c>
      <c r="X777" s="220">
        <f>IF(V777&gt;0,Ruimtestaat[[#This Row],[Prest. (m2 /jaar) werkdagen]]/Ruimtestaat[[#This Row],[Norm (m2/uur) werkdagen]],0)</f>
        <v>0</v>
      </c>
      <c r="Y777" s="221">
        <f>Ruimtestaat[[#This Row],[uren / jaar werkdagen]]*Tariefsopbouw!$D$38</f>
        <v>0</v>
      </c>
      <c r="Z777" s="33"/>
      <c r="AA777" s="33">
        <f>IF(Ruimtestaat[[#This Row],[Frequentie weekend]]&gt;0,VALUE(LEFT(Z777,1))*S777,0)</f>
        <v>0</v>
      </c>
      <c r="AB777" s="33">
        <f>IF($AA777&gt;0,VLOOKUP($K777,Ruimtegroepen[],3,FALSE)*VLOOKUP($M777,Vloersoorten[],3,FALSE)*VLOOKUP($Z777,Frequenties[],3,FALSE)*VLOOKUP(#REF!,Locaties[],3,FALSE),0)</f>
        <v>0</v>
      </c>
      <c r="AC777" s="33"/>
      <c r="AD777" s="33"/>
      <c r="AE777" s="33">
        <f>Ruimtestaat[[#This Row],[uren / jaar weekend]]*Tariefsopbouw!$D$40</f>
        <v>0</v>
      </c>
      <c r="AF777" s="79">
        <f>Ruimtestaat[[#This Row],[Prest. (m2 /jaar) weekend]]+Ruimtestaat[[#This Row],[Prest. (m2 /jaar) werkdagen]]</f>
        <v>0</v>
      </c>
      <c r="AG777" s="79">
        <f>Ruimtestaat[[#This Row],[uren / jaar weekend]]+Ruimtestaat[[#This Row],[uren / jaar werkdagen]]</f>
        <v>0</v>
      </c>
      <c r="AH777" s="80">
        <f>Ruimtestaat[[#This Row],[kosten / jaar weekend]]+Ruimtestaat[[#This Row],[kosten / jaar werkdagen]]</f>
        <v>0</v>
      </c>
    </row>
    <row r="778" spans="1:34" ht="15" customHeight="1">
      <c r="A778" s="256">
        <v>11</v>
      </c>
      <c r="B778" s="171" t="str">
        <f>VLOOKUP(Ruimtestaat[[#This Row],[Code]],Locaties[#All],2,FALSE)</f>
        <v>De Bouwsteen / Het Fundament</v>
      </c>
      <c r="C778" s="258" t="str">
        <f>VLOOKUP(Ruimtestaat[[#This Row],[Code]],Locaties[#All],4,FALSE)</f>
        <v>Anna Reynvaanweg 50</v>
      </c>
      <c r="D778" s="258" t="str">
        <f>VLOOKUP(Ruimtestaat[[#This Row],[Code]],Locaties[#All],5,FALSE)</f>
        <v>7555SG</v>
      </c>
      <c r="E778" s="258" t="str">
        <f>VLOOKUP(Ruimtestaat[[#This Row],[Code]],Locaties[#All],6,FALSE)</f>
        <v>Hengelo</v>
      </c>
      <c r="F778" s="257"/>
      <c r="G778" s="257" t="s">
        <v>563</v>
      </c>
      <c r="H778" s="171"/>
      <c r="I778" s="257" t="s">
        <v>457</v>
      </c>
      <c r="J778" s="259" t="s">
        <v>571</v>
      </c>
      <c r="K778" s="224">
        <v>2</v>
      </c>
      <c r="L778" s="260" t="str">
        <f>VLOOKUP(Ruimtestaat[[#This Row],[Ruimte code]],Ruimtegroepen[#All],2,FALSE)</f>
        <v>Kantoren</v>
      </c>
      <c r="M778" s="212" t="s">
        <v>597</v>
      </c>
      <c r="N778" s="257" t="s">
        <v>38</v>
      </c>
      <c r="O778" s="261">
        <v>23.2</v>
      </c>
      <c r="P778" s="183"/>
      <c r="Q778" s="212" t="str">
        <f>VLOOKUP(Ruimtestaat[[#This Row],[Ruimte code]],Ruimtegroepen[#All],4,FALSE)</f>
        <v>B  (Bureauruimte)</v>
      </c>
      <c r="R778" s="184"/>
      <c r="S778" s="185">
        <v>40</v>
      </c>
      <c r="T778" s="185" t="s">
        <v>18</v>
      </c>
      <c r="U778" s="185">
        <f>IF(S778&gt;0,IF(RIGHT(Ruimtestaat[[#This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78" s="185">
        <f>IF(U778&gt;0,VLOOKUP($K778,Ruimtegroepen[],3,FALSE)*VLOOKUP($M778,Vloersoorten[],3,FALSE)*VLOOKUP($T778,Frequenties[],3,FALSE)*VLOOKUP($A778,Locaties[],3,FALSE),0)</f>
        <v>0</v>
      </c>
      <c r="W778" s="185">
        <f>Ruimtestaat[[#This Row],[Uitvoeringen werkdagen]]*Ruimtestaat[[#This Row],[Oppervlak (netto)]]</f>
        <v>2784</v>
      </c>
      <c r="X778" s="220">
        <f>IF(V778&gt;0,Ruimtestaat[[#This Row],[Prest. (m2 /jaar) werkdagen]]/Ruimtestaat[[#This Row],[Norm (m2/uur) werkdagen]],0)</f>
        <v>0</v>
      </c>
      <c r="Y778" s="221">
        <f>Ruimtestaat[[#This Row],[uren / jaar werkdagen]]*Tariefsopbouw!$D$38</f>
        <v>0</v>
      </c>
      <c r="Z778" s="33"/>
      <c r="AA778" s="33">
        <f>IF(Ruimtestaat[[#This Row],[Frequentie weekend]]&gt;0,VALUE(LEFT(Z778,1))*S778,0)</f>
        <v>0</v>
      </c>
      <c r="AB778" s="33">
        <f>IF($AA778&gt;0,VLOOKUP($K778,Ruimtegroepen[],3,FALSE)*VLOOKUP($M778,Vloersoorten[],3,FALSE)*VLOOKUP($Z778,Frequenties[],3,FALSE)*VLOOKUP(#REF!,Locaties[],3,FALSE),0)</f>
        <v>0</v>
      </c>
      <c r="AC778" s="33"/>
      <c r="AD778" s="33"/>
      <c r="AE778" s="33">
        <f>Ruimtestaat[[#This Row],[uren / jaar weekend]]*Tariefsopbouw!$D$40</f>
        <v>0</v>
      </c>
      <c r="AF778" s="79">
        <f>Ruimtestaat[[#This Row],[Prest. (m2 /jaar) weekend]]+Ruimtestaat[[#This Row],[Prest. (m2 /jaar) werkdagen]]</f>
        <v>2784</v>
      </c>
      <c r="AG778" s="79">
        <f>Ruimtestaat[[#This Row],[uren / jaar weekend]]+Ruimtestaat[[#This Row],[uren / jaar werkdagen]]</f>
        <v>0</v>
      </c>
      <c r="AH778" s="80">
        <f>Ruimtestaat[[#This Row],[kosten / jaar weekend]]+Ruimtestaat[[#This Row],[kosten / jaar werkdagen]]</f>
        <v>0</v>
      </c>
    </row>
    <row r="779" spans="1:34" ht="15" customHeight="1">
      <c r="A779" s="256">
        <v>11</v>
      </c>
      <c r="B779" s="171" t="str">
        <f>VLOOKUP(Ruimtestaat[[#This Row],[Code]],Locaties[#All],2,FALSE)</f>
        <v>De Bouwsteen / Het Fundament</v>
      </c>
      <c r="C779" s="258" t="str">
        <f>VLOOKUP(Ruimtestaat[[#This Row],[Code]],Locaties[#All],4,FALSE)</f>
        <v>Anna Reynvaanweg 50</v>
      </c>
      <c r="D779" s="258" t="str">
        <f>VLOOKUP(Ruimtestaat[[#This Row],[Code]],Locaties[#All],5,FALSE)</f>
        <v>7555SG</v>
      </c>
      <c r="E779" s="258" t="str">
        <f>VLOOKUP(Ruimtestaat[[#This Row],[Code]],Locaties[#All],6,FALSE)</f>
        <v>Hengelo</v>
      </c>
      <c r="F779" s="257"/>
      <c r="G779" s="257" t="s">
        <v>563</v>
      </c>
      <c r="H779" s="171"/>
      <c r="I779" s="257" t="s">
        <v>458</v>
      </c>
      <c r="J779" s="259" t="s">
        <v>61</v>
      </c>
      <c r="K779" s="258">
        <v>3</v>
      </c>
      <c r="L779" s="260" t="str">
        <f>VLOOKUP(Ruimtestaat[[#This Row],[Ruimte code]],Ruimtegroepen[#All],2,FALSE)</f>
        <v>Reproruimte</v>
      </c>
      <c r="M779" s="185" t="s">
        <v>598</v>
      </c>
      <c r="N779" s="257" t="s">
        <v>132</v>
      </c>
      <c r="O779" s="261">
        <v>3</v>
      </c>
      <c r="P779" s="183"/>
      <c r="Q779" s="212" t="str">
        <f>VLOOKUP(Ruimtestaat[[#This Row],[Ruimte code]],Ruimtegroepen[#All],4,FALSE)</f>
        <v>V  (Verkeersruimte)</v>
      </c>
      <c r="R779" s="184"/>
      <c r="S779" s="185">
        <v>40</v>
      </c>
      <c r="T779" s="185" t="s">
        <v>2</v>
      </c>
      <c r="U779" s="185">
        <f>IF(S779&gt;0,IF(RIGHT(Ruimtestaat[[#This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9" s="185">
        <f>IF(U779&gt;0,VLOOKUP($K779,Ruimtegroepen[],3,FALSE)*VLOOKUP($M779,Vloersoorten[],3,FALSE)*VLOOKUP($T779,Frequenties[],3,FALSE)*VLOOKUP($A779,Locaties[],3,FALSE),0)</f>
        <v>0</v>
      </c>
      <c r="W779" s="185">
        <f>Ruimtestaat[[#This Row],[Uitvoeringen werkdagen]]*Ruimtestaat[[#This Row],[Oppervlak (netto)]]</f>
        <v>600</v>
      </c>
      <c r="X779" s="220">
        <f>IF(V779&gt;0,Ruimtestaat[[#This Row],[Prest. (m2 /jaar) werkdagen]]/Ruimtestaat[[#This Row],[Norm (m2/uur) werkdagen]],0)</f>
        <v>0</v>
      </c>
      <c r="Y779" s="221">
        <f>Ruimtestaat[[#This Row],[uren / jaar werkdagen]]*Tariefsopbouw!$D$38</f>
        <v>0</v>
      </c>
      <c r="Z779" s="33"/>
      <c r="AA779" s="33">
        <f>IF(Ruimtestaat[[#This Row],[Frequentie weekend]]&gt;0,VALUE(LEFT(Z779,1))*S779,0)</f>
        <v>0</v>
      </c>
      <c r="AB779" s="33">
        <f>IF($AA779&gt;0,VLOOKUP($K779,Ruimtegroepen[],3,FALSE)*VLOOKUP($M779,Vloersoorten[],3,FALSE)*VLOOKUP($Z779,Frequenties[],3,FALSE)*VLOOKUP(#REF!,Locaties[],3,FALSE),0)</f>
        <v>0</v>
      </c>
      <c r="AC779" s="33"/>
      <c r="AD779" s="33"/>
      <c r="AE779" s="33">
        <f>Ruimtestaat[[#This Row],[uren / jaar weekend]]*Tariefsopbouw!$D$40</f>
        <v>0</v>
      </c>
      <c r="AF779" s="79">
        <f>Ruimtestaat[[#This Row],[Prest. (m2 /jaar) weekend]]+Ruimtestaat[[#This Row],[Prest. (m2 /jaar) werkdagen]]</f>
        <v>600</v>
      </c>
      <c r="AG779" s="79">
        <f>Ruimtestaat[[#This Row],[uren / jaar weekend]]+Ruimtestaat[[#This Row],[uren / jaar werkdagen]]</f>
        <v>0</v>
      </c>
      <c r="AH779" s="80">
        <f>Ruimtestaat[[#This Row],[kosten / jaar weekend]]+Ruimtestaat[[#This Row],[kosten / jaar werkdagen]]</f>
        <v>0</v>
      </c>
    </row>
    <row r="780" spans="1:34" ht="15" customHeight="1">
      <c r="A780" s="256">
        <v>11</v>
      </c>
      <c r="B780" s="171" t="str">
        <f>VLOOKUP(Ruimtestaat[[#This Row],[Code]],Locaties[#All],2,FALSE)</f>
        <v>De Bouwsteen / Het Fundament</v>
      </c>
      <c r="C780" s="258" t="str">
        <f>VLOOKUP(Ruimtestaat[[#This Row],[Code]],Locaties[#All],4,FALSE)</f>
        <v>Anna Reynvaanweg 50</v>
      </c>
      <c r="D780" s="258" t="str">
        <f>VLOOKUP(Ruimtestaat[[#This Row],[Code]],Locaties[#All],5,FALSE)</f>
        <v>7555SG</v>
      </c>
      <c r="E780" s="258" t="str">
        <f>VLOOKUP(Ruimtestaat[[#This Row],[Code]],Locaties[#All],6,FALSE)</f>
        <v>Hengelo</v>
      </c>
      <c r="F780" s="257"/>
      <c r="G780" s="257" t="s">
        <v>563</v>
      </c>
      <c r="H780" s="171"/>
      <c r="I780" s="257" t="s">
        <v>459</v>
      </c>
      <c r="J780" s="259" t="s">
        <v>574</v>
      </c>
      <c r="K780" s="258">
        <v>6</v>
      </c>
      <c r="L780" s="260" t="str">
        <f>VLOOKUP(Ruimtestaat[[#This Row],[Ruimte code]],Ruimtegroepen[#All],2,FALSE)</f>
        <v>Gangen/hallen</v>
      </c>
      <c r="M780" s="185" t="s">
        <v>598</v>
      </c>
      <c r="N780" s="257" t="s">
        <v>132</v>
      </c>
      <c r="O780" s="261">
        <v>124.2</v>
      </c>
      <c r="P780" s="183"/>
      <c r="Q780" s="212" t="str">
        <f>VLOOKUP(Ruimtestaat[[#This Row],[Ruimte code]],Ruimtegroepen[#All],4,FALSE)</f>
        <v>V  (Verkeersruimte)</v>
      </c>
      <c r="R780" s="184"/>
      <c r="S780" s="185">
        <v>40</v>
      </c>
      <c r="T780" s="185" t="s">
        <v>2</v>
      </c>
      <c r="U780" s="185">
        <f>IF(S780&gt;0,IF(RIGHT(Ruimtestaat[[#This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0" s="185">
        <f>IF(U780&gt;0,VLOOKUP($K780,Ruimtegroepen[],3,FALSE)*VLOOKUP($M780,Vloersoorten[],3,FALSE)*VLOOKUP($T780,Frequenties[],3,FALSE)*VLOOKUP($A780,Locaties[],3,FALSE),0)</f>
        <v>0</v>
      </c>
      <c r="W780" s="185">
        <f>Ruimtestaat[[#This Row],[Uitvoeringen werkdagen]]*Ruimtestaat[[#This Row],[Oppervlak (netto)]]</f>
        <v>24840</v>
      </c>
      <c r="X780" s="220">
        <f>IF(V780&gt;0,Ruimtestaat[[#This Row],[Prest. (m2 /jaar) werkdagen]]/Ruimtestaat[[#This Row],[Norm (m2/uur) werkdagen]],0)</f>
        <v>0</v>
      </c>
      <c r="Y780" s="221">
        <f>Ruimtestaat[[#This Row],[uren / jaar werkdagen]]*Tariefsopbouw!$D$38</f>
        <v>0</v>
      </c>
      <c r="Z780" s="33"/>
      <c r="AA780" s="33">
        <f>IF(Ruimtestaat[[#This Row],[Frequentie weekend]]&gt;0,VALUE(LEFT(Z780,1))*S780,0)</f>
        <v>0</v>
      </c>
      <c r="AB780" s="33">
        <f>IF($AA780&gt;0,VLOOKUP($K780,Ruimtegroepen[],3,FALSE)*VLOOKUP($M780,Vloersoorten[],3,FALSE)*VLOOKUP($Z780,Frequenties[],3,FALSE)*VLOOKUP(#REF!,Locaties[],3,FALSE),0)</f>
        <v>0</v>
      </c>
      <c r="AC780" s="33"/>
      <c r="AD780" s="33"/>
      <c r="AE780" s="33">
        <f>Ruimtestaat[[#This Row],[uren / jaar weekend]]*Tariefsopbouw!$D$40</f>
        <v>0</v>
      </c>
      <c r="AF780" s="79">
        <f>Ruimtestaat[[#This Row],[Prest. (m2 /jaar) weekend]]+Ruimtestaat[[#This Row],[Prest. (m2 /jaar) werkdagen]]</f>
        <v>24840</v>
      </c>
      <c r="AG780" s="79">
        <f>Ruimtestaat[[#This Row],[uren / jaar weekend]]+Ruimtestaat[[#This Row],[uren / jaar werkdagen]]</f>
        <v>0</v>
      </c>
      <c r="AH780" s="80">
        <f>Ruimtestaat[[#This Row],[kosten / jaar weekend]]+Ruimtestaat[[#This Row],[kosten / jaar werkdagen]]</f>
        <v>0</v>
      </c>
    </row>
    <row r="781" spans="1:34" ht="15" customHeight="1">
      <c r="A781" s="256">
        <v>11</v>
      </c>
      <c r="B781" s="171" t="str">
        <f>VLOOKUP(Ruimtestaat[[#This Row],[Code]],Locaties[#All],2,FALSE)</f>
        <v>De Bouwsteen / Het Fundament</v>
      </c>
      <c r="C781" s="258" t="str">
        <f>VLOOKUP(Ruimtestaat[[#This Row],[Code]],Locaties[#All],4,FALSE)</f>
        <v>Anna Reynvaanweg 50</v>
      </c>
      <c r="D781" s="258" t="str">
        <f>VLOOKUP(Ruimtestaat[[#This Row],[Code]],Locaties[#All],5,FALSE)</f>
        <v>7555SG</v>
      </c>
      <c r="E781" s="258" t="str">
        <f>VLOOKUP(Ruimtestaat[[#This Row],[Code]],Locaties[#All],6,FALSE)</f>
        <v>Hengelo</v>
      </c>
      <c r="F781" s="257"/>
      <c r="G781" s="257" t="s">
        <v>563</v>
      </c>
      <c r="H781" s="171"/>
      <c r="I781" s="257" t="s">
        <v>460</v>
      </c>
      <c r="J781" s="259" t="s">
        <v>568</v>
      </c>
      <c r="K781" s="258">
        <v>6</v>
      </c>
      <c r="L781" s="260" t="str">
        <f>VLOOKUP(Ruimtestaat[[#This Row],[Ruimte code]],Ruimtegroepen[#All],2,FALSE)</f>
        <v>Gangen/hallen</v>
      </c>
      <c r="M781" s="212" t="s">
        <v>111</v>
      </c>
      <c r="N781" s="257" t="s">
        <v>595</v>
      </c>
      <c r="O781" s="261">
        <v>3.3</v>
      </c>
      <c r="P781" s="183"/>
      <c r="Q781" s="212" t="str">
        <f>VLOOKUP(Ruimtestaat[[#This Row],[Ruimte code]],Ruimtegroepen[#All],4,FALSE)</f>
        <v>V  (Verkeersruimte)</v>
      </c>
      <c r="R781" s="184"/>
      <c r="S781" s="185">
        <v>40</v>
      </c>
      <c r="T781" s="185" t="s">
        <v>2</v>
      </c>
      <c r="U781" s="185">
        <f>IF(S781&gt;0,IF(RIGHT(Ruimtestaat[[#This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1" s="185">
        <f>IF(U781&gt;0,VLOOKUP($K781,Ruimtegroepen[],3,FALSE)*VLOOKUP($M781,Vloersoorten[],3,FALSE)*VLOOKUP($T781,Frequenties[],3,FALSE)*VLOOKUP($A781,Locaties[],3,FALSE),0)</f>
        <v>0</v>
      </c>
      <c r="W781" s="185">
        <f>Ruimtestaat[[#This Row],[Uitvoeringen werkdagen]]*Ruimtestaat[[#This Row],[Oppervlak (netto)]]</f>
        <v>660</v>
      </c>
      <c r="X781" s="220">
        <f>IF(V781&gt;0,Ruimtestaat[[#This Row],[Prest. (m2 /jaar) werkdagen]]/Ruimtestaat[[#This Row],[Norm (m2/uur) werkdagen]],0)</f>
        <v>0</v>
      </c>
      <c r="Y781" s="221">
        <f>Ruimtestaat[[#This Row],[uren / jaar werkdagen]]*Tariefsopbouw!$D$38</f>
        <v>0</v>
      </c>
      <c r="Z781" s="33"/>
      <c r="AA781" s="33">
        <f>IF(Ruimtestaat[[#This Row],[Frequentie weekend]]&gt;0,VALUE(LEFT(Z781,1))*S781,0)</f>
        <v>0</v>
      </c>
      <c r="AB781" s="33">
        <f>IF($AA781&gt;0,VLOOKUP($K781,Ruimtegroepen[],3,FALSE)*VLOOKUP($M781,Vloersoorten[],3,FALSE)*VLOOKUP($Z781,Frequenties[],3,FALSE)*VLOOKUP(#REF!,Locaties[],3,FALSE),0)</f>
        <v>0</v>
      </c>
      <c r="AC781" s="33"/>
      <c r="AD781" s="33"/>
      <c r="AE781" s="33">
        <f>Ruimtestaat[[#This Row],[uren / jaar weekend]]*Tariefsopbouw!$D$40</f>
        <v>0</v>
      </c>
      <c r="AF781" s="79">
        <f>Ruimtestaat[[#This Row],[Prest. (m2 /jaar) weekend]]+Ruimtestaat[[#This Row],[Prest. (m2 /jaar) werkdagen]]</f>
        <v>660</v>
      </c>
      <c r="AG781" s="79">
        <f>Ruimtestaat[[#This Row],[uren / jaar weekend]]+Ruimtestaat[[#This Row],[uren / jaar werkdagen]]</f>
        <v>0</v>
      </c>
      <c r="AH781" s="80">
        <f>Ruimtestaat[[#This Row],[kosten / jaar weekend]]+Ruimtestaat[[#This Row],[kosten / jaar werkdagen]]</f>
        <v>0</v>
      </c>
    </row>
    <row r="782" spans="1:34" ht="15" customHeight="1">
      <c r="A782" s="256">
        <v>11</v>
      </c>
      <c r="B782" s="171" t="str">
        <f>VLOOKUP(Ruimtestaat[[#This Row],[Code]],Locaties[#All],2,FALSE)</f>
        <v>De Bouwsteen / Het Fundament</v>
      </c>
      <c r="C782" s="258" t="str">
        <f>VLOOKUP(Ruimtestaat[[#This Row],[Code]],Locaties[#All],4,FALSE)</f>
        <v>Anna Reynvaanweg 50</v>
      </c>
      <c r="D782" s="258" t="str">
        <f>VLOOKUP(Ruimtestaat[[#This Row],[Code]],Locaties[#All],5,FALSE)</f>
        <v>7555SG</v>
      </c>
      <c r="E782" s="258" t="str">
        <f>VLOOKUP(Ruimtestaat[[#This Row],[Code]],Locaties[#All],6,FALSE)</f>
        <v>Hengelo</v>
      </c>
      <c r="F782" s="257"/>
      <c r="G782" s="257" t="s">
        <v>563</v>
      </c>
      <c r="H782" s="171"/>
      <c r="I782" s="257" t="s">
        <v>461</v>
      </c>
      <c r="J782" s="259" t="s">
        <v>569</v>
      </c>
      <c r="K782" s="258">
        <v>5</v>
      </c>
      <c r="L782" s="260" t="str">
        <f>VLOOKUP(Ruimtestaat[[#This Row],[Ruimte code]],Ruimtegroepen[#All],2,FALSE)</f>
        <v>Sanitair</v>
      </c>
      <c r="M782" s="212" t="s">
        <v>111</v>
      </c>
      <c r="N782" s="257" t="s">
        <v>595</v>
      </c>
      <c r="O782" s="261">
        <v>2.2000000000000002</v>
      </c>
      <c r="P782" s="183"/>
      <c r="Q782" s="212" t="str">
        <f>VLOOKUP(Ruimtestaat[[#This Row],[Ruimte code]],Ruimtegroepen[#All],4,FALSE)</f>
        <v>S  (Sanitair)</v>
      </c>
      <c r="R782" s="184"/>
      <c r="S782" s="185">
        <v>40</v>
      </c>
      <c r="T782" s="185" t="s">
        <v>2</v>
      </c>
      <c r="U782" s="185">
        <f>IF(S782&gt;0,IF(RIGHT(Ruimtestaat[[#This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2" s="185">
        <f>IF(U782&gt;0,VLOOKUP($K782,Ruimtegroepen[],3,FALSE)*VLOOKUP($M782,Vloersoorten[],3,FALSE)*VLOOKUP($T782,Frequenties[],3,FALSE)*VLOOKUP($A782,Locaties[],3,FALSE),0)</f>
        <v>0</v>
      </c>
      <c r="W782" s="185">
        <f>Ruimtestaat[[#This Row],[Uitvoeringen werkdagen]]*Ruimtestaat[[#This Row],[Oppervlak (netto)]]</f>
        <v>440.00000000000006</v>
      </c>
      <c r="X782" s="220">
        <f>IF(V782&gt;0,Ruimtestaat[[#This Row],[Prest. (m2 /jaar) werkdagen]]/Ruimtestaat[[#This Row],[Norm (m2/uur) werkdagen]],0)</f>
        <v>0</v>
      </c>
      <c r="Y782" s="221">
        <f>Ruimtestaat[[#This Row],[uren / jaar werkdagen]]*Tariefsopbouw!$D$38</f>
        <v>0</v>
      </c>
      <c r="Z782" s="33"/>
      <c r="AA782" s="33">
        <f>IF(Ruimtestaat[[#This Row],[Frequentie weekend]]&gt;0,VALUE(LEFT(Z782,1))*S782,0)</f>
        <v>0</v>
      </c>
      <c r="AB782" s="33">
        <f>IF($AA782&gt;0,VLOOKUP($K782,Ruimtegroepen[],3,FALSE)*VLOOKUP($M782,Vloersoorten[],3,FALSE)*VLOOKUP($Z782,Frequenties[],3,FALSE)*VLOOKUP(#REF!,Locaties[],3,FALSE),0)</f>
        <v>0</v>
      </c>
      <c r="AC782" s="33"/>
      <c r="AD782" s="33"/>
      <c r="AE782" s="33">
        <f>Ruimtestaat[[#This Row],[uren / jaar weekend]]*Tariefsopbouw!$D$40</f>
        <v>0</v>
      </c>
      <c r="AF782" s="79">
        <f>Ruimtestaat[[#This Row],[Prest. (m2 /jaar) weekend]]+Ruimtestaat[[#This Row],[Prest. (m2 /jaar) werkdagen]]</f>
        <v>440.00000000000006</v>
      </c>
      <c r="AG782" s="79">
        <f>Ruimtestaat[[#This Row],[uren / jaar weekend]]+Ruimtestaat[[#This Row],[uren / jaar werkdagen]]</f>
        <v>0</v>
      </c>
      <c r="AH782" s="80">
        <f>Ruimtestaat[[#This Row],[kosten / jaar weekend]]+Ruimtestaat[[#This Row],[kosten / jaar werkdagen]]</f>
        <v>0</v>
      </c>
    </row>
    <row r="783" spans="1:34" ht="15" customHeight="1">
      <c r="A783" s="256">
        <v>11</v>
      </c>
      <c r="B783" s="171" t="str">
        <f>VLOOKUP(Ruimtestaat[[#This Row],[Code]],Locaties[#All],2,FALSE)</f>
        <v>De Bouwsteen / Het Fundament</v>
      </c>
      <c r="C783" s="258" t="str">
        <f>VLOOKUP(Ruimtestaat[[#This Row],[Code]],Locaties[#All],4,FALSE)</f>
        <v>Anna Reynvaanweg 50</v>
      </c>
      <c r="D783" s="258" t="str">
        <f>VLOOKUP(Ruimtestaat[[#This Row],[Code]],Locaties[#All],5,FALSE)</f>
        <v>7555SG</v>
      </c>
      <c r="E783" s="258" t="str">
        <f>VLOOKUP(Ruimtestaat[[#This Row],[Code]],Locaties[#All],6,FALSE)</f>
        <v>Hengelo</v>
      </c>
      <c r="F783" s="257"/>
      <c r="G783" s="257" t="s">
        <v>563</v>
      </c>
      <c r="H783" s="171"/>
      <c r="I783" s="257" t="s">
        <v>462</v>
      </c>
      <c r="J783" s="259" t="s">
        <v>569</v>
      </c>
      <c r="K783" s="171">
        <v>5</v>
      </c>
      <c r="L783" s="260" t="str">
        <f>VLOOKUP(Ruimtestaat[[#This Row],[Ruimte code]],Ruimtegroepen[#All],2,FALSE)</f>
        <v>Sanitair</v>
      </c>
      <c r="M783" s="212" t="s">
        <v>111</v>
      </c>
      <c r="N783" s="257" t="s">
        <v>595</v>
      </c>
      <c r="O783" s="261">
        <v>4.2</v>
      </c>
      <c r="P783" s="183"/>
      <c r="Q783" s="212" t="str">
        <f>VLOOKUP(Ruimtestaat[[#This Row],[Ruimte code]],Ruimtegroepen[#All],4,FALSE)</f>
        <v>S  (Sanitair)</v>
      </c>
      <c r="R783" s="184"/>
      <c r="S783" s="185">
        <v>40</v>
      </c>
      <c r="T783" s="185" t="s">
        <v>2</v>
      </c>
      <c r="U783" s="185">
        <f>IF(S783&gt;0,IF(RIGHT(Ruimtestaat[[#This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3" s="185">
        <f>IF(U783&gt;0,VLOOKUP($K783,Ruimtegroepen[],3,FALSE)*VLOOKUP($M783,Vloersoorten[],3,FALSE)*VLOOKUP($T783,Frequenties[],3,FALSE)*VLOOKUP($A783,Locaties[],3,FALSE),0)</f>
        <v>0</v>
      </c>
      <c r="W783" s="185">
        <f>Ruimtestaat[[#This Row],[Uitvoeringen werkdagen]]*Ruimtestaat[[#This Row],[Oppervlak (netto)]]</f>
        <v>840</v>
      </c>
      <c r="X783" s="220">
        <f>IF(V783&gt;0,Ruimtestaat[[#This Row],[Prest. (m2 /jaar) werkdagen]]/Ruimtestaat[[#This Row],[Norm (m2/uur) werkdagen]],0)</f>
        <v>0</v>
      </c>
      <c r="Y783" s="221">
        <f>Ruimtestaat[[#This Row],[uren / jaar werkdagen]]*Tariefsopbouw!$D$38</f>
        <v>0</v>
      </c>
      <c r="Z783" s="33"/>
      <c r="AA783" s="33">
        <f>IF(Ruimtestaat[[#This Row],[Frequentie weekend]]&gt;0,VALUE(LEFT(Z783,1))*S783,0)</f>
        <v>0</v>
      </c>
      <c r="AB783" s="33">
        <f>IF($AA783&gt;0,VLOOKUP($K783,Ruimtegroepen[],3,FALSE)*VLOOKUP($M783,Vloersoorten[],3,FALSE)*VLOOKUP($Z783,Frequenties[],3,FALSE)*VLOOKUP(#REF!,Locaties[],3,FALSE),0)</f>
        <v>0</v>
      </c>
      <c r="AC783" s="33"/>
      <c r="AD783" s="33"/>
      <c r="AE783" s="33">
        <f>Ruimtestaat[[#This Row],[uren / jaar weekend]]*Tariefsopbouw!$D$40</f>
        <v>0</v>
      </c>
      <c r="AF783" s="79">
        <f>Ruimtestaat[[#This Row],[Prest. (m2 /jaar) weekend]]+Ruimtestaat[[#This Row],[Prest. (m2 /jaar) werkdagen]]</f>
        <v>840</v>
      </c>
      <c r="AG783" s="79">
        <f>Ruimtestaat[[#This Row],[uren / jaar weekend]]+Ruimtestaat[[#This Row],[uren / jaar werkdagen]]</f>
        <v>0</v>
      </c>
      <c r="AH783" s="80">
        <f>Ruimtestaat[[#This Row],[kosten / jaar weekend]]+Ruimtestaat[[#This Row],[kosten / jaar werkdagen]]</f>
        <v>0</v>
      </c>
    </row>
    <row r="784" spans="1:34" ht="15" customHeight="1">
      <c r="A784" s="256">
        <v>11</v>
      </c>
      <c r="B784" s="171" t="str">
        <f>VLOOKUP(Ruimtestaat[[#This Row],[Code]],Locaties[#All],2,FALSE)</f>
        <v>De Bouwsteen / Het Fundament</v>
      </c>
      <c r="C784" s="258" t="str">
        <f>VLOOKUP(Ruimtestaat[[#This Row],[Code]],Locaties[#All],4,FALSE)</f>
        <v>Anna Reynvaanweg 50</v>
      </c>
      <c r="D784" s="258" t="str">
        <f>VLOOKUP(Ruimtestaat[[#This Row],[Code]],Locaties[#All],5,FALSE)</f>
        <v>7555SG</v>
      </c>
      <c r="E784" s="258" t="str">
        <f>VLOOKUP(Ruimtestaat[[#This Row],[Code]],Locaties[#All],6,FALSE)</f>
        <v>Hengelo</v>
      </c>
      <c r="F784" s="257"/>
      <c r="G784" s="257" t="s">
        <v>563</v>
      </c>
      <c r="H784" s="171"/>
      <c r="I784" s="257" t="s">
        <v>463</v>
      </c>
      <c r="J784" s="259" t="s">
        <v>575</v>
      </c>
      <c r="K784" s="171">
        <v>12</v>
      </c>
      <c r="L784" s="260" t="str">
        <f>VLOOKUP(Ruimtestaat[[#This Row],[Ruimte code]],Ruimtegroepen[#All],2,FALSE)</f>
        <v>Kantine</v>
      </c>
      <c r="M784" s="258" t="s">
        <v>598</v>
      </c>
      <c r="N784" s="257" t="s">
        <v>132</v>
      </c>
      <c r="O784" s="261">
        <v>55</v>
      </c>
      <c r="P784" s="183"/>
      <c r="Q784" s="212" t="str">
        <f>VLOOKUP(Ruimtestaat[[#This Row],[Ruimte code]],Ruimtegroepen[#All],4,FALSE)</f>
        <v>V  (Verkeersruimte)</v>
      </c>
      <c r="R784" s="184"/>
      <c r="S784" s="185">
        <v>40</v>
      </c>
      <c r="T784" s="185" t="s">
        <v>2</v>
      </c>
      <c r="U784" s="185">
        <f>IF(S784&gt;0,IF(RIGHT(Ruimtestaat[[#This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4" s="185">
        <f>IF(U784&gt;0,VLOOKUP($K784,Ruimtegroepen[],3,FALSE)*VLOOKUP($M784,Vloersoorten[],3,FALSE)*VLOOKUP($T784,Frequenties[],3,FALSE)*VLOOKUP($A784,Locaties[],3,FALSE),0)</f>
        <v>0</v>
      </c>
      <c r="W784" s="185">
        <f>Ruimtestaat[[#This Row],[Uitvoeringen werkdagen]]*Ruimtestaat[[#This Row],[Oppervlak (netto)]]</f>
        <v>11000</v>
      </c>
      <c r="X784" s="220">
        <f>IF(V784&gt;0,Ruimtestaat[[#This Row],[Prest. (m2 /jaar) werkdagen]]/Ruimtestaat[[#This Row],[Norm (m2/uur) werkdagen]],0)</f>
        <v>0</v>
      </c>
      <c r="Y784" s="221">
        <f>Ruimtestaat[[#This Row],[uren / jaar werkdagen]]*Tariefsopbouw!$D$38</f>
        <v>0</v>
      </c>
      <c r="Z784" s="33"/>
      <c r="AA784" s="33">
        <f>IF(Ruimtestaat[[#This Row],[Frequentie weekend]]&gt;0,VALUE(LEFT(Z784,1))*S784,0)</f>
        <v>0</v>
      </c>
      <c r="AB784" s="33">
        <f>IF($AA784&gt;0,VLOOKUP($K784,Ruimtegroepen[],3,FALSE)*VLOOKUP($M784,Vloersoorten[],3,FALSE)*VLOOKUP($Z784,Frequenties[],3,FALSE)*VLOOKUP(#REF!,Locaties[],3,FALSE),0)</f>
        <v>0</v>
      </c>
      <c r="AC784" s="33"/>
      <c r="AD784" s="33"/>
      <c r="AE784" s="33">
        <f>Ruimtestaat[[#This Row],[uren / jaar weekend]]*Tariefsopbouw!$D$40</f>
        <v>0</v>
      </c>
      <c r="AF784" s="79">
        <f>Ruimtestaat[[#This Row],[Prest. (m2 /jaar) weekend]]+Ruimtestaat[[#This Row],[Prest. (m2 /jaar) werkdagen]]</f>
        <v>11000</v>
      </c>
      <c r="AG784" s="79">
        <f>Ruimtestaat[[#This Row],[uren / jaar weekend]]+Ruimtestaat[[#This Row],[uren / jaar werkdagen]]</f>
        <v>0</v>
      </c>
      <c r="AH784" s="80">
        <f>Ruimtestaat[[#This Row],[kosten / jaar weekend]]+Ruimtestaat[[#This Row],[kosten / jaar werkdagen]]</f>
        <v>0</v>
      </c>
    </row>
    <row r="785" spans="1:34" ht="15" customHeight="1">
      <c r="A785" s="256">
        <v>11</v>
      </c>
      <c r="B785" s="171" t="str">
        <f>VLOOKUP(Ruimtestaat[[#This Row],[Code]],Locaties[#All],2,FALSE)</f>
        <v>De Bouwsteen / Het Fundament</v>
      </c>
      <c r="C785" s="258" t="str">
        <f>VLOOKUP(Ruimtestaat[[#This Row],[Code]],Locaties[#All],4,FALSE)</f>
        <v>Anna Reynvaanweg 50</v>
      </c>
      <c r="D785" s="258" t="str">
        <f>VLOOKUP(Ruimtestaat[[#This Row],[Code]],Locaties[#All],5,FALSE)</f>
        <v>7555SG</v>
      </c>
      <c r="E785" s="258" t="str">
        <f>VLOOKUP(Ruimtestaat[[#This Row],[Code]],Locaties[#All],6,FALSE)</f>
        <v>Hengelo</v>
      </c>
      <c r="F785" s="257"/>
      <c r="G785" s="257" t="s">
        <v>563</v>
      </c>
      <c r="H785" s="171"/>
      <c r="I785" s="257" t="s">
        <v>464</v>
      </c>
      <c r="J785" s="259" t="s">
        <v>568</v>
      </c>
      <c r="K785" s="258">
        <v>6</v>
      </c>
      <c r="L785" s="260" t="str">
        <f>VLOOKUP(Ruimtestaat[[#This Row],[Ruimte code]],Ruimtegroepen[#All],2,FALSE)</f>
        <v>Gangen/hallen</v>
      </c>
      <c r="M785" s="185" t="s">
        <v>598</v>
      </c>
      <c r="N785" s="257" t="s">
        <v>132</v>
      </c>
      <c r="O785" s="261">
        <v>2.1</v>
      </c>
      <c r="P785" s="183"/>
      <c r="Q785" s="212" t="str">
        <f>VLOOKUP(Ruimtestaat[[#This Row],[Ruimte code]],Ruimtegroepen[#All],4,FALSE)</f>
        <v>V  (Verkeersruimte)</v>
      </c>
      <c r="R785" s="184"/>
      <c r="S785" s="185">
        <v>40</v>
      </c>
      <c r="T785" s="185" t="s">
        <v>2</v>
      </c>
      <c r="U785" s="185">
        <f>IF(S785&gt;0,IF(RIGHT(Ruimtestaat[[#This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5" s="185">
        <f>IF(U785&gt;0,VLOOKUP($K785,Ruimtegroepen[],3,FALSE)*VLOOKUP($M785,Vloersoorten[],3,FALSE)*VLOOKUP($T785,Frequenties[],3,FALSE)*VLOOKUP($A785,Locaties[],3,FALSE),0)</f>
        <v>0</v>
      </c>
      <c r="W785" s="185">
        <f>Ruimtestaat[[#This Row],[Uitvoeringen werkdagen]]*Ruimtestaat[[#This Row],[Oppervlak (netto)]]</f>
        <v>420</v>
      </c>
      <c r="X785" s="220">
        <f>IF(V785&gt;0,Ruimtestaat[[#This Row],[Prest. (m2 /jaar) werkdagen]]/Ruimtestaat[[#This Row],[Norm (m2/uur) werkdagen]],0)</f>
        <v>0</v>
      </c>
      <c r="Y785" s="221">
        <f>Ruimtestaat[[#This Row],[uren / jaar werkdagen]]*Tariefsopbouw!$D$38</f>
        <v>0</v>
      </c>
      <c r="Z785" s="33"/>
      <c r="AA785" s="33">
        <f>IF(Ruimtestaat[[#This Row],[Frequentie weekend]]&gt;0,VALUE(LEFT(Z785,1))*S785,0)</f>
        <v>0</v>
      </c>
      <c r="AB785" s="33">
        <f>IF($AA785&gt;0,VLOOKUP($K785,Ruimtegroepen[],3,FALSE)*VLOOKUP($M785,Vloersoorten[],3,FALSE)*VLOOKUP($Z785,Frequenties[],3,FALSE)*VLOOKUP(#REF!,Locaties[],3,FALSE),0)</f>
        <v>0</v>
      </c>
      <c r="AC785" s="33"/>
      <c r="AD785" s="33"/>
      <c r="AE785" s="33">
        <f>Ruimtestaat[[#This Row],[uren / jaar weekend]]*Tariefsopbouw!$D$40</f>
        <v>0</v>
      </c>
      <c r="AF785" s="79">
        <f>Ruimtestaat[[#This Row],[Prest. (m2 /jaar) weekend]]+Ruimtestaat[[#This Row],[Prest. (m2 /jaar) werkdagen]]</f>
        <v>420</v>
      </c>
      <c r="AG785" s="79">
        <f>Ruimtestaat[[#This Row],[uren / jaar weekend]]+Ruimtestaat[[#This Row],[uren / jaar werkdagen]]</f>
        <v>0</v>
      </c>
      <c r="AH785" s="80">
        <f>Ruimtestaat[[#This Row],[kosten / jaar weekend]]+Ruimtestaat[[#This Row],[kosten / jaar werkdagen]]</f>
        <v>0</v>
      </c>
    </row>
    <row r="786" spans="1:34" ht="15" customHeight="1">
      <c r="A786" s="256">
        <v>11</v>
      </c>
      <c r="B786" s="171" t="str">
        <f>VLOOKUP(Ruimtestaat[[#This Row],[Code]],Locaties[#All],2,FALSE)</f>
        <v>De Bouwsteen / Het Fundament</v>
      </c>
      <c r="C786" s="258" t="str">
        <f>VLOOKUP(Ruimtestaat[[#This Row],[Code]],Locaties[#All],4,FALSE)</f>
        <v>Anna Reynvaanweg 50</v>
      </c>
      <c r="D786" s="258" t="str">
        <f>VLOOKUP(Ruimtestaat[[#This Row],[Code]],Locaties[#All],5,FALSE)</f>
        <v>7555SG</v>
      </c>
      <c r="E786" s="258" t="str">
        <f>VLOOKUP(Ruimtestaat[[#This Row],[Code]],Locaties[#All],6,FALSE)</f>
        <v>Hengelo</v>
      </c>
      <c r="F786" s="257"/>
      <c r="G786" s="257" t="s">
        <v>563</v>
      </c>
      <c r="H786" s="171"/>
      <c r="I786" s="257" t="s">
        <v>465</v>
      </c>
      <c r="J786" s="259" t="s">
        <v>569</v>
      </c>
      <c r="K786" s="171">
        <v>5</v>
      </c>
      <c r="L786" s="260" t="str">
        <f>VLOOKUP(Ruimtestaat[[#This Row],[Ruimte code]],Ruimtegroepen[#All],2,FALSE)</f>
        <v>Sanitair</v>
      </c>
      <c r="M786" s="212" t="s">
        <v>111</v>
      </c>
      <c r="N786" s="257" t="s">
        <v>595</v>
      </c>
      <c r="O786" s="261">
        <v>1.3</v>
      </c>
      <c r="P786" s="183"/>
      <c r="Q786" s="212" t="str">
        <f>VLOOKUP(Ruimtestaat[[#This Row],[Ruimte code]],Ruimtegroepen[#All],4,FALSE)</f>
        <v>S  (Sanitair)</v>
      </c>
      <c r="R786" s="184"/>
      <c r="S786" s="185">
        <v>40</v>
      </c>
      <c r="T786" s="185" t="s">
        <v>2</v>
      </c>
      <c r="U786" s="185">
        <f>IF(S786&gt;0,IF(RIGHT(Ruimtestaat[[#This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6" s="185">
        <f>IF(U786&gt;0,VLOOKUP($K786,Ruimtegroepen[],3,FALSE)*VLOOKUP($M786,Vloersoorten[],3,FALSE)*VLOOKUP($T786,Frequenties[],3,FALSE)*VLOOKUP($A786,Locaties[],3,FALSE),0)</f>
        <v>0</v>
      </c>
      <c r="W786" s="185">
        <f>Ruimtestaat[[#This Row],[Uitvoeringen werkdagen]]*Ruimtestaat[[#This Row],[Oppervlak (netto)]]</f>
        <v>260</v>
      </c>
      <c r="X786" s="220">
        <f>IF(V786&gt;0,Ruimtestaat[[#This Row],[Prest. (m2 /jaar) werkdagen]]/Ruimtestaat[[#This Row],[Norm (m2/uur) werkdagen]],0)</f>
        <v>0</v>
      </c>
      <c r="Y786" s="221">
        <f>Ruimtestaat[[#This Row],[uren / jaar werkdagen]]*Tariefsopbouw!$D$38</f>
        <v>0</v>
      </c>
      <c r="Z786" s="33"/>
      <c r="AA786" s="33">
        <f>IF(Ruimtestaat[[#This Row],[Frequentie weekend]]&gt;0,VALUE(LEFT(Z786,1))*S786,0)</f>
        <v>0</v>
      </c>
      <c r="AB786" s="33">
        <f>IF($AA786&gt;0,VLOOKUP($K786,Ruimtegroepen[],3,FALSE)*VLOOKUP($M786,Vloersoorten[],3,FALSE)*VLOOKUP($Z786,Frequenties[],3,FALSE)*VLOOKUP(#REF!,Locaties[],3,FALSE),0)</f>
        <v>0</v>
      </c>
      <c r="AC786" s="33"/>
      <c r="AD786" s="33"/>
      <c r="AE786" s="33">
        <f>Ruimtestaat[[#This Row],[uren / jaar weekend]]*Tariefsopbouw!$D$40</f>
        <v>0</v>
      </c>
      <c r="AF786" s="79">
        <f>Ruimtestaat[[#This Row],[Prest. (m2 /jaar) weekend]]+Ruimtestaat[[#This Row],[Prest. (m2 /jaar) werkdagen]]</f>
        <v>260</v>
      </c>
      <c r="AG786" s="79">
        <f>Ruimtestaat[[#This Row],[uren / jaar weekend]]+Ruimtestaat[[#This Row],[uren / jaar werkdagen]]</f>
        <v>0</v>
      </c>
      <c r="AH786" s="80">
        <f>Ruimtestaat[[#This Row],[kosten / jaar weekend]]+Ruimtestaat[[#This Row],[kosten / jaar werkdagen]]</f>
        <v>0</v>
      </c>
    </row>
    <row r="787" spans="1:34" ht="15" customHeight="1">
      <c r="A787" s="256">
        <v>11</v>
      </c>
      <c r="B787" s="171" t="str">
        <f>VLOOKUP(Ruimtestaat[[#This Row],[Code]],Locaties[#All],2,FALSE)</f>
        <v>De Bouwsteen / Het Fundament</v>
      </c>
      <c r="C787" s="258" t="str">
        <f>VLOOKUP(Ruimtestaat[[#This Row],[Code]],Locaties[#All],4,FALSE)</f>
        <v>Anna Reynvaanweg 50</v>
      </c>
      <c r="D787" s="258" t="str">
        <f>VLOOKUP(Ruimtestaat[[#This Row],[Code]],Locaties[#All],5,FALSE)</f>
        <v>7555SG</v>
      </c>
      <c r="E787" s="258" t="str">
        <f>VLOOKUP(Ruimtestaat[[#This Row],[Code]],Locaties[#All],6,FALSE)</f>
        <v>Hengelo</v>
      </c>
      <c r="F787" s="257"/>
      <c r="G787" s="257" t="s">
        <v>563</v>
      </c>
      <c r="H787" s="171"/>
      <c r="I787" s="257" t="s">
        <v>466</v>
      </c>
      <c r="J787" s="259" t="s">
        <v>576</v>
      </c>
      <c r="K787" s="258">
        <v>16</v>
      </c>
      <c r="L787" s="260" t="str">
        <f>VLOOKUP(Ruimtestaat[[#This Row],[Ruimte code]],Ruimtegroepen[#All],2,FALSE)</f>
        <v>Leslokalen</v>
      </c>
      <c r="M787" s="185" t="s">
        <v>598</v>
      </c>
      <c r="N787" s="257" t="s">
        <v>132</v>
      </c>
      <c r="O787" s="261">
        <v>50.5</v>
      </c>
      <c r="P787" s="183"/>
      <c r="Q787" s="212" t="str">
        <f>VLOOKUP(Ruimtestaat[[#This Row],[Ruimte code]],Ruimtegroepen[#All],4,FALSE)</f>
        <v>L  (Lesruimte)</v>
      </c>
      <c r="R787" s="184"/>
      <c r="S787" s="185">
        <v>40</v>
      </c>
      <c r="T787" s="185" t="s">
        <v>2</v>
      </c>
      <c r="U787" s="185">
        <f>IF(S787&gt;0,IF(RIGHT(Ruimtestaat[[#This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7" s="185">
        <f>IF(U787&gt;0,VLOOKUP($K787,Ruimtegroepen[],3,FALSE)*VLOOKUP($M787,Vloersoorten[],3,FALSE)*VLOOKUP($T787,Frequenties[],3,FALSE)*VLOOKUP($A787,Locaties[],3,FALSE),0)</f>
        <v>0</v>
      </c>
      <c r="W787" s="185">
        <f>Ruimtestaat[[#This Row],[Uitvoeringen werkdagen]]*Ruimtestaat[[#This Row],[Oppervlak (netto)]]</f>
        <v>10100</v>
      </c>
      <c r="X787" s="220">
        <f>IF(V787&gt;0,Ruimtestaat[[#This Row],[Prest. (m2 /jaar) werkdagen]]/Ruimtestaat[[#This Row],[Norm (m2/uur) werkdagen]],0)</f>
        <v>0</v>
      </c>
      <c r="Y787" s="221">
        <f>Ruimtestaat[[#This Row],[uren / jaar werkdagen]]*Tariefsopbouw!$D$38</f>
        <v>0</v>
      </c>
      <c r="Z787" s="33"/>
      <c r="AA787" s="33">
        <f>IF(Ruimtestaat[[#This Row],[Frequentie weekend]]&gt;0,VALUE(LEFT(Z787,1))*S787,0)</f>
        <v>0</v>
      </c>
      <c r="AB787" s="33">
        <f>IF($AA787&gt;0,VLOOKUP($K787,Ruimtegroepen[],3,FALSE)*VLOOKUP($M787,Vloersoorten[],3,FALSE)*VLOOKUP($Z787,Frequenties[],3,FALSE)*VLOOKUP(#REF!,Locaties[],3,FALSE),0)</f>
        <v>0</v>
      </c>
      <c r="AC787" s="33"/>
      <c r="AD787" s="33"/>
      <c r="AE787" s="33">
        <f>Ruimtestaat[[#This Row],[uren / jaar weekend]]*Tariefsopbouw!$D$40</f>
        <v>0</v>
      </c>
      <c r="AF787" s="79">
        <f>Ruimtestaat[[#This Row],[Prest. (m2 /jaar) weekend]]+Ruimtestaat[[#This Row],[Prest. (m2 /jaar) werkdagen]]</f>
        <v>10100</v>
      </c>
      <c r="AG787" s="79">
        <f>Ruimtestaat[[#This Row],[uren / jaar weekend]]+Ruimtestaat[[#This Row],[uren / jaar werkdagen]]</f>
        <v>0</v>
      </c>
      <c r="AH787" s="80">
        <f>Ruimtestaat[[#This Row],[kosten / jaar weekend]]+Ruimtestaat[[#This Row],[kosten / jaar werkdagen]]</f>
        <v>0</v>
      </c>
    </row>
    <row r="788" spans="1:34" ht="15" customHeight="1">
      <c r="A788" s="256">
        <v>11</v>
      </c>
      <c r="B788" s="171" t="str">
        <f>VLOOKUP(Ruimtestaat[[#This Row],[Code]],Locaties[#All],2,FALSE)</f>
        <v>De Bouwsteen / Het Fundament</v>
      </c>
      <c r="C788" s="258" t="str">
        <f>VLOOKUP(Ruimtestaat[[#This Row],[Code]],Locaties[#All],4,FALSE)</f>
        <v>Anna Reynvaanweg 50</v>
      </c>
      <c r="D788" s="258" t="str">
        <f>VLOOKUP(Ruimtestaat[[#This Row],[Code]],Locaties[#All],5,FALSE)</f>
        <v>7555SG</v>
      </c>
      <c r="E788" s="258" t="str">
        <f>VLOOKUP(Ruimtestaat[[#This Row],[Code]],Locaties[#All],6,FALSE)</f>
        <v>Hengelo</v>
      </c>
      <c r="F788" s="257"/>
      <c r="G788" s="257" t="s">
        <v>563</v>
      </c>
      <c r="H788" s="171"/>
      <c r="I788" s="257" t="s">
        <v>467</v>
      </c>
      <c r="J788" s="259" t="s">
        <v>569</v>
      </c>
      <c r="K788" s="258">
        <v>5</v>
      </c>
      <c r="L788" s="260" t="str">
        <f>VLOOKUP(Ruimtestaat[[#This Row],[Ruimte code]],Ruimtegroepen[#All],2,FALSE)</f>
        <v>Sanitair</v>
      </c>
      <c r="M788" s="212" t="s">
        <v>111</v>
      </c>
      <c r="N788" s="257" t="s">
        <v>595</v>
      </c>
      <c r="O788" s="261">
        <v>1.3</v>
      </c>
      <c r="P788" s="183"/>
      <c r="Q788" s="212" t="str">
        <f>VLOOKUP(Ruimtestaat[[#This Row],[Ruimte code]],Ruimtegroepen[#All],4,FALSE)</f>
        <v>S  (Sanitair)</v>
      </c>
      <c r="R788" s="184"/>
      <c r="S788" s="185">
        <v>40</v>
      </c>
      <c r="T788" s="185" t="s">
        <v>2</v>
      </c>
      <c r="U788" s="185">
        <f>IF(S788&gt;0,IF(RIGHT(Ruimtestaat[[#This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8" s="185">
        <f>IF(U788&gt;0,VLOOKUP($K788,Ruimtegroepen[],3,FALSE)*VLOOKUP($M788,Vloersoorten[],3,FALSE)*VLOOKUP($T788,Frequenties[],3,FALSE)*VLOOKUP($A788,Locaties[],3,FALSE),0)</f>
        <v>0</v>
      </c>
      <c r="W788" s="185">
        <f>Ruimtestaat[[#This Row],[Uitvoeringen werkdagen]]*Ruimtestaat[[#This Row],[Oppervlak (netto)]]</f>
        <v>260</v>
      </c>
      <c r="X788" s="220">
        <f>IF(V788&gt;0,Ruimtestaat[[#This Row],[Prest. (m2 /jaar) werkdagen]]/Ruimtestaat[[#This Row],[Norm (m2/uur) werkdagen]],0)</f>
        <v>0</v>
      </c>
      <c r="Y788" s="221">
        <f>Ruimtestaat[[#This Row],[uren / jaar werkdagen]]*Tariefsopbouw!$D$38</f>
        <v>0</v>
      </c>
      <c r="Z788" s="33"/>
      <c r="AA788" s="33">
        <f>IF(Ruimtestaat[[#This Row],[Frequentie weekend]]&gt;0,VALUE(LEFT(Z788,1))*S788,0)</f>
        <v>0</v>
      </c>
      <c r="AB788" s="33">
        <f>IF($AA788&gt;0,VLOOKUP($K788,Ruimtegroepen[],3,FALSE)*VLOOKUP($M788,Vloersoorten[],3,FALSE)*VLOOKUP($Z788,Frequenties[],3,FALSE)*VLOOKUP(#REF!,Locaties[],3,FALSE),0)</f>
        <v>0</v>
      </c>
      <c r="AC788" s="33"/>
      <c r="AD788" s="33"/>
      <c r="AE788" s="33">
        <f>Ruimtestaat[[#This Row],[uren / jaar weekend]]*Tariefsopbouw!$D$40</f>
        <v>0</v>
      </c>
      <c r="AF788" s="79">
        <f>Ruimtestaat[[#This Row],[Prest. (m2 /jaar) weekend]]+Ruimtestaat[[#This Row],[Prest. (m2 /jaar) werkdagen]]</f>
        <v>260</v>
      </c>
      <c r="AG788" s="79">
        <f>Ruimtestaat[[#This Row],[uren / jaar weekend]]+Ruimtestaat[[#This Row],[uren / jaar werkdagen]]</f>
        <v>0</v>
      </c>
      <c r="AH788" s="80">
        <f>Ruimtestaat[[#This Row],[kosten / jaar weekend]]+Ruimtestaat[[#This Row],[kosten / jaar werkdagen]]</f>
        <v>0</v>
      </c>
    </row>
    <row r="789" spans="1:34" ht="15" customHeight="1">
      <c r="A789" s="256">
        <v>11</v>
      </c>
      <c r="B789" s="171" t="str">
        <f>VLOOKUP(Ruimtestaat[[#This Row],[Code]],Locaties[#All],2,FALSE)</f>
        <v>De Bouwsteen / Het Fundament</v>
      </c>
      <c r="C789" s="258" t="str">
        <f>VLOOKUP(Ruimtestaat[[#This Row],[Code]],Locaties[#All],4,FALSE)</f>
        <v>Anna Reynvaanweg 50</v>
      </c>
      <c r="D789" s="258" t="str">
        <f>VLOOKUP(Ruimtestaat[[#This Row],[Code]],Locaties[#All],5,FALSE)</f>
        <v>7555SG</v>
      </c>
      <c r="E789" s="258" t="str">
        <f>VLOOKUP(Ruimtestaat[[#This Row],[Code]],Locaties[#All],6,FALSE)</f>
        <v>Hengelo</v>
      </c>
      <c r="F789" s="257"/>
      <c r="G789" s="257" t="s">
        <v>563</v>
      </c>
      <c r="H789" s="171"/>
      <c r="I789" s="257" t="s">
        <v>468</v>
      </c>
      <c r="J789" s="259" t="s">
        <v>568</v>
      </c>
      <c r="K789" s="171">
        <v>6</v>
      </c>
      <c r="L789" s="260" t="str">
        <f>VLOOKUP(Ruimtestaat[[#This Row],[Ruimte code]],Ruimtegroepen[#All],2,FALSE)</f>
        <v>Gangen/hallen</v>
      </c>
      <c r="M789" s="258" t="s">
        <v>598</v>
      </c>
      <c r="N789" s="257" t="s">
        <v>132</v>
      </c>
      <c r="O789" s="261">
        <v>2.1</v>
      </c>
      <c r="P789" s="183"/>
      <c r="Q789" s="212" t="str">
        <f>VLOOKUP(Ruimtestaat[[#This Row],[Ruimte code]],Ruimtegroepen[#All],4,FALSE)</f>
        <v>V  (Verkeersruimte)</v>
      </c>
      <c r="R789" s="184"/>
      <c r="S789" s="185">
        <v>40</v>
      </c>
      <c r="T789" s="185" t="s">
        <v>2</v>
      </c>
      <c r="U789" s="185">
        <f>IF(S789&gt;0,IF(RIGHT(Ruimtestaat[[#This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9" s="185">
        <f>IF(U789&gt;0,VLOOKUP($K789,Ruimtegroepen[],3,FALSE)*VLOOKUP($M789,Vloersoorten[],3,FALSE)*VLOOKUP($T789,Frequenties[],3,FALSE)*VLOOKUP($A789,Locaties[],3,FALSE),0)</f>
        <v>0</v>
      </c>
      <c r="W789" s="185">
        <f>Ruimtestaat[[#This Row],[Uitvoeringen werkdagen]]*Ruimtestaat[[#This Row],[Oppervlak (netto)]]</f>
        <v>420</v>
      </c>
      <c r="X789" s="220">
        <f>IF(V789&gt;0,Ruimtestaat[[#This Row],[Prest. (m2 /jaar) werkdagen]]/Ruimtestaat[[#This Row],[Norm (m2/uur) werkdagen]],0)</f>
        <v>0</v>
      </c>
      <c r="Y789" s="221">
        <f>Ruimtestaat[[#This Row],[uren / jaar werkdagen]]*Tariefsopbouw!$D$38</f>
        <v>0</v>
      </c>
      <c r="Z789" s="33"/>
      <c r="AA789" s="33">
        <f>IF(Ruimtestaat[[#This Row],[Frequentie weekend]]&gt;0,VALUE(LEFT(Z789,1))*S789,0)</f>
        <v>0</v>
      </c>
      <c r="AB789" s="33">
        <f>IF($AA789&gt;0,VLOOKUP($K789,Ruimtegroepen[],3,FALSE)*VLOOKUP($M789,Vloersoorten[],3,FALSE)*VLOOKUP($Z789,Frequenties[],3,FALSE)*VLOOKUP(#REF!,Locaties[],3,FALSE),0)</f>
        <v>0</v>
      </c>
      <c r="AC789" s="33"/>
      <c r="AD789" s="33"/>
      <c r="AE789" s="33">
        <f>Ruimtestaat[[#This Row],[uren / jaar weekend]]*Tariefsopbouw!$D$40</f>
        <v>0</v>
      </c>
      <c r="AF789" s="79">
        <f>Ruimtestaat[[#This Row],[Prest. (m2 /jaar) weekend]]+Ruimtestaat[[#This Row],[Prest. (m2 /jaar) werkdagen]]</f>
        <v>420</v>
      </c>
      <c r="AG789" s="79">
        <f>Ruimtestaat[[#This Row],[uren / jaar weekend]]+Ruimtestaat[[#This Row],[uren / jaar werkdagen]]</f>
        <v>0</v>
      </c>
      <c r="AH789" s="80">
        <f>Ruimtestaat[[#This Row],[kosten / jaar weekend]]+Ruimtestaat[[#This Row],[kosten / jaar werkdagen]]</f>
        <v>0</v>
      </c>
    </row>
    <row r="790" spans="1:34" ht="15" customHeight="1">
      <c r="A790" s="256">
        <v>11</v>
      </c>
      <c r="B790" s="171" t="str">
        <f>VLOOKUP(Ruimtestaat[[#This Row],[Code]],Locaties[#All],2,FALSE)</f>
        <v>De Bouwsteen / Het Fundament</v>
      </c>
      <c r="C790" s="258" t="str">
        <f>VLOOKUP(Ruimtestaat[[#This Row],[Code]],Locaties[#All],4,FALSE)</f>
        <v>Anna Reynvaanweg 50</v>
      </c>
      <c r="D790" s="258" t="str">
        <f>VLOOKUP(Ruimtestaat[[#This Row],[Code]],Locaties[#All],5,FALSE)</f>
        <v>7555SG</v>
      </c>
      <c r="E790" s="258" t="str">
        <f>VLOOKUP(Ruimtestaat[[#This Row],[Code]],Locaties[#All],6,FALSE)</f>
        <v>Hengelo</v>
      </c>
      <c r="F790" s="257"/>
      <c r="G790" s="257" t="s">
        <v>563</v>
      </c>
      <c r="H790" s="171"/>
      <c r="I790" s="257" t="s">
        <v>469</v>
      </c>
      <c r="J790" s="259" t="s">
        <v>567</v>
      </c>
      <c r="K790" s="171">
        <v>9</v>
      </c>
      <c r="L790" s="260" t="str">
        <f>VLOOKUP(Ruimtestaat[[#This Row],[Ruimte code]],Ruimtegroepen[#All],2,FALSE)</f>
        <v>Time-out ruimte</v>
      </c>
      <c r="M790" s="258" t="s">
        <v>598</v>
      </c>
      <c r="N790" s="257" t="s">
        <v>132</v>
      </c>
      <c r="O790" s="261">
        <v>4.3</v>
      </c>
      <c r="P790" s="183"/>
      <c r="Q790" s="212" t="str">
        <f>VLOOKUP(Ruimtestaat[[#This Row],[Ruimte code]],Ruimtegroepen[#All],4,FALSE)</f>
        <v>V  (Verkeersruimte)</v>
      </c>
      <c r="R790" s="184"/>
      <c r="S790" s="185">
        <v>40</v>
      </c>
      <c r="T790" s="185" t="s">
        <v>2</v>
      </c>
      <c r="U790" s="185">
        <f>IF(S790&gt;0,IF(RIGHT(Ruimtestaat[[#This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0" s="185">
        <f>IF(U790&gt;0,VLOOKUP($K790,Ruimtegroepen[],3,FALSE)*VLOOKUP($M790,Vloersoorten[],3,FALSE)*VLOOKUP($T790,Frequenties[],3,FALSE)*VLOOKUP($A790,Locaties[],3,FALSE),0)</f>
        <v>0</v>
      </c>
      <c r="W790" s="185">
        <f>Ruimtestaat[[#This Row],[Uitvoeringen werkdagen]]*Ruimtestaat[[#This Row],[Oppervlak (netto)]]</f>
        <v>860</v>
      </c>
      <c r="X790" s="220">
        <f>IF(V790&gt;0,Ruimtestaat[[#This Row],[Prest. (m2 /jaar) werkdagen]]/Ruimtestaat[[#This Row],[Norm (m2/uur) werkdagen]],0)</f>
        <v>0</v>
      </c>
      <c r="Y790" s="221">
        <f>Ruimtestaat[[#This Row],[uren / jaar werkdagen]]*Tariefsopbouw!$D$38</f>
        <v>0</v>
      </c>
      <c r="Z790" s="33"/>
      <c r="AA790" s="33">
        <f>IF(Ruimtestaat[[#This Row],[Frequentie weekend]]&gt;0,VALUE(LEFT(Z790,1))*S790,0)</f>
        <v>0</v>
      </c>
      <c r="AB790" s="33">
        <f>IF($AA790&gt;0,VLOOKUP($K790,Ruimtegroepen[],3,FALSE)*VLOOKUP($M790,Vloersoorten[],3,FALSE)*VLOOKUP($Z790,Frequenties[],3,FALSE)*VLOOKUP(#REF!,Locaties[],3,FALSE),0)</f>
        <v>0</v>
      </c>
      <c r="AC790" s="33"/>
      <c r="AD790" s="33"/>
      <c r="AE790" s="33">
        <f>Ruimtestaat[[#This Row],[uren / jaar weekend]]*Tariefsopbouw!$D$40</f>
        <v>0</v>
      </c>
      <c r="AF790" s="79">
        <f>Ruimtestaat[[#This Row],[Prest. (m2 /jaar) weekend]]+Ruimtestaat[[#This Row],[Prest. (m2 /jaar) werkdagen]]</f>
        <v>860</v>
      </c>
      <c r="AG790" s="79">
        <f>Ruimtestaat[[#This Row],[uren / jaar weekend]]+Ruimtestaat[[#This Row],[uren / jaar werkdagen]]</f>
        <v>0</v>
      </c>
      <c r="AH790" s="80">
        <f>Ruimtestaat[[#This Row],[kosten / jaar weekend]]+Ruimtestaat[[#This Row],[kosten / jaar werkdagen]]</f>
        <v>0</v>
      </c>
    </row>
    <row r="791" spans="1:34" ht="15" customHeight="1">
      <c r="A791" s="256">
        <v>11</v>
      </c>
      <c r="B791" s="171" t="str">
        <f>VLOOKUP(Ruimtestaat[[#This Row],[Code]],Locaties[#All],2,FALSE)</f>
        <v>De Bouwsteen / Het Fundament</v>
      </c>
      <c r="C791" s="258" t="str">
        <f>VLOOKUP(Ruimtestaat[[#This Row],[Code]],Locaties[#All],4,FALSE)</f>
        <v>Anna Reynvaanweg 50</v>
      </c>
      <c r="D791" s="258" t="str">
        <f>VLOOKUP(Ruimtestaat[[#This Row],[Code]],Locaties[#All],5,FALSE)</f>
        <v>7555SG</v>
      </c>
      <c r="E791" s="258" t="str">
        <f>VLOOKUP(Ruimtestaat[[#This Row],[Code]],Locaties[#All],6,FALSE)</f>
        <v>Hengelo</v>
      </c>
      <c r="F791" s="257"/>
      <c r="G791" s="257" t="s">
        <v>563</v>
      </c>
      <c r="H791" s="171"/>
      <c r="I791" s="257" t="s">
        <v>470</v>
      </c>
      <c r="J791" s="259" t="s">
        <v>567</v>
      </c>
      <c r="K791" s="171">
        <v>9</v>
      </c>
      <c r="L791" s="260" t="str">
        <f>VLOOKUP(Ruimtestaat[[#This Row],[Ruimte code]],Ruimtegroepen[#All],2,FALSE)</f>
        <v>Time-out ruimte</v>
      </c>
      <c r="M791" s="258" t="s">
        <v>598</v>
      </c>
      <c r="N791" s="257" t="s">
        <v>132</v>
      </c>
      <c r="O791" s="261">
        <v>4.3</v>
      </c>
      <c r="P791" s="183"/>
      <c r="Q791" s="212" t="str">
        <f>VLOOKUP(Ruimtestaat[[#This Row],[Ruimte code]],Ruimtegroepen[#All],4,FALSE)</f>
        <v>V  (Verkeersruimte)</v>
      </c>
      <c r="R791" s="184"/>
      <c r="S791" s="185">
        <v>40</v>
      </c>
      <c r="T791" s="185" t="s">
        <v>2</v>
      </c>
      <c r="U791" s="185">
        <f>IF(S791&gt;0,IF(RIGHT(Ruimtestaat[[#This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1" s="185">
        <f>IF(U791&gt;0,VLOOKUP($K791,Ruimtegroepen[],3,FALSE)*VLOOKUP($M791,Vloersoorten[],3,FALSE)*VLOOKUP($T791,Frequenties[],3,FALSE)*VLOOKUP($A791,Locaties[],3,FALSE),0)</f>
        <v>0</v>
      </c>
      <c r="W791" s="185">
        <f>Ruimtestaat[[#This Row],[Uitvoeringen werkdagen]]*Ruimtestaat[[#This Row],[Oppervlak (netto)]]</f>
        <v>860</v>
      </c>
      <c r="X791" s="220">
        <f>IF(V791&gt;0,Ruimtestaat[[#This Row],[Prest. (m2 /jaar) werkdagen]]/Ruimtestaat[[#This Row],[Norm (m2/uur) werkdagen]],0)</f>
        <v>0</v>
      </c>
      <c r="Y791" s="221">
        <f>Ruimtestaat[[#This Row],[uren / jaar werkdagen]]*Tariefsopbouw!$D$38</f>
        <v>0</v>
      </c>
      <c r="Z791" s="33"/>
      <c r="AA791" s="33">
        <f>IF(Ruimtestaat[[#This Row],[Frequentie weekend]]&gt;0,VALUE(LEFT(Z791,1))*S791,0)</f>
        <v>0</v>
      </c>
      <c r="AB791" s="33">
        <f>IF($AA791&gt;0,VLOOKUP($K791,Ruimtegroepen[],3,FALSE)*VLOOKUP($M791,Vloersoorten[],3,FALSE)*VLOOKUP($Z791,Frequenties[],3,FALSE)*VLOOKUP(#REF!,Locaties[],3,FALSE),0)</f>
        <v>0</v>
      </c>
      <c r="AC791" s="33"/>
      <c r="AD791" s="33"/>
      <c r="AE791" s="33">
        <f>Ruimtestaat[[#This Row],[uren / jaar weekend]]*Tariefsopbouw!$D$40</f>
        <v>0</v>
      </c>
      <c r="AF791" s="79">
        <f>Ruimtestaat[[#This Row],[Prest. (m2 /jaar) weekend]]+Ruimtestaat[[#This Row],[Prest. (m2 /jaar) werkdagen]]</f>
        <v>860</v>
      </c>
      <c r="AG791" s="79">
        <f>Ruimtestaat[[#This Row],[uren / jaar weekend]]+Ruimtestaat[[#This Row],[uren / jaar werkdagen]]</f>
        <v>0</v>
      </c>
      <c r="AH791" s="80">
        <f>Ruimtestaat[[#This Row],[kosten / jaar weekend]]+Ruimtestaat[[#This Row],[kosten / jaar werkdagen]]</f>
        <v>0</v>
      </c>
    </row>
    <row r="792" spans="1:34" ht="15" customHeight="1">
      <c r="A792" s="256">
        <v>11</v>
      </c>
      <c r="B792" s="171" t="str">
        <f>VLOOKUP(Ruimtestaat[[#This Row],[Code]],Locaties[#All],2,FALSE)</f>
        <v>De Bouwsteen / Het Fundament</v>
      </c>
      <c r="C792" s="258" t="str">
        <f>VLOOKUP(Ruimtestaat[[#This Row],[Code]],Locaties[#All],4,FALSE)</f>
        <v>Anna Reynvaanweg 50</v>
      </c>
      <c r="D792" s="258" t="str">
        <f>VLOOKUP(Ruimtestaat[[#This Row],[Code]],Locaties[#All],5,FALSE)</f>
        <v>7555SG</v>
      </c>
      <c r="E792" s="258" t="str">
        <f>VLOOKUP(Ruimtestaat[[#This Row],[Code]],Locaties[#All],6,FALSE)</f>
        <v>Hengelo</v>
      </c>
      <c r="F792" s="257"/>
      <c r="G792" s="257" t="s">
        <v>563</v>
      </c>
      <c r="H792" s="171"/>
      <c r="I792" s="257" t="s">
        <v>471</v>
      </c>
      <c r="J792" s="259" t="s">
        <v>568</v>
      </c>
      <c r="K792" s="171">
        <v>6</v>
      </c>
      <c r="L792" s="260" t="str">
        <f>VLOOKUP(Ruimtestaat[[#This Row],[Ruimte code]],Ruimtegroepen[#All],2,FALSE)</f>
        <v>Gangen/hallen</v>
      </c>
      <c r="M792" s="258" t="s">
        <v>598</v>
      </c>
      <c r="N792" s="257" t="s">
        <v>132</v>
      </c>
      <c r="O792" s="261">
        <v>2.1</v>
      </c>
      <c r="P792" s="183"/>
      <c r="Q792" s="212" t="str">
        <f>VLOOKUP(Ruimtestaat[[#This Row],[Ruimte code]],Ruimtegroepen[#All],4,FALSE)</f>
        <v>V  (Verkeersruimte)</v>
      </c>
      <c r="R792" s="184"/>
      <c r="S792" s="185">
        <v>40</v>
      </c>
      <c r="T792" s="185" t="s">
        <v>2</v>
      </c>
      <c r="U792" s="185">
        <f>IF(S792&gt;0,IF(RIGHT(Ruimtestaat[[#This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2" s="185">
        <f>IF(U792&gt;0,VLOOKUP($K792,Ruimtegroepen[],3,FALSE)*VLOOKUP($M792,Vloersoorten[],3,FALSE)*VLOOKUP($T792,Frequenties[],3,FALSE)*VLOOKUP($A792,Locaties[],3,FALSE),0)</f>
        <v>0</v>
      </c>
      <c r="W792" s="185">
        <f>Ruimtestaat[[#This Row],[Uitvoeringen werkdagen]]*Ruimtestaat[[#This Row],[Oppervlak (netto)]]</f>
        <v>420</v>
      </c>
      <c r="X792" s="220">
        <f>IF(V792&gt;0,Ruimtestaat[[#This Row],[Prest. (m2 /jaar) werkdagen]]/Ruimtestaat[[#This Row],[Norm (m2/uur) werkdagen]],0)</f>
        <v>0</v>
      </c>
      <c r="Y792" s="221">
        <f>Ruimtestaat[[#This Row],[uren / jaar werkdagen]]*Tariefsopbouw!$D$38</f>
        <v>0</v>
      </c>
      <c r="Z792" s="33"/>
      <c r="AA792" s="33">
        <f>IF(Ruimtestaat[[#This Row],[Frequentie weekend]]&gt;0,VALUE(LEFT(Z792,1))*S792,0)</f>
        <v>0</v>
      </c>
      <c r="AB792" s="33">
        <f>IF($AA792&gt;0,VLOOKUP($K792,Ruimtegroepen[],3,FALSE)*VLOOKUP($M792,Vloersoorten[],3,FALSE)*VLOOKUP($Z792,Frequenties[],3,FALSE)*VLOOKUP(#REF!,Locaties[],3,FALSE),0)</f>
        <v>0</v>
      </c>
      <c r="AC792" s="33"/>
      <c r="AD792" s="33"/>
      <c r="AE792" s="33">
        <f>Ruimtestaat[[#This Row],[uren / jaar weekend]]*Tariefsopbouw!$D$40</f>
        <v>0</v>
      </c>
      <c r="AF792" s="79">
        <f>Ruimtestaat[[#This Row],[Prest. (m2 /jaar) weekend]]+Ruimtestaat[[#This Row],[Prest. (m2 /jaar) werkdagen]]</f>
        <v>420</v>
      </c>
      <c r="AG792" s="79">
        <f>Ruimtestaat[[#This Row],[uren / jaar weekend]]+Ruimtestaat[[#This Row],[uren / jaar werkdagen]]</f>
        <v>0</v>
      </c>
      <c r="AH792" s="80">
        <f>Ruimtestaat[[#This Row],[kosten / jaar weekend]]+Ruimtestaat[[#This Row],[kosten / jaar werkdagen]]</f>
        <v>0</v>
      </c>
    </row>
    <row r="793" spans="1:34" ht="15" customHeight="1">
      <c r="A793" s="256">
        <v>11</v>
      </c>
      <c r="B793" s="171" t="str">
        <f>VLOOKUP(Ruimtestaat[[#This Row],[Code]],Locaties[#All],2,FALSE)</f>
        <v>De Bouwsteen / Het Fundament</v>
      </c>
      <c r="C793" s="258" t="str">
        <f>VLOOKUP(Ruimtestaat[[#This Row],[Code]],Locaties[#All],4,FALSE)</f>
        <v>Anna Reynvaanweg 50</v>
      </c>
      <c r="D793" s="258" t="str">
        <f>VLOOKUP(Ruimtestaat[[#This Row],[Code]],Locaties[#All],5,FALSE)</f>
        <v>7555SG</v>
      </c>
      <c r="E793" s="258" t="str">
        <f>VLOOKUP(Ruimtestaat[[#This Row],[Code]],Locaties[#All],6,FALSE)</f>
        <v>Hengelo</v>
      </c>
      <c r="F793" s="257"/>
      <c r="G793" s="257" t="s">
        <v>563</v>
      </c>
      <c r="H793" s="171"/>
      <c r="I793" s="257" t="s">
        <v>472</v>
      </c>
      <c r="J793" s="259" t="s">
        <v>569</v>
      </c>
      <c r="K793" s="258">
        <v>5</v>
      </c>
      <c r="L793" s="260" t="str">
        <f>VLOOKUP(Ruimtestaat[[#This Row],[Ruimte code]],Ruimtegroepen[#All],2,FALSE)</f>
        <v>Sanitair</v>
      </c>
      <c r="M793" s="212" t="s">
        <v>111</v>
      </c>
      <c r="N793" s="257" t="s">
        <v>595</v>
      </c>
      <c r="O793" s="261">
        <v>1.3</v>
      </c>
      <c r="P793" s="183"/>
      <c r="Q793" s="212" t="str">
        <f>VLOOKUP(Ruimtestaat[[#This Row],[Ruimte code]],Ruimtegroepen[#All],4,FALSE)</f>
        <v>S  (Sanitair)</v>
      </c>
      <c r="R793" s="184"/>
      <c r="S793" s="185">
        <v>40</v>
      </c>
      <c r="T793" s="185" t="s">
        <v>2</v>
      </c>
      <c r="U793" s="185">
        <f>IF(S793&gt;0,IF(RIGHT(Ruimtestaat[[#This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3" s="185">
        <f>IF(U793&gt;0,VLOOKUP($K793,Ruimtegroepen[],3,FALSE)*VLOOKUP($M793,Vloersoorten[],3,FALSE)*VLOOKUP($T793,Frequenties[],3,FALSE)*VLOOKUP($A793,Locaties[],3,FALSE),0)</f>
        <v>0</v>
      </c>
      <c r="W793" s="185">
        <f>Ruimtestaat[[#This Row],[Uitvoeringen werkdagen]]*Ruimtestaat[[#This Row],[Oppervlak (netto)]]</f>
        <v>260</v>
      </c>
      <c r="X793" s="220">
        <f>IF(V793&gt;0,Ruimtestaat[[#This Row],[Prest. (m2 /jaar) werkdagen]]/Ruimtestaat[[#This Row],[Norm (m2/uur) werkdagen]],0)</f>
        <v>0</v>
      </c>
      <c r="Y793" s="221">
        <f>Ruimtestaat[[#This Row],[uren / jaar werkdagen]]*Tariefsopbouw!$D$38</f>
        <v>0</v>
      </c>
      <c r="Z793" s="33"/>
      <c r="AA793" s="33">
        <f>IF(Ruimtestaat[[#This Row],[Frequentie weekend]]&gt;0,VALUE(LEFT(Z793,1))*S793,0)</f>
        <v>0</v>
      </c>
      <c r="AB793" s="33">
        <f>IF($AA793&gt;0,VLOOKUP($K793,Ruimtegroepen[],3,FALSE)*VLOOKUP($M793,Vloersoorten[],3,FALSE)*VLOOKUP($Z793,Frequenties[],3,FALSE)*VLOOKUP(#REF!,Locaties[],3,FALSE),0)</f>
        <v>0</v>
      </c>
      <c r="AC793" s="33"/>
      <c r="AD793" s="33"/>
      <c r="AE793" s="33">
        <f>Ruimtestaat[[#This Row],[uren / jaar weekend]]*Tariefsopbouw!$D$40</f>
        <v>0</v>
      </c>
      <c r="AF793" s="79">
        <f>Ruimtestaat[[#This Row],[Prest. (m2 /jaar) weekend]]+Ruimtestaat[[#This Row],[Prest. (m2 /jaar) werkdagen]]</f>
        <v>260</v>
      </c>
      <c r="AG793" s="79">
        <f>Ruimtestaat[[#This Row],[uren / jaar weekend]]+Ruimtestaat[[#This Row],[uren / jaar werkdagen]]</f>
        <v>0</v>
      </c>
      <c r="AH793" s="80">
        <f>Ruimtestaat[[#This Row],[kosten / jaar weekend]]+Ruimtestaat[[#This Row],[kosten / jaar werkdagen]]</f>
        <v>0</v>
      </c>
    </row>
    <row r="794" spans="1:34" ht="15" customHeight="1">
      <c r="A794" s="256">
        <v>11</v>
      </c>
      <c r="B794" s="171" t="str">
        <f>VLOOKUP(Ruimtestaat[[#This Row],[Code]],Locaties[#All],2,FALSE)</f>
        <v>De Bouwsteen / Het Fundament</v>
      </c>
      <c r="C794" s="258" t="str">
        <f>VLOOKUP(Ruimtestaat[[#This Row],[Code]],Locaties[#All],4,FALSE)</f>
        <v>Anna Reynvaanweg 50</v>
      </c>
      <c r="D794" s="258" t="str">
        <f>VLOOKUP(Ruimtestaat[[#This Row],[Code]],Locaties[#All],5,FALSE)</f>
        <v>7555SG</v>
      </c>
      <c r="E794" s="258" t="str">
        <f>VLOOKUP(Ruimtestaat[[#This Row],[Code]],Locaties[#All],6,FALSE)</f>
        <v>Hengelo</v>
      </c>
      <c r="F794" s="257"/>
      <c r="G794" s="257" t="s">
        <v>563</v>
      </c>
      <c r="H794" s="171"/>
      <c r="I794" s="257" t="s">
        <v>473</v>
      </c>
      <c r="J794" s="259" t="s">
        <v>576</v>
      </c>
      <c r="K794" s="258">
        <v>16</v>
      </c>
      <c r="L794" s="260" t="str">
        <f>VLOOKUP(Ruimtestaat[[#This Row],[Ruimte code]],Ruimtegroepen[#All],2,FALSE)</f>
        <v>Leslokalen</v>
      </c>
      <c r="M794" s="185" t="s">
        <v>598</v>
      </c>
      <c r="N794" s="257" t="s">
        <v>132</v>
      </c>
      <c r="O794" s="261">
        <v>50.2</v>
      </c>
      <c r="P794" s="183"/>
      <c r="Q794" s="212" t="str">
        <f>VLOOKUP(Ruimtestaat[[#This Row],[Ruimte code]],Ruimtegroepen[#All],4,FALSE)</f>
        <v>L  (Lesruimte)</v>
      </c>
      <c r="R794" s="184"/>
      <c r="S794" s="185">
        <v>40</v>
      </c>
      <c r="T794" s="185" t="s">
        <v>2</v>
      </c>
      <c r="U794" s="185">
        <f>IF(S794&gt;0,IF(RIGHT(Ruimtestaat[[#This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4" s="185">
        <f>IF(U794&gt;0,VLOOKUP($K794,Ruimtegroepen[],3,FALSE)*VLOOKUP($M794,Vloersoorten[],3,FALSE)*VLOOKUP($T794,Frequenties[],3,FALSE)*VLOOKUP($A794,Locaties[],3,FALSE),0)</f>
        <v>0</v>
      </c>
      <c r="W794" s="185">
        <f>Ruimtestaat[[#This Row],[Uitvoeringen werkdagen]]*Ruimtestaat[[#This Row],[Oppervlak (netto)]]</f>
        <v>10040</v>
      </c>
      <c r="X794" s="220">
        <f>IF(V794&gt;0,Ruimtestaat[[#This Row],[Prest. (m2 /jaar) werkdagen]]/Ruimtestaat[[#This Row],[Norm (m2/uur) werkdagen]],0)</f>
        <v>0</v>
      </c>
      <c r="Y794" s="221">
        <f>Ruimtestaat[[#This Row],[uren / jaar werkdagen]]*Tariefsopbouw!$D$38</f>
        <v>0</v>
      </c>
      <c r="Z794" s="33"/>
      <c r="AA794" s="33">
        <f>IF(Ruimtestaat[[#This Row],[Frequentie weekend]]&gt;0,VALUE(LEFT(Z794,1))*S794,0)</f>
        <v>0</v>
      </c>
      <c r="AB794" s="33">
        <f>IF($AA794&gt;0,VLOOKUP($K794,Ruimtegroepen[],3,FALSE)*VLOOKUP($M794,Vloersoorten[],3,FALSE)*VLOOKUP($Z794,Frequenties[],3,FALSE)*VLOOKUP(#REF!,Locaties[],3,FALSE),0)</f>
        <v>0</v>
      </c>
      <c r="AC794" s="33"/>
      <c r="AD794" s="33"/>
      <c r="AE794" s="33">
        <f>Ruimtestaat[[#This Row],[uren / jaar weekend]]*Tariefsopbouw!$D$40</f>
        <v>0</v>
      </c>
      <c r="AF794" s="79">
        <f>Ruimtestaat[[#This Row],[Prest. (m2 /jaar) weekend]]+Ruimtestaat[[#This Row],[Prest. (m2 /jaar) werkdagen]]</f>
        <v>10040</v>
      </c>
      <c r="AG794" s="79">
        <f>Ruimtestaat[[#This Row],[uren / jaar weekend]]+Ruimtestaat[[#This Row],[uren / jaar werkdagen]]</f>
        <v>0</v>
      </c>
      <c r="AH794" s="80">
        <f>Ruimtestaat[[#This Row],[kosten / jaar weekend]]+Ruimtestaat[[#This Row],[kosten / jaar werkdagen]]</f>
        <v>0</v>
      </c>
    </row>
    <row r="795" spans="1:34" ht="15" customHeight="1">
      <c r="A795" s="256">
        <v>11</v>
      </c>
      <c r="B795" s="171" t="str">
        <f>VLOOKUP(Ruimtestaat[[#This Row],[Code]],Locaties[#All],2,FALSE)</f>
        <v>De Bouwsteen / Het Fundament</v>
      </c>
      <c r="C795" s="258" t="str">
        <f>VLOOKUP(Ruimtestaat[[#This Row],[Code]],Locaties[#All],4,FALSE)</f>
        <v>Anna Reynvaanweg 50</v>
      </c>
      <c r="D795" s="258" t="str">
        <f>VLOOKUP(Ruimtestaat[[#This Row],[Code]],Locaties[#All],5,FALSE)</f>
        <v>7555SG</v>
      </c>
      <c r="E795" s="258" t="str">
        <f>VLOOKUP(Ruimtestaat[[#This Row],[Code]],Locaties[#All],6,FALSE)</f>
        <v>Hengelo</v>
      </c>
      <c r="F795" s="257"/>
      <c r="G795" s="257" t="s">
        <v>563</v>
      </c>
      <c r="H795" s="171"/>
      <c r="I795" s="257" t="s">
        <v>474</v>
      </c>
      <c r="J795" s="259" t="s">
        <v>576</v>
      </c>
      <c r="K795" s="258">
        <v>16</v>
      </c>
      <c r="L795" s="260" t="str">
        <f>VLOOKUP(Ruimtestaat[[#This Row],[Ruimte code]],Ruimtegroepen[#All],2,FALSE)</f>
        <v>Leslokalen</v>
      </c>
      <c r="M795" s="185" t="s">
        <v>598</v>
      </c>
      <c r="N795" s="257" t="s">
        <v>132</v>
      </c>
      <c r="O795" s="261">
        <v>50.2</v>
      </c>
      <c r="P795" s="183"/>
      <c r="Q795" s="212" t="str">
        <f>VLOOKUP(Ruimtestaat[[#This Row],[Ruimte code]],Ruimtegroepen[#All],4,FALSE)</f>
        <v>L  (Lesruimte)</v>
      </c>
      <c r="R795" s="184"/>
      <c r="S795" s="185">
        <v>40</v>
      </c>
      <c r="T795" s="185" t="s">
        <v>2</v>
      </c>
      <c r="U795" s="185">
        <f>IF(S795&gt;0,IF(RIGHT(Ruimtestaat[[#This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5" s="185">
        <f>IF(U795&gt;0,VLOOKUP($K795,Ruimtegroepen[],3,FALSE)*VLOOKUP($M795,Vloersoorten[],3,FALSE)*VLOOKUP($T795,Frequenties[],3,FALSE)*VLOOKUP($A795,Locaties[],3,FALSE),0)</f>
        <v>0</v>
      </c>
      <c r="W795" s="185">
        <f>Ruimtestaat[[#This Row],[Uitvoeringen werkdagen]]*Ruimtestaat[[#This Row],[Oppervlak (netto)]]</f>
        <v>10040</v>
      </c>
      <c r="X795" s="220">
        <f>IF(V795&gt;0,Ruimtestaat[[#This Row],[Prest. (m2 /jaar) werkdagen]]/Ruimtestaat[[#This Row],[Norm (m2/uur) werkdagen]],0)</f>
        <v>0</v>
      </c>
      <c r="Y795" s="221">
        <f>Ruimtestaat[[#This Row],[uren / jaar werkdagen]]*Tariefsopbouw!$D$38</f>
        <v>0</v>
      </c>
      <c r="Z795" s="33"/>
      <c r="AA795" s="33">
        <f>IF(Ruimtestaat[[#This Row],[Frequentie weekend]]&gt;0,VALUE(LEFT(Z795,1))*S795,0)</f>
        <v>0</v>
      </c>
      <c r="AB795" s="33">
        <f>IF($AA795&gt;0,VLOOKUP($K795,Ruimtegroepen[],3,FALSE)*VLOOKUP($M795,Vloersoorten[],3,FALSE)*VLOOKUP($Z795,Frequenties[],3,FALSE)*VLOOKUP(#REF!,Locaties[],3,FALSE),0)</f>
        <v>0</v>
      </c>
      <c r="AC795" s="33"/>
      <c r="AD795" s="33"/>
      <c r="AE795" s="33">
        <f>Ruimtestaat[[#This Row],[uren / jaar weekend]]*Tariefsopbouw!$D$40</f>
        <v>0</v>
      </c>
      <c r="AF795" s="79">
        <f>Ruimtestaat[[#This Row],[Prest. (m2 /jaar) weekend]]+Ruimtestaat[[#This Row],[Prest. (m2 /jaar) werkdagen]]</f>
        <v>10040</v>
      </c>
      <c r="AG795" s="79">
        <f>Ruimtestaat[[#This Row],[uren / jaar weekend]]+Ruimtestaat[[#This Row],[uren / jaar werkdagen]]</f>
        <v>0</v>
      </c>
      <c r="AH795" s="80">
        <f>Ruimtestaat[[#This Row],[kosten / jaar weekend]]+Ruimtestaat[[#This Row],[kosten / jaar werkdagen]]</f>
        <v>0</v>
      </c>
    </row>
    <row r="796" spans="1:34" ht="15" customHeight="1">
      <c r="A796" s="256">
        <v>11</v>
      </c>
      <c r="B796" s="171" t="str">
        <f>VLOOKUP(Ruimtestaat[[#This Row],[Code]],Locaties[#All],2,FALSE)</f>
        <v>De Bouwsteen / Het Fundament</v>
      </c>
      <c r="C796" s="258" t="str">
        <f>VLOOKUP(Ruimtestaat[[#This Row],[Code]],Locaties[#All],4,FALSE)</f>
        <v>Anna Reynvaanweg 50</v>
      </c>
      <c r="D796" s="258" t="str">
        <f>VLOOKUP(Ruimtestaat[[#This Row],[Code]],Locaties[#All],5,FALSE)</f>
        <v>7555SG</v>
      </c>
      <c r="E796" s="258" t="str">
        <f>VLOOKUP(Ruimtestaat[[#This Row],[Code]],Locaties[#All],6,FALSE)</f>
        <v>Hengelo</v>
      </c>
      <c r="F796" s="257"/>
      <c r="G796" s="257" t="s">
        <v>563</v>
      </c>
      <c r="H796" s="171"/>
      <c r="I796" s="257" t="s">
        <v>475</v>
      </c>
      <c r="J796" s="259" t="s">
        <v>569</v>
      </c>
      <c r="K796" s="171">
        <v>5</v>
      </c>
      <c r="L796" s="260" t="str">
        <f>VLOOKUP(Ruimtestaat[[#This Row],[Ruimte code]],Ruimtegroepen[#All],2,FALSE)</f>
        <v>Sanitair</v>
      </c>
      <c r="M796" s="212" t="s">
        <v>111</v>
      </c>
      <c r="N796" s="257" t="s">
        <v>595</v>
      </c>
      <c r="O796" s="261">
        <v>1.3</v>
      </c>
      <c r="P796" s="183"/>
      <c r="Q796" s="212" t="str">
        <f>VLOOKUP(Ruimtestaat[[#This Row],[Ruimte code]],Ruimtegroepen[#All],4,FALSE)</f>
        <v>S  (Sanitair)</v>
      </c>
      <c r="R796" s="184"/>
      <c r="S796" s="185">
        <v>40</v>
      </c>
      <c r="T796" s="185" t="s">
        <v>2</v>
      </c>
      <c r="U796" s="185">
        <f>IF(S796&gt;0,IF(RIGHT(Ruimtestaat[[#This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6" s="185">
        <f>IF(U796&gt;0,VLOOKUP($K796,Ruimtegroepen[],3,FALSE)*VLOOKUP($M796,Vloersoorten[],3,FALSE)*VLOOKUP($T796,Frequenties[],3,FALSE)*VLOOKUP($A796,Locaties[],3,FALSE),0)</f>
        <v>0</v>
      </c>
      <c r="W796" s="185">
        <f>Ruimtestaat[[#This Row],[Uitvoeringen werkdagen]]*Ruimtestaat[[#This Row],[Oppervlak (netto)]]</f>
        <v>260</v>
      </c>
      <c r="X796" s="220">
        <f>IF(V796&gt;0,Ruimtestaat[[#This Row],[Prest. (m2 /jaar) werkdagen]]/Ruimtestaat[[#This Row],[Norm (m2/uur) werkdagen]],0)</f>
        <v>0</v>
      </c>
      <c r="Y796" s="221">
        <f>Ruimtestaat[[#This Row],[uren / jaar werkdagen]]*Tariefsopbouw!$D$38</f>
        <v>0</v>
      </c>
      <c r="Z796" s="33"/>
      <c r="AA796" s="33">
        <f>IF(Ruimtestaat[[#This Row],[Frequentie weekend]]&gt;0,VALUE(LEFT(Z796,1))*S796,0)</f>
        <v>0</v>
      </c>
      <c r="AB796" s="33">
        <f>IF($AA796&gt;0,VLOOKUP($K796,Ruimtegroepen[],3,FALSE)*VLOOKUP($M796,Vloersoorten[],3,FALSE)*VLOOKUP($Z796,Frequenties[],3,FALSE)*VLOOKUP(#REF!,Locaties[],3,FALSE),0)</f>
        <v>0</v>
      </c>
      <c r="AC796" s="33"/>
      <c r="AD796" s="33"/>
      <c r="AE796" s="33">
        <f>Ruimtestaat[[#This Row],[uren / jaar weekend]]*Tariefsopbouw!$D$40</f>
        <v>0</v>
      </c>
      <c r="AF796" s="79">
        <f>Ruimtestaat[[#This Row],[Prest. (m2 /jaar) weekend]]+Ruimtestaat[[#This Row],[Prest. (m2 /jaar) werkdagen]]</f>
        <v>260</v>
      </c>
      <c r="AG796" s="79">
        <f>Ruimtestaat[[#This Row],[uren / jaar weekend]]+Ruimtestaat[[#This Row],[uren / jaar werkdagen]]</f>
        <v>0</v>
      </c>
      <c r="AH796" s="80">
        <f>Ruimtestaat[[#This Row],[kosten / jaar weekend]]+Ruimtestaat[[#This Row],[kosten / jaar werkdagen]]</f>
        <v>0</v>
      </c>
    </row>
    <row r="797" spans="1:34" ht="15" customHeight="1">
      <c r="A797" s="256">
        <v>11</v>
      </c>
      <c r="B797" s="171" t="str">
        <f>VLOOKUP(Ruimtestaat[[#This Row],[Code]],Locaties[#All],2,FALSE)</f>
        <v>De Bouwsteen / Het Fundament</v>
      </c>
      <c r="C797" s="258" t="str">
        <f>VLOOKUP(Ruimtestaat[[#This Row],[Code]],Locaties[#All],4,FALSE)</f>
        <v>Anna Reynvaanweg 50</v>
      </c>
      <c r="D797" s="258" t="str">
        <f>VLOOKUP(Ruimtestaat[[#This Row],[Code]],Locaties[#All],5,FALSE)</f>
        <v>7555SG</v>
      </c>
      <c r="E797" s="258" t="str">
        <f>VLOOKUP(Ruimtestaat[[#This Row],[Code]],Locaties[#All],6,FALSE)</f>
        <v>Hengelo</v>
      </c>
      <c r="F797" s="257"/>
      <c r="G797" s="257" t="s">
        <v>563</v>
      </c>
      <c r="H797" s="171"/>
      <c r="I797" s="257" t="s">
        <v>476</v>
      </c>
      <c r="J797" s="259" t="s">
        <v>568</v>
      </c>
      <c r="K797" s="185">
        <v>6</v>
      </c>
      <c r="L797" s="260" t="str">
        <f>VLOOKUP(Ruimtestaat[[#This Row],[Ruimte code]],Ruimtegroepen[#All],2,FALSE)</f>
        <v>Gangen/hallen</v>
      </c>
      <c r="M797" s="258" t="s">
        <v>598</v>
      </c>
      <c r="N797" s="257" t="s">
        <v>132</v>
      </c>
      <c r="O797" s="261">
        <v>2.1</v>
      </c>
      <c r="P797" s="183"/>
      <c r="Q797" s="212" t="str">
        <f>VLOOKUP(Ruimtestaat[[#This Row],[Ruimte code]],Ruimtegroepen[#All],4,FALSE)</f>
        <v>V  (Verkeersruimte)</v>
      </c>
      <c r="R797" s="184"/>
      <c r="S797" s="185">
        <v>40</v>
      </c>
      <c r="T797" s="185" t="s">
        <v>2</v>
      </c>
      <c r="U797" s="185">
        <f>IF(S797&gt;0,IF(RIGHT(Ruimtestaat[[#This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7" s="185">
        <f>IF(U797&gt;0,VLOOKUP($K797,Ruimtegroepen[],3,FALSE)*VLOOKUP($M797,Vloersoorten[],3,FALSE)*VLOOKUP($T797,Frequenties[],3,FALSE)*VLOOKUP($A797,Locaties[],3,FALSE),0)</f>
        <v>0</v>
      </c>
      <c r="W797" s="185">
        <f>Ruimtestaat[[#This Row],[Uitvoeringen werkdagen]]*Ruimtestaat[[#This Row],[Oppervlak (netto)]]</f>
        <v>420</v>
      </c>
      <c r="X797" s="220">
        <f>IF(V797&gt;0,Ruimtestaat[[#This Row],[Prest. (m2 /jaar) werkdagen]]/Ruimtestaat[[#This Row],[Norm (m2/uur) werkdagen]],0)</f>
        <v>0</v>
      </c>
      <c r="Y797" s="221">
        <f>Ruimtestaat[[#This Row],[uren / jaar werkdagen]]*Tariefsopbouw!$D$38</f>
        <v>0</v>
      </c>
      <c r="Z797" s="33"/>
      <c r="AA797" s="33">
        <f>IF(Ruimtestaat[[#This Row],[Frequentie weekend]]&gt;0,VALUE(LEFT(Z797,1))*S797,0)</f>
        <v>0</v>
      </c>
      <c r="AB797" s="33">
        <f>IF($AA797&gt;0,VLOOKUP($K797,Ruimtegroepen[],3,FALSE)*VLOOKUP($M797,Vloersoorten[],3,FALSE)*VLOOKUP($Z797,Frequenties[],3,FALSE)*VLOOKUP(#REF!,Locaties[],3,FALSE),0)</f>
        <v>0</v>
      </c>
      <c r="AC797" s="33"/>
      <c r="AD797" s="33"/>
      <c r="AE797" s="33">
        <f>Ruimtestaat[[#This Row],[uren / jaar weekend]]*Tariefsopbouw!$D$40</f>
        <v>0</v>
      </c>
      <c r="AF797" s="79">
        <f>Ruimtestaat[[#This Row],[Prest. (m2 /jaar) weekend]]+Ruimtestaat[[#This Row],[Prest. (m2 /jaar) werkdagen]]</f>
        <v>420</v>
      </c>
      <c r="AG797" s="79">
        <f>Ruimtestaat[[#This Row],[uren / jaar weekend]]+Ruimtestaat[[#This Row],[uren / jaar werkdagen]]</f>
        <v>0</v>
      </c>
      <c r="AH797" s="80">
        <f>Ruimtestaat[[#This Row],[kosten / jaar weekend]]+Ruimtestaat[[#This Row],[kosten / jaar werkdagen]]</f>
        <v>0</v>
      </c>
    </row>
    <row r="798" spans="1:34" ht="15" customHeight="1">
      <c r="A798" s="256">
        <v>11</v>
      </c>
      <c r="B798" s="171" t="str">
        <f>VLOOKUP(Ruimtestaat[[#This Row],[Code]],Locaties[#All],2,FALSE)</f>
        <v>De Bouwsteen / Het Fundament</v>
      </c>
      <c r="C798" s="258" t="str">
        <f>VLOOKUP(Ruimtestaat[[#This Row],[Code]],Locaties[#All],4,FALSE)</f>
        <v>Anna Reynvaanweg 50</v>
      </c>
      <c r="D798" s="258" t="str">
        <f>VLOOKUP(Ruimtestaat[[#This Row],[Code]],Locaties[#All],5,FALSE)</f>
        <v>7555SG</v>
      </c>
      <c r="E798" s="258" t="str">
        <f>VLOOKUP(Ruimtestaat[[#This Row],[Code]],Locaties[#All],6,FALSE)</f>
        <v>Hengelo</v>
      </c>
      <c r="F798" s="257"/>
      <c r="G798" s="257" t="s">
        <v>563</v>
      </c>
      <c r="H798" s="171"/>
      <c r="I798" s="257" t="s">
        <v>477</v>
      </c>
      <c r="J798" s="259" t="s">
        <v>567</v>
      </c>
      <c r="K798" s="171">
        <v>9</v>
      </c>
      <c r="L798" s="260" t="str">
        <f>VLOOKUP(Ruimtestaat[[#This Row],[Ruimte code]],Ruimtegroepen[#All],2,FALSE)</f>
        <v>Time-out ruimte</v>
      </c>
      <c r="M798" s="258" t="s">
        <v>598</v>
      </c>
      <c r="N798" s="257" t="s">
        <v>132</v>
      </c>
      <c r="O798" s="261">
        <v>4.9000000000000004</v>
      </c>
      <c r="P798" s="183"/>
      <c r="Q798" s="212" t="str">
        <f>VLOOKUP(Ruimtestaat[[#This Row],[Ruimte code]],Ruimtegroepen[#All],4,FALSE)</f>
        <v>V  (Verkeersruimte)</v>
      </c>
      <c r="R798" s="184"/>
      <c r="S798" s="185">
        <v>40</v>
      </c>
      <c r="T798" s="185" t="s">
        <v>2</v>
      </c>
      <c r="U798" s="185">
        <f>IF(S798&gt;0,IF(RIGHT(Ruimtestaat[[#This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8" s="185">
        <f>IF(U798&gt;0,VLOOKUP($K798,Ruimtegroepen[],3,FALSE)*VLOOKUP($M798,Vloersoorten[],3,FALSE)*VLOOKUP($T798,Frequenties[],3,FALSE)*VLOOKUP($A798,Locaties[],3,FALSE),0)</f>
        <v>0</v>
      </c>
      <c r="W798" s="185">
        <f>Ruimtestaat[[#This Row],[Uitvoeringen werkdagen]]*Ruimtestaat[[#This Row],[Oppervlak (netto)]]</f>
        <v>980.00000000000011</v>
      </c>
      <c r="X798" s="220">
        <f>IF(V798&gt;0,Ruimtestaat[[#This Row],[Prest. (m2 /jaar) werkdagen]]/Ruimtestaat[[#This Row],[Norm (m2/uur) werkdagen]],0)</f>
        <v>0</v>
      </c>
      <c r="Y798" s="221">
        <f>Ruimtestaat[[#This Row],[uren / jaar werkdagen]]*Tariefsopbouw!$D$38</f>
        <v>0</v>
      </c>
      <c r="Z798" s="33"/>
      <c r="AA798" s="33">
        <f>IF(Ruimtestaat[[#This Row],[Frequentie weekend]]&gt;0,VALUE(LEFT(Z798,1))*S798,0)</f>
        <v>0</v>
      </c>
      <c r="AB798" s="33">
        <f>IF($AA798&gt;0,VLOOKUP($K798,Ruimtegroepen[],3,FALSE)*VLOOKUP($M798,Vloersoorten[],3,FALSE)*VLOOKUP($Z798,Frequenties[],3,FALSE)*VLOOKUP(#REF!,Locaties[],3,FALSE),0)</f>
        <v>0</v>
      </c>
      <c r="AC798" s="33"/>
      <c r="AD798" s="33"/>
      <c r="AE798" s="33">
        <f>Ruimtestaat[[#This Row],[uren / jaar weekend]]*Tariefsopbouw!$D$40</f>
        <v>0</v>
      </c>
      <c r="AF798" s="79">
        <f>Ruimtestaat[[#This Row],[Prest. (m2 /jaar) weekend]]+Ruimtestaat[[#This Row],[Prest. (m2 /jaar) werkdagen]]</f>
        <v>980.00000000000011</v>
      </c>
      <c r="AG798" s="79">
        <f>Ruimtestaat[[#This Row],[uren / jaar weekend]]+Ruimtestaat[[#This Row],[uren / jaar werkdagen]]</f>
        <v>0</v>
      </c>
      <c r="AH798" s="80">
        <f>Ruimtestaat[[#This Row],[kosten / jaar weekend]]+Ruimtestaat[[#This Row],[kosten / jaar werkdagen]]</f>
        <v>0</v>
      </c>
    </row>
    <row r="799" spans="1:34" ht="15" customHeight="1">
      <c r="A799" s="256">
        <v>11</v>
      </c>
      <c r="B799" s="171" t="str">
        <f>VLOOKUP(Ruimtestaat[[#This Row],[Code]],Locaties[#All],2,FALSE)</f>
        <v>De Bouwsteen / Het Fundament</v>
      </c>
      <c r="C799" s="258" t="str">
        <f>VLOOKUP(Ruimtestaat[[#This Row],[Code]],Locaties[#All],4,FALSE)</f>
        <v>Anna Reynvaanweg 50</v>
      </c>
      <c r="D799" s="258" t="str">
        <f>VLOOKUP(Ruimtestaat[[#This Row],[Code]],Locaties[#All],5,FALSE)</f>
        <v>7555SG</v>
      </c>
      <c r="E799" s="258" t="str">
        <f>VLOOKUP(Ruimtestaat[[#This Row],[Code]],Locaties[#All],6,FALSE)</f>
        <v>Hengelo</v>
      </c>
      <c r="F799" s="257"/>
      <c r="G799" s="257" t="s">
        <v>563</v>
      </c>
      <c r="H799" s="171"/>
      <c r="I799" s="257" t="s">
        <v>478</v>
      </c>
      <c r="J799" s="259" t="s">
        <v>576</v>
      </c>
      <c r="K799" s="258">
        <v>16</v>
      </c>
      <c r="L799" s="260" t="str">
        <f>VLOOKUP(Ruimtestaat[[#This Row],[Ruimte code]],Ruimtegroepen[#All],2,FALSE)</f>
        <v>Leslokalen</v>
      </c>
      <c r="M799" s="258" t="s">
        <v>598</v>
      </c>
      <c r="N799" s="257" t="s">
        <v>132</v>
      </c>
      <c r="O799" s="261">
        <v>51.3</v>
      </c>
      <c r="P799" s="183"/>
      <c r="Q799" s="212" t="str">
        <f>VLOOKUP(Ruimtestaat[[#This Row],[Ruimte code]],Ruimtegroepen[#All],4,FALSE)</f>
        <v>L  (Lesruimte)</v>
      </c>
      <c r="R799" s="184"/>
      <c r="S799" s="185">
        <v>40</v>
      </c>
      <c r="T799" s="185" t="s">
        <v>2</v>
      </c>
      <c r="U799" s="185">
        <f>IF(S799&gt;0,IF(RIGHT(Ruimtestaat[[#This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9" s="185">
        <f>IF(U799&gt;0,VLOOKUP($K799,Ruimtegroepen[],3,FALSE)*VLOOKUP($M799,Vloersoorten[],3,FALSE)*VLOOKUP($T799,Frequenties[],3,FALSE)*VLOOKUP($A799,Locaties[],3,FALSE),0)</f>
        <v>0</v>
      </c>
      <c r="W799" s="185">
        <f>Ruimtestaat[[#This Row],[Uitvoeringen werkdagen]]*Ruimtestaat[[#This Row],[Oppervlak (netto)]]</f>
        <v>10260</v>
      </c>
      <c r="X799" s="220">
        <f>IF(V799&gt;0,Ruimtestaat[[#This Row],[Prest. (m2 /jaar) werkdagen]]/Ruimtestaat[[#This Row],[Norm (m2/uur) werkdagen]],0)</f>
        <v>0</v>
      </c>
      <c r="Y799" s="221">
        <f>Ruimtestaat[[#This Row],[uren / jaar werkdagen]]*Tariefsopbouw!$D$38</f>
        <v>0</v>
      </c>
      <c r="Z799" s="33"/>
      <c r="AA799" s="33">
        <f>IF(Ruimtestaat[[#This Row],[Frequentie weekend]]&gt;0,VALUE(LEFT(Z799,1))*S799,0)</f>
        <v>0</v>
      </c>
      <c r="AB799" s="33">
        <f>IF($AA799&gt;0,VLOOKUP($K799,Ruimtegroepen[],3,FALSE)*VLOOKUP($M799,Vloersoorten[],3,FALSE)*VLOOKUP($Z799,Frequenties[],3,FALSE)*VLOOKUP(#REF!,Locaties[],3,FALSE),0)</f>
        <v>0</v>
      </c>
      <c r="AC799" s="33"/>
      <c r="AD799" s="33"/>
      <c r="AE799" s="33">
        <f>Ruimtestaat[[#This Row],[uren / jaar weekend]]*Tariefsopbouw!$D$40</f>
        <v>0</v>
      </c>
      <c r="AF799" s="79">
        <f>Ruimtestaat[[#This Row],[Prest. (m2 /jaar) weekend]]+Ruimtestaat[[#This Row],[Prest. (m2 /jaar) werkdagen]]</f>
        <v>10260</v>
      </c>
      <c r="AG799" s="79">
        <f>Ruimtestaat[[#This Row],[uren / jaar weekend]]+Ruimtestaat[[#This Row],[uren / jaar werkdagen]]</f>
        <v>0</v>
      </c>
      <c r="AH799" s="80">
        <f>Ruimtestaat[[#This Row],[kosten / jaar weekend]]+Ruimtestaat[[#This Row],[kosten / jaar werkdagen]]</f>
        <v>0</v>
      </c>
    </row>
    <row r="800" spans="1:34" ht="15" customHeight="1">
      <c r="A800" s="256">
        <v>11</v>
      </c>
      <c r="B800" s="171" t="str">
        <f>VLOOKUP(Ruimtestaat[[#This Row],[Code]],Locaties[#All],2,FALSE)</f>
        <v>De Bouwsteen / Het Fundament</v>
      </c>
      <c r="C800" s="258" t="str">
        <f>VLOOKUP(Ruimtestaat[[#This Row],[Code]],Locaties[#All],4,FALSE)</f>
        <v>Anna Reynvaanweg 50</v>
      </c>
      <c r="D800" s="258" t="str">
        <f>VLOOKUP(Ruimtestaat[[#This Row],[Code]],Locaties[#All],5,FALSE)</f>
        <v>7555SG</v>
      </c>
      <c r="E800" s="258" t="str">
        <f>VLOOKUP(Ruimtestaat[[#This Row],[Code]],Locaties[#All],6,FALSE)</f>
        <v>Hengelo</v>
      </c>
      <c r="F800" s="257"/>
      <c r="G800" s="257" t="s">
        <v>563</v>
      </c>
      <c r="H800" s="171"/>
      <c r="I800" s="257" t="s">
        <v>479</v>
      </c>
      <c r="J800" s="259" t="s">
        <v>567</v>
      </c>
      <c r="K800" s="171">
        <v>9</v>
      </c>
      <c r="L800" s="260" t="str">
        <f>VLOOKUP(Ruimtestaat[[#This Row],[Ruimte code]],Ruimtegroepen[#All],2,FALSE)</f>
        <v>Time-out ruimte</v>
      </c>
      <c r="M800" s="258" t="s">
        <v>598</v>
      </c>
      <c r="N800" s="257" t="s">
        <v>132</v>
      </c>
      <c r="O800" s="261">
        <v>4.8</v>
      </c>
      <c r="P800" s="183"/>
      <c r="Q800" s="212" t="str">
        <f>VLOOKUP(Ruimtestaat[[#This Row],[Ruimte code]],Ruimtegroepen[#All],4,FALSE)</f>
        <v>V  (Verkeersruimte)</v>
      </c>
      <c r="R800" s="184"/>
      <c r="S800" s="185">
        <v>40</v>
      </c>
      <c r="T800" s="185" t="s">
        <v>2</v>
      </c>
      <c r="U800" s="185">
        <f>IF(S800&gt;0,IF(RIGHT(Ruimtestaat[[#This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0" s="185">
        <f>IF(U800&gt;0,VLOOKUP($K800,Ruimtegroepen[],3,FALSE)*VLOOKUP($M800,Vloersoorten[],3,FALSE)*VLOOKUP($T800,Frequenties[],3,FALSE)*VLOOKUP($A800,Locaties[],3,FALSE),0)</f>
        <v>0</v>
      </c>
      <c r="W800" s="185">
        <f>Ruimtestaat[[#This Row],[Uitvoeringen werkdagen]]*Ruimtestaat[[#This Row],[Oppervlak (netto)]]</f>
        <v>960</v>
      </c>
      <c r="X800" s="220">
        <f>IF(V800&gt;0,Ruimtestaat[[#This Row],[Prest. (m2 /jaar) werkdagen]]/Ruimtestaat[[#This Row],[Norm (m2/uur) werkdagen]],0)</f>
        <v>0</v>
      </c>
      <c r="Y800" s="221">
        <f>Ruimtestaat[[#This Row],[uren / jaar werkdagen]]*Tariefsopbouw!$D$38</f>
        <v>0</v>
      </c>
      <c r="Z800" s="33"/>
      <c r="AA800" s="33">
        <f>IF(Ruimtestaat[[#This Row],[Frequentie weekend]]&gt;0,VALUE(LEFT(Z800,1))*S800,0)</f>
        <v>0</v>
      </c>
      <c r="AB800" s="33">
        <f>IF($AA800&gt;0,VLOOKUP($K800,Ruimtegroepen[],3,FALSE)*VLOOKUP($M800,Vloersoorten[],3,FALSE)*VLOOKUP($Z800,Frequenties[],3,FALSE)*VLOOKUP(#REF!,Locaties[],3,FALSE),0)</f>
        <v>0</v>
      </c>
      <c r="AC800" s="33"/>
      <c r="AD800" s="33"/>
      <c r="AE800" s="33">
        <f>Ruimtestaat[[#This Row],[uren / jaar weekend]]*Tariefsopbouw!$D$40</f>
        <v>0</v>
      </c>
      <c r="AF800" s="79">
        <f>Ruimtestaat[[#This Row],[Prest. (m2 /jaar) weekend]]+Ruimtestaat[[#This Row],[Prest. (m2 /jaar) werkdagen]]</f>
        <v>960</v>
      </c>
      <c r="AG800" s="79">
        <f>Ruimtestaat[[#This Row],[uren / jaar weekend]]+Ruimtestaat[[#This Row],[uren / jaar werkdagen]]</f>
        <v>0</v>
      </c>
      <c r="AH800" s="80">
        <f>Ruimtestaat[[#This Row],[kosten / jaar weekend]]+Ruimtestaat[[#This Row],[kosten / jaar werkdagen]]</f>
        <v>0</v>
      </c>
    </row>
    <row r="801" spans="1:34" ht="15" customHeight="1">
      <c r="A801" s="256">
        <v>11</v>
      </c>
      <c r="B801" s="171" t="str">
        <f>VLOOKUP(Ruimtestaat[[#This Row],[Code]],Locaties[#All],2,FALSE)</f>
        <v>De Bouwsteen / Het Fundament</v>
      </c>
      <c r="C801" s="258" t="str">
        <f>VLOOKUP(Ruimtestaat[[#This Row],[Code]],Locaties[#All],4,FALSE)</f>
        <v>Anna Reynvaanweg 50</v>
      </c>
      <c r="D801" s="258" t="str">
        <f>VLOOKUP(Ruimtestaat[[#This Row],[Code]],Locaties[#All],5,FALSE)</f>
        <v>7555SG</v>
      </c>
      <c r="E801" s="258" t="str">
        <f>VLOOKUP(Ruimtestaat[[#This Row],[Code]],Locaties[#All],6,FALSE)</f>
        <v>Hengelo</v>
      </c>
      <c r="F801" s="257"/>
      <c r="G801" s="257" t="s">
        <v>563</v>
      </c>
      <c r="H801" s="171"/>
      <c r="I801" s="257" t="s">
        <v>480</v>
      </c>
      <c r="J801" s="259" t="s">
        <v>568</v>
      </c>
      <c r="K801" s="258">
        <v>6</v>
      </c>
      <c r="L801" s="260" t="str">
        <f>VLOOKUP(Ruimtestaat[[#This Row],[Ruimte code]],Ruimtegroepen[#All],2,FALSE)</f>
        <v>Gangen/hallen</v>
      </c>
      <c r="M801" s="258" t="s">
        <v>598</v>
      </c>
      <c r="N801" s="257" t="s">
        <v>132</v>
      </c>
      <c r="O801" s="261">
        <v>2.1</v>
      </c>
      <c r="P801" s="183"/>
      <c r="Q801" s="212" t="str">
        <f>VLOOKUP(Ruimtestaat[[#This Row],[Ruimte code]],Ruimtegroepen[#All],4,FALSE)</f>
        <v>V  (Verkeersruimte)</v>
      </c>
      <c r="R801" s="184"/>
      <c r="S801" s="185">
        <v>40</v>
      </c>
      <c r="T801" s="185" t="s">
        <v>2</v>
      </c>
      <c r="U801" s="185">
        <f>IF(S801&gt;0,IF(RIGHT(Ruimtestaat[[#This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1" s="185">
        <f>IF(U801&gt;0,VLOOKUP($K801,Ruimtegroepen[],3,FALSE)*VLOOKUP($M801,Vloersoorten[],3,FALSE)*VLOOKUP($T801,Frequenties[],3,FALSE)*VLOOKUP($A801,Locaties[],3,FALSE),0)</f>
        <v>0</v>
      </c>
      <c r="W801" s="185">
        <f>Ruimtestaat[[#This Row],[Uitvoeringen werkdagen]]*Ruimtestaat[[#This Row],[Oppervlak (netto)]]</f>
        <v>420</v>
      </c>
      <c r="X801" s="220">
        <f>IF(V801&gt;0,Ruimtestaat[[#This Row],[Prest. (m2 /jaar) werkdagen]]/Ruimtestaat[[#This Row],[Norm (m2/uur) werkdagen]],0)</f>
        <v>0</v>
      </c>
      <c r="Y801" s="221">
        <f>Ruimtestaat[[#This Row],[uren / jaar werkdagen]]*Tariefsopbouw!$D$38</f>
        <v>0</v>
      </c>
      <c r="Z801" s="33"/>
      <c r="AA801" s="33">
        <f>IF(Ruimtestaat[[#This Row],[Frequentie weekend]]&gt;0,VALUE(LEFT(Z801,1))*S801,0)</f>
        <v>0</v>
      </c>
      <c r="AB801" s="33">
        <f>IF($AA801&gt;0,VLOOKUP($K801,Ruimtegroepen[],3,FALSE)*VLOOKUP($M801,Vloersoorten[],3,FALSE)*VLOOKUP($Z801,Frequenties[],3,FALSE)*VLOOKUP(#REF!,Locaties[],3,FALSE),0)</f>
        <v>0</v>
      </c>
      <c r="AC801" s="33"/>
      <c r="AD801" s="33"/>
      <c r="AE801" s="33">
        <f>Ruimtestaat[[#This Row],[uren / jaar weekend]]*Tariefsopbouw!$D$40</f>
        <v>0</v>
      </c>
      <c r="AF801" s="79">
        <f>Ruimtestaat[[#This Row],[Prest. (m2 /jaar) weekend]]+Ruimtestaat[[#This Row],[Prest. (m2 /jaar) werkdagen]]</f>
        <v>420</v>
      </c>
      <c r="AG801" s="79">
        <f>Ruimtestaat[[#This Row],[uren / jaar weekend]]+Ruimtestaat[[#This Row],[uren / jaar werkdagen]]</f>
        <v>0</v>
      </c>
      <c r="AH801" s="80">
        <f>Ruimtestaat[[#This Row],[kosten / jaar weekend]]+Ruimtestaat[[#This Row],[kosten / jaar werkdagen]]</f>
        <v>0</v>
      </c>
    </row>
    <row r="802" spans="1:34" ht="15" customHeight="1">
      <c r="A802" s="256">
        <v>11</v>
      </c>
      <c r="B802" s="171" t="str">
        <f>VLOOKUP(Ruimtestaat[[#This Row],[Code]],Locaties[#All],2,FALSE)</f>
        <v>De Bouwsteen / Het Fundament</v>
      </c>
      <c r="C802" s="258" t="str">
        <f>VLOOKUP(Ruimtestaat[[#This Row],[Code]],Locaties[#All],4,FALSE)</f>
        <v>Anna Reynvaanweg 50</v>
      </c>
      <c r="D802" s="258" t="str">
        <f>VLOOKUP(Ruimtestaat[[#This Row],[Code]],Locaties[#All],5,FALSE)</f>
        <v>7555SG</v>
      </c>
      <c r="E802" s="258" t="str">
        <f>VLOOKUP(Ruimtestaat[[#This Row],[Code]],Locaties[#All],6,FALSE)</f>
        <v>Hengelo</v>
      </c>
      <c r="F802" s="257"/>
      <c r="G802" s="257" t="s">
        <v>563</v>
      </c>
      <c r="H802" s="171"/>
      <c r="I802" s="257" t="s">
        <v>481</v>
      </c>
      <c r="J802" s="259" t="s">
        <v>569</v>
      </c>
      <c r="K802" s="171">
        <v>5</v>
      </c>
      <c r="L802" s="260" t="str">
        <f>VLOOKUP(Ruimtestaat[[#This Row],[Ruimte code]],Ruimtegroepen[#All],2,FALSE)</f>
        <v>Sanitair</v>
      </c>
      <c r="M802" s="212" t="s">
        <v>111</v>
      </c>
      <c r="N802" s="257" t="s">
        <v>595</v>
      </c>
      <c r="O802" s="261">
        <v>1.3</v>
      </c>
      <c r="P802" s="183"/>
      <c r="Q802" s="212" t="str">
        <f>VLOOKUP(Ruimtestaat[[#This Row],[Ruimte code]],Ruimtegroepen[#All],4,FALSE)</f>
        <v>S  (Sanitair)</v>
      </c>
      <c r="R802" s="184"/>
      <c r="S802" s="185">
        <v>40</v>
      </c>
      <c r="T802" s="185" t="s">
        <v>2</v>
      </c>
      <c r="U802" s="185">
        <f>IF(S802&gt;0,IF(RIGHT(Ruimtestaat[[#This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2" s="185">
        <f>IF(U802&gt;0,VLOOKUP($K802,Ruimtegroepen[],3,FALSE)*VLOOKUP($M802,Vloersoorten[],3,FALSE)*VLOOKUP($T802,Frequenties[],3,FALSE)*VLOOKUP($A802,Locaties[],3,FALSE),0)</f>
        <v>0</v>
      </c>
      <c r="W802" s="185">
        <f>Ruimtestaat[[#This Row],[Uitvoeringen werkdagen]]*Ruimtestaat[[#This Row],[Oppervlak (netto)]]</f>
        <v>260</v>
      </c>
      <c r="X802" s="220">
        <f>IF(V802&gt;0,Ruimtestaat[[#This Row],[Prest. (m2 /jaar) werkdagen]]/Ruimtestaat[[#This Row],[Norm (m2/uur) werkdagen]],0)</f>
        <v>0</v>
      </c>
      <c r="Y802" s="221">
        <f>Ruimtestaat[[#This Row],[uren / jaar werkdagen]]*Tariefsopbouw!$D$38</f>
        <v>0</v>
      </c>
      <c r="Z802" s="33"/>
      <c r="AA802" s="33">
        <f>IF(Ruimtestaat[[#This Row],[Frequentie weekend]]&gt;0,VALUE(LEFT(Z802,1))*S802,0)</f>
        <v>0</v>
      </c>
      <c r="AB802" s="33">
        <f>IF($AA802&gt;0,VLOOKUP($K802,Ruimtegroepen[],3,FALSE)*VLOOKUP($M802,Vloersoorten[],3,FALSE)*VLOOKUP($Z802,Frequenties[],3,FALSE)*VLOOKUP(#REF!,Locaties[],3,FALSE),0)</f>
        <v>0</v>
      </c>
      <c r="AC802" s="33"/>
      <c r="AD802" s="33"/>
      <c r="AE802" s="33">
        <f>Ruimtestaat[[#This Row],[uren / jaar weekend]]*Tariefsopbouw!$D$40</f>
        <v>0</v>
      </c>
      <c r="AF802" s="79">
        <f>Ruimtestaat[[#This Row],[Prest. (m2 /jaar) weekend]]+Ruimtestaat[[#This Row],[Prest. (m2 /jaar) werkdagen]]</f>
        <v>260</v>
      </c>
      <c r="AG802" s="79">
        <f>Ruimtestaat[[#This Row],[uren / jaar weekend]]+Ruimtestaat[[#This Row],[uren / jaar werkdagen]]</f>
        <v>0</v>
      </c>
      <c r="AH802" s="80">
        <f>Ruimtestaat[[#This Row],[kosten / jaar weekend]]+Ruimtestaat[[#This Row],[kosten / jaar werkdagen]]</f>
        <v>0</v>
      </c>
    </row>
    <row r="803" spans="1:34" ht="15" customHeight="1">
      <c r="A803" s="256">
        <v>11</v>
      </c>
      <c r="B803" s="171" t="str">
        <f>VLOOKUP(Ruimtestaat[[#This Row],[Code]],Locaties[#All],2,FALSE)</f>
        <v>De Bouwsteen / Het Fundament</v>
      </c>
      <c r="C803" s="258" t="str">
        <f>VLOOKUP(Ruimtestaat[[#This Row],[Code]],Locaties[#All],4,FALSE)</f>
        <v>Anna Reynvaanweg 50</v>
      </c>
      <c r="D803" s="258" t="str">
        <f>VLOOKUP(Ruimtestaat[[#This Row],[Code]],Locaties[#All],5,FALSE)</f>
        <v>7555SG</v>
      </c>
      <c r="E803" s="258" t="str">
        <f>VLOOKUP(Ruimtestaat[[#This Row],[Code]],Locaties[#All],6,FALSE)</f>
        <v>Hengelo</v>
      </c>
      <c r="F803" s="257"/>
      <c r="G803" s="257" t="s">
        <v>563</v>
      </c>
      <c r="H803" s="171"/>
      <c r="I803" s="257" t="s">
        <v>482</v>
      </c>
      <c r="J803" s="259" t="s">
        <v>40</v>
      </c>
      <c r="K803" s="171">
        <v>7</v>
      </c>
      <c r="L803" s="260" t="str">
        <f>VLOOKUP(Ruimtestaat[[#This Row],[Ruimte code]],Ruimtegroepen[#All],2,FALSE)</f>
        <v>Entree</v>
      </c>
      <c r="M803" s="258" t="s">
        <v>597</v>
      </c>
      <c r="N803" s="257" t="s">
        <v>594</v>
      </c>
      <c r="O803" s="261">
        <v>3.6</v>
      </c>
      <c r="P803" s="183"/>
      <c r="Q803" s="212" t="str">
        <f>VLOOKUP(Ruimtestaat[[#This Row],[Ruimte code]],Ruimtegroepen[#All],4,FALSE)</f>
        <v>V  (Verkeersruimte)</v>
      </c>
      <c r="R803" s="184"/>
      <c r="S803" s="185">
        <v>40</v>
      </c>
      <c r="T803" s="185" t="s">
        <v>2</v>
      </c>
      <c r="U803" s="185">
        <f>IF(S803&gt;0,IF(RIGHT(Ruimtestaat[[#This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3" s="185">
        <f>IF(U803&gt;0,VLOOKUP($K803,Ruimtegroepen[],3,FALSE)*VLOOKUP($M803,Vloersoorten[],3,FALSE)*VLOOKUP($T803,Frequenties[],3,FALSE)*VLOOKUP($A803,Locaties[],3,FALSE),0)</f>
        <v>0</v>
      </c>
      <c r="W803" s="185">
        <f>Ruimtestaat[[#This Row],[Uitvoeringen werkdagen]]*Ruimtestaat[[#This Row],[Oppervlak (netto)]]</f>
        <v>720</v>
      </c>
      <c r="X803" s="220">
        <f>IF(V803&gt;0,Ruimtestaat[[#This Row],[Prest. (m2 /jaar) werkdagen]]/Ruimtestaat[[#This Row],[Norm (m2/uur) werkdagen]],0)</f>
        <v>0</v>
      </c>
      <c r="Y803" s="221">
        <f>Ruimtestaat[[#This Row],[uren / jaar werkdagen]]*Tariefsopbouw!$D$38</f>
        <v>0</v>
      </c>
      <c r="Z803" s="33"/>
      <c r="AA803" s="33">
        <f>IF(Ruimtestaat[[#This Row],[Frequentie weekend]]&gt;0,VALUE(LEFT(Z803,1))*S803,0)</f>
        <v>0</v>
      </c>
      <c r="AB803" s="33">
        <f>IF($AA803&gt;0,VLOOKUP($K803,Ruimtegroepen[],3,FALSE)*VLOOKUP($M803,Vloersoorten[],3,FALSE)*VLOOKUP($Z803,Frequenties[],3,FALSE)*VLOOKUP(#REF!,Locaties[],3,FALSE),0)</f>
        <v>0</v>
      </c>
      <c r="AC803" s="33"/>
      <c r="AD803" s="33"/>
      <c r="AE803" s="33">
        <f>Ruimtestaat[[#This Row],[uren / jaar weekend]]*Tariefsopbouw!$D$40</f>
        <v>0</v>
      </c>
      <c r="AF803" s="79">
        <f>Ruimtestaat[[#This Row],[Prest. (m2 /jaar) weekend]]+Ruimtestaat[[#This Row],[Prest. (m2 /jaar) werkdagen]]</f>
        <v>720</v>
      </c>
      <c r="AG803" s="79">
        <f>Ruimtestaat[[#This Row],[uren / jaar weekend]]+Ruimtestaat[[#This Row],[uren / jaar werkdagen]]</f>
        <v>0</v>
      </c>
      <c r="AH803" s="80">
        <f>Ruimtestaat[[#This Row],[kosten / jaar weekend]]+Ruimtestaat[[#This Row],[kosten / jaar werkdagen]]</f>
        <v>0</v>
      </c>
    </row>
    <row r="804" spans="1:34" ht="15" customHeight="1">
      <c r="A804" s="256">
        <v>11</v>
      </c>
      <c r="B804" s="171" t="str">
        <f>VLOOKUP(Ruimtestaat[[#This Row],[Code]],Locaties[#All],2,FALSE)</f>
        <v>De Bouwsteen / Het Fundament</v>
      </c>
      <c r="C804" s="258" t="str">
        <f>VLOOKUP(Ruimtestaat[[#This Row],[Code]],Locaties[#All],4,FALSE)</f>
        <v>Anna Reynvaanweg 50</v>
      </c>
      <c r="D804" s="258" t="str">
        <f>VLOOKUP(Ruimtestaat[[#This Row],[Code]],Locaties[#All],5,FALSE)</f>
        <v>7555SG</v>
      </c>
      <c r="E804" s="258" t="str">
        <f>VLOOKUP(Ruimtestaat[[#This Row],[Code]],Locaties[#All],6,FALSE)</f>
        <v>Hengelo</v>
      </c>
      <c r="F804" s="257"/>
      <c r="G804" s="257" t="s">
        <v>563</v>
      </c>
      <c r="H804" s="171"/>
      <c r="I804" s="257" t="s">
        <v>483</v>
      </c>
      <c r="J804" s="259" t="s">
        <v>568</v>
      </c>
      <c r="K804" s="171">
        <v>6</v>
      </c>
      <c r="L804" s="260" t="str">
        <f>VLOOKUP(Ruimtestaat[[#This Row],[Ruimte code]],Ruimtegroepen[#All],2,FALSE)</f>
        <v>Gangen/hallen</v>
      </c>
      <c r="M804" s="185" t="s">
        <v>598</v>
      </c>
      <c r="N804" s="257" t="s">
        <v>132</v>
      </c>
      <c r="O804" s="261">
        <v>4.3</v>
      </c>
      <c r="P804" s="183"/>
      <c r="Q804" s="212" t="str">
        <f>VLOOKUP(Ruimtestaat[[#This Row],[Ruimte code]],Ruimtegroepen[#All],4,FALSE)</f>
        <v>V  (Verkeersruimte)</v>
      </c>
      <c r="R804" s="184"/>
      <c r="S804" s="185">
        <v>40</v>
      </c>
      <c r="T804" s="185" t="s">
        <v>2</v>
      </c>
      <c r="U804" s="185">
        <f>IF(S804&gt;0,IF(RIGHT(Ruimtestaat[[#This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4" s="185">
        <f>IF(U804&gt;0,VLOOKUP($K804,Ruimtegroepen[],3,FALSE)*VLOOKUP($M804,Vloersoorten[],3,FALSE)*VLOOKUP($T804,Frequenties[],3,FALSE)*VLOOKUP($A804,Locaties[],3,FALSE),0)</f>
        <v>0</v>
      </c>
      <c r="W804" s="185">
        <f>Ruimtestaat[[#This Row],[Uitvoeringen werkdagen]]*Ruimtestaat[[#This Row],[Oppervlak (netto)]]</f>
        <v>860</v>
      </c>
      <c r="X804" s="220">
        <f>IF(V804&gt;0,Ruimtestaat[[#This Row],[Prest. (m2 /jaar) werkdagen]]/Ruimtestaat[[#This Row],[Norm (m2/uur) werkdagen]],0)</f>
        <v>0</v>
      </c>
      <c r="Y804" s="221">
        <f>Ruimtestaat[[#This Row],[uren / jaar werkdagen]]*Tariefsopbouw!$D$38</f>
        <v>0</v>
      </c>
      <c r="Z804" s="33"/>
      <c r="AA804" s="33">
        <f>IF(Ruimtestaat[[#This Row],[Frequentie weekend]]&gt;0,VALUE(LEFT(Z804,1))*S804,0)</f>
        <v>0</v>
      </c>
      <c r="AB804" s="33">
        <f>IF($AA804&gt;0,VLOOKUP($K804,Ruimtegroepen[],3,FALSE)*VLOOKUP($M804,Vloersoorten[],3,FALSE)*VLOOKUP($Z804,Frequenties[],3,FALSE)*VLOOKUP(#REF!,Locaties[],3,FALSE),0)</f>
        <v>0</v>
      </c>
      <c r="AC804" s="33"/>
      <c r="AD804" s="33"/>
      <c r="AE804" s="33">
        <f>Ruimtestaat[[#This Row],[uren / jaar weekend]]*Tariefsopbouw!$D$40</f>
        <v>0</v>
      </c>
      <c r="AF804" s="79">
        <f>Ruimtestaat[[#This Row],[Prest. (m2 /jaar) weekend]]+Ruimtestaat[[#This Row],[Prest. (m2 /jaar) werkdagen]]</f>
        <v>860</v>
      </c>
      <c r="AG804" s="79">
        <f>Ruimtestaat[[#This Row],[uren / jaar weekend]]+Ruimtestaat[[#This Row],[uren / jaar werkdagen]]</f>
        <v>0</v>
      </c>
      <c r="AH804" s="80">
        <f>Ruimtestaat[[#This Row],[kosten / jaar weekend]]+Ruimtestaat[[#This Row],[kosten / jaar werkdagen]]</f>
        <v>0</v>
      </c>
    </row>
    <row r="805" spans="1:34" ht="15" customHeight="1">
      <c r="A805" s="256">
        <v>11</v>
      </c>
      <c r="B805" s="171" t="str">
        <f>VLOOKUP(Ruimtestaat[[#This Row],[Code]],Locaties[#All],2,FALSE)</f>
        <v>De Bouwsteen / Het Fundament</v>
      </c>
      <c r="C805" s="258" t="str">
        <f>VLOOKUP(Ruimtestaat[[#This Row],[Code]],Locaties[#All],4,FALSE)</f>
        <v>Anna Reynvaanweg 50</v>
      </c>
      <c r="D805" s="258" t="str">
        <f>VLOOKUP(Ruimtestaat[[#This Row],[Code]],Locaties[#All],5,FALSE)</f>
        <v>7555SG</v>
      </c>
      <c r="E805" s="258" t="str">
        <f>VLOOKUP(Ruimtestaat[[#This Row],[Code]],Locaties[#All],6,FALSE)</f>
        <v>Hengelo</v>
      </c>
      <c r="F805" s="257"/>
      <c r="G805" s="257" t="s">
        <v>563</v>
      </c>
      <c r="H805" s="171"/>
      <c r="I805" s="257" t="s">
        <v>484</v>
      </c>
      <c r="J805" s="259" t="s">
        <v>574</v>
      </c>
      <c r="K805" s="171">
        <v>6</v>
      </c>
      <c r="L805" s="260" t="str">
        <f>VLOOKUP(Ruimtestaat[[#This Row],[Ruimte code]],Ruimtegroepen[#All],2,FALSE)</f>
        <v>Gangen/hallen</v>
      </c>
      <c r="M805" s="258" t="s">
        <v>598</v>
      </c>
      <c r="N805" s="257" t="s">
        <v>132</v>
      </c>
      <c r="O805" s="261">
        <v>64.3</v>
      </c>
      <c r="P805" s="183"/>
      <c r="Q805" s="212" t="str">
        <f>VLOOKUP(Ruimtestaat[[#This Row],[Ruimte code]],Ruimtegroepen[#All],4,FALSE)</f>
        <v>V  (Verkeersruimte)</v>
      </c>
      <c r="R805" s="184"/>
      <c r="S805" s="185">
        <v>40</v>
      </c>
      <c r="T805" s="185" t="s">
        <v>2</v>
      </c>
      <c r="U805" s="185">
        <f>IF(S805&gt;0,IF(RIGHT(Ruimtestaat[[#This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5" s="185">
        <f>IF(U805&gt;0,VLOOKUP($K805,Ruimtegroepen[],3,FALSE)*VLOOKUP($M805,Vloersoorten[],3,FALSE)*VLOOKUP($T805,Frequenties[],3,FALSE)*VLOOKUP($A805,Locaties[],3,FALSE),0)</f>
        <v>0</v>
      </c>
      <c r="W805" s="185">
        <f>Ruimtestaat[[#This Row],[Uitvoeringen werkdagen]]*Ruimtestaat[[#This Row],[Oppervlak (netto)]]</f>
        <v>12860</v>
      </c>
      <c r="X805" s="220">
        <f>IF(V805&gt;0,Ruimtestaat[[#This Row],[Prest. (m2 /jaar) werkdagen]]/Ruimtestaat[[#This Row],[Norm (m2/uur) werkdagen]],0)</f>
        <v>0</v>
      </c>
      <c r="Y805" s="221">
        <f>Ruimtestaat[[#This Row],[uren / jaar werkdagen]]*Tariefsopbouw!$D$38</f>
        <v>0</v>
      </c>
      <c r="Z805" s="33"/>
      <c r="AA805" s="33">
        <f>IF(Ruimtestaat[[#This Row],[Frequentie weekend]]&gt;0,VALUE(LEFT(Z805,1))*S805,0)</f>
        <v>0</v>
      </c>
      <c r="AB805" s="33">
        <f>IF($AA805&gt;0,VLOOKUP($K805,Ruimtegroepen[],3,FALSE)*VLOOKUP($M805,Vloersoorten[],3,FALSE)*VLOOKUP($Z805,Frequenties[],3,FALSE)*VLOOKUP(#REF!,Locaties[],3,FALSE),0)</f>
        <v>0</v>
      </c>
      <c r="AC805" s="33"/>
      <c r="AD805" s="33"/>
      <c r="AE805" s="33">
        <f>Ruimtestaat[[#This Row],[uren / jaar weekend]]*Tariefsopbouw!$D$40</f>
        <v>0</v>
      </c>
      <c r="AF805" s="79">
        <f>Ruimtestaat[[#This Row],[Prest. (m2 /jaar) weekend]]+Ruimtestaat[[#This Row],[Prest. (m2 /jaar) werkdagen]]</f>
        <v>12860</v>
      </c>
      <c r="AG805" s="79">
        <f>Ruimtestaat[[#This Row],[uren / jaar weekend]]+Ruimtestaat[[#This Row],[uren / jaar werkdagen]]</f>
        <v>0</v>
      </c>
      <c r="AH805" s="80">
        <f>Ruimtestaat[[#This Row],[kosten / jaar weekend]]+Ruimtestaat[[#This Row],[kosten / jaar werkdagen]]</f>
        <v>0</v>
      </c>
    </row>
    <row r="806" spans="1:34" ht="15" customHeight="1">
      <c r="A806" s="256">
        <v>11</v>
      </c>
      <c r="B806" s="171" t="str">
        <f>VLOOKUP(Ruimtestaat[[#This Row],[Code]],Locaties[#All],2,FALSE)</f>
        <v>De Bouwsteen / Het Fundament</v>
      </c>
      <c r="C806" s="258" t="str">
        <f>VLOOKUP(Ruimtestaat[[#This Row],[Code]],Locaties[#All],4,FALSE)</f>
        <v>Anna Reynvaanweg 50</v>
      </c>
      <c r="D806" s="258" t="str">
        <f>VLOOKUP(Ruimtestaat[[#This Row],[Code]],Locaties[#All],5,FALSE)</f>
        <v>7555SG</v>
      </c>
      <c r="E806" s="258" t="str">
        <f>VLOOKUP(Ruimtestaat[[#This Row],[Code]],Locaties[#All],6,FALSE)</f>
        <v>Hengelo</v>
      </c>
      <c r="F806" s="257"/>
      <c r="G806" s="257" t="s">
        <v>563</v>
      </c>
      <c r="H806" s="171"/>
      <c r="I806" s="257" t="s">
        <v>485</v>
      </c>
      <c r="J806" s="259" t="s">
        <v>577</v>
      </c>
      <c r="K806" s="171">
        <v>20</v>
      </c>
      <c r="L806" s="260" t="str">
        <f>VLOOKUP(Ruimtestaat[[#This Row],[Ruimte code]],Ruimtegroepen[#All],2,FALSE)</f>
        <v>Niet in onderhoud</v>
      </c>
      <c r="M806" s="258" t="s">
        <v>598</v>
      </c>
      <c r="N806" s="257" t="s">
        <v>132</v>
      </c>
      <c r="O806" s="261"/>
      <c r="P806" s="183">
        <v>4</v>
      </c>
      <c r="Q806" s="212" t="str">
        <f>VLOOKUP(Ruimtestaat[[#This Row],[Ruimte code]],Ruimtegroepen[#All],4,FALSE)</f>
        <v>niet in onderhoud</v>
      </c>
      <c r="R806" s="184"/>
      <c r="S806" s="185"/>
      <c r="T806" s="185" t="s">
        <v>3</v>
      </c>
      <c r="U806" s="185">
        <f>IF(S806&gt;0,IF(RIGHT(Ruimtestaat[[#This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06" s="185">
        <f>IF(U806&gt;0,VLOOKUP($K806,Ruimtegroepen[],3,FALSE)*VLOOKUP($M806,Vloersoorten[],3,FALSE)*VLOOKUP($T806,Frequenties[],3,FALSE)*VLOOKUP($A806,Locaties[],3,FALSE),0)</f>
        <v>0</v>
      </c>
      <c r="W806" s="185">
        <f>Ruimtestaat[[#This Row],[Uitvoeringen werkdagen]]*Ruimtestaat[[#This Row],[Oppervlak (netto)]]</f>
        <v>0</v>
      </c>
      <c r="X806" s="220">
        <f>IF(V806&gt;0,Ruimtestaat[[#This Row],[Prest. (m2 /jaar) werkdagen]]/Ruimtestaat[[#This Row],[Norm (m2/uur) werkdagen]],0)</f>
        <v>0</v>
      </c>
      <c r="Y806" s="221">
        <f>Ruimtestaat[[#This Row],[uren / jaar werkdagen]]*Tariefsopbouw!$D$38</f>
        <v>0</v>
      </c>
      <c r="Z806" s="33"/>
      <c r="AA806" s="33">
        <f>IF(Ruimtestaat[[#This Row],[Frequentie weekend]]&gt;0,VALUE(LEFT(Z806,1))*S806,0)</f>
        <v>0</v>
      </c>
      <c r="AB806" s="33">
        <f>IF($AA806&gt;0,VLOOKUP($K806,Ruimtegroepen[],3,FALSE)*VLOOKUP($M806,Vloersoorten[],3,FALSE)*VLOOKUP($Z806,Frequenties[],3,FALSE)*VLOOKUP(#REF!,Locaties[],3,FALSE),0)</f>
        <v>0</v>
      </c>
      <c r="AC806" s="33"/>
      <c r="AD806" s="33"/>
      <c r="AE806" s="33">
        <f>Ruimtestaat[[#This Row],[uren / jaar weekend]]*Tariefsopbouw!$D$40</f>
        <v>0</v>
      </c>
      <c r="AF806" s="79">
        <f>Ruimtestaat[[#This Row],[Prest. (m2 /jaar) weekend]]+Ruimtestaat[[#This Row],[Prest. (m2 /jaar) werkdagen]]</f>
        <v>0</v>
      </c>
      <c r="AG806" s="79">
        <f>Ruimtestaat[[#This Row],[uren / jaar weekend]]+Ruimtestaat[[#This Row],[uren / jaar werkdagen]]</f>
        <v>0</v>
      </c>
      <c r="AH806" s="80">
        <f>Ruimtestaat[[#This Row],[kosten / jaar weekend]]+Ruimtestaat[[#This Row],[kosten / jaar werkdagen]]</f>
        <v>0</v>
      </c>
    </row>
    <row r="807" spans="1:34" ht="15" customHeight="1">
      <c r="A807" s="256">
        <v>11</v>
      </c>
      <c r="B807" s="171" t="str">
        <f>VLOOKUP(Ruimtestaat[[#This Row],[Code]],Locaties[#All],2,FALSE)</f>
        <v>De Bouwsteen / Het Fundament</v>
      </c>
      <c r="C807" s="258" t="str">
        <f>VLOOKUP(Ruimtestaat[[#This Row],[Code]],Locaties[#All],4,FALSE)</f>
        <v>Anna Reynvaanweg 50</v>
      </c>
      <c r="D807" s="258" t="str">
        <f>VLOOKUP(Ruimtestaat[[#This Row],[Code]],Locaties[#All],5,FALSE)</f>
        <v>7555SG</v>
      </c>
      <c r="E807" s="258" t="str">
        <f>VLOOKUP(Ruimtestaat[[#This Row],[Code]],Locaties[#All],6,FALSE)</f>
        <v>Hengelo</v>
      </c>
      <c r="F807" s="257"/>
      <c r="G807" s="257" t="s">
        <v>563</v>
      </c>
      <c r="H807" s="171"/>
      <c r="I807" s="257" t="s">
        <v>486</v>
      </c>
      <c r="J807" s="259" t="s">
        <v>578</v>
      </c>
      <c r="K807" s="171">
        <v>1</v>
      </c>
      <c r="L807" s="260" t="str">
        <f>VLOOKUP(Ruimtestaat[[#This Row],[Ruimte code]],Ruimtegroepen[#All],2,FALSE)</f>
        <v>Magazijnen/bergingen</v>
      </c>
      <c r="M807" s="185" t="s">
        <v>598</v>
      </c>
      <c r="N807" s="257" t="s">
        <v>132</v>
      </c>
      <c r="O807" s="261">
        <v>19.8</v>
      </c>
      <c r="P807" s="183"/>
      <c r="Q807" s="212" t="str">
        <f>VLOOKUP(Ruimtestaat[[#This Row],[Ruimte code]],Ruimtegroepen[#All],4,FALSE)</f>
        <v>V  (Verkeersruimte)</v>
      </c>
      <c r="R807" s="184"/>
      <c r="S807" s="185">
        <v>40</v>
      </c>
      <c r="T807" s="185" t="s">
        <v>15</v>
      </c>
      <c r="U807" s="185">
        <f>IF(S807&gt;0,IF(RIGHT(Ruimtestaat[[#This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07" s="185">
        <f>IF(U807&gt;0,VLOOKUP($K807,Ruimtegroepen[],3,FALSE)*VLOOKUP($M807,Vloersoorten[],3,FALSE)*VLOOKUP($T807,Frequenties[],3,FALSE)*VLOOKUP($A807,Locaties[],3,FALSE),0)</f>
        <v>0</v>
      </c>
      <c r="W807" s="185">
        <f>Ruimtestaat[[#This Row],[Uitvoeringen werkdagen]]*Ruimtestaat[[#This Row],[Oppervlak (netto)]]</f>
        <v>792</v>
      </c>
      <c r="X807" s="220">
        <f>IF(V807&gt;0,Ruimtestaat[[#This Row],[Prest. (m2 /jaar) werkdagen]]/Ruimtestaat[[#This Row],[Norm (m2/uur) werkdagen]],0)</f>
        <v>0</v>
      </c>
      <c r="Y807" s="221">
        <f>Ruimtestaat[[#This Row],[uren / jaar werkdagen]]*Tariefsopbouw!$D$38</f>
        <v>0</v>
      </c>
      <c r="Z807" s="33"/>
      <c r="AA807" s="33">
        <f>IF(Ruimtestaat[[#This Row],[Frequentie weekend]]&gt;0,VALUE(LEFT(Z807,1))*S807,0)</f>
        <v>0</v>
      </c>
      <c r="AB807" s="33">
        <f>IF($AA807&gt;0,VLOOKUP($K807,Ruimtegroepen[],3,FALSE)*VLOOKUP($M807,Vloersoorten[],3,FALSE)*VLOOKUP($Z807,Frequenties[],3,FALSE)*VLOOKUP(#REF!,Locaties[],3,FALSE),0)</f>
        <v>0</v>
      </c>
      <c r="AC807" s="33"/>
      <c r="AD807" s="33"/>
      <c r="AE807" s="33">
        <f>Ruimtestaat[[#This Row],[uren / jaar weekend]]*Tariefsopbouw!$D$40</f>
        <v>0</v>
      </c>
      <c r="AF807" s="79">
        <f>Ruimtestaat[[#This Row],[Prest. (m2 /jaar) weekend]]+Ruimtestaat[[#This Row],[Prest. (m2 /jaar) werkdagen]]</f>
        <v>792</v>
      </c>
      <c r="AG807" s="79">
        <f>Ruimtestaat[[#This Row],[uren / jaar weekend]]+Ruimtestaat[[#This Row],[uren / jaar werkdagen]]</f>
        <v>0</v>
      </c>
      <c r="AH807" s="80">
        <f>Ruimtestaat[[#This Row],[kosten / jaar weekend]]+Ruimtestaat[[#This Row],[kosten / jaar werkdagen]]</f>
        <v>0</v>
      </c>
    </row>
    <row r="808" spans="1:34" ht="15" customHeight="1">
      <c r="A808" s="256">
        <v>11</v>
      </c>
      <c r="B808" s="171" t="str">
        <f>VLOOKUP(Ruimtestaat[[#This Row],[Code]],Locaties[#All],2,FALSE)</f>
        <v>De Bouwsteen / Het Fundament</v>
      </c>
      <c r="C808" s="258" t="str">
        <f>VLOOKUP(Ruimtestaat[[#This Row],[Code]],Locaties[#All],4,FALSE)</f>
        <v>Anna Reynvaanweg 50</v>
      </c>
      <c r="D808" s="258" t="str">
        <f>VLOOKUP(Ruimtestaat[[#This Row],[Code]],Locaties[#All],5,FALSE)</f>
        <v>7555SG</v>
      </c>
      <c r="E808" s="258" t="str">
        <f>VLOOKUP(Ruimtestaat[[#This Row],[Code]],Locaties[#All],6,FALSE)</f>
        <v>Hengelo</v>
      </c>
      <c r="F808" s="257"/>
      <c r="G808" s="257" t="s">
        <v>563</v>
      </c>
      <c r="H808" s="171"/>
      <c r="I808" s="257" t="s">
        <v>487</v>
      </c>
      <c r="J808" s="259" t="s">
        <v>579</v>
      </c>
      <c r="K808" s="224">
        <v>17</v>
      </c>
      <c r="L808" s="260" t="str">
        <f>VLOOKUP(Ruimtestaat[[#This Row],[Ruimte code]],Ruimtegroepen[#All],2,FALSE)</f>
        <v>Toestelberging</v>
      </c>
      <c r="M808" s="185" t="s">
        <v>112</v>
      </c>
      <c r="N808" s="257" t="s">
        <v>596</v>
      </c>
      <c r="O808" s="261">
        <v>29</v>
      </c>
      <c r="P808" s="183"/>
      <c r="Q808" s="212" t="str">
        <f>VLOOKUP(Ruimtestaat[[#This Row],[Ruimte code]],Ruimtegroepen[#All],4,FALSE)</f>
        <v>V  (Verkeersruimte)</v>
      </c>
      <c r="R808" s="184"/>
      <c r="S808" s="185">
        <v>40</v>
      </c>
      <c r="T808" s="185" t="s">
        <v>16</v>
      </c>
      <c r="U808" s="185">
        <f>IF(S808&gt;0,IF(RIGHT(Ruimtestaat[[#This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808" s="185">
        <f>IF(U808&gt;0,VLOOKUP($K808,Ruimtegroepen[],3,FALSE)*VLOOKUP($M808,Vloersoorten[],3,FALSE)*VLOOKUP($T808,Frequenties[],3,FALSE)*VLOOKUP($A808,Locaties[],3,FALSE),0)</f>
        <v>0</v>
      </c>
      <c r="W808" s="185">
        <f>Ruimtestaat[[#This Row],[Uitvoeringen werkdagen]]*Ruimtestaat[[#This Row],[Oppervlak (netto)]]</f>
        <v>348</v>
      </c>
      <c r="X808" s="220">
        <f>IF(V808&gt;0,Ruimtestaat[[#This Row],[Prest. (m2 /jaar) werkdagen]]/Ruimtestaat[[#This Row],[Norm (m2/uur) werkdagen]],0)</f>
        <v>0</v>
      </c>
      <c r="Y808" s="221">
        <f>Ruimtestaat[[#This Row],[uren / jaar werkdagen]]*Tariefsopbouw!$D$38</f>
        <v>0</v>
      </c>
      <c r="Z808" s="33"/>
      <c r="AA808" s="33">
        <f>IF(Ruimtestaat[[#This Row],[Frequentie weekend]]&gt;0,VALUE(LEFT(Z808,1))*S808,0)</f>
        <v>0</v>
      </c>
      <c r="AB808" s="33">
        <f>IF($AA808&gt;0,VLOOKUP($K808,Ruimtegroepen[],3,FALSE)*VLOOKUP($M808,Vloersoorten[],3,FALSE)*VLOOKUP($Z808,Frequenties[],3,FALSE)*VLOOKUP(#REF!,Locaties[],3,FALSE),0)</f>
        <v>0</v>
      </c>
      <c r="AC808" s="33"/>
      <c r="AD808" s="33"/>
      <c r="AE808" s="33">
        <f>Ruimtestaat[[#This Row],[uren / jaar weekend]]*Tariefsopbouw!$D$40</f>
        <v>0</v>
      </c>
      <c r="AF808" s="79">
        <f>Ruimtestaat[[#This Row],[Prest. (m2 /jaar) weekend]]+Ruimtestaat[[#This Row],[Prest. (m2 /jaar) werkdagen]]</f>
        <v>348</v>
      </c>
      <c r="AG808" s="79">
        <f>Ruimtestaat[[#This Row],[uren / jaar weekend]]+Ruimtestaat[[#This Row],[uren / jaar werkdagen]]</f>
        <v>0</v>
      </c>
      <c r="AH808" s="80">
        <f>Ruimtestaat[[#This Row],[kosten / jaar weekend]]+Ruimtestaat[[#This Row],[kosten / jaar werkdagen]]</f>
        <v>0</v>
      </c>
    </row>
    <row r="809" spans="1:34" ht="15" customHeight="1">
      <c r="A809" s="256">
        <v>11</v>
      </c>
      <c r="B809" s="171" t="str">
        <f>VLOOKUP(Ruimtestaat[[#This Row],[Code]],Locaties[#All],2,FALSE)</f>
        <v>De Bouwsteen / Het Fundament</v>
      </c>
      <c r="C809" s="258" t="str">
        <f>VLOOKUP(Ruimtestaat[[#This Row],[Code]],Locaties[#All],4,FALSE)</f>
        <v>Anna Reynvaanweg 50</v>
      </c>
      <c r="D809" s="258" t="str">
        <f>VLOOKUP(Ruimtestaat[[#This Row],[Code]],Locaties[#All],5,FALSE)</f>
        <v>7555SG</v>
      </c>
      <c r="E809" s="258" t="str">
        <f>VLOOKUP(Ruimtestaat[[#This Row],[Code]],Locaties[#All],6,FALSE)</f>
        <v>Hengelo</v>
      </c>
      <c r="F809" s="257"/>
      <c r="G809" s="257" t="s">
        <v>563</v>
      </c>
      <c r="H809" s="171"/>
      <c r="I809" s="257" t="s">
        <v>488</v>
      </c>
      <c r="J809" s="259" t="s">
        <v>580</v>
      </c>
      <c r="K809" s="258">
        <v>18</v>
      </c>
      <c r="L809" s="260" t="str">
        <f>VLOOKUP(Ruimtestaat[[#This Row],[Ruimte code]],Ruimtegroepen[#All],2,FALSE)</f>
        <v>Gymzaal</v>
      </c>
      <c r="M809" s="185" t="s">
        <v>112</v>
      </c>
      <c r="N809" s="257" t="s">
        <v>596</v>
      </c>
      <c r="O809" s="261">
        <v>255</v>
      </c>
      <c r="P809" s="183"/>
      <c r="Q809" s="212" t="str">
        <f>VLOOKUP(Ruimtestaat[[#This Row],[Ruimte code]],Ruimtegroepen[#All],4,FALSE)</f>
        <v>Sp  (Sportruimte)</v>
      </c>
      <c r="R809" s="184"/>
      <c r="S809" s="185">
        <v>40</v>
      </c>
      <c r="T809" s="185" t="s">
        <v>2</v>
      </c>
      <c r="U809" s="185">
        <f>IF(S809&gt;0,IF(RIGHT(Ruimtestaat[[#This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9" s="185">
        <f>IF(U809&gt;0,VLOOKUP($K809,Ruimtegroepen[],3,FALSE)*VLOOKUP($M809,Vloersoorten[],3,FALSE)*VLOOKUP($T809,Frequenties[],3,FALSE)*VLOOKUP($A809,Locaties[],3,FALSE),0)</f>
        <v>0</v>
      </c>
      <c r="W809" s="185">
        <f>Ruimtestaat[[#This Row],[Uitvoeringen werkdagen]]*Ruimtestaat[[#This Row],[Oppervlak (netto)]]</f>
        <v>51000</v>
      </c>
      <c r="X809" s="220">
        <f>IF(V809&gt;0,Ruimtestaat[[#This Row],[Prest. (m2 /jaar) werkdagen]]/Ruimtestaat[[#This Row],[Norm (m2/uur) werkdagen]],0)</f>
        <v>0</v>
      </c>
      <c r="Y809" s="221">
        <f>Ruimtestaat[[#This Row],[uren / jaar werkdagen]]*Tariefsopbouw!$D$38</f>
        <v>0</v>
      </c>
      <c r="Z809" s="33"/>
      <c r="AA809" s="33">
        <f>IF(Ruimtestaat[[#This Row],[Frequentie weekend]]&gt;0,VALUE(LEFT(Z809,1))*S809,0)</f>
        <v>0</v>
      </c>
      <c r="AB809" s="33">
        <f>IF($AA809&gt;0,VLOOKUP($K809,Ruimtegroepen[],3,FALSE)*VLOOKUP($M809,Vloersoorten[],3,FALSE)*VLOOKUP($Z809,Frequenties[],3,FALSE)*VLOOKUP(#REF!,Locaties[],3,FALSE),0)</f>
        <v>0</v>
      </c>
      <c r="AC809" s="33"/>
      <c r="AD809" s="33"/>
      <c r="AE809" s="33">
        <f>Ruimtestaat[[#This Row],[uren / jaar weekend]]*Tariefsopbouw!$D$40</f>
        <v>0</v>
      </c>
      <c r="AF809" s="79">
        <f>Ruimtestaat[[#This Row],[Prest. (m2 /jaar) weekend]]+Ruimtestaat[[#This Row],[Prest. (m2 /jaar) werkdagen]]</f>
        <v>51000</v>
      </c>
      <c r="AG809" s="79">
        <f>Ruimtestaat[[#This Row],[uren / jaar weekend]]+Ruimtestaat[[#This Row],[uren / jaar werkdagen]]</f>
        <v>0</v>
      </c>
      <c r="AH809" s="80">
        <f>Ruimtestaat[[#This Row],[kosten / jaar weekend]]+Ruimtestaat[[#This Row],[kosten / jaar werkdagen]]</f>
        <v>0</v>
      </c>
    </row>
    <row r="810" spans="1:34" ht="15" customHeight="1">
      <c r="A810" s="256">
        <v>11</v>
      </c>
      <c r="B810" s="171" t="str">
        <f>VLOOKUP(Ruimtestaat[[#This Row],[Code]],Locaties[#All],2,FALSE)</f>
        <v>De Bouwsteen / Het Fundament</v>
      </c>
      <c r="C810" s="258" t="str">
        <f>VLOOKUP(Ruimtestaat[[#This Row],[Code]],Locaties[#All],4,FALSE)</f>
        <v>Anna Reynvaanweg 50</v>
      </c>
      <c r="D810" s="258" t="str">
        <f>VLOOKUP(Ruimtestaat[[#This Row],[Code]],Locaties[#All],5,FALSE)</f>
        <v>7555SG</v>
      </c>
      <c r="E810" s="258" t="str">
        <f>VLOOKUP(Ruimtestaat[[#This Row],[Code]],Locaties[#All],6,FALSE)</f>
        <v>Hengelo</v>
      </c>
      <c r="F810" s="257"/>
      <c r="G810" s="257" t="s">
        <v>563</v>
      </c>
      <c r="H810" s="171"/>
      <c r="I810" s="257" t="s">
        <v>489</v>
      </c>
      <c r="J810" s="259" t="s">
        <v>574</v>
      </c>
      <c r="K810" s="171">
        <v>6</v>
      </c>
      <c r="L810" s="260" t="str">
        <f>VLOOKUP(Ruimtestaat[[#This Row],[Ruimte code]],Ruimtegroepen[#All],2,FALSE)</f>
        <v>Gangen/hallen</v>
      </c>
      <c r="M810" s="212" t="s">
        <v>111</v>
      </c>
      <c r="N810" s="257" t="s">
        <v>595</v>
      </c>
      <c r="O810" s="261">
        <v>12.8</v>
      </c>
      <c r="P810" s="183"/>
      <c r="Q810" s="212" t="str">
        <f>VLOOKUP(Ruimtestaat[[#This Row],[Ruimte code]],Ruimtegroepen[#All],4,FALSE)</f>
        <v>V  (Verkeersruimte)</v>
      </c>
      <c r="R810" s="184"/>
      <c r="S810" s="185">
        <v>40</v>
      </c>
      <c r="T810" s="185" t="s">
        <v>2</v>
      </c>
      <c r="U810" s="185">
        <f>IF(S810&gt;0,IF(RIGHT(Ruimtestaat[[#This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0" s="185">
        <f>IF(U810&gt;0,VLOOKUP($K810,Ruimtegroepen[],3,FALSE)*VLOOKUP($M810,Vloersoorten[],3,FALSE)*VLOOKUP($T810,Frequenties[],3,FALSE)*VLOOKUP($A810,Locaties[],3,FALSE),0)</f>
        <v>0</v>
      </c>
      <c r="W810" s="185">
        <f>Ruimtestaat[[#This Row],[Uitvoeringen werkdagen]]*Ruimtestaat[[#This Row],[Oppervlak (netto)]]</f>
        <v>2560</v>
      </c>
      <c r="X810" s="220">
        <f>IF(V810&gt;0,Ruimtestaat[[#This Row],[Prest. (m2 /jaar) werkdagen]]/Ruimtestaat[[#This Row],[Norm (m2/uur) werkdagen]],0)</f>
        <v>0</v>
      </c>
      <c r="Y810" s="221">
        <f>Ruimtestaat[[#This Row],[uren / jaar werkdagen]]*Tariefsopbouw!$D$38</f>
        <v>0</v>
      </c>
      <c r="Z810" s="33"/>
      <c r="AA810" s="33">
        <f>IF(Ruimtestaat[[#This Row],[Frequentie weekend]]&gt;0,VALUE(LEFT(Z810,1))*S810,0)</f>
        <v>0</v>
      </c>
      <c r="AB810" s="33">
        <f>IF($AA810&gt;0,VLOOKUP($K810,Ruimtegroepen[],3,FALSE)*VLOOKUP($M810,Vloersoorten[],3,FALSE)*VLOOKUP($Z810,Frequenties[],3,FALSE)*VLOOKUP(#REF!,Locaties[],3,FALSE),0)</f>
        <v>0</v>
      </c>
      <c r="AC810" s="33"/>
      <c r="AD810" s="33"/>
      <c r="AE810" s="33">
        <f>Ruimtestaat[[#This Row],[uren / jaar weekend]]*Tariefsopbouw!$D$40</f>
        <v>0</v>
      </c>
      <c r="AF810" s="79">
        <f>Ruimtestaat[[#This Row],[Prest. (m2 /jaar) weekend]]+Ruimtestaat[[#This Row],[Prest. (m2 /jaar) werkdagen]]</f>
        <v>2560</v>
      </c>
      <c r="AG810" s="79">
        <f>Ruimtestaat[[#This Row],[uren / jaar weekend]]+Ruimtestaat[[#This Row],[uren / jaar werkdagen]]</f>
        <v>0</v>
      </c>
      <c r="AH810" s="80">
        <f>Ruimtestaat[[#This Row],[kosten / jaar weekend]]+Ruimtestaat[[#This Row],[kosten / jaar werkdagen]]</f>
        <v>0</v>
      </c>
    </row>
    <row r="811" spans="1:34" ht="15" customHeight="1">
      <c r="A811" s="256">
        <v>11</v>
      </c>
      <c r="B811" s="171" t="str">
        <f>VLOOKUP(Ruimtestaat[[#This Row],[Code]],Locaties[#All],2,FALSE)</f>
        <v>De Bouwsteen / Het Fundament</v>
      </c>
      <c r="C811" s="258" t="str">
        <f>VLOOKUP(Ruimtestaat[[#This Row],[Code]],Locaties[#All],4,FALSE)</f>
        <v>Anna Reynvaanweg 50</v>
      </c>
      <c r="D811" s="258" t="str">
        <f>VLOOKUP(Ruimtestaat[[#This Row],[Code]],Locaties[#All],5,FALSE)</f>
        <v>7555SG</v>
      </c>
      <c r="E811" s="258" t="str">
        <f>VLOOKUP(Ruimtestaat[[#This Row],[Code]],Locaties[#All],6,FALSE)</f>
        <v>Hengelo</v>
      </c>
      <c r="F811" s="257"/>
      <c r="G811" s="257" t="s">
        <v>563</v>
      </c>
      <c r="H811" s="171"/>
      <c r="I811" s="257" t="s">
        <v>490</v>
      </c>
      <c r="J811" s="259" t="s">
        <v>581</v>
      </c>
      <c r="K811" s="185">
        <v>19</v>
      </c>
      <c r="L811" s="260" t="str">
        <f>VLOOKUP(Ruimtestaat[[#This Row],[Ruimte code]],Ruimtegroepen[#All],2,FALSE)</f>
        <v>Kleedruimten</v>
      </c>
      <c r="M811" s="212" t="s">
        <v>111</v>
      </c>
      <c r="N811" s="257" t="s">
        <v>595</v>
      </c>
      <c r="O811" s="261">
        <v>8.6</v>
      </c>
      <c r="P811" s="183"/>
      <c r="Q811" s="212" t="str">
        <f>VLOOKUP(Ruimtestaat[[#This Row],[Ruimte code]],Ruimtegroepen[#All],4,FALSE)</f>
        <v>V  (Verkeersruimte)</v>
      </c>
      <c r="R811" s="184"/>
      <c r="S811" s="185">
        <v>40</v>
      </c>
      <c r="T811" s="185" t="s">
        <v>2</v>
      </c>
      <c r="U811" s="185">
        <f>IF(S811&gt;0,IF(RIGHT(Ruimtestaat[[#This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1" s="185">
        <f>IF(U811&gt;0,VLOOKUP($K811,Ruimtegroepen[],3,FALSE)*VLOOKUP($M811,Vloersoorten[],3,FALSE)*VLOOKUP($T811,Frequenties[],3,FALSE)*VLOOKUP($A811,Locaties[],3,FALSE),0)</f>
        <v>0</v>
      </c>
      <c r="W811" s="185">
        <f>Ruimtestaat[[#This Row],[Uitvoeringen werkdagen]]*Ruimtestaat[[#This Row],[Oppervlak (netto)]]</f>
        <v>1720</v>
      </c>
      <c r="X811" s="220">
        <f>IF(V811&gt;0,Ruimtestaat[[#This Row],[Prest. (m2 /jaar) werkdagen]]/Ruimtestaat[[#This Row],[Norm (m2/uur) werkdagen]],0)</f>
        <v>0</v>
      </c>
      <c r="Y811" s="221">
        <f>Ruimtestaat[[#This Row],[uren / jaar werkdagen]]*Tariefsopbouw!$D$38</f>
        <v>0</v>
      </c>
      <c r="Z811" s="33"/>
      <c r="AA811" s="33">
        <f>IF(Ruimtestaat[[#This Row],[Frequentie weekend]]&gt;0,VALUE(LEFT(Z811,1))*S811,0)</f>
        <v>0</v>
      </c>
      <c r="AB811" s="33">
        <f>IF($AA811&gt;0,VLOOKUP($K811,Ruimtegroepen[],3,FALSE)*VLOOKUP($M811,Vloersoorten[],3,FALSE)*VLOOKUP($Z811,Frequenties[],3,FALSE)*VLOOKUP(#REF!,Locaties[],3,FALSE),0)</f>
        <v>0</v>
      </c>
      <c r="AC811" s="33"/>
      <c r="AD811" s="33"/>
      <c r="AE811" s="33">
        <f>Ruimtestaat[[#This Row],[uren / jaar weekend]]*Tariefsopbouw!$D$40</f>
        <v>0</v>
      </c>
      <c r="AF811" s="79">
        <f>Ruimtestaat[[#This Row],[Prest. (m2 /jaar) weekend]]+Ruimtestaat[[#This Row],[Prest. (m2 /jaar) werkdagen]]</f>
        <v>1720</v>
      </c>
      <c r="AG811" s="79">
        <f>Ruimtestaat[[#This Row],[uren / jaar weekend]]+Ruimtestaat[[#This Row],[uren / jaar werkdagen]]</f>
        <v>0</v>
      </c>
      <c r="AH811" s="80">
        <f>Ruimtestaat[[#This Row],[kosten / jaar weekend]]+Ruimtestaat[[#This Row],[kosten / jaar werkdagen]]</f>
        <v>0</v>
      </c>
    </row>
    <row r="812" spans="1:34" ht="15" customHeight="1">
      <c r="A812" s="256">
        <v>11</v>
      </c>
      <c r="B812" s="171" t="str">
        <f>VLOOKUP(Ruimtestaat[[#This Row],[Code]],Locaties[#All],2,FALSE)</f>
        <v>De Bouwsteen / Het Fundament</v>
      </c>
      <c r="C812" s="258" t="str">
        <f>VLOOKUP(Ruimtestaat[[#This Row],[Code]],Locaties[#All],4,FALSE)</f>
        <v>Anna Reynvaanweg 50</v>
      </c>
      <c r="D812" s="258" t="str">
        <f>VLOOKUP(Ruimtestaat[[#This Row],[Code]],Locaties[#All],5,FALSE)</f>
        <v>7555SG</v>
      </c>
      <c r="E812" s="258" t="str">
        <f>VLOOKUP(Ruimtestaat[[#This Row],[Code]],Locaties[#All],6,FALSE)</f>
        <v>Hengelo</v>
      </c>
      <c r="F812" s="257" t="s">
        <v>580</v>
      </c>
      <c r="G812" s="257" t="s">
        <v>563</v>
      </c>
      <c r="H812" s="171"/>
      <c r="I812" s="257" t="s">
        <v>491</v>
      </c>
      <c r="J812" s="259" t="s">
        <v>581</v>
      </c>
      <c r="K812" s="171">
        <v>19</v>
      </c>
      <c r="L812" s="260" t="str">
        <f>VLOOKUP(Ruimtestaat[[#This Row],[Ruimte code]],Ruimtegroepen[#All],2,FALSE)</f>
        <v>Kleedruimten</v>
      </c>
      <c r="M812" s="212" t="s">
        <v>111</v>
      </c>
      <c r="N812" s="257" t="s">
        <v>595</v>
      </c>
      <c r="O812" s="261">
        <v>8.6</v>
      </c>
      <c r="P812" s="183"/>
      <c r="Q812" s="212" t="str">
        <f>VLOOKUP(Ruimtestaat[[#This Row],[Ruimte code]],Ruimtegroepen[#All],4,FALSE)</f>
        <v>V  (Verkeersruimte)</v>
      </c>
      <c r="R812" s="184"/>
      <c r="S812" s="185">
        <v>40</v>
      </c>
      <c r="T812" s="185" t="s">
        <v>2</v>
      </c>
      <c r="U812" s="185">
        <f>IF(S812&gt;0,IF(RIGHT(Ruimtestaat[[#This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2" s="185">
        <f>IF(U812&gt;0,VLOOKUP($K812,Ruimtegroepen[],3,FALSE)*VLOOKUP($M812,Vloersoorten[],3,FALSE)*VLOOKUP($T812,Frequenties[],3,FALSE)*VLOOKUP($A812,Locaties[],3,FALSE),0)</f>
        <v>0</v>
      </c>
      <c r="W812" s="185">
        <f>Ruimtestaat[[#This Row],[Uitvoeringen werkdagen]]*Ruimtestaat[[#This Row],[Oppervlak (netto)]]</f>
        <v>1720</v>
      </c>
      <c r="X812" s="220">
        <f>IF(V812&gt;0,Ruimtestaat[[#This Row],[Prest. (m2 /jaar) werkdagen]]/Ruimtestaat[[#This Row],[Norm (m2/uur) werkdagen]],0)</f>
        <v>0</v>
      </c>
      <c r="Y812" s="221">
        <f>Ruimtestaat[[#This Row],[uren / jaar werkdagen]]*Tariefsopbouw!$D$38</f>
        <v>0</v>
      </c>
      <c r="Z812" s="33"/>
      <c r="AA812" s="33">
        <f>IF(Ruimtestaat[[#This Row],[Frequentie weekend]]&gt;0,VALUE(LEFT(Z812,1))*S812,0)</f>
        <v>0</v>
      </c>
      <c r="AB812" s="33">
        <f>IF($AA812&gt;0,VLOOKUP($K812,Ruimtegroepen[],3,FALSE)*VLOOKUP($M812,Vloersoorten[],3,FALSE)*VLOOKUP($Z812,Frequenties[],3,FALSE)*VLOOKUP(#REF!,Locaties[],3,FALSE),0)</f>
        <v>0</v>
      </c>
      <c r="AC812" s="33"/>
      <c r="AD812" s="33"/>
      <c r="AE812" s="33">
        <f>Ruimtestaat[[#This Row],[uren / jaar weekend]]*Tariefsopbouw!$D$40</f>
        <v>0</v>
      </c>
      <c r="AF812" s="79">
        <f>Ruimtestaat[[#This Row],[Prest. (m2 /jaar) weekend]]+Ruimtestaat[[#This Row],[Prest. (m2 /jaar) werkdagen]]</f>
        <v>1720</v>
      </c>
      <c r="AG812" s="79">
        <f>Ruimtestaat[[#This Row],[uren / jaar weekend]]+Ruimtestaat[[#This Row],[uren / jaar werkdagen]]</f>
        <v>0</v>
      </c>
      <c r="AH812" s="80">
        <f>Ruimtestaat[[#This Row],[kosten / jaar weekend]]+Ruimtestaat[[#This Row],[kosten / jaar werkdagen]]</f>
        <v>0</v>
      </c>
    </row>
    <row r="813" spans="1:34" ht="15" customHeight="1">
      <c r="A813" s="256">
        <v>11</v>
      </c>
      <c r="B813" s="171" t="str">
        <f>VLOOKUP(Ruimtestaat[[#This Row],[Code]],Locaties[#All],2,FALSE)</f>
        <v>De Bouwsteen / Het Fundament</v>
      </c>
      <c r="C813" s="258" t="str">
        <f>VLOOKUP(Ruimtestaat[[#This Row],[Code]],Locaties[#All],4,FALSE)</f>
        <v>Anna Reynvaanweg 50</v>
      </c>
      <c r="D813" s="258" t="str">
        <f>VLOOKUP(Ruimtestaat[[#This Row],[Code]],Locaties[#All],5,FALSE)</f>
        <v>7555SG</v>
      </c>
      <c r="E813" s="258" t="str">
        <f>VLOOKUP(Ruimtestaat[[#This Row],[Code]],Locaties[#All],6,FALSE)</f>
        <v>Hengelo</v>
      </c>
      <c r="F813" s="257" t="s">
        <v>580</v>
      </c>
      <c r="G813" s="257" t="s">
        <v>563</v>
      </c>
      <c r="H813" s="171"/>
      <c r="I813" s="257" t="s">
        <v>492</v>
      </c>
      <c r="J813" s="259" t="s">
        <v>581</v>
      </c>
      <c r="K813" s="258">
        <v>19</v>
      </c>
      <c r="L813" s="260" t="str">
        <f>VLOOKUP(Ruimtestaat[[#This Row],[Ruimte code]],Ruimtegroepen[#All],2,FALSE)</f>
        <v>Kleedruimten</v>
      </c>
      <c r="M813" s="212" t="s">
        <v>111</v>
      </c>
      <c r="N813" s="257" t="s">
        <v>595</v>
      </c>
      <c r="O813" s="261">
        <v>14.2</v>
      </c>
      <c r="P813" s="183"/>
      <c r="Q813" s="212" t="str">
        <f>VLOOKUP(Ruimtestaat[[#This Row],[Ruimte code]],Ruimtegroepen[#All],4,FALSE)</f>
        <v>V  (Verkeersruimte)</v>
      </c>
      <c r="R813" s="184"/>
      <c r="S813" s="185">
        <v>40</v>
      </c>
      <c r="T813" s="185" t="s">
        <v>2</v>
      </c>
      <c r="U813" s="185">
        <f>IF(S813&gt;0,IF(RIGHT(Ruimtestaat[[#This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3" s="185">
        <f>IF(U813&gt;0,VLOOKUP($K813,Ruimtegroepen[],3,FALSE)*VLOOKUP($M813,Vloersoorten[],3,FALSE)*VLOOKUP($T813,Frequenties[],3,FALSE)*VLOOKUP($A813,Locaties[],3,FALSE),0)</f>
        <v>0</v>
      </c>
      <c r="W813" s="185">
        <f>Ruimtestaat[[#This Row],[Uitvoeringen werkdagen]]*Ruimtestaat[[#This Row],[Oppervlak (netto)]]</f>
        <v>2840</v>
      </c>
      <c r="X813" s="220">
        <f>IF(V813&gt;0,Ruimtestaat[[#This Row],[Prest. (m2 /jaar) werkdagen]]/Ruimtestaat[[#This Row],[Norm (m2/uur) werkdagen]],0)</f>
        <v>0</v>
      </c>
      <c r="Y813" s="221">
        <f>Ruimtestaat[[#This Row],[uren / jaar werkdagen]]*Tariefsopbouw!$D$38</f>
        <v>0</v>
      </c>
      <c r="Z813" s="33"/>
      <c r="AA813" s="33">
        <f>IF(Ruimtestaat[[#This Row],[Frequentie weekend]]&gt;0,VALUE(LEFT(Z813,1))*S813,0)</f>
        <v>0</v>
      </c>
      <c r="AB813" s="33">
        <f>IF($AA813&gt;0,VLOOKUP($K813,Ruimtegroepen[],3,FALSE)*VLOOKUP($M813,Vloersoorten[],3,FALSE)*VLOOKUP($Z813,Frequenties[],3,FALSE)*VLOOKUP(#REF!,Locaties[],3,FALSE),0)</f>
        <v>0</v>
      </c>
      <c r="AC813" s="33"/>
      <c r="AD813" s="33"/>
      <c r="AE813" s="33">
        <f>Ruimtestaat[[#This Row],[uren / jaar weekend]]*Tariefsopbouw!$D$40</f>
        <v>0</v>
      </c>
      <c r="AF813" s="79">
        <f>Ruimtestaat[[#This Row],[Prest. (m2 /jaar) weekend]]+Ruimtestaat[[#This Row],[Prest. (m2 /jaar) werkdagen]]</f>
        <v>2840</v>
      </c>
      <c r="AG813" s="79">
        <f>Ruimtestaat[[#This Row],[uren / jaar weekend]]+Ruimtestaat[[#This Row],[uren / jaar werkdagen]]</f>
        <v>0</v>
      </c>
      <c r="AH813" s="80">
        <f>Ruimtestaat[[#This Row],[kosten / jaar weekend]]+Ruimtestaat[[#This Row],[kosten / jaar werkdagen]]</f>
        <v>0</v>
      </c>
    </row>
    <row r="814" spans="1:34" ht="15" customHeight="1">
      <c r="A814" s="256">
        <v>11</v>
      </c>
      <c r="B814" s="171" t="str">
        <f>VLOOKUP(Ruimtestaat[[#This Row],[Code]],Locaties[#All],2,FALSE)</f>
        <v>De Bouwsteen / Het Fundament</v>
      </c>
      <c r="C814" s="258" t="str">
        <f>VLOOKUP(Ruimtestaat[[#This Row],[Code]],Locaties[#All],4,FALSE)</f>
        <v>Anna Reynvaanweg 50</v>
      </c>
      <c r="D814" s="258" t="str">
        <f>VLOOKUP(Ruimtestaat[[#This Row],[Code]],Locaties[#All],5,FALSE)</f>
        <v>7555SG</v>
      </c>
      <c r="E814" s="258" t="str">
        <f>VLOOKUP(Ruimtestaat[[#This Row],[Code]],Locaties[#All],6,FALSE)</f>
        <v>Hengelo</v>
      </c>
      <c r="F814" s="257" t="s">
        <v>580</v>
      </c>
      <c r="G814" s="257" t="s">
        <v>563</v>
      </c>
      <c r="H814" s="171"/>
      <c r="I814" s="257" t="s">
        <v>493</v>
      </c>
      <c r="J814" s="259" t="s">
        <v>581</v>
      </c>
      <c r="K814" s="258">
        <v>19</v>
      </c>
      <c r="L814" s="260" t="str">
        <f>VLOOKUP(Ruimtestaat[[#This Row],[Ruimte code]],Ruimtegroepen[#All],2,FALSE)</f>
        <v>Kleedruimten</v>
      </c>
      <c r="M814" s="212" t="s">
        <v>111</v>
      </c>
      <c r="N814" s="257" t="s">
        <v>595</v>
      </c>
      <c r="O814" s="261">
        <v>14.2</v>
      </c>
      <c r="P814" s="183"/>
      <c r="Q814" s="212" t="str">
        <f>VLOOKUP(Ruimtestaat[[#This Row],[Ruimte code]],Ruimtegroepen[#All],4,FALSE)</f>
        <v>V  (Verkeersruimte)</v>
      </c>
      <c r="R814" s="184"/>
      <c r="S814" s="185">
        <v>40</v>
      </c>
      <c r="T814" s="185" t="s">
        <v>2</v>
      </c>
      <c r="U814" s="185">
        <f>IF(S814&gt;0,IF(RIGHT(Ruimtestaat[[#This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4" s="185">
        <f>IF(U814&gt;0,VLOOKUP($K814,Ruimtegroepen[],3,FALSE)*VLOOKUP($M814,Vloersoorten[],3,FALSE)*VLOOKUP($T814,Frequenties[],3,FALSE)*VLOOKUP($A814,Locaties[],3,FALSE),0)</f>
        <v>0</v>
      </c>
      <c r="W814" s="185">
        <f>Ruimtestaat[[#This Row],[Uitvoeringen werkdagen]]*Ruimtestaat[[#This Row],[Oppervlak (netto)]]</f>
        <v>2840</v>
      </c>
      <c r="X814" s="220">
        <f>IF(V814&gt;0,Ruimtestaat[[#This Row],[Prest. (m2 /jaar) werkdagen]]/Ruimtestaat[[#This Row],[Norm (m2/uur) werkdagen]],0)</f>
        <v>0</v>
      </c>
      <c r="Y814" s="221">
        <f>Ruimtestaat[[#This Row],[uren / jaar werkdagen]]*Tariefsopbouw!$D$38</f>
        <v>0</v>
      </c>
      <c r="Z814" s="33"/>
      <c r="AA814" s="33">
        <f>IF(Ruimtestaat[[#This Row],[Frequentie weekend]]&gt;0,VALUE(LEFT(Z814,1))*S814,0)</f>
        <v>0</v>
      </c>
      <c r="AB814" s="33">
        <f>IF($AA814&gt;0,VLOOKUP($K814,Ruimtegroepen[],3,FALSE)*VLOOKUP($M814,Vloersoorten[],3,FALSE)*VLOOKUP($Z814,Frequenties[],3,FALSE)*VLOOKUP(#REF!,Locaties[],3,FALSE),0)</f>
        <v>0</v>
      </c>
      <c r="AC814" s="33"/>
      <c r="AD814" s="33"/>
      <c r="AE814" s="33">
        <f>Ruimtestaat[[#This Row],[uren / jaar weekend]]*Tariefsopbouw!$D$40</f>
        <v>0</v>
      </c>
      <c r="AF814" s="79">
        <f>Ruimtestaat[[#This Row],[Prest. (m2 /jaar) weekend]]+Ruimtestaat[[#This Row],[Prest. (m2 /jaar) werkdagen]]</f>
        <v>2840</v>
      </c>
      <c r="AG814" s="79">
        <f>Ruimtestaat[[#This Row],[uren / jaar weekend]]+Ruimtestaat[[#This Row],[uren / jaar werkdagen]]</f>
        <v>0</v>
      </c>
      <c r="AH814" s="80">
        <f>Ruimtestaat[[#This Row],[kosten / jaar weekend]]+Ruimtestaat[[#This Row],[kosten / jaar werkdagen]]</f>
        <v>0</v>
      </c>
    </row>
    <row r="815" spans="1:34" ht="15" customHeight="1">
      <c r="A815" s="256">
        <v>11</v>
      </c>
      <c r="B815" s="171" t="str">
        <f>VLOOKUP(Ruimtestaat[[#This Row],[Code]],Locaties[#All],2,FALSE)</f>
        <v>De Bouwsteen / Het Fundament</v>
      </c>
      <c r="C815" s="258" t="str">
        <f>VLOOKUP(Ruimtestaat[[#This Row],[Code]],Locaties[#All],4,FALSE)</f>
        <v>Anna Reynvaanweg 50</v>
      </c>
      <c r="D815" s="258" t="str">
        <f>VLOOKUP(Ruimtestaat[[#This Row],[Code]],Locaties[#All],5,FALSE)</f>
        <v>7555SG</v>
      </c>
      <c r="E815" s="258" t="str">
        <f>VLOOKUP(Ruimtestaat[[#This Row],[Code]],Locaties[#All],6,FALSE)</f>
        <v>Hengelo</v>
      </c>
      <c r="F815" s="257" t="s">
        <v>580</v>
      </c>
      <c r="G815" s="257" t="s">
        <v>563</v>
      </c>
      <c r="H815" s="171"/>
      <c r="I815" s="257" t="s">
        <v>494</v>
      </c>
      <c r="J815" s="259" t="s">
        <v>569</v>
      </c>
      <c r="K815" s="171">
        <v>5</v>
      </c>
      <c r="L815" s="260" t="str">
        <f>VLOOKUP(Ruimtestaat[[#This Row],[Ruimte code]],Ruimtegroepen[#All],2,FALSE)</f>
        <v>Sanitair</v>
      </c>
      <c r="M815" s="212" t="s">
        <v>111</v>
      </c>
      <c r="N815" s="257" t="s">
        <v>595</v>
      </c>
      <c r="O815" s="261">
        <v>1.5</v>
      </c>
      <c r="P815" s="183"/>
      <c r="Q815" s="212" t="str">
        <f>VLOOKUP(Ruimtestaat[[#This Row],[Ruimte code]],Ruimtegroepen[#All],4,FALSE)</f>
        <v>S  (Sanitair)</v>
      </c>
      <c r="R815" s="184"/>
      <c r="S815" s="185">
        <v>40</v>
      </c>
      <c r="T815" s="185" t="s">
        <v>2</v>
      </c>
      <c r="U815" s="185">
        <f>IF(S815&gt;0,IF(RIGHT(Ruimtestaat[[#This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5" s="185">
        <f>IF(U815&gt;0,VLOOKUP($K815,Ruimtegroepen[],3,FALSE)*VLOOKUP($M815,Vloersoorten[],3,FALSE)*VLOOKUP($T815,Frequenties[],3,FALSE)*VLOOKUP($A815,Locaties[],3,FALSE),0)</f>
        <v>0</v>
      </c>
      <c r="W815" s="185">
        <f>Ruimtestaat[[#This Row],[Uitvoeringen werkdagen]]*Ruimtestaat[[#This Row],[Oppervlak (netto)]]</f>
        <v>300</v>
      </c>
      <c r="X815" s="220">
        <f>IF(V815&gt;0,Ruimtestaat[[#This Row],[Prest. (m2 /jaar) werkdagen]]/Ruimtestaat[[#This Row],[Norm (m2/uur) werkdagen]],0)</f>
        <v>0</v>
      </c>
      <c r="Y815" s="221">
        <f>Ruimtestaat[[#This Row],[uren / jaar werkdagen]]*Tariefsopbouw!$D$38</f>
        <v>0</v>
      </c>
      <c r="Z815" s="33"/>
      <c r="AA815" s="33">
        <f>IF(Ruimtestaat[[#This Row],[Frequentie weekend]]&gt;0,VALUE(LEFT(Z815,1))*S815,0)</f>
        <v>0</v>
      </c>
      <c r="AB815" s="33">
        <f>IF($AA815&gt;0,VLOOKUP($K815,Ruimtegroepen[],3,FALSE)*VLOOKUP($M815,Vloersoorten[],3,FALSE)*VLOOKUP($Z815,Frequenties[],3,FALSE)*VLOOKUP(#REF!,Locaties[],3,FALSE),0)</f>
        <v>0</v>
      </c>
      <c r="AC815" s="33"/>
      <c r="AD815" s="33"/>
      <c r="AE815" s="33">
        <f>Ruimtestaat[[#This Row],[uren / jaar weekend]]*Tariefsopbouw!$D$40</f>
        <v>0</v>
      </c>
      <c r="AF815" s="79">
        <f>Ruimtestaat[[#This Row],[Prest. (m2 /jaar) weekend]]+Ruimtestaat[[#This Row],[Prest. (m2 /jaar) werkdagen]]</f>
        <v>300</v>
      </c>
      <c r="AG815" s="79">
        <f>Ruimtestaat[[#This Row],[uren / jaar weekend]]+Ruimtestaat[[#This Row],[uren / jaar werkdagen]]</f>
        <v>0</v>
      </c>
      <c r="AH815" s="80">
        <f>Ruimtestaat[[#This Row],[kosten / jaar weekend]]+Ruimtestaat[[#This Row],[kosten / jaar werkdagen]]</f>
        <v>0</v>
      </c>
    </row>
    <row r="816" spans="1:34" ht="15" customHeight="1">
      <c r="A816" s="256">
        <v>11</v>
      </c>
      <c r="B816" s="171" t="str">
        <f>VLOOKUP(Ruimtestaat[[#This Row],[Code]],Locaties[#All],2,FALSE)</f>
        <v>De Bouwsteen / Het Fundament</v>
      </c>
      <c r="C816" s="258" t="str">
        <f>VLOOKUP(Ruimtestaat[[#This Row],[Code]],Locaties[#All],4,FALSE)</f>
        <v>Anna Reynvaanweg 50</v>
      </c>
      <c r="D816" s="258" t="str">
        <f>VLOOKUP(Ruimtestaat[[#This Row],[Code]],Locaties[#All],5,FALSE)</f>
        <v>7555SG</v>
      </c>
      <c r="E816" s="258" t="str">
        <f>VLOOKUP(Ruimtestaat[[#This Row],[Code]],Locaties[#All],6,FALSE)</f>
        <v>Hengelo</v>
      </c>
      <c r="F816" s="257" t="s">
        <v>580</v>
      </c>
      <c r="G816" s="257" t="s">
        <v>563</v>
      </c>
      <c r="H816" s="171"/>
      <c r="I816" s="257" t="s">
        <v>495</v>
      </c>
      <c r="J816" s="259" t="s">
        <v>569</v>
      </c>
      <c r="K816" s="171">
        <v>5</v>
      </c>
      <c r="L816" s="260" t="str">
        <f>VLOOKUP(Ruimtestaat[[#This Row],[Ruimte code]],Ruimtegroepen[#All],2,FALSE)</f>
        <v>Sanitair</v>
      </c>
      <c r="M816" s="212" t="s">
        <v>111</v>
      </c>
      <c r="N816" s="257" t="s">
        <v>595</v>
      </c>
      <c r="O816" s="261">
        <v>1.5</v>
      </c>
      <c r="P816" s="183"/>
      <c r="Q816" s="212" t="str">
        <f>VLOOKUP(Ruimtestaat[[#This Row],[Ruimte code]],Ruimtegroepen[#All],4,FALSE)</f>
        <v>S  (Sanitair)</v>
      </c>
      <c r="R816" s="184"/>
      <c r="S816" s="185">
        <v>40</v>
      </c>
      <c r="T816" s="185" t="s">
        <v>2</v>
      </c>
      <c r="U816" s="185">
        <f>IF(S816&gt;0,IF(RIGHT(Ruimtestaat[[#This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6" s="185">
        <f>IF(U816&gt;0,VLOOKUP($K816,Ruimtegroepen[],3,FALSE)*VLOOKUP($M816,Vloersoorten[],3,FALSE)*VLOOKUP($T816,Frequenties[],3,FALSE)*VLOOKUP($A816,Locaties[],3,FALSE),0)</f>
        <v>0</v>
      </c>
      <c r="W816" s="185">
        <f>Ruimtestaat[[#This Row],[Uitvoeringen werkdagen]]*Ruimtestaat[[#This Row],[Oppervlak (netto)]]</f>
        <v>300</v>
      </c>
      <c r="X816" s="220">
        <f>IF(V816&gt;0,Ruimtestaat[[#This Row],[Prest. (m2 /jaar) werkdagen]]/Ruimtestaat[[#This Row],[Norm (m2/uur) werkdagen]],0)</f>
        <v>0</v>
      </c>
      <c r="Y816" s="221">
        <f>Ruimtestaat[[#This Row],[uren / jaar werkdagen]]*Tariefsopbouw!$D$38</f>
        <v>0</v>
      </c>
      <c r="Z816" s="33"/>
      <c r="AA816" s="33">
        <f>IF(Ruimtestaat[[#This Row],[Frequentie weekend]]&gt;0,VALUE(LEFT(Z816,1))*S816,0)</f>
        <v>0</v>
      </c>
      <c r="AB816" s="33">
        <f>IF($AA816&gt;0,VLOOKUP($K816,Ruimtegroepen[],3,FALSE)*VLOOKUP($M816,Vloersoorten[],3,FALSE)*VLOOKUP($Z816,Frequenties[],3,FALSE)*VLOOKUP(#REF!,Locaties[],3,FALSE),0)</f>
        <v>0</v>
      </c>
      <c r="AC816" s="33"/>
      <c r="AD816" s="33"/>
      <c r="AE816" s="33">
        <f>Ruimtestaat[[#This Row],[uren / jaar weekend]]*Tariefsopbouw!$D$40</f>
        <v>0</v>
      </c>
      <c r="AF816" s="79">
        <f>Ruimtestaat[[#This Row],[Prest. (m2 /jaar) weekend]]+Ruimtestaat[[#This Row],[Prest. (m2 /jaar) werkdagen]]</f>
        <v>300</v>
      </c>
      <c r="AG816" s="79">
        <f>Ruimtestaat[[#This Row],[uren / jaar weekend]]+Ruimtestaat[[#This Row],[uren / jaar werkdagen]]</f>
        <v>0</v>
      </c>
      <c r="AH816" s="80">
        <f>Ruimtestaat[[#This Row],[kosten / jaar weekend]]+Ruimtestaat[[#This Row],[kosten / jaar werkdagen]]</f>
        <v>0</v>
      </c>
    </row>
    <row r="817" spans="1:34" ht="15" customHeight="1">
      <c r="A817" s="256">
        <v>11</v>
      </c>
      <c r="B817" s="171" t="str">
        <f>VLOOKUP(Ruimtestaat[[#This Row],[Code]],Locaties[#All],2,FALSE)</f>
        <v>De Bouwsteen / Het Fundament</v>
      </c>
      <c r="C817" s="258" t="str">
        <f>VLOOKUP(Ruimtestaat[[#This Row],[Code]],Locaties[#All],4,FALSE)</f>
        <v>Anna Reynvaanweg 50</v>
      </c>
      <c r="D817" s="258" t="str">
        <f>VLOOKUP(Ruimtestaat[[#This Row],[Code]],Locaties[#All],5,FALSE)</f>
        <v>7555SG</v>
      </c>
      <c r="E817" s="258" t="str">
        <f>VLOOKUP(Ruimtestaat[[#This Row],[Code]],Locaties[#All],6,FALSE)</f>
        <v>Hengelo</v>
      </c>
      <c r="F817" s="257" t="s">
        <v>580</v>
      </c>
      <c r="G817" s="257" t="s">
        <v>563</v>
      </c>
      <c r="H817" s="171"/>
      <c r="I817" s="257" t="s">
        <v>496</v>
      </c>
      <c r="J817" s="259" t="s">
        <v>582</v>
      </c>
      <c r="K817" s="258">
        <v>19</v>
      </c>
      <c r="L817" s="260" t="str">
        <f>VLOOKUP(Ruimtestaat[[#This Row],[Ruimte code]],Ruimtegroepen[#All],2,FALSE)</f>
        <v>Kleedruimten</v>
      </c>
      <c r="M817" s="212" t="s">
        <v>111</v>
      </c>
      <c r="N817" s="257" t="s">
        <v>595</v>
      </c>
      <c r="O817" s="261">
        <v>5.7</v>
      </c>
      <c r="P817" s="183"/>
      <c r="Q817" s="212" t="str">
        <f>VLOOKUP(Ruimtestaat[[#This Row],[Ruimte code]],Ruimtegroepen[#All],4,FALSE)</f>
        <v>V  (Verkeersruimte)</v>
      </c>
      <c r="R817" s="184"/>
      <c r="S817" s="185">
        <v>40</v>
      </c>
      <c r="T817" s="185" t="s">
        <v>2</v>
      </c>
      <c r="U817" s="185">
        <f>IF(S817&gt;0,IF(RIGHT(Ruimtestaat[[#This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7" s="185">
        <f>IF(U817&gt;0,VLOOKUP($K817,Ruimtegroepen[],3,FALSE)*VLOOKUP($M817,Vloersoorten[],3,FALSE)*VLOOKUP($T817,Frequenties[],3,FALSE)*VLOOKUP($A817,Locaties[],3,FALSE),0)</f>
        <v>0</v>
      </c>
      <c r="W817" s="185">
        <f>Ruimtestaat[[#This Row],[Uitvoeringen werkdagen]]*Ruimtestaat[[#This Row],[Oppervlak (netto)]]</f>
        <v>1140</v>
      </c>
      <c r="X817" s="220">
        <f>IF(V817&gt;0,Ruimtestaat[[#This Row],[Prest. (m2 /jaar) werkdagen]]/Ruimtestaat[[#This Row],[Norm (m2/uur) werkdagen]],0)</f>
        <v>0</v>
      </c>
      <c r="Y817" s="221">
        <f>Ruimtestaat[[#This Row],[uren / jaar werkdagen]]*Tariefsopbouw!$D$38</f>
        <v>0</v>
      </c>
      <c r="Z817" s="33"/>
      <c r="AA817" s="33">
        <f>IF(Ruimtestaat[[#This Row],[Frequentie weekend]]&gt;0,VALUE(LEFT(Z817,1))*S817,0)</f>
        <v>0</v>
      </c>
      <c r="AB817" s="33">
        <f>IF($AA817&gt;0,VLOOKUP($K817,Ruimtegroepen[],3,FALSE)*VLOOKUP($M817,Vloersoorten[],3,FALSE)*VLOOKUP($Z817,Frequenties[],3,FALSE)*VLOOKUP(#REF!,Locaties[],3,FALSE),0)</f>
        <v>0</v>
      </c>
      <c r="AC817" s="33"/>
      <c r="AD817" s="33"/>
      <c r="AE817" s="33">
        <f>Ruimtestaat[[#This Row],[uren / jaar weekend]]*Tariefsopbouw!$D$40</f>
        <v>0</v>
      </c>
      <c r="AF817" s="79">
        <f>Ruimtestaat[[#This Row],[Prest. (m2 /jaar) weekend]]+Ruimtestaat[[#This Row],[Prest. (m2 /jaar) werkdagen]]</f>
        <v>1140</v>
      </c>
      <c r="AG817" s="79">
        <f>Ruimtestaat[[#This Row],[uren / jaar weekend]]+Ruimtestaat[[#This Row],[uren / jaar werkdagen]]</f>
        <v>0</v>
      </c>
      <c r="AH817" s="80">
        <f>Ruimtestaat[[#This Row],[kosten / jaar weekend]]+Ruimtestaat[[#This Row],[kosten / jaar werkdagen]]</f>
        <v>0</v>
      </c>
    </row>
    <row r="818" spans="1:34" ht="15" customHeight="1">
      <c r="A818" s="256">
        <v>11</v>
      </c>
      <c r="B818" s="171" t="str">
        <f>VLOOKUP(Ruimtestaat[[#This Row],[Code]],Locaties[#All],2,FALSE)</f>
        <v>De Bouwsteen / Het Fundament</v>
      </c>
      <c r="C818" s="258" t="str">
        <f>VLOOKUP(Ruimtestaat[[#This Row],[Code]],Locaties[#All],4,FALSE)</f>
        <v>Anna Reynvaanweg 50</v>
      </c>
      <c r="D818" s="258" t="str">
        <f>VLOOKUP(Ruimtestaat[[#This Row],[Code]],Locaties[#All],5,FALSE)</f>
        <v>7555SG</v>
      </c>
      <c r="E818" s="258" t="str">
        <f>VLOOKUP(Ruimtestaat[[#This Row],[Code]],Locaties[#All],6,FALSE)</f>
        <v>Hengelo</v>
      </c>
      <c r="F818" s="257" t="s">
        <v>580</v>
      </c>
      <c r="G818" s="257" t="s">
        <v>563</v>
      </c>
      <c r="H818" s="171"/>
      <c r="I818" s="257" t="s">
        <v>497</v>
      </c>
      <c r="J818" s="259" t="s">
        <v>583</v>
      </c>
      <c r="K818" s="171">
        <v>20</v>
      </c>
      <c r="L818" s="260" t="str">
        <f>VLOOKUP(Ruimtestaat[[#This Row],[Ruimte code]],Ruimtegroepen[#All],2,FALSE)</f>
        <v>Niet in onderhoud</v>
      </c>
      <c r="M818" s="185" t="s">
        <v>598</v>
      </c>
      <c r="N818" s="257" t="s">
        <v>132</v>
      </c>
      <c r="O818" s="261"/>
      <c r="P818" s="183">
        <v>0.8</v>
      </c>
      <c r="Q818" s="212" t="str">
        <f>VLOOKUP(Ruimtestaat[[#This Row],[Ruimte code]],Ruimtegroepen[#All],4,FALSE)</f>
        <v>niet in onderhoud</v>
      </c>
      <c r="R818" s="184"/>
      <c r="S818" s="185"/>
      <c r="T818" s="185" t="s">
        <v>3</v>
      </c>
      <c r="U818" s="185">
        <f>IF(S818&gt;0,IF(RIGHT(Ruimtestaat[[#This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18" s="185">
        <f>IF(U818&gt;0,VLOOKUP($K818,Ruimtegroepen[],3,FALSE)*VLOOKUP($M818,Vloersoorten[],3,FALSE)*VLOOKUP($T818,Frequenties[],3,FALSE)*VLOOKUP($A818,Locaties[],3,FALSE),0)</f>
        <v>0</v>
      </c>
      <c r="W818" s="185">
        <f>Ruimtestaat[[#This Row],[Uitvoeringen werkdagen]]*Ruimtestaat[[#This Row],[Oppervlak (netto)]]</f>
        <v>0</v>
      </c>
      <c r="X818" s="220">
        <f>IF(V818&gt;0,Ruimtestaat[[#This Row],[Prest. (m2 /jaar) werkdagen]]/Ruimtestaat[[#This Row],[Norm (m2/uur) werkdagen]],0)</f>
        <v>0</v>
      </c>
      <c r="Y818" s="221">
        <f>Ruimtestaat[[#This Row],[uren / jaar werkdagen]]*Tariefsopbouw!$D$38</f>
        <v>0</v>
      </c>
      <c r="Z818" s="33"/>
      <c r="AA818" s="33">
        <f>IF(Ruimtestaat[[#This Row],[Frequentie weekend]]&gt;0,VALUE(LEFT(Z818,1))*S818,0)</f>
        <v>0</v>
      </c>
      <c r="AB818" s="33">
        <f>IF($AA818&gt;0,VLOOKUP($K818,Ruimtegroepen[],3,FALSE)*VLOOKUP($M818,Vloersoorten[],3,FALSE)*VLOOKUP($Z818,Frequenties[],3,FALSE)*VLOOKUP(#REF!,Locaties[],3,FALSE),0)</f>
        <v>0</v>
      </c>
      <c r="AC818" s="33"/>
      <c r="AD818" s="33"/>
      <c r="AE818" s="33">
        <f>Ruimtestaat[[#This Row],[uren / jaar weekend]]*Tariefsopbouw!$D$40</f>
        <v>0</v>
      </c>
      <c r="AF818" s="79">
        <f>Ruimtestaat[[#This Row],[Prest. (m2 /jaar) weekend]]+Ruimtestaat[[#This Row],[Prest. (m2 /jaar) werkdagen]]</f>
        <v>0</v>
      </c>
      <c r="AG818" s="79">
        <f>Ruimtestaat[[#This Row],[uren / jaar weekend]]+Ruimtestaat[[#This Row],[uren / jaar werkdagen]]</f>
        <v>0</v>
      </c>
      <c r="AH818" s="80">
        <f>Ruimtestaat[[#This Row],[kosten / jaar weekend]]+Ruimtestaat[[#This Row],[kosten / jaar werkdagen]]</f>
        <v>0</v>
      </c>
    </row>
    <row r="819" spans="1:34" ht="15" customHeight="1">
      <c r="A819" s="256">
        <v>11</v>
      </c>
      <c r="B819" s="171" t="str">
        <f>VLOOKUP(Ruimtestaat[[#This Row],[Code]],Locaties[#All],2,FALSE)</f>
        <v>De Bouwsteen / Het Fundament</v>
      </c>
      <c r="C819" s="258" t="str">
        <f>VLOOKUP(Ruimtestaat[[#This Row],[Code]],Locaties[#All],4,FALSE)</f>
        <v>Anna Reynvaanweg 50</v>
      </c>
      <c r="D819" s="258" t="str">
        <f>VLOOKUP(Ruimtestaat[[#This Row],[Code]],Locaties[#All],5,FALSE)</f>
        <v>7555SG</v>
      </c>
      <c r="E819" s="258" t="str">
        <f>VLOOKUP(Ruimtestaat[[#This Row],[Code]],Locaties[#All],6,FALSE)</f>
        <v>Hengelo</v>
      </c>
      <c r="F819" s="257" t="s">
        <v>580</v>
      </c>
      <c r="G819" s="257" t="s">
        <v>563</v>
      </c>
      <c r="H819" s="171"/>
      <c r="I819" s="257" t="s">
        <v>498</v>
      </c>
      <c r="J819" s="259" t="s">
        <v>574</v>
      </c>
      <c r="K819" s="171">
        <v>6</v>
      </c>
      <c r="L819" s="260" t="str">
        <f>VLOOKUP(Ruimtestaat[[#This Row],[Ruimte code]],Ruimtegroepen[#All],2,FALSE)</f>
        <v>Gangen/hallen</v>
      </c>
      <c r="M819" s="185" t="s">
        <v>598</v>
      </c>
      <c r="N819" s="257" t="s">
        <v>132</v>
      </c>
      <c r="O819" s="261">
        <v>37.6</v>
      </c>
      <c r="P819" s="183"/>
      <c r="Q819" s="212" t="str">
        <f>VLOOKUP(Ruimtestaat[[#This Row],[Ruimte code]],Ruimtegroepen[#All],4,FALSE)</f>
        <v>V  (Verkeersruimte)</v>
      </c>
      <c r="R819" s="184"/>
      <c r="S819" s="185">
        <v>40</v>
      </c>
      <c r="T819" s="185" t="s">
        <v>2</v>
      </c>
      <c r="U819" s="185">
        <f>IF(S819&gt;0,IF(RIGHT(Ruimtestaat[[#This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9" s="185">
        <f>IF(U819&gt;0,VLOOKUP($K819,Ruimtegroepen[],3,FALSE)*VLOOKUP($M819,Vloersoorten[],3,FALSE)*VLOOKUP($T819,Frequenties[],3,FALSE)*VLOOKUP($A819,Locaties[],3,FALSE),0)</f>
        <v>0</v>
      </c>
      <c r="W819" s="185">
        <f>Ruimtestaat[[#This Row],[Uitvoeringen werkdagen]]*Ruimtestaat[[#This Row],[Oppervlak (netto)]]</f>
        <v>7520</v>
      </c>
      <c r="X819" s="220">
        <f>IF(V819&gt;0,Ruimtestaat[[#This Row],[Prest. (m2 /jaar) werkdagen]]/Ruimtestaat[[#This Row],[Norm (m2/uur) werkdagen]],0)</f>
        <v>0</v>
      </c>
      <c r="Y819" s="221">
        <f>Ruimtestaat[[#This Row],[uren / jaar werkdagen]]*Tariefsopbouw!$D$38</f>
        <v>0</v>
      </c>
      <c r="Z819" s="33"/>
      <c r="AA819" s="33">
        <f>IF(Ruimtestaat[[#This Row],[Frequentie weekend]]&gt;0,VALUE(LEFT(Z819,1))*S819,0)</f>
        <v>0</v>
      </c>
      <c r="AB819" s="33">
        <f>IF($AA819&gt;0,VLOOKUP($K819,Ruimtegroepen[],3,FALSE)*VLOOKUP($M819,Vloersoorten[],3,FALSE)*VLOOKUP($Z819,Frequenties[],3,FALSE)*VLOOKUP(#REF!,Locaties[],3,FALSE),0)</f>
        <v>0</v>
      </c>
      <c r="AC819" s="33"/>
      <c r="AD819" s="33"/>
      <c r="AE819" s="33">
        <f>Ruimtestaat[[#This Row],[uren / jaar weekend]]*Tariefsopbouw!$D$40</f>
        <v>0</v>
      </c>
      <c r="AF819" s="79">
        <f>Ruimtestaat[[#This Row],[Prest. (m2 /jaar) weekend]]+Ruimtestaat[[#This Row],[Prest. (m2 /jaar) werkdagen]]</f>
        <v>7520</v>
      </c>
      <c r="AG819" s="79">
        <f>Ruimtestaat[[#This Row],[uren / jaar weekend]]+Ruimtestaat[[#This Row],[uren / jaar werkdagen]]</f>
        <v>0</v>
      </c>
      <c r="AH819" s="80">
        <f>Ruimtestaat[[#This Row],[kosten / jaar weekend]]+Ruimtestaat[[#This Row],[kosten / jaar werkdagen]]</f>
        <v>0</v>
      </c>
    </row>
    <row r="820" spans="1:34" ht="15" customHeight="1">
      <c r="A820" s="256">
        <v>11</v>
      </c>
      <c r="B820" s="171" t="str">
        <f>VLOOKUP(Ruimtestaat[[#This Row],[Code]],Locaties[#All],2,FALSE)</f>
        <v>De Bouwsteen / Het Fundament</v>
      </c>
      <c r="C820" s="258" t="str">
        <f>VLOOKUP(Ruimtestaat[[#This Row],[Code]],Locaties[#All],4,FALSE)</f>
        <v>Anna Reynvaanweg 50</v>
      </c>
      <c r="D820" s="258" t="str">
        <f>VLOOKUP(Ruimtestaat[[#This Row],[Code]],Locaties[#All],5,FALSE)</f>
        <v>7555SG</v>
      </c>
      <c r="E820" s="258" t="str">
        <f>VLOOKUP(Ruimtestaat[[#This Row],[Code]],Locaties[#All],6,FALSE)</f>
        <v>Hengelo</v>
      </c>
      <c r="F820" s="257" t="s">
        <v>580</v>
      </c>
      <c r="G820" s="257" t="s">
        <v>563</v>
      </c>
      <c r="H820" s="171"/>
      <c r="I820" s="257" t="s">
        <v>499</v>
      </c>
      <c r="J820" s="259" t="s">
        <v>574</v>
      </c>
      <c r="K820" s="258">
        <v>6</v>
      </c>
      <c r="L820" s="260" t="str">
        <f>VLOOKUP(Ruimtestaat[[#This Row],[Ruimte code]],Ruimtegroepen[#All],2,FALSE)</f>
        <v>Gangen/hallen</v>
      </c>
      <c r="M820" s="185" t="s">
        <v>598</v>
      </c>
      <c r="N820" s="257" t="s">
        <v>132</v>
      </c>
      <c r="O820" s="261">
        <v>68.099999999999994</v>
      </c>
      <c r="P820" s="183"/>
      <c r="Q820" s="212" t="str">
        <f>VLOOKUP(Ruimtestaat[[#This Row],[Ruimte code]],Ruimtegroepen[#All],4,FALSE)</f>
        <v>V  (Verkeersruimte)</v>
      </c>
      <c r="R820" s="184"/>
      <c r="S820" s="185">
        <v>40</v>
      </c>
      <c r="T820" s="185" t="s">
        <v>2</v>
      </c>
      <c r="U820" s="185">
        <f>IF(S820&gt;0,IF(RIGHT(Ruimtestaat[[#This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0" s="185">
        <f>IF(U820&gt;0,VLOOKUP($K820,Ruimtegroepen[],3,FALSE)*VLOOKUP($M820,Vloersoorten[],3,FALSE)*VLOOKUP($T820,Frequenties[],3,FALSE)*VLOOKUP($A820,Locaties[],3,FALSE),0)</f>
        <v>0</v>
      </c>
      <c r="W820" s="185">
        <f>Ruimtestaat[[#This Row],[Uitvoeringen werkdagen]]*Ruimtestaat[[#This Row],[Oppervlak (netto)]]</f>
        <v>13619.999999999998</v>
      </c>
      <c r="X820" s="220">
        <f>IF(V820&gt;0,Ruimtestaat[[#This Row],[Prest. (m2 /jaar) werkdagen]]/Ruimtestaat[[#This Row],[Norm (m2/uur) werkdagen]],0)</f>
        <v>0</v>
      </c>
      <c r="Y820" s="221">
        <f>Ruimtestaat[[#This Row],[uren / jaar werkdagen]]*Tariefsopbouw!$D$38</f>
        <v>0</v>
      </c>
      <c r="Z820" s="33"/>
      <c r="AA820" s="33">
        <f>IF(Ruimtestaat[[#This Row],[Frequentie weekend]]&gt;0,VALUE(LEFT(Z820,1))*S820,0)</f>
        <v>0</v>
      </c>
      <c r="AB820" s="33">
        <f>IF($AA820&gt;0,VLOOKUP($K820,Ruimtegroepen[],3,FALSE)*VLOOKUP($M820,Vloersoorten[],3,FALSE)*VLOOKUP($Z820,Frequenties[],3,FALSE)*VLOOKUP(#REF!,Locaties[],3,FALSE),0)</f>
        <v>0</v>
      </c>
      <c r="AC820" s="33"/>
      <c r="AD820" s="33"/>
      <c r="AE820" s="33">
        <f>Ruimtestaat[[#This Row],[uren / jaar weekend]]*Tariefsopbouw!$D$40</f>
        <v>0</v>
      </c>
      <c r="AF820" s="79">
        <f>Ruimtestaat[[#This Row],[Prest. (m2 /jaar) weekend]]+Ruimtestaat[[#This Row],[Prest. (m2 /jaar) werkdagen]]</f>
        <v>13619.999999999998</v>
      </c>
      <c r="AG820" s="79">
        <f>Ruimtestaat[[#This Row],[uren / jaar weekend]]+Ruimtestaat[[#This Row],[uren / jaar werkdagen]]</f>
        <v>0</v>
      </c>
      <c r="AH820" s="80">
        <f>Ruimtestaat[[#This Row],[kosten / jaar weekend]]+Ruimtestaat[[#This Row],[kosten / jaar werkdagen]]</f>
        <v>0</v>
      </c>
    </row>
    <row r="821" spans="1:34" ht="15" customHeight="1">
      <c r="A821" s="256">
        <v>11</v>
      </c>
      <c r="B821" s="171" t="str">
        <f>VLOOKUP(Ruimtestaat[[#This Row],[Code]],Locaties[#All],2,FALSE)</f>
        <v>De Bouwsteen / Het Fundament</v>
      </c>
      <c r="C821" s="258" t="str">
        <f>VLOOKUP(Ruimtestaat[[#This Row],[Code]],Locaties[#All],4,FALSE)</f>
        <v>Anna Reynvaanweg 50</v>
      </c>
      <c r="D821" s="258" t="str">
        <f>VLOOKUP(Ruimtestaat[[#This Row],[Code]],Locaties[#All],5,FALSE)</f>
        <v>7555SG</v>
      </c>
      <c r="E821" s="258" t="str">
        <f>VLOOKUP(Ruimtestaat[[#This Row],[Code]],Locaties[#All],6,FALSE)</f>
        <v>Hengelo</v>
      </c>
      <c r="F821" s="257" t="s">
        <v>580</v>
      </c>
      <c r="G821" s="257" t="s">
        <v>563</v>
      </c>
      <c r="H821" s="171"/>
      <c r="I821" s="257" t="s">
        <v>500</v>
      </c>
      <c r="J821" s="259" t="s">
        <v>584</v>
      </c>
      <c r="K821" s="171">
        <v>14</v>
      </c>
      <c r="L821" s="260" t="str">
        <f>VLOOKUP(Ruimtestaat[[#This Row],[Ruimte code]],Ruimtegroepen[#All],2,FALSE)</f>
        <v>Praktijklokalen</v>
      </c>
      <c r="M821" s="212" t="s">
        <v>111</v>
      </c>
      <c r="N821" s="257" t="s">
        <v>595</v>
      </c>
      <c r="O821" s="261">
        <v>77.3</v>
      </c>
      <c r="P821" s="183"/>
      <c r="Q821" s="212" t="str">
        <f>VLOOKUP(Ruimtestaat[[#This Row],[Ruimte code]],Ruimtegroepen[#All],4,FALSE)</f>
        <v>L  (Lesruimte)</v>
      </c>
      <c r="R821" s="184"/>
      <c r="S821" s="185">
        <v>40</v>
      </c>
      <c r="T821" s="185" t="s">
        <v>2</v>
      </c>
      <c r="U821" s="185">
        <f>IF(S821&gt;0,IF(RIGHT(Ruimtestaat[[#This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1" s="185">
        <f>IF(U821&gt;0,VLOOKUP($K821,Ruimtegroepen[],3,FALSE)*VLOOKUP($M821,Vloersoorten[],3,FALSE)*VLOOKUP($T821,Frequenties[],3,FALSE)*VLOOKUP($A821,Locaties[],3,FALSE),0)</f>
        <v>0</v>
      </c>
      <c r="W821" s="185">
        <f>Ruimtestaat[[#This Row],[Uitvoeringen werkdagen]]*Ruimtestaat[[#This Row],[Oppervlak (netto)]]</f>
        <v>15460</v>
      </c>
      <c r="X821" s="220">
        <f>IF(V821&gt;0,Ruimtestaat[[#This Row],[Prest. (m2 /jaar) werkdagen]]/Ruimtestaat[[#This Row],[Norm (m2/uur) werkdagen]],0)</f>
        <v>0</v>
      </c>
      <c r="Y821" s="221">
        <f>Ruimtestaat[[#This Row],[uren / jaar werkdagen]]*Tariefsopbouw!$D$38</f>
        <v>0</v>
      </c>
      <c r="Z821" s="33"/>
      <c r="AA821" s="33">
        <f>IF(Ruimtestaat[[#This Row],[Frequentie weekend]]&gt;0,VALUE(LEFT(Z821,1))*S821,0)</f>
        <v>0</v>
      </c>
      <c r="AB821" s="33">
        <f>IF($AA821&gt;0,VLOOKUP($K821,Ruimtegroepen[],3,FALSE)*VLOOKUP($M821,Vloersoorten[],3,FALSE)*VLOOKUP($Z821,Frequenties[],3,FALSE)*VLOOKUP(#REF!,Locaties[],3,FALSE),0)</f>
        <v>0</v>
      </c>
      <c r="AC821" s="33"/>
      <c r="AD821" s="33"/>
      <c r="AE821" s="33">
        <f>Ruimtestaat[[#This Row],[uren / jaar weekend]]*Tariefsopbouw!$D$40</f>
        <v>0</v>
      </c>
      <c r="AF821" s="79">
        <f>Ruimtestaat[[#This Row],[Prest. (m2 /jaar) weekend]]+Ruimtestaat[[#This Row],[Prest. (m2 /jaar) werkdagen]]</f>
        <v>15460</v>
      </c>
      <c r="AG821" s="79">
        <f>Ruimtestaat[[#This Row],[uren / jaar weekend]]+Ruimtestaat[[#This Row],[uren / jaar werkdagen]]</f>
        <v>0</v>
      </c>
      <c r="AH821" s="80">
        <f>Ruimtestaat[[#This Row],[kosten / jaar weekend]]+Ruimtestaat[[#This Row],[kosten / jaar werkdagen]]</f>
        <v>0</v>
      </c>
    </row>
    <row r="822" spans="1:34" ht="15" customHeight="1">
      <c r="A822" s="256">
        <v>11</v>
      </c>
      <c r="B822" s="171" t="str">
        <f>VLOOKUP(Ruimtestaat[[#This Row],[Code]],Locaties[#All],2,FALSE)</f>
        <v>De Bouwsteen / Het Fundament</v>
      </c>
      <c r="C822" s="258" t="str">
        <f>VLOOKUP(Ruimtestaat[[#This Row],[Code]],Locaties[#All],4,FALSE)</f>
        <v>Anna Reynvaanweg 50</v>
      </c>
      <c r="D822" s="258" t="str">
        <f>VLOOKUP(Ruimtestaat[[#This Row],[Code]],Locaties[#All],5,FALSE)</f>
        <v>7555SG</v>
      </c>
      <c r="E822" s="258" t="str">
        <f>VLOOKUP(Ruimtestaat[[#This Row],[Code]],Locaties[#All],6,FALSE)</f>
        <v>Hengelo</v>
      </c>
      <c r="F822" s="257" t="s">
        <v>580</v>
      </c>
      <c r="G822" s="257" t="s">
        <v>563</v>
      </c>
      <c r="H822" s="171"/>
      <c r="I822" s="257" t="s">
        <v>501</v>
      </c>
      <c r="J822" s="259" t="s">
        <v>585</v>
      </c>
      <c r="K822" s="258">
        <v>20</v>
      </c>
      <c r="L822" s="260" t="str">
        <f>VLOOKUP(Ruimtestaat[[#This Row],[Ruimte code]],Ruimtegroepen[#All],2,FALSE)</f>
        <v>Niet in onderhoud</v>
      </c>
      <c r="M822" s="212" t="s">
        <v>111</v>
      </c>
      <c r="N822" s="257" t="s">
        <v>595</v>
      </c>
      <c r="O822" s="261"/>
      <c r="P822" s="183">
        <v>5.5</v>
      </c>
      <c r="Q822" s="212" t="str">
        <f>VLOOKUP(Ruimtestaat[[#This Row],[Ruimte code]],Ruimtegroepen[#All],4,FALSE)</f>
        <v>niet in onderhoud</v>
      </c>
      <c r="R822" s="184"/>
      <c r="S822" s="185"/>
      <c r="T822" s="185"/>
      <c r="U822" s="185">
        <f>IF(S822&gt;0,IF(RIGHT(Ruimtestaat[[#This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2" s="185">
        <f>IF(U822&gt;0,VLOOKUP($K822,Ruimtegroepen[],3,FALSE)*VLOOKUP($M822,Vloersoorten[],3,FALSE)*VLOOKUP($T822,Frequenties[],3,FALSE)*VLOOKUP($A822,Locaties[],3,FALSE),0)</f>
        <v>0</v>
      </c>
      <c r="W822" s="185">
        <f>Ruimtestaat[[#This Row],[Uitvoeringen werkdagen]]*Ruimtestaat[[#This Row],[Oppervlak (netto)]]</f>
        <v>0</v>
      </c>
      <c r="X822" s="220">
        <f>IF(V822&gt;0,Ruimtestaat[[#This Row],[Prest. (m2 /jaar) werkdagen]]/Ruimtestaat[[#This Row],[Norm (m2/uur) werkdagen]],0)</f>
        <v>0</v>
      </c>
      <c r="Y822" s="221">
        <f>Ruimtestaat[[#This Row],[uren / jaar werkdagen]]*Tariefsopbouw!$D$38</f>
        <v>0</v>
      </c>
      <c r="Z822" s="33"/>
      <c r="AA822" s="33">
        <f>IF(Ruimtestaat[[#This Row],[Frequentie weekend]]&gt;0,VALUE(LEFT(Z822,1))*S822,0)</f>
        <v>0</v>
      </c>
      <c r="AB822" s="33">
        <f>IF($AA822&gt;0,VLOOKUP($K822,Ruimtegroepen[],3,FALSE)*VLOOKUP($M822,Vloersoorten[],3,FALSE)*VLOOKUP($Z822,Frequenties[],3,FALSE)*VLOOKUP(#REF!,Locaties[],3,FALSE),0)</f>
        <v>0</v>
      </c>
      <c r="AC822" s="33"/>
      <c r="AD822" s="33"/>
      <c r="AE822" s="33">
        <f>Ruimtestaat[[#This Row],[uren / jaar weekend]]*Tariefsopbouw!$D$40</f>
        <v>0</v>
      </c>
      <c r="AF822" s="79">
        <f>Ruimtestaat[[#This Row],[Prest. (m2 /jaar) weekend]]+Ruimtestaat[[#This Row],[Prest. (m2 /jaar) werkdagen]]</f>
        <v>0</v>
      </c>
      <c r="AG822" s="79">
        <f>Ruimtestaat[[#This Row],[uren / jaar weekend]]+Ruimtestaat[[#This Row],[uren / jaar werkdagen]]</f>
        <v>0</v>
      </c>
      <c r="AH822" s="80">
        <f>Ruimtestaat[[#This Row],[kosten / jaar weekend]]+Ruimtestaat[[#This Row],[kosten / jaar werkdagen]]</f>
        <v>0</v>
      </c>
    </row>
    <row r="823" spans="1:34" ht="15" customHeight="1">
      <c r="A823" s="256">
        <v>11</v>
      </c>
      <c r="B823" s="171" t="str">
        <f>VLOOKUP(Ruimtestaat[[#This Row],[Code]],Locaties[#All],2,FALSE)</f>
        <v>De Bouwsteen / Het Fundament</v>
      </c>
      <c r="C823" s="258" t="str">
        <f>VLOOKUP(Ruimtestaat[[#This Row],[Code]],Locaties[#All],4,FALSE)</f>
        <v>Anna Reynvaanweg 50</v>
      </c>
      <c r="D823" s="258" t="str">
        <f>VLOOKUP(Ruimtestaat[[#This Row],[Code]],Locaties[#All],5,FALSE)</f>
        <v>7555SG</v>
      </c>
      <c r="E823" s="258" t="str">
        <f>VLOOKUP(Ruimtestaat[[#This Row],[Code]],Locaties[#All],6,FALSE)</f>
        <v>Hengelo</v>
      </c>
      <c r="F823" s="257" t="s">
        <v>580</v>
      </c>
      <c r="G823" s="257" t="s">
        <v>563</v>
      </c>
      <c r="H823" s="171"/>
      <c r="I823" s="257" t="s">
        <v>502</v>
      </c>
      <c r="J823" s="259" t="s">
        <v>586</v>
      </c>
      <c r="K823" s="258">
        <v>20</v>
      </c>
      <c r="L823" s="260" t="str">
        <f>VLOOKUP(Ruimtestaat[[#This Row],[Ruimte code]],Ruimtegroepen[#All],2,FALSE)</f>
        <v>Niet in onderhoud</v>
      </c>
      <c r="M823" s="212" t="s">
        <v>111</v>
      </c>
      <c r="N823" s="257" t="s">
        <v>595</v>
      </c>
      <c r="O823" s="261"/>
      <c r="P823" s="183">
        <v>4.7</v>
      </c>
      <c r="Q823" s="212" t="str">
        <f>VLOOKUP(Ruimtestaat[[#This Row],[Ruimte code]],Ruimtegroepen[#All],4,FALSE)</f>
        <v>niet in onderhoud</v>
      </c>
      <c r="R823" s="184"/>
      <c r="S823" s="185"/>
      <c r="T823" s="185"/>
      <c r="U823" s="185">
        <f>IF(S823&gt;0,IF(RIGHT(Ruimtestaat[[#This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3" s="185">
        <f>IF(U823&gt;0,VLOOKUP($K823,Ruimtegroepen[],3,FALSE)*VLOOKUP($M823,Vloersoorten[],3,FALSE)*VLOOKUP($T823,Frequenties[],3,FALSE)*VLOOKUP($A823,Locaties[],3,FALSE),0)</f>
        <v>0</v>
      </c>
      <c r="W823" s="185">
        <f>Ruimtestaat[[#This Row],[Uitvoeringen werkdagen]]*Ruimtestaat[[#This Row],[Oppervlak (netto)]]</f>
        <v>0</v>
      </c>
      <c r="X823" s="220">
        <f>IF(V823&gt;0,Ruimtestaat[[#This Row],[Prest. (m2 /jaar) werkdagen]]/Ruimtestaat[[#This Row],[Norm (m2/uur) werkdagen]],0)</f>
        <v>0</v>
      </c>
      <c r="Y823" s="221">
        <f>Ruimtestaat[[#This Row],[uren / jaar werkdagen]]*Tariefsopbouw!$D$38</f>
        <v>0</v>
      </c>
      <c r="Z823" s="33"/>
      <c r="AA823" s="33">
        <f>IF(Ruimtestaat[[#This Row],[Frequentie weekend]]&gt;0,VALUE(LEFT(Z823,1))*S823,0)</f>
        <v>0</v>
      </c>
      <c r="AB823" s="33">
        <f>IF($AA823&gt;0,VLOOKUP($K823,Ruimtegroepen[],3,FALSE)*VLOOKUP($M823,Vloersoorten[],3,FALSE)*VLOOKUP($Z823,Frequenties[],3,FALSE)*VLOOKUP(#REF!,Locaties[],3,FALSE),0)</f>
        <v>0</v>
      </c>
      <c r="AC823" s="33"/>
      <c r="AD823" s="33"/>
      <c r="AE823" s="33">
        <f>Ruimtestaat[[#This Row],[uren / jaar weekend]]*Tariefsopbouw!$D$40</f>
        <v>0</v>
      </c>
      <c r="AF823" s="79">
        <f>Ruimtestaat[[#This Row],[Prest. (m2 /jaar) weekend]]+Ruimtestaat[[#This Row],[Prest. (m2 /jaar) werkdagen]]</f>
        <v>0</v>
      </c>
      <c r="AG823" s="79">
        <f>Ruimtestaat[[#This Row],[uren / jaar weekend]]+Ruimtestaat[[#This Row],[uren / jaar werkdagen]]</f>
        <v>0</v>
      </c>
      <c r="AH823" s="80">
        <f>Ruimtestaat[[#This Row],[kosten / jaar weekend]]+Ruimtestaat[[#This Row],[kosten / jaar werkdagen]]</f>
        <v>0</v>
      </c>
    </row>
    <row r="824" spans="1:34" ht="15" customHeight="1">
      <c r="A824" s="256">
        <v>11</v>
      </c>
      <c r="B824" s="171" t="str">
        <f>VLOOKUP(Ruimtestaat[[#This Row],[Code]],Locaties[#All],2,FALSE)</f>
        <v>De Bouwsteen / Het Fundament</v>
      </c>
      <c r="C824" s="258" t="str">
        <f>VLOOKUP(Ruimtestaat[[#This Row],[Code]],Locaties[#All],4,FALSE)</f>
        <v>Anna Reynvaanweg 50</v>
      </c>
      <c r="D824" s="258" t="str">
        <f>VLOOKUP(Ruimtestaat[[#This Row],[Code]],Locaties[#All],5,FALSE)</f>
        <v>7555SG</v>
      </c>
      <c r="E824" s="258" t="str">
        <f>VLOOKUP(Ruimtestaat[[#This Row],[Code]],Locaties[#All],6,FALSE)</f>
        <v>Hengelo</v>
      </c>
      <c r="F824" s="257" t="s">
        <v>580</v>
      </c>
      <c r="G824" s="257" t="s">
        <v>563</v>
      </c>
      <c r="H824" s="171"/>
      <c r="I824" s="257" t="s">
        <v>503</v>
      </c>
      <c r="J824" s="259" t="s">
        <v>569</v>
      </c>
      <c r="K824" s="258">
        <v>5</v>
      </c>
      <c r="L824" s="260" t="str">
        <f>VLOOKUP(Ruimtestaat[[#This Row],[Ruimte code]],Ruimtegroepen[#All],2,FALSE)</f>
        <v>Sanitair</v>
      </c>
      <c r="M824" s="212" t="s">
        <v>111</v>
      </c>
      <c r="N824" s="257" t="s">
        <v>595</v>
      </c>
      <c r="O824" s="261">
        <v>1.5</v>
      </c>
      <c r="P824" s="183"/>
      <c r="Q824" s="212" t="str">
        <f>VLOOKUP(Ruimtestaat[[#This Row],[Ruimte code]],Ruimtegroepen[#All],4,FALSE)</f>
        <v>S  (Sanitair)</v>
      </c>
      <c r="R824" s="184"/>
      <c r="S824" s="185">
        <v>40</v>
      </c>
      <c r="T824" s="185" t="s">
        <v>2</v>
      </c>
      <c r="U824" s="185">
        <f>IF(S824&gt;0,IF(RIGHT(Ruimtestaat[[#This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4" s="185">
        <f>IF(U824&gt;0,VLOOKUP($K824,Ruimtegroepen[],3,FALSE)*VLOOKUP($M824,Vloersoorten[],3,FALSE)*VLOOKUP($T824,Frequenties[],3,FALSE)*VLOOKUP($A824,Locaties[],3,FALSE),0)</f>
        <v>0</v>
      </c>
      <c r="W824" s="185">
        <f>Ruimtestaat[[#This Row],[Uitvoeringen werkdagen]]*Ruimtestaat[[#This Row],[Oppervlak (netto)]]</f>
        <v>300</v>
      </c>
      <c r="X824" s="220">
        <f>IF(V824&gt;0,Ruimtestaat[[#This Row],[Prest. (m2 /jaar) werkdagen]]/Ruimtestaat[[#This Row],[Norm (m2/uur) werkdagen]],0)</f>
        <v>0</v>
      </c>
      <c r="Y824" s="221">
        <f>Ruimtestaat[[#This Row],[uren / jaar werkdagen]]*Tariefsopbouw!$D$38</f>
        <v>0</v>
      </c>
      <c r="Z824" s="33"/>
      <c r="AA824" s="33">
        <f>IF(Ruimtestaat[[#This Row],[Frequentie weekend]]&gt;0,VALUE(LEFT(Z824,1))*S824,0)</f>
        <v>0</v>
      </c>
      <c r="AB824" s="33">
        <f>IF($AA824&gt;0,VLOOKUP($K824,Ruimtegroepen[],3,FALSE)*VLOOKUP($M824,Vloersoorten[],3,FALSE)*VLOOKUP($Z824,Frequenties[],3,FALSE)*VLOOKUP(#REF!,Locaties[],3,FALSE),0)</f>
        <v>0</v>
      </c>
      <c r="AC824" s="33"/>
      <c r="AD824" s="33"/>
      <c r="AE824" s="33">
        <f>Ruimtestaat[[#This Row],[uren / jaar weekend]]*Tariefsopbouw!$D$40</f>
        <v>0</v>
      </c>
      <c r="AF824" s="79">
        <f>Ruimtestaat[[#This Row],[Prest. (m2 /jaar) weekend]]+Ruimtestaat[[#This Row],[Prest. (m2 /jaar) werkdagen]]</f>
        <v>300</v>
      </c>
      <c r="AG824" s="79">
        <f>Ruimtestaat[[#This Row],[uren / jaar weekend]]+Ruimtestaat[[#This Row],[uren / jaar werkdagen]]</f>
        <v>0</v>
      </c>
      <c r="AH824" s="80">
        <f>Ruimtestaat[[#This Row],[kosten / jaar weekend]]+Ruimtestaat[[#This Row],[kosten / jaar werkdagen]]</f>
        <v>0</v>
      </c>
    </row>
    <row r="825" spans="1:34" ht="15" customHeight="1">
      <c r="A825" s="256">
        <v>11</v>
      </c>
      <c r="B825" s="171" t="str">
        <f>VLOOKUP(Ruimtestaat[[#This Row],[Code]],Locaties[#All],2,FALSE)</f>
        <v>De Bouwsteen / Het Fundament</v>
      </c>
      <c r="C825" s="258" t="str">
        <f>VLOOKUP(Ruimtestaat[[#This Row],[Code]],Locaties[#All],4,FALSE)</f>
        <v>Anna Reynvaanweg 50</v>
      </c>
      <c r="D825" s="258" t="str">
        <f>VLOOKUP(Ruimtestaat[[#This Row],[Code]],Locaties[#All],5,FALSE)</f>
        <v>7555SG</v>
      </c>
      <c r="E825" s="258" t="str">
        <f>VLOOKUP(Ruimtestaat[[#This Row],[Code]],Locaties[#All],6,FALSE)</f>
        <v>Hengelo</v>
      </c>
      <c r="F825" s="257" t="s">
        <v>580</v>
      </c>
      <c r="G825" s="257" t="s">
        <v>563</v>
      </c>
      <c r="H825" s="171"/>
      <c r="I825" s="257" t="s">
        <v>504</v>
      </c>
      <c r="J825" s="259" t="s">
        <v>569</v>
      </c>
      <c r="K825" s="171">
        <v>5</v>
      </c>
      <c r="L825" s="260" t="str">
        <f>VLOOKUP(Ruimtestaat[[#This Row],[Ruimte code]],Ruimtegroepen[#All],2,FALSE)</f>
        <v>Sanitair</v>
      </c>
      <c r="M825" s="212" t="s">
        <v>111</v>
      </c>
      <c r="N825" s="257" t="s">
        <v>595</v>
      </c>
      <c r="O825" s="261">
        <v>1.5</v>
      </c>
      <c r="P825" s="183"/>
      <c r="Q825" s="212" t="str">
        <f>VLOOKUP(Ruimtestaat[[#This Row],[Ruimte code]],Ruimtegroepen[#All],4,FALSE)</f>
        <v>S  (Sanitair)</v>
      </c>
      <c r="R825" s="184"/>
      <c r="S825" s="185">
        <v>40</v>
      </c>
      <c r="T825" s="185" t="s">
        <v>2</v>
      </c>
      <c r="U825" s="185">
        <f>IF(S825&gt;0,IF(RIGHT(Ruimtestaat[[#This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5" s="185">
        <f>IF(U825&gt;0,VLOOKUP($K825,Ruimtegroepen[],3,FALSE)*VLOOKUP($M825,Vloersoorten[],3,FALSE)*VLOOKUP($T825,Frequenties[],3,FALSE)*VLOOKUP($A825,Locaties[],3,FALSE),0)</f>
        <v>0</v>
      </c>
      <c r="W825" s="185">
        <f>Ruimtestaat[[#This Row],[Uitvoeringen werkdagen]]*Ruimtestaat[[#This Row],[Oppervlak (netto)]]</f>
        <v>300</v>
      </c>
      <c r="X825" s="220">
        <f>IF(V825&gt;0,Ruimtestaat[[#This Row],[Prest. (m2 /jaar) werkdagen]]/Ruimtestaat[[#This Row],[Norm (m2/uur) werkdagen]],0)</f>
        <v>0</v>
      </c>
      <c r="Y825" s="221">
        <f>Ruimtestaat[[#This Row],[uren / jaar werkdagen]]*Tariefsopbouw!$D$38</f>
        <v>0</v>
      </c>
      <c r="Z825" s="33"/>
      <c r="AA825" s="33">
        <f>IF(Ruimtestaat[[#This Row],[Frequentie weekend]]&gt;0,VALUE(LEFT(Z825,1))*S825,0)</f>
        <v>0</v>
      </c>
      <c r="AB825" s="33">
        <f>IF($AA825&gt;0,VLOOKUP($K825,Ruimtegroepen[],3,FALSE)*VLOOKUP($M825,Vloersoorten[],3,FALSE)*VLOOKUP($Z825,Frequenties[],3,FALSE)*VLOOKUP(#REF!,Locaties[],3,FALSE),0)</f>
        <v>0</v>
      </c>
      <c r="AC825" s="33"/>
      <c r="AD825" s="33"/>
      <c r="AE825" s="33">
        <f>Ruimtestaat[[#This Row],[uren / jaar weekend]]*Tariefsopbouw!$D$40</f>
        <v>0</v>
      </c>
      <c r="AF825" s="79">
        <f>Ruimtestaat[[#This Row],[Prest. (m2 /jaar) weekend]]+Ruimtestaat[[#This Row],[Prest. (m2 /jaar) werkdagen]]</f>
        <v>300</v>
      </c>
      <c r="AG825" s="79">
        <f>Ruimtestaat[[#This Row],[uren / jaar weekend]]+Ruimtestaat[[#This Row],[uren / jaar werkdagen]]</f>
        <v>0</v>
      </c>
      <c r="AH825" s="80">
        <f>Ruimtestaat[[#This Row],[kosten / jaar weekend]]+Ruimtestaat[[#This Row],[kosten / jaar werkdagen]]</f>
        <v>0</v>
      </c>
    </row>
    <row r="826" spans="1:34" ht="15" customHeight="1">
      <c r="A826" s="256">
        <v>11</v>
      </c>
      <c r="B826" s="171" t="str">
        <f>VLOOKUP(Ruimtestaat[[#This Row],[Code]],Locaties[#All],2,FALSE)</f>
        <v>De Bouwsteen / Het Fundament</v>
      </c>
      <c r="C826" s="258" t="str">
        <f>VLOOKUP(Ruimtestaat[[#This Row],[Code]],Locaties[#All],4,FALSE)</f>
        <v>Anna Reynvaanweg 50</v>
      </c>
      <c r="D826" s="258" t="str">
        <f>VLOOKUP(Ruimtestaat[[#This Row],[Code]],Locaties[#All],5,FALSE)</f>
        <v>7555SG</v>
      </c>
      <c r="E826" s="258" t="str">
        <f>VLOOKUP(Ruimtestaat[[#This Row],[Code]],Locaties[#All],6,FALSE)</f>
        <v>Hengelo</v>
      </c>
      <c r="F826" s="257" t="s">
        <v>580</v>
      </c>
      <c r="G826" s="257" t="s">
        <v>563</v>
      </c>
      <c r="H826" s="171"/>
      <c r="I826" s="257" t="s">
        <v>505</v>
      </c>
      <c r="J826" s="259" t="s">
        <v>568</v>
      </c>
      <c r="K826" s="171">
        <v>6</v>
      </c>
      <c r="L826" s="260" t="str">
        <f>VLOOKUP(Ruimtestaat[[#This Row],[Ruimte code]],Ruimtegroepen[#All],2,FALSE)</f>
        <v>Gangen/hallen</v>
      </c>
      <c r="M826" s="212" t="s">
        <v>111</v>
      </c>
      <c r="N826" s="257" t="s">
        <v>595</v>
      </c>
      <c r="O826" s="261">
        <v>7</v>
      </c>
      <c r="P826" s="183"/>
      <c r="Q826" s="212" t="str">
        <f>VLOOKUP(Ruimtestaat[[#This Row],[Ruimte code]],Ruimtegroepen[#All],4,FALSE)</f>
        <v>V  (Verkeersruimte)</v>
      </c>
      <c r="R826" s="184"/>
      <c r="S826" s="185">
        <v>40</v>
      </c>
      <c r="T826" s="185" t="s">
        <v>2</v>
      </c>
      <c r="U826" s="185">
        <f>IF(S826&gt;0,IF(RIGHT(Ruimtestaat[[#This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6" s="185">
        <f>IF(U826&gt;0,VLOOKUP($K826,Ruimtegroepen[],3,FALSE)*VLOOKUP($M826,Vloersoorten[],3,FALSE)*VLOOKUP($T826,Frequenties[],3,FALSE)*VLOOKUP($A826,Locaties[],3,FALSE),0)</f>
        <v>0</v>
      </c>
      <c r="W826" s="185">
        <f>Ruimtestaat[[#This Row],[Uitvoeringen werkdagen]]*Ruimtestaat[[#This Row],[Oppervlak (netto)]]</f>
        <v>1400</v>
      </c>
      <c r="X826" s="220">
        <f>IF(V826&gt;0,Ruimtestaat[[#This Row],[Prest. (m2 /jaar) werkdagen]]/Ruimtestaat[[#This Row],[Norm (m2/uur) werkdagen]],0)</f>
        <v>0</v>
      </c>
      <c r="Y826" s="221">
        <f>Ruimtestaat[[#This Row],[uren / jaar werkdagen]]*Tariefsopbouw!$D$38</f>
        <v>0</v>
      </c>
      <c r="Z826" s="33"/>
      <c r="AA826" s="33">
        <f>IF(Ruimtestaat[[#This Row],[Frequentie weekend]]&gt;0,VALUE(LEFT(Z826,1))*S826,0)</f>
        <v>0</v>
      </c>
      <c r="AB826" s="33">
        <f>IF($AA826&gt;0,VLOOKUP($K826,Ruimtegroepen[],3,FALSE)*VLOOKUP($M826,Vloersoorten[],3,FALSE)*VLOOKUP($Z826,Frequenties[],3,FALSE)*VLOOKUP(#REF!,Locaties[],3,FALSE),0)</f>
        <v>0</v>
      </c>
      <c r="AC826" s="33"/>
      <c r="AD826" s="33"/>
      <c r="AE826" s="33">
        <f>Ruimtestaat[[#This Row],[uren / jaar weekend]]*Tariefsopbouw!$D$40</f>
        <v>0</v>
      </c>
      <c r="AF826" s="79">
        <f>Ruimtestaat[[#This Row],[Prest. (m2 /jaar) weekend]]+Ruimtestaat[[#This Row],[Prest. (m2 /jaar) werkdagen]]</f>
        <v>1400</v>
      </c>
      <c r="AG826" s="79">
        <f>Ruimtestaat[[#This Row],[uren / jaar weekend]]+Ruimtestaat[[#This Row],[uren / jaar werkdagen]]</f>
        <v>0</v>
      </c>
      <c r="AH826" s="80">
        <f>Ruimtestaat[[#This Row],[kosten / jaar weekend]]+Ruimtestaat[[#This Row],[kosten / jaar werkdagen]]</f>
        <v>0</v>
      </c>
    </row>
    <row r="827" spans="1:34" ht="15" customHeight="1">
      <c r="A827" s="256">
        <v>11</v>
      </c>
      <c r="B827" s="171" t="str">
        <f>VLOOKUP(Ruimtestaat[[#This Row],[Code]],Locaties[#All],2,FALSE)</f>
        <v>De Bouwsteen / Het Fundament</v>
      </c>
      <c r="C827" s="258" t="str">
        <f>VLOOKUP(Ruimtestaat[[#This Row],[Code]],Locaties[#All],4,FALSE)</f>
        <v>Anna Reynvaanweg 50</v>
      </c>
      <c r="D827" s="258" t="str">
        <f>VLOOKUP(Ruimtestaat[[#This Row],[Code]],Locaties[#All],5,FALSE)</f>
        <v>7555SG</v>
      </c>
      <c r="E827" s="258" t="str">
        <f>VLOOKUP(Ruimtestaat[[#This Row],[Code]],Locaties[#All],6,FALSE)</f>
        <v>Hengelo</v>
      </c>
      <c r="F827" s="257" t="s">
        <v>580</v>
      </c>
      <c r="G827" s="257" t="s">
        <v>563</v>
      </c>
      <c r="H827" s="171"/>
      <c r="I827" s="257" t="s">
        <v>506</v>
      </c>
      <c r="J827" s="259" t="s">
        <v>584</v>
      </c>
      <c r="K827" s="171">
        <v>14</v>
      </c>
      <c r="L827" s="260" t="str">
        <f>VLOOKUP(Ruimtestaat[[#This Row],[Ruimte code]],Ruimtegroepen[#All],2,FALSE)</f>
        <v>Praktijklokalen</v>
      </c>
      <c r="M827" s="212" t="s">
        <v>111</v>
      </c>
      <c r="N827" s="257" t="s">
        <v>595</v>
      </c>
      <c r="O827" s="261">
        <v>86.8</v>
      </c>
      <c r="P827" s="183"/>
      <c r="Q827" s="212" t="str">
        <f>VLOOKUP(Ruimtestaat[[#This Row],[Ruimte code]],Ruimtegroepen[#All],4,FALSE)</f>
        <v>L  (Lesruimte)</v>
      </c>
      <c r="R827" s="184"/>
      <c r="S827" s="185">
        <v>40</v>
      </c>
      <c r="T827" s="185" t="s">
        <v>2</v>
      </c>
      <c r="U827" s="185">
        <f>IF(S827&gt;0,IF(RIGHT(Ruimtestaat[[#This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7" s="185">
        <f>IF(U827&gt;0,VLOOKUP($K827,Ruimtegroepen[],3,FALSE)*VLOOKUP($M827,Vloersoorten[],3,FALSE)*VLOOKUP($T827,Frequenties[],3,FALSE)*VLOOKUP($A827,Locaties[],3,FALSE),0)</f>
        <v>0</v>
      </c>
      <c r="W827" s="185">
        <f>Ruimtestaat[[#This Row],[Uitvoeringen werkdagen]]*Ruimtestaat[[#This Row],[Oppervlak (netto)]]</f>
        <v>17360</v>
      </c>
      <c r="X827" s="220">
        <f>IF(V827&gt;0,Ruimtestaat[[#This Row],[Prest. (m2 /jaar) werkdagen]]/Ruimtestaat[[#This Row],[Norm (m2/uur) werkdagen]],0)</f>
        <v>0</v>
      </c>
      <c r="Y827" s="221">
        <f>Ruimtestaat[[#This Row],[uren / jaar werkdagen]]*Tariefsopbouw!$D$38</f>
        <v>0</v>
      </c>
      <c r="Z827" s="33"/>
      <c r="AA827" s="33">
        <f>IF(Ruimtestaat[[#This Row],[Frequentie weekend]]&gt;0,VALUE(LEFT(Z827,1))*S827,0)</f>
        <v>0</v>
      </c>
      <c r="AB827" s="33">
        <f>IF($AA827&gt;0,VLOOKUP($K827,Ruimtegroepen[],3,FALSE)*VLOOKUP($M827,Vloersoorten[],3,FALSE)*VLOOKUP($Z827,Frequenties[],3,FALSE)*VLOOKUP(#REF!,Locaties[],3,FALSE),0)</f>
        <v>0</v>
      </c>
      <c r="AC827" s="33"/>
      <c r="AD827" s="33"/>
      <c r="AE827" s="33">
        <f>Ruimtestaat[[#This Row],[uren / jaar weekend]]*Tariefsopbouw!$D$40</f>
        <v>0</v>
      </c>
      <c r="AF827" s="79">
        <f>Ruimtestaat[[#This Row],[Prest. (m2 /jaar) weekend]]+Ruimtestaat[[#This Row],[Prest. (m2 /jaar) werkdagen]]</f>
        <v>17360</v>
      </c>
      <c r="AG827" s="79">
        <f>Ruimtestaat[[#This Row],[uren / jaar weekend]]+Ruimtestaat[[#This Row],[uren / jaar werkdagen]]</f>
        <v>0</v>
      </c>
      <c r="AH827" s="80">
        <f>Ruimtestaat[[#This Row],[kosten / jaar weekend]]+Ruimtestaat[[#This Row],[kosten / jaar werkdagen]]</f>
        <v>0</v>
      </c>
    </row>
    <row r="828" spans="1:34" ht="15" customHeight="1">
      <c r="A828" s="256">
        <v>11</v>
      </c>
      <c r="B828" s="171" t="str">
        <f>VLOOKUP(Ruimtestaat[[#This Row],[Code]],Locaties[#All],2,FALSE)</f>
        <v>De Bouwsteen / Het Fundament</v>
      </c>
      <c r="C828" s="258" t="str">
        <f>VLOOKUP(Ruimtestaat[[#This Row],[Code]],Locaties[#All],4,FALSE)</f>
        <v>Anna Reynvaanweg 50</v>
      </c>
      <c r="D828" s="258" t="str">
        <f>VLOOKUP(Ruimtestaat[[#This Row],[Code]],Locaties[#All],5,FALSE)</f>
        <v>7555SG</v>
      </c>
      <c r="E828" s="258" t="str">
        <f>VLOOKUP(Ruimtestaat[[#This Row],[Code]],Locaties[#All],6,FALSE)</f>
        <v>Hengelo</v>
      </c>
      <c r="F828" s="257" t="s">
        <v>580</v>
      </c>
      <c r="G828" s="257" t="s">
        <v>563</v>
      </c>
      <c r="H828" s="171"/>
      <c r="I828" s="257" t="s">
        <v>507</v>
      </c>
      <c r="J828" s="259" t="s">
        <v>586</v>
      </c>
      <c r="K828" s="171">
        <v>20</v>
      </c>
      <c r="L828" s="260" t="str">
        <f>VLOOKUP(Ruimtestaat[[#This Row],[Ruimte code]],Ruimtegroepen[#All],2,FALSE)</f>
        <v>Niet in onderhoud</v>
      </c>
      <c r="M828" s="212" t="s">
        <v>111</v>
      </c>
      <c r="N828" s="257" t="s">
        <v>595</v>
      </c>
      <c r="O828" s="261"/>
      <c r="P828" s="183">
        <v>4.8</v>
      </c>
      <c r="Q828" s="212" t="str">
        <f>VLOOKUP(Ruimtestaat[[#This Row],[Ruimte code]],Ruimtegroepen[#All],4,FALSE)</f>
        <v>niet in onderhoud</v>
      </c>
      <c r="R828" s="184"/>
      <c r="S828" s="185"/>
      <c r="T828" s="185"/>
      <c r="U828" s="185">
        <f>IF(S828&gt;0,IF(RIGHT(Ruimtestaat[[#This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8" s="185">
        <f>IF(U828&gt;0,VLOOKUP($K828,Ruimtegroepen[],3,FALSE)*VLOOKUP($M828,Vloersoorten[],3,FALSE)*VLOOKUP($T828,Frequenties[],3,FALSE)*VLOOKUP($A828,Locaties[],3,FALSE),0)</f>
        <v>0</v>
      </c>
      <c r="W828" s="185">
        <f>Ruimtestaat[[#This Row],[Uitvoeringen werkdagen]]*Ruimtestaat[[#This Row],[Oppervlak (netto)]]</f>
        <v>0</v>
      </c>
      <c r="X828" s="220">
        <f>IF(V828&gt;0,Ruimtestaat[[#This Row],[Prest. (m2 /jaar) werkdagen]]/Ruimtestaat[[#This Row],[Norm (m2/uur) werkdagen]],0)</f>
        <v>0</v>
      </c>
      <c r="Y828" s="221">
        <f>Ruimtestaat[[#This Row],[uren / jaar werkdagen]]*Tariefsopbouw!$D$38</f>
        <v>0</v>
      </c>
      <c r="Z828" s="33"/>
      <c r="AA828" s="33">
        <f>IF(Ruimtestaat[[#This Row],[Frequentie weekend]]&gt;0,VALUE(LEFT(Z828,1))*S828,0)</f>
        <v>0</v>
      </c>
      <c r="AB828" s="33">
        <f>IF($AA828&gt;0,VLOOKUP($K828,Ruimtegroepen[],3,FALSE)*VLOOKUP($M828,Vloersoorten[],3,FALSE)*VLOOKUP($Z828,Frequenties[],3,FALSE)*VLOOKUP(#REF!,Locaties[],3,FALSE),0)</f>
        <v>0</v>
      </c>
      <c r="AC828" s="33"/>
      <c r="AD828" s="33"/>
      <c r="AE828" s="33">
        <f>Ruimtestaat[[#This Row],[uren / jaar weekend]]*Tariefsopbouw!$D$40</f>
        <v>0</v>
      </c>
      <c r="AF828" s="79">
        <f>Ruimtestaat[[#This Row],[Prest. (m2 /jaar) weekend]]+Ruimtestaat[[#This Row],[Prest. (m2 /jaar) werkdagen]]</f>
        <v>0</v>
      </c>
      <c r="AG828" s="79">
        <f>Ruimtestaat[[#This Row],[uren / jaar weekend]]+Ruimtestaat[[#This Row],[uren / jaar werkdagen]]</f>
        <v>0</v>
      </c>
      <c r="AH828" s="80">
        <f>Ruimtestaat[[#This Row],[kosten / jaar weekend]]+Ruimtestaat[[#This Row],[kosten / jaar werkdagen]]</f>
        <v>0</v>
      </c>
    </row>
    <row r="829" spans="1:34" ht="15" customHeight="1">
      <c r="A829" s="256">
        <v>11</v>
      </c>
      <c r="B829" s="171" t="str">
        <f>VLOOKUP(Ruimtestaat[[#This Row],[Code]],Locaties[#All],2,FALSE)</f>
        <v>De Bouwsteen / Het Fundament</v>
      </c>
      <c r="C829" s="258" t="str">
        <f>VLOOKUP(Ruimtestaat[[#This Row],[Code]],Locaties[#All],4,FALSE)</f>
        <v>Anna Reynvaanweg 50</v>
      </c>
      <c r="D829" s="258" t="str">
        <f>VLOOKUP(Ruimtestaat[[#This Row],[Code]],Locaties[#All],5,FALSE)</f>
        <v>7555SG</v>
      </c>
      <c r="E829" s="258" t="str">
        <f>VLOOKUP(Ruimtestaat[[#This Row],[Code]],Locaties[#All],6,FALSE)</f>
        <v>Hengelo</v>
      </c>
      <c r="F829" s="257" t="s">
        <v>580</v>
      </c>
      <c r="G829" s="257" t="s">
        <v>563</v>
      </c>
      <c r="H829" s="171"/>
      <c r="I829" s="257" t="s">
        <v>508</v>
      </c>
      <c r="J829" s="259" t="s">
        <v>585</v>
      </c>
      <c r="K829" s="171">
        <v>20</v>
      </c>
      <c r="L829" s="260" t="str">
        <f>VLOOKUP(Ruimtestaat[[#This Row],[Ruimte code]],Ruimtegroepen[#All],2,FALSE)</f>
        <v>Niet in onderhoud</v>
      </c>
      <c r="M829" s="212" t="s">
        <v>111</v>
      </c>
      <c r="N829" s="257" t="s">
        <v>595</v>
      </c>
      <c r="O829" s="261"/>
      <c r="P829" s="183">
        <v>5.8</v>
      </c>
      <c r="Q829" s="212" t="str">
        <f>VLOOKUP(Ruimtestaat[[#This Row],[Ruimte code]],Ruimtegroepen[#All],4,FALSE)</f>
        <v>niet in onderhoud</v>
      </c>
      <c r="R829" s="184"/>
      <c r="S829" s="185"/>
      <c r="T829" s="185"/>
      <c r="U829" s="185">
        <f>IF(S829&gt;0,IF(RIGHT(Ruimtestaat[[#This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9" s="185">
        <f>IF(U829&gt;0,VLOOKUP($K829,Ruimtegroepen[],3,FALSE)*VLOOKUP($M829,Vloersoorten[],3,FALSE)*VLOOKUP($T829,Frequenties[],3,FALSE)*VLOOKUP($A829,Locaties[],3,FALSE),0)</f>
        <v>0</v>
      </c>
      <c r="W829" s="185">
        <f>Ruimtestaat[[#This Row],[Uitvoeringen werkdagen]]*Ruimtestaat[[#This Row],[Oppervlak (netto)]]</f>
        <v>0</v>
      </c>
      <c r="X829" s="220">
        <f>IF(V829&gt;0,Ruimtestaat[[#This Row],[Prest. (m2 /jaar) werkdagen]]/Ruimtestaat[[#This Row],[Norm (m2/uur) werkdagen]],0)</f>
        <v>0</v>
      </c>
      <c r="Y829" s="221">
        <f>Ruimtestaat[[#This Row],[uren / jaar werkdagen]]*Tariefsopbouw!$D$38</f>
        <v>0</v>
      </c>
      <c r="Z829" s="33"/>
      <c r="AA829" s="33">
        <f>IF(Ruimtestaat[[#This Row],[Frequentie weekend]]&gt;0,VALUE(LEFT(Z829,1))*S829,0)</f>
        <v>0</v>
      </c>
      <c r="AB829" s="33">
        <f>IF($AA829&gt;0,VLOOKUP($K829,Ruimtegroepen[],3,FALSE)*VLOOKUP($M829,Vloersoorten[],3,FALSE)*VLOOKUP($Z829,Frequenties[],3,FALSE)*VLOOKUP(#REF!,Locaties[],3,FALSE),0)</f>
        <v>0</v>
      </c>
      <c r="AC829" s="33"/>
      <c r="AD829" s="33"/>
      <c r="AE829" s="33">
        <f>Ruimtestaat[[#This Row],[uren / jaar weekend]]*Tariefsopbouw!$D$40</f>
        <v>0</v>
      </c>
      <c r="AF829" s="79">
        <f>Ruimtestaat[[#This Row],[Prest. (m2 /jaar) weekend]]+Ruimtestaat[[#This Row],[Prest. (m2 /jaar) werkdagen]]</f>
        <v>0</v>
      </c>
      <c r="AG829" s="79">
        <f>Ruimtestaat[[#This Row],[uren / jaar weekend]]+Ruimtestaat[[#This Row],[uren / jaar werkdagen]]</f>
        <v>0</v>
      </c>
      <c r="AH829" s="80">
        <f>Ruimtestaat[[#This Row],[kosten / jaar weekend]]+Ruimtestaat[[#This Row],[kosten / jaar werkdagen]]</f>
        <v>0</v>
      </c>
    </row>
    <row r="830" spans="1:34" ht="15" customHeight="1">
      <c r="A830" s="256">
        <v>11</v>
      </c>
      <c r="B830" s="171" t="str">
        <f>VLOOKUP(Ruimtestaat[[#This Row],[Code]],Locaties[#All],2,FALSE)</f>
        <v>De Bouwsteen / Het Fundament</v>
      </c>
      <c r="C830" s="258" t="str">
        <f>VLOOKUP(Ruimtestaat[[#This Row],[Code]],Locaties[#All],4,FALSE)</f>
        <v>Anna Reynvaanweg 50</v>
      </c>
      <c r="D830" s="258" t="str">
        <f>VLOOKUP(Ruimtestaat[[#This Row],[Code]],Locaties[#All],5,FALSE)</f>
        <v>7555SG</v>
      </c>
      <c r="E830" s="258" t="str">
        <f>VLOOKUP(Ruimtestaat[[#This Row],[Code]],Locaties[#All],6,FALSE)</f>
        <v>Hengelo</v>
      </c>
      <c r="F830" s="257"/>
      <c r="G830" s="257" t="s">
        <v>563</v>
      </c>
      <c r="H830" s="171"/>
      <c r="I830" s="257" t="s">
        <v>509</v>
      </c>
      <c r="J830" s="259" t="s">
        <v>585</v>
      </c>
      <c r="K830" s="171">
        <v>20</v>
      </c>
      <c r="L830" s="260" t="str">
        <f>VLOOKUP(Ruimtestaat[[#This Row],[Ruimte code]],Ruimtegroepen[#All],2,FALSE)</f>
        <v>Niet in onderhoud</v>
      </c>
      <c r="M830" s="212" t="s">
        <v>111</v>
      </c>
      <c r="N830" s="257" t="s">
        <v>595</v>
      </c>
      <c r="O830" s="261"/>
      <c r="P830" s="183">
        <v>5.5</v>
      </c>
      <c r="Q830" s="212" t="str">
        <f>VLOOKUP(Ruimtestaat[[#This Row],[Ruimte code]],Ruimtegroepen[#All],4,FALSE)</f>
        <v>niet in onderhoud</v>
      </c>
      <c r="R830" s="184"/>
      <c r="S830" s="185"/>
      <c r="T830" s="185"/>
      <c r="U830" s="185">
        <f>IF(S830&gt;0,IF(RIGHT(Ruimtestaat[[#This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30" s="185">
        <f>IF(U830&gt;0,VLOOKUP($K830,Ruimtegroepen[],3,FALSE)*VLOOKUP($M830,Vloersoorten[],3,FALSE)*VLOOKUP($T830,Frequenties[],3,FALSE)*VLOOKUP($A830,Locaties[],3,FALSE),0)</f>
        <v>0</v>
      </c>
      <c r="W830" s="185">
        <f>Ruimtestaat[[#This Row],[Uitvoeringen werkdagen]]*Ruimtestaat[[#This Row],[Oppervlak (netto)]]</f>
        <v>0</v>
      </c>
      <c r="X830" s="220">
        <f>IF(V830&gt;0,Ruimtestaat[[#This Row],[Prest. (m2 /jaar) werkdagen]]/Ruimtestaat[[#This Row],[Norm (m2/uur) werkdagen]],0)</f>
        <v>0</v>
      </c>
      <c r="Y830" s="221">
        <f>Ruimtestaat[[#This Row],[uren / jaar werkdagen]]*Tariefsopbouw!$D$38</f>
        <v>0</v>
      </c>
      <c r="Z830" s="33"/>
      <c r="AA830" s="33">
        <f>IF(Ruimtestaat[[#This Row],[Frequentie weekend]]&gt;0,VALUE(LEFT(Z830,1))*S830,0)</f>
        <v>0</v>
      </c>
      <c r="AB830" s="33">
        <f>IF($AA830&gt;0,VLOOKUP($K830,Ruimtegroepen[],3,FALSE)*VLOOKUP($M830,Vloersoorten[],3,FALSE)*VLOOKUP($Z830,Frequenties[],3,FALSE)*VLOOKUP(#REF!,Locaties[],3,FALSE),0)</f>
        <v>0</v>
      </c>
      <c r="AC830" s="33"/>
      <c r="AD830" s="33"/>
      <c r="AE830" s="33">
        <f>Ruimtestaat[[#This Row],[uren / jaar weekend]]*Tariefsopbouw!$D$40</f>
        <v>0</v>
      </c>
      <c r="AF830" s="79">
        <f>Ruimtestaat[[#This Row],[Prest. (m2 /jaar) weekend]]+Ruimtestaat[[#This Row],[Prest. (m2 /jaar) werkdagen]]</f>
        <v>0</v>
      </c>
      <c r="AG830" s="79">
        <f>Ruimtestaat[[#This Row],[uren / jaar weekend]]+Ruimtestaat[[#This Row],[uren / jaar werkdagen]]</f>
        <v>0</v>
      </c>
      <c r="AH830" s="80">
        <f>Ruimtestaat[[#This Row],[kosten / jaar weekend]]+Ruimtestaat[[#This Row],[kosten / jaar werkdagen]]</f>
        <v>0</v>
      </c>
    </row>
    <row r="831" spans="1:34" ht="15" customHeight="1">
      <c r="A831" s="256">
        <v>11</v>
      </c>
      <c r="B831" s="171" t="str">
        <f>VLOOKUP(Ruimtestaat[[#This Row],[Code]],Locaties[#All],2,FALSE)</f>
        <v>De Bouwsteen / Het Fundament</v>
      </c>
      <c r="C831" s="258" t="str">
        <f>VLOOKUP(Ruimtestaat[[#This Row],[Code]],Locaties[#All],4,FALSE)</f>
        <v>Anna Reynvaanweg 50</v>
      </c>
      <c r="D831" s="258" t="str">
        <f>VLOOKUP(Ruimtestaat[[#This Row],[Code]],Locaties[#All],5,FALSE)</f>
        <v>7555SG</v>
      </c>
      <c r="E831" s="258" t="str">
        <f>VLOOKUP(Ruimtestaat[[#This Row],[Code]],Locaties[#All],6,FALSE)</f>
        <v>Hengelo</v>
      </c>
      <c r="F831" s="257"/>
      <c r="G831" s="257" t="s">
        <v>563</v>
      </c>
      <c r="H831" s="171"/>
      <c r="I831" s="257" t="s">
        <v>510</v>
      </c>
      <c r="J831" s="259" t="s">
        <v>586</v>
      </c>
      <c r="K831" s="171">
        <v>20</v>
      </c>
      <c r="L831" s="260" t="str">
        <f>VLOOKUP(Ruimtestaat[[#This Row],[Ruimte code]],Ruimtegroepen[#All],2,FALSE)</f>
        <v>Niet in onderhoud</v>
      </c>
      <c r="M831" s="212" t="s">
        <v>111</v>
      </c>
      <c r="N831" s="257" t="s">
        <v>595</v>
      </c>
      <c r="O831" s="261"/>
      <c r="P831" s="183">
        <v>4.7</v>
      </c>
      <c r="Q831" s="212" t="str">
        <f>VLOOKUP(Ruimtestaat[[#This Row],[Ruimte code]],Ruimtegroepen[#All],4,FALSE)</f>
        <v>niet in onderhoud</v>
      </c>
      <c r="R831" s="184"/>
      <c r="S831" s="185"/>
      <c r="T831" s="185"/>
      <c r="U831" s="185">
        <f>IF(S831&gt;0,IF(RIGHT(Ruimtestaat[[#This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31" s="185">
        <f>IF(U831&gt;0,VLOOKUP($K831,Ruimtegroepen[],3,FALSE)*VLOOKUP($M831,Vloersoorten[],3,FALSE)*VLOOKUP($T831,Frequenties[],3,FALSE)*VLOOKUP($A831,Locaties[],3,FALSE),0)</f>
        <v>0</v>
      </c>
      <c r="W831" s="185">
        <f>Ruimtestaat[[#This Row],[Uitvoeringen werkdagen]]*Ruimtestaat[[#This Row],[Oppervlak (netto)]]</f>
        <v>0</v>
      </c>
      <c r="X831" s="220">
        <f>IF(V831&gt;0,Ruimtestaat[[#This Row],[Prest. (m2 /jaar) werkdagen]]/Ruimtestaat[[#This Row],[Norm (m2/uur) werkdagen]],0)</f>
        <v>0</v>
      </c>
      <c r="Y831" s="221">
        <f>Ruimtestaat[[#This Row],[uren / jaar werkdagen]]*Tariefsopbouw!$D$38</f>
        <v>0</v>
      </c>
      <c r="Z831" s="33"/>
      <c r="AA831" s="33">
        <f>IF(Ruimtestaat[[#This Row],[Frequentie weekend]]&gt;0,VALUE(LEFT(Z831,1))*S831,0)</f>
        <v>0</v>
      </c>
      <c r="AB831" s="33">
        <f>IF($AA831&gt;0,VLOOKUP($K831,Ruimtegroepen[],3,FALSE)*VLOOKUP($M831,Vloersoorten[],3,FALSE)*VLOOKUP($Z831,Frequenties[],3,FALSE)*VLOOKUP(#REF!,Locaties[],3,FALSE),0)</f>
        <v>0</v>
      </c>
      <c r="AC831" s="33"/>
      <c r="AD831" s="33"/>
      <c r="AE831" s="33">
        <f>Ruimtestaat[[#This Row],[uren / jaar weekend]]*Tariefsopbouw!$D$40</f>
        <v>0</v>
      </c>
      <c r="AF831" s="79">
        <f>Ruimtestaat[[#This Row],[Prest. (m2 /jaar) weekend]]+Ruimtestaat[[#This Row],[Prest. (m2 /jaar) werkdagen]]</f>
        <v>0</v>
      </c>
      <c r="AG831" s="79">
        <f>Ruimtestaat[[#This Row],[uren / jaar weekend]]+Ruimtestaat[[#This Row],[uren / jaar werkdagen]]</f>
        <v>0</v>
      </c>
      <c r="AH831" s="80">
        <f>Ruimtestaat[[#This Row],[kosten / jaar weekend]]+Ruimtestaat[[#This Row],[kosten / jaar werkdagen]]</f>
        <v>0</v>
      </c>
    </row>
    <row r="832" spans="1:34" ht="15" customHeight="1">
      <c r="A832" s="256">
        <v>11</v>
      </c>
      <c r="B832" s="171" t="str">
        <f>VLOOKUP(Ruimtestaat[[#This Row],[Code]],Locaties[#All],2,FALSE)</f>
        <v>De Bouwsteen / Het Fundament</v>
      </c>
      <c r="C832" s="258" t="str">
        <f>VLOOKUP(Ruimtestaat[[#This Row],[Code]],Locaties[#All],4,FALSE)</f>
        <v>Anna Reynvaanweg 50</v>
      </c>
      <c r="D832" s="258" t="str">
        <f>VLOOKUP(Ruimtestaat[[#This Row],[Code]],Locaties[#All],5,FALSE)</f>
        <v>7555SG</v>
      </c>
      <c r="E832" s="258" t="str">
        <f>VLOOKUP(Ruimtestaat[[#This Row],[Code]],Locaties[#All],6,FALSE)</f>
        <v>Hengelo</v>
      </c>
      <c r="F832" s="257"/>
      <c r="G832" s="257" t="s">
        <v>563</v>
      </c>
      <c r="H832" s="171"/>
      <c r="I832" s="257" t="s">
        <v>511</v>
      </c>
      <c r="J832" s="259" t="s">
        <v>584</v>
      </c>
      <c r="K832" s="171">
        <v>14</v>
      </c>
      <c r="L832" s="260" t="str">
        <f>VLOOKUP(Ruimtestaat[[#This Row],[Ruimte code]],Ruimtegroepen[#All],2,FALSE)</f>
        <v>Praktijklokalen</v>
      </c>
      <c r="M832" s="212" t="s">
        <v>111</v>
      </c>
      <c r="N832" s="257" t="s">
        <v>595</v>
      </c>
      <c r="O832" s="261">
        <v>75.599999999999994</v>
      </c>
      <c r="P832" s="183"/>
      <c r="Q832" s="212" t="str">
        <f>VLOOKUP(Ruimtestaat[[#This Row],[Ruimte code]],Ruimtegroepen[#All],4,FALSE)</f>
        <v>L  (Lesruimte)</v>
      </c>
      <c r="R832" s="184"/>
      <c r="S832" s="185">
        <v>40</v>
      </c>
      <c r="T832" s="185" t="s">
        <v>2</v>
      </c>
      <c r="U832" s="185">
        <f>IF(S832&gt;0,IF(RIGHT(Ruimtestaat[[#This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2" s="185">
        <f>IF(U832&gt;0,VLOOKUP($K832,Ruimtegroepen[],3,FALSE)*VLOOKUP($M832,Vloersoorten[],3,FALSE)*VLOOKUP($T832,Frequenties[],3,FALSE)*VLOOKUP($A832,Locaties[],3,FALSE),0)</f>
        <v>0</v>
      </c>
      <c r="W832" s="185">
        <f>Ruimtestaat[[#This Row],[Uitvoeringen werkdagen]]*Ruimtestaat[[#This Row],[Oppervlak (netto)]]</f>
        <v>15119.999999999998</v>
      </c>
      <c r="X832" s="220">
        <f>IF(V832&gt;0,Ruimtestaat[[#This Row],[Prest. (m2 /jaar) werkdagen]]/Ruimtestaat[[#This Row],[Norm (m2/uur) werkdagen]],0)</f>
        <v>0</v>
      </c>
      <c r="Y832" s="221">
        <f>Ruimtestaat[[#This Row],[uren / jaar werkdagen]]*Tariefsopbouw!$D$38</f>
        <v>0</v>
      </c>
      <c r="Z832" s="33"/>
      <c r="AA832" s="33">
        <f>IF(Ruimtestaat[[#This Row],[Frequentie weekend]]&gt;0,VALUE(LEFT(Z832,1))*S832,0)</f>
        <v>0</v>
      </c>
      <c r="AB832" s="33">
        <f>IF($AA832&gt;0,VLOOKUP($K832,Ruimtegroepen[],3,FALSE)*VLOOKUP($M832,Vloersoorten[],3,FALSE)*VLOOKUP($Z832,Frequenties[],3,FALSE)*VLOOKUP(#REF!,Locaties[],3,FALSE),0)</f>
        <v>0</v>
      </c>
      <c r="AC832" s="33"/>
      <c r="AD832" s="33"/>
      <c r="AE832" s="33">
        <f>Ruimtestaat[[#This Row],[uren / jaar weekend]]*Tariefsopbouw!$D$40</f>
        <v>0</v>
      </c>
      <c r="AF832" s="79">
        <f>Ruimtestaat[[#This Row],[Prest. (m2 /jaar) weekend]]+Ruimtestaat[[#This Row],[Prest. (m2 /jaar) werkdagen]]</f>
        <v>15119.999999999998</v>
      </c>
      <c r="AG832" s="79">
        <f>Ruimtestaat[[#This Row],[uren / jaar weekend]]+Ruimtestaat[[#This Row],[uren / jaar werkdagen]]</f>
        <v>0</v>
      </c>
      <c r="AH832" s="80">
        <f>Ruimtestaat[[#This Row],[kosten / jaar weekend]]+Ruimtestaat[[#This Row],[kosten / jaar werkdagen]]</f>
        <v>0</v>
      </c>
    </row>
    <row r="833" spans="1:34" ht="15" customHeight="1">
      <c r="A833" s="256">
        <v>11</v>
      </c>
      <c r="B833" s="171" t="str">
        <f>VLOOKUP(Ruimtestaat[[#This Row],[Code]],Locaties[#All],2,FALSE)</f>
        <v>De Bouwsteen / Het Fundament</v>
      </c>
      <c r="C833" s="258" t="str">
        <f>VLOOKUP(Ruimtestaat[[#This Row],[Code]],Locaties[#All],4,FALSE)</f>
        <v>Anna Reynvaanweg 50</v>
      </c>
      <c r="D833" s="258" t="str">
        <f>VLOOKUP(Ruimtestaat[[#This Row],[Code]],Locaties[#All],5,FALSE)</f>
        <v>7555SG</v>
      </c>
      <c r="E833" s="258" t="str">
        <f>VLOOKUP(Ruimtestaat[[#This Row],[Code]],Locaties[#All],6,FALSE)</f>
        <v>Hengelo</v>
      </c>
      <c r="F833" s="257"/>
      <c r="G833" s="257" t="s">
        <v>564</v>
      </c>
      <c r="H833" s="171"/>
      <c r="I833" s="257" t="s">
        <v>512</v>
      </c>
      <c r="J833" s="259" t="s">
        <v>587</v>
      </c>
      <c r="K833" s="185">
        <v>6</v>
      </c>
      <c r="L833" s="260" t="str">
        <f>VLOOKUP(Ruimtestaat[[#This Row],[Ruimte code]],Ruimtegroepen[#All],2,FALSE)</f>
        <v>Gangen/hallen</v>
      </c>
      <c r="M833" s="258" t="s">
        <v>598</v>
      </c>
      <c r="N833" s="257" t="s">
        <v>132</v>
      </c>
      <c r="O833" s="261">
        <v>19.5</v>
      </c>
      <c r="P833" s="183"/>
      <c r="Q833" s="212" t="str">
        <f>VLOOKUP(Ruimtestaat[[#This Row],[Ruimte code]],Ruimtegroepen[#All],4,FALSE)</f>
        <v>V  (Verkeersruimte)</v>
      </c>
      <c r="R833" s="184"/>
      <c r="S833" s="185">
        <v>40</v>
      </c>
      <c r="T833" s="185" t="s">
        <v>2</v>
      </c>
      <c r="U833" s="185">
        <f>IF(S833&gt;0,IF(RIGHT(Ruimtestaat[[#This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3" s="185">
        <f>IF(U833&gt;0,VLOOKUP($K833,Ruimtegroepen[],3,FALSE)*VLOOKUP($M833,Vloersoorten[],3,FALSE)*VLOOKUP($T833,Frequenties[],3,FALSE)*VLOOKUP($A833,Locaties[],3,FALSE),0)</f>
        <v>0</v>
      </c>
      <c r="W833" s="185">
        <f>Ruimtestaat[[#This Row],[Uitvoeringen werkdagen]]*Ruimtestaat[[#This Row],[Oppervlak (netto)]]</f>
        <v>3900</v>
      </c>
      <c r="X833" s="220">
        <f>IF(V833&gt;0,Ruimtestaat[[#This Row],[Prest. (m2 /jaar) werkdagen]]/Ruimtestaat[[#This Row],[Norm (m2/uur) werkdagen]],0)</f>
        <v>0</v>
      </c>
      <c r="Y833" s="221">
        <f>Ruimtestaat[[#This Row],[uren / jaar werkdagen]]*Tariefsopbouw!$D$38</f>
        <v>0</v>
      </c>
      <c r="Z833" s="33"/>
      <c r="AA833" s="33">
        <f>IF(Ruimtestaat[[#This Row],[Frequentie weekend]]&gt;0,VALUE(LEFT(Z833,1))*S833,0)</f>
        <v>0</v>
      </c>
      <c r="AB833" s="33">
        <f>IF($AA833&gt;0,VLOOKUP($K833,Ruimtegroepen[],3,FALSE)*VLOOKUP($M833,Vloersoorten[],3,FALSE)*VLOOKUP($Z833,Frequenties[],3,FALSE)*VLOOKUP(#REF!,Locaties[],3,FALSE),0)</f>
        <v>0</v>
      </c>
      <c r="AC833" s="33"/>
      <c r="AD833" s="33"/>
      <c r="AE833" s="33">
        <f>Ruimtestaat[[#This Row],[uren / jaar weekend]]*Tariefsopbouw!$D$40</f>
        <v>0</v>
      </c>
      <c r="AF833" s="79">
        <f>Ruimtestaat[[#This Row],[Prest. (m2 /jaar) weekend]]+Ruimtestaat[[#This Row],[Prest. (m2 /jaar) werkdagen]]</f>
        <v>3900</v>
      </c>
      <c r="AG833" s="79">
        <f>Ruimtestaat[[#This Row],[uren / jaar weekend]]+Ruimtestaat[[#This Row],[uren / jaar werkdagen]]</f>
        <v>0</v>
      </c>
      <c r="AH833" s="80">
        <f>Ruimtestaat[[#This Row],[kosten / jaar weekend]]+Ruimtestaat[[#This Row],[kosten / jaar werkdagen]]</f>
        <v>0</v>
      </c>
    </row>
    <row r="834" spans="1:34" ht="15" customHeight="1">
      <c r="A834" s="256">
        <v>11</v>
      </c>
      <c r="B834" s="171" t="str">
        <f>VLOOKUP(Ruimtestaat[[#This Row],[Code]],Locaties[#All],2,FALSE)</f>
        <v>De Bouwsteen / Het Fundament</v>
      </c>
      <c r="C834" s="258" t="str">
        <f>VLOOKUP(Ruimtestaat[[#This Row],[Code]],Locaties[#All],4,FALSE)</f>
        <v>Anna Reynvaanweg 50</v>
      </c>
      <c r="D834" s="258" t="str">
        <f>VLOOKUP(Ruimtestaat[[#This Row],[Code]],Locaties[#All],5,FALSE)</f>
        <v>7555SG</v>
      </c>
      <c r="E834" s="258" t="str">
        <f>VLOOKUP(Ruimtestaat[[#This Row],[Code]],Locaties[#All],6,FALSE)</f>
        <v>Hengelo</v>
      </c>
      <c r="F834" s="257"/>
      <c r="G834" s="257" t="s">
        <v>564</v>
      </c>
      <c r="H834" s="171"/>
      <c r="I834" s="257" t="s">
        <v>513</v>
      </c>
      <c r="J834" s="259" t="s">
        <v>574</v>
      </c>
      <c r="K834" s="171">
        <v>6</v>
      </c>
      <c r="L834" s="260" t="str">
        <f>VLOOKUP(Ruimtestaat[[#This Row],[Ruimte code]],Ruimtegroepen[#All],2,FALSE)</f>
        <v>Gangen/hallen</v>
      </c>
      <c r="M834" s="258" t="s">
        <v>598</v>
      </c>
      <c r="N834" s="257" t="s">
        <v>132</v>
      </c>
      <c r="O834" s="261">
        <v>5.7</v>
      </c>
      <c r="P834" s="183"/>
      <c r="Q834" s="212" t="str">
        <f>VLOOKUP(Ruimtestaat[[#This Row],[Ruimte code]],Ruimtegroepen[#All],4,FALSE)</f>
        <v>V  (Verkeersruimte)</v>
      </c>
      <c r="R834" s="184"/>
      <c r="S834" s="185">
        <v>40</v>
      </c>
      <c r="T834" s="185" t="s">
        <v>2</v>
      </c>
      <c r="U834" s="185">
        <f>IF(S834&gt;0,IF(RIGHT(Ruimtestaat[[#This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4" s="185">
        <f>IF(U834&gt;0,VLOOKUP($K834,Ruimtegroepen[],3,FALSE)*VLOOKUP($M834,Vloersoorten[],3,FALSE)*VLOOKUP($T834,Frequenties[],3,FALSE)*VLOOKUP($A834,Locaties[],3,FALSE),0)</f>
        <v>0</v>
      </c>
      <c r="W834" s="185">
        <f>Ruimtestaat[[#This Row],[Uitvoeringen werkdagen]]*Ruimtestaat[[#This Row],[Oppervlak (netto)]]</f>
        <v>1140</v>
      </c>
      <c r="X834" s="220">
        <f>IF(V834&gt;0,Ruimtestaat[[#This Row],[Prest. (m2 /jaar) werkdagen]]/Ruimtestaat[[#This Row],[Norm (m2/uur) werkdagen]],0)</f>
        <v>0</v>
      </c>
      <c r="Y834" s="221">
        <f>Ruimtestaat[[#This Row],[uren / jaar werkdagen]]*Tariefsopbouw!$D$38</f>
        <v>0</v>
      </c>
      <c r="Z834" s="33"/>
      <c r="AA834" s="33">
        <f>IF(Ruimtestaat[[#This Row],[Frequentie weekend]]&gt;0,VALUE(LEFT(Z834,1))*S834,0)</f>
        <v>0</v>
      </c>
      <c r="AB834" s="33">
        <f>IF($AA834&gt;0,VLOOKUP($K834,Ruimtegroepen[],3,FALSE)*VLOOKUP($M834,Vloersoorten[],3,FALSE)*VLOOKUP($Z834,Frequenties[],3,FALSE)*VLOOKUP(#REF!,Locaties[],3,FALSE),0)</f>
        <v>0</v>
      </c>
      <c r="AC834" s="33"/>
      <c r="AD834" s="33"/>
      <c r="AE834" s="33">
        <f>Ruimtestaat[[#This Row],[uren / jaar weekend]]*Tariefsopbouw!$D$40</f>
        <v>0</v>
      </c>
      <c r="AF834" s="79">
        <f>Ruimtestaat[[#This Row],[Prest. (m2 /jaar) weekend]]+Ruimtestaat[[#This Row],[Prest. (m2 /jaar) werkdagen]]</f>
        <v>1140</v>
      </c>
      <c r="AG834" s="79">
        <f>Ruimtestaat[[#This Row],[uren / jaar weekend]]+Ruimtestaat[[#This Row],[uren / jaar werkdagen]]</f>
        <v>0</v>
      </c>
      <c r="AH834" s="80">
        <f>Ruimtestaat[[#This Row],[kosten / jaar weekend]]+Ruimtestaat[[#This Row],[kosten / jaar werkdagen]]</f>
        <v>0</v>
      </c>
    </row>
    <row r="835" spans="1:34" ht="15" customHeight="1">
      <c r="A835" s="256">
        <v>11</v>
      </c>
      <c r="B835" s="171" t="str">
        <f>VLOOKUP(Ruimtestaat[[#This Row],[Code]],Locaties[#All],2,FALSE)</f>
        <v>De Bouwsteen / Het Fundament</v>
      </c>
      <c r="C835" s="258" t="str">
        <f>VLOOKUP(Ruimtestaat[[#This Row],[Code]],Locaties[#All],4,FALSE)</f>
        <v>Anna Reynvaanweg 50</v>
      </c>
      <c r="D835" s="258" t="str">
        <f>VLOOKUP(Ruimtestaat[[#This Row],[Code]],Locaties[#All],5,FALSE)</f>
        <v>7555SG</v>
      </c>
      <c r="E835" s="258" t="str">
        <f>VLOOKUP(Ruimtestaat[[#This Row],[Code]],Locaties[#All],6,FALSE)</f>
        <v>Hengelo</v>
      </c>
      <c r="F835" s="257"/>
      <c r="G835" s="257" t="s">
        <v>564</v>
      </c>
      <c r="H835" s="171"/>
      <c r="I835" s="257" t="s">
        <v>514</v>
      </c>
      <c r="J835" s="259" t="s">
        <v>571</v>
      </c>
      <c r="K835" s="224">
        <v>2</v>
      </c>
      <c r="L835" s="260" t="str">
        <f>VLOOKUP(Ruimtestaat[[#This Row],[Ruimte code]],Ruimtegroepen[#All],2,FALSE)</f>
        <v>Kantoren</v>
      </c>
      <c r="M835" s="258" t="s">
        <v>597</v>
      </c>
      <c r="N835" s="257" t="s">
        <v>38</v>
      </c>
      <c r="O835" s="261">
        <v>10.5</v>
      </c>
      <c r="P835" s="183"/>
      <c r="Q835" s="212" t="str">
        <f>VLOOKUP(Ruimtestaat[[#This Row],[Ruimte code]],Ruimtegroepen[#All],4,FALSE)</f>
        <v>B  (Bureauruimte)</v>
      </c>
      <c r="R835" s="184"/>
      <c r="S835" s="185">
        <v>40</v>
      </c>
      <c r="T835" s="185" t="s">
        <v>18</v>
      </c>
      <c r="U835" s="185">
        <f>IF(S835&gt;0,IF(RIGHT(Ruimtestaat[[#This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835" s="185">
        <f>IF(U835&gt;0,VLOOKUP($K835,Ruimtegroepen[],3,FALSE)*VLOOKUP($M835,Vloersoorten[],3,FALSE)*VLOOKUP($T835,Frequenties[],3,FALSE)*VLOOKUP($A835,Locaties[],3,FALSE),0)</f>
        <v>0</v>
      </c>
      <c r="W835" s="185">
        <f>Ruimtestaat[[#This Row],[Uitvoeringen werkdagen]]*Ruimtestaat[[#This Row],[Oppervlak (netto)]]</f>
        <v>1260</v>
      </c>
      <c r="X835" s="220">
        <f>IF(V835&gt;0,Ruimtestaat[[#This Row],[Prest. (m2 /jaar) werkdagen]]/Ruimtestaat[[#This Row],[Norm (m2/uur) werkdagen]],0)</f>
        <v>0</v>
      </c>
      <c r="Y835" s="221">
        <f>Ruimtestaat[[#This Row],[uren / jaar werkdagen]]*Tariefsopbouw!$D$38</f>
        <v>0</v>
      </c>
      <c r="Z835" s="33"/>
      <c r="AA835" s="33">
        <f>IF(Ruimtestaat[[#This Row],[Frequentie weekend]]&gt;0,VALUE(LEFT(Z835,1))*S835,0)</f>
        <v>0</v>
      </c>
      <c r="AB835" s="33">
        <f>IF($AA835&gt;0,VLOOKUP($K835,Ruimtegroepen[],3,FALSE)*VLOOKUP($M835,Vloersoorten[],3,FALSE)*VLOOKUP($Z835,Frequenties[],3,FALSE)*VLOOKUP(#REF!,Locaties[],3,FALSE),0)</f>
        <v>0</v>
      </c>
      <c r="AC835" s="33"/>
      <c r="AD835" s="33"/>
      <c r="AE835" s="33">
        <f>Ruimtestaat[[#This Row],[uren / jaar weekend]]*Tariefsopbouw!$D$40</f>
        <v>0</v>
      </c>
      <c r="AF835" s="79">
        <f>Ruimtestaat[[#This Row],[Prest. (m2 /jaar) weekend]]+Ruimtestaat[[#This Row],[Prest. (m2 /jaar) werkdagen]]</f>
        <v>1260</v>
      </c>
      <c r="AG835" s="79">
        <f>Ruimtestaat[[#This Row],[uren / jaar weekend]]+Ruimtestaat[[#This Row],[uren / jaar werkdagen]]</f>
        <v>0</v>
      </c>
      <c r="AH835" s="80">
        <f>Ruimtestaat[[#This Row],[kosten / jaar weekend]]+Ruimtestaat[[#This Row],[kosten / jaar werkdagen]]</f>
        <v>0</v>
      </c>
    </row>
    <row r="836" spans="1:34" ht="15" customHeight="1">
      <c r="A836" s="256">
        <v>11</v>
      </c>
      <c r="B836" s="171" t="str">
        <f>VLOOKUP(Ruimtestaat[[#This Row],[Code]],Locaties[#All],2,FALSE)</f>
        <v>De Bouwsteen / Het Fundament</v>
      </c>
      <c r="C836" s="258" t="str">
        <f>VLOOKUP(Ruimtestaat[[#This Row],[Code]],Locaties[#All],4,FALSE)</f>
        <v>Anna Reynvaanweg 50</v>
      </c>
      <c r="D836" s="258" t="str">
        <f>VLOOKUP(Ruimtestaat[[#This Row],[Code]],Locaties[#All],5,FALSE)</f>
        <v>7555SG</v>
      </c>
      <c r="E836" s="258" t="str">
        <f>VLOOKUP(Ruimtestaat[[#This Row],[Code]],Locaties[#All],6,FALSE)</f>
        <v>Hengelo</v>
      </c>
      <c r="F836" s="257"/>
      <c r="G836" s="257" t="s">
        <v>564</v>
      </c>
      <c r="H836" s="171"/>
      <c r="I836" s="257" t="s">
        <v>515</v>
      </c>
      <c r="J836" s="259" t="s">
        <v>571</v>
      </c>
      <c r="K836" s="185">
        <v>2</v>
      </c>
      <c r="L836" s="260" t="str">
        <f>VLOOKUP(Ruimtestaat[[#This Row],[Ruimte code]],Ruimtegroepen[#All],2,FALSE)</f>
        <v>Kantoren</v>
      </c>
      <c r="M836" s="212" t="s">
        <v>597</v>
      </c>
      <c r="N836" s="257" t="s">
        <v>38</v>
      </c>
      <c r="O836" s="261">
        <v>14.9</v>
      </c>
      <c r="P836" s="183"/>
      <c r="Q836" s="212" t="str">
        <f>VLOOKUP(Ruimtestaat[[#This Row],[Ruimte code]],Ruimtegroepen[#All],4,FALSE)</f>
        <v>B  (Bureauruimte)</v>
      </c>
      <c r="R836" s="184"/>
      <c r="S836" s="185">
        <v>40</v>
      </c>
      <c r="T836" s="185" t="s">
        <v>18</v>
      </c>
      <c r="U836" s="185">
        <f>IF(S836&gt;0,IF(RIGHT(Ruimtestaat[[#This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836" s="185">
        <f>IF(U836&gt;0,VLOOKUP($K836,Ruimtegroepen[],3,FALSE)*VLOOKUP($M836,Vloersoorten[],3,FALSE)*VLOOKUP($T836,Frequenties[],3,FALSE)*VLOOKUP($A836,Locaties[],3,FALSE),0)</f>
        <v>0</v>
      </c>
      <c r="W836" s="185">
        <f>Ruimtestaat[[#This Row],[Uitvoeringen werkdagen]]*Ruimtestaat[[#This Row],[Oppervlak (netto)]]</f>
        <v>1788</v>
      </c>
      <c r="X836" s="220">
        <f>IF(V836&gt;0,Ruimtestaat[[#This Row],[Prest. (m2 /jaar) werkdagen]]/Ruimtestaat[[#This Row],[Norm (m2/uur) werkdagen]],0)</f>
        <v>0</v>
      </c>
      <c r="Y836" s="221">
        <f>Ruimtestaat[[#This Row],[uren / jaar werkdagen]]*Tariefsopbouw!$D$38</f>
        <v>0</v>
      </c>
      <c r="Z836" s="33"/>
      <c r="AA836" s="33">
        <f>IF(Ruimtestaat[[#This Row],[Frequentie weekend]]&gt;0,VALUE(LEFT(Z836,1))*S836,0)</f>
        <v>0</v>
      </c>
      <c r="AB836" s="33">
        <f>IF($AA836&gt;0,VLOOKUP($K836,Ruimtegroepen[],3,FALSE)*VLOOKUP($M836,Vloersoorten[],3,FALSE)*VLOOKUP($Z836,Frequenties[],3,FALSE)*VLOOKUP(#REF!,Locaties[],3,FALSE),0)</f>
        <v>0</v>
      </c>
      <c r="AC836" s="33"/>
      <c r="AD836" s="33"/>
      <c r="AE836" s="33">
        <f>Ruimtestaat[[#This Row],[uren / jaar weekend]]*Tariefsopbouw!$D$40</f>
        <v>0</v>
      </c>
      <c r="AF836" s="79">
        <f>Ruimtestaat[[#This Row],[Prest. (m2 /jaar) weekend]]+Ruimtestaat[[#This Row],[Prest. (m2 /jaar) werkdagen]]</f>
        <v>1788</v>
      </c>
      <c r="AG836" s="79">
        <f>Ruimtestaat[[#This Row],[uren / jaar weekend]]+Ruimtestaat[[#This Row],[uren / jaar werkdagen]]</f>
        <v>0</v>
      </c>
      <c r="AH836" s="80">
        <f>Ruimtestaat[[#This Row],[kosten / jaar weekend]]+Ruimtestaat[[#This Row],[kosten / jaar werkdagen]]</f>
        <v>0</v>
      </c>
    </row>
    <row r="837" spans="1:34" ht="15" customHeight="1">
      <c r="A837" s="256">
        <v>11</v>
      </c>
      <c r="B837" s="171" t="str">
        <f>VLOOKUP(Ruimtestaat[[#This Row],[Code]],Locaties[#All],2,FALSE)</f>
        <v>De Bouwsteen / Het Fundament</v>
      </c>
      <c r="C837" s="258" t="str">
        <f>VLOOKUP(Ruimtestaat[[#This Row],[Code]],Locaties[#All],4,FALSE)</f>
        <v>Anna Reynvaanweg 50</v>
      </c>
      <c r="D837" s="258" t="str">
        <f>VLOOKUP(Ruimtestaat[[#This Row],[Code]],Locaties[#All],5,FALSE)</f>
        <v>7555SG</v>
      </c>
      <c r="E837" s="258" t="str">
        <f>VLOOKUP(Ruimtestaat[[#This Row],[Code]],Locaties[#All],6,FALSE)</f>
        <v>Hengelo</v>
      </c>
      <c r="F837" s="257"/>
      <c r="G837" s="257" t="s">
        <v>564</v>
      </c>
      <c r="H837" s="171"/>
      <c r="I837" s="257" t="s">
        <v>516</v>
      </c>
      <c r="J837" s="259" t="s">
        <v>574</v>
      </c>
      <c r="K837" s="171">
        <v>6</v>
      </c>
      <c r="L837" s="260" t="str">
        <f>VLOOKUP(Ruimtestaat[[#This Row],[Ruimte code]],Ruimtegroepen[#All],2,FALSE)</f>
        <v>Gangen/hallen</v>
      </c>
      <c r="M837" s="258" t="s">
        <v>598</v>
      </c>
      <c r="N837" s="257" t="s">
        <v>132</v>
      </c>
      <c r="O837" s="261">
        <v>55.6</v>
      </c>
      <c r="P837" s="183"/>
      <c r="Q837" s="212" t="str">
        <f>VLOOKUP(Ruimtestaat[[#This Row],[Ruimte code]],Ruimtegroepen[#All],4,FALSE)</f>
        <v>V  (Verkeersruimte)</v>
      </c>
      <c r="R837" s="184"/>
      <c r="S837" s="185">
        <v>40</v>
      </c>
      <c r="T837" s="185" t="s">
        <v>2</v>
      </c>
      <c r="U837" s="185">
        <f>IF(S837&gt;0,IF(RIGHT(Ruimtestaat[[#This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7" s="185">
        <f>IF(U837&gt;0,VLOOKUP($K837,Ruimtegroepen[],3,FALSE)*VLOOKUP($M837,Vloersoorten[],3,FALSE)*VLOOKUP($T837,Frequenties[],3,FALSE)*VLOOKUP($A837,Locaties[],3,FALSE),0)</f>
        <v>0</v>
      </c>
      <c r="W837" s="185">
        <f>Ruimtestaat[[#This Row],[Uitvoeringen werkdagen]]*Ruimtestaat[[#This Row],[Oppervlak (netto)]]</f>
        <v>11120</v>
      </c>
      <c r="X837" s="220">
        <f>IF(V837&gt;0,Ruimtestaat[[#This Row],[Prest. (m2 /jaar) werkdagen]]/Ruimtestaat[[#This Row],[Norm (m2/uur) werkdagen]],0)</f>
        <v>0</v>
      </c>
      <c r="Y837" s="221">
        <f>Ruimtestaat[[#This Row],[uren / jaar werkdagen]]*Tariefsopbouw!$D$38</f>
        <v>0</v>
      </c>
      <c r="Z837" s="33"/>
      <c r="AA837" s="33">
        <f>IF(Ruimtestaat[[#This Row],[Frequentie weekend]]&gt;0,VALUE(LEFT(Z837,1))*S837,0)</f>
        <v>0</v>
      </c>
      <c r="AB837" s="33">
        <f>IF($AA837&gt;0,VLOOKUP($K837,Ruimtegroepen[],3,FALSE)*VLOOKUP($M837,Vloersoorten[],3,FALSE)*VLOOKUP($Z837,Frequenties[],3,FALSE)*VLOOKUP(#REF!,Locaties[],3,FALSE),0)</f>
        <v>0</v>
      </c>
      <c r="AC837" s="33"/>
      <c r="AD837" s="33"/>
      <c r="AE837" s="33">
        <f>Ruimtestaat[[#This Row],[uren / jaar weekend]]*Tariefsopbouw!$D$40</f>
        <v>0</v>
      </c>
      <c r="AF837" s="79">
        <f>Ruimtestaat[[#This Row],[Prest. (m2 /jaar) weekend]]+Ruimtestaat[[#This Row],[Prest. (m2 /jaar) werkdagen]]</f>
        <v>11120</v>
      </c>
      <c r="AG837" s="79">
        <f>Ruimtestaat[[#This Row],[uren / jaar weekend]]+Ruimtestaat[[#This Row],[uren / jaar werkdagen]]</f>
        <v>0</v>
      </c>
      <c r="AH837" s="80">
        <f>Ruimtestaat[[#This Row],[kosten / jaar weekend]]+Ruimtestaat[[#This Row],[kosten / jaar werkdagen]]</f>
        <v>0</v>
      </c>
    </row>
    <row r="838" spans="1:34" ht="15" customHeight="1">
      <c r="A838" s="256">
        <v>11</v>
      </c>
      <c r="B838" s="171" t="str">
        <f>VLOOKUP(Ruimtestaat[[#This Row],[Code]],Locaties[#All],2,FALSE)</f>
        <v>De Bouwsteen / Het Fundament</v>
      </c>
      <c r="C838" s="258" t="str">
        <f>VLOOKUP(Ruimtestaat[[#This Row],[Code]],Locaties[#All],4,FALSE)</f>
        <v>Anna Reynvaanweg 50</v>
      </c>
      <c r="D838" s="258" t="str">
        <f>VLOOKUP(Ruimtestaat[[#This Row],[Code]],Locaties[#All],5,FALSE)</f>
        <v>7555SG</v>
      </c>
      <c r="E838" s="258" t="str">
        <f>VLOOKUP(Ruimtestaat[[#This Row],[Code]],Locaties[#All],6,FALSE)</f>
        <v>Hengelo</v>
      </c>
      <c r="F838" s="257"/>
      <c r="G838" s="257" t="s">
        <v>564</v>
      </c>
      <c r="H838" s="171"/>
      <c r="I838" s="257" t="s">
        <v>517</v>
      </c>
      <c r="J838" s="259" t="s">
        <v>567</v>
      </c>
      <c r="K838" s="171">
        <v>9</v>
      </c>
      <c r="L838" s="260" t="str">
        <f>VLOOKUP(Ruimtestaat[[#This Row],[Ruimte code]],Ruimtegroepen[#All],2,FALSE)</f>
        <v>Time-out ruimte</v>
      </c>
      <c r="M838" s="258" t="s">
        <v>598</v>
      </c>
      <c r="N838" s="257" t="s">
        <v>132</v>
      </c>
      <c r="O838" s="261">
        <v>4.5999999999999996</v>
      </c>
      <c r="P838" s="183"/>
      <c r="Q838" s="212" t="str">
        <f>VLOOKUP(Ruimtestaat[[#This Row],[Ruimte code]],Ruimtegroepen[#All],4,FALSE)</f>
        <v>V  (Verkeersruimte)</v>
      </c>
      <c r="R838" s="184"/>
      <c r="S838" s="185">
        <v>40</v>
      </c>
      <c r="T838" s="185" t="s">
        <v>2</v>
      </c>
      <c r="U838" s="185">
        <f>IF(S838&gt;0,IF(RIGHT(Ruimtestaat[[#This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8" s="185">
        <f>IF(U838&gt;0,VLOOKUP($K838,Ruimtegroepen[],3,FALSE)*VLOOKUP($M838,Vloersoorten[],3,FALSE)*VLOOKUP($T838,Frequenties[],3,FALSE)*VLOOKUP($A838,Locaties[],3,FALSE),0)</f>
        <v>0</v>
      </c>
      <c r="W838" s="185">
        <f>Ruimtestaat[[#This Row],[Uitvoeringen werkdagen]]*Ruimtestaat[[#This Row],[Oppervlak (netto)]]</f>
        <v>919.99999999999989</v>
      </c>
      <c r="X838" s="220">
        <f>IF(V838&gt;0,Ruimtestaat[[#This Row],[Prest. (m2 /jaar) werkdagen]]/Ruimtestaat[[#This Row],[Norm (m2/uur) werkdagen]],0)</f>
        <v>0</v>
      </c>
      <c r="Y838" s="221">
        <f>Ruimtestaat[[#This Row],[uren / jaar werkdagen]]*Tariefsopbouw!$D$38</f>
        <v>0</v>
      </c>
      <c r="Z838" s="33"/>
      <c r="AA838" s="33">
        <f>IF(Ruimtestaat[[#This Row],[Frequentie weekend]]&gt;0,VALUE(LEFT(Z838,1))*S838,0)</f>
        <v>0</v>
      </c>
      <c r="AB838" s="33">
        <f>IF($AA838&gt;0,VLOOKUP($K838,Ruimtegroepen[],3,FALSE)*VLOOKUP($M838,Vloersoorten[],3,FALSE)*VLOOKUP($Z838,Frequenties[],3,FALSE)*VLOOKUP(#REF!,Locaties[],3,FALSE),0)</f>
        <v>0</v>
      </c>
      <c r="AC838" s="33"/>
      <c r="AD838" s="33"/>
      <c r="AE838" s="33">
        <f>Ruimtestaat[[#This Row],[uren / jaar weekend]]*Tariefsopbouw!$D$40</f>
        <v>0</v>
      </c>
      <c r="AF838" s="79">
        <f>Ruimtestaat[[#This Row],[Prest. (m2 /jaar) weekend]]+Ruimtestaat[[#This Row],[Prest. (m2 /jaar) werkdagen]]</f>
        <v>919.99999999999989</v>
      </c>
      <c r="AG838" s="79">
        <f>Ruimtestaat[[#This Row],[uren / jaar weekend]]+Ruimtestaat[[#This Row],[uren / jaar werkdagen]]</f>
        <v>0</v>
      </c>
      <c r="AH838" s="80">
        <f>Ruimtestaat[[#This Row],[kosten / jaar weekend]]+Ruimtestaat[[#This Row],[kosten / jaar werkdagen]]</f>
        <v>0</v>
      </c>
    </row>
    <row r="839" spans="1:34" ht="15" customHeight="1">
      <c r="A839" s="256">
        <v>11</v>
      </c>
      <c r="B839" s="171" t="str">
        <f>VLOOKUP(Ruimtestaat[[#This Row],[Code]],Locaties[#All],2,FALSE)</f>
        <v>De Bouwsteen / Het Fundament</v>
      </c>
      <c r="C839" s="258" t="str">
        <f>VLOOKUP(Ruimtestaat[[#This Row],[Code]],Locaties[#All],4,FALSE)</f>
        <v>Anna Reynvaanweg 50</v>
      </c>
      <c r="D839" s="258" t="str">
        <f>VLOOKUP(Ruimtestaat[[#This Row],[Code]],Locaties[#All],5,FALSE)</f>
        <v>7555SG</v>
      </c>
      <c r="E839" s="258" t="str">
        <f>VLOOKUP(Ruimtestaat[[#This Row],[Code]],Locaties[#All],6,FALSE)</f>
        <v>Hengelo</v>
      </c>
      <c r="F839" s="257"/>
      <c r="G839" s="257" t="s">
        <v>564</v>
      </c>
      <c r="H839" s="171"/>
      <c r="I839" s="257" t="s">
        <v>518</v>
      </c>
      <c r="J839" s="259" t="s">
        <v>569</v>
      </c>
      <c r="K839" s="171">
        <v>5</v>
      </c>
      <c r="L839" s="260" t="str">
        <f>VLOOKUP(Ruimtestaat[[#This Row],[Ruimte code]],Ruimtegroepen[#All],2,FALSE)</f>
        <v>Sanitair</v>
      </c>
      <c r="M839" s="212" t="s">
        <v>111</v>
      </c>
      <c r="N839" s="257" t="s">
        <v>595</v>
      </c>
      <c r="O839" s="261">
        <v>1.7</v>
      </c>
      <c r="P839" s="183"/>
      <c r="Q839" s="212" t="str">
        <f>VLOOKUP(Ruimtestaat[[#This Row],[Ruimte code]],Ruimtegroepen[#All],4,FALSE)</f>
        <v>S  (Sanitair)</v>
      </c>
      <c r="R839" s="184"/>
      <c r="S839" s="185">
        <v>40</v>
      </c>
      <c r="T839" s="185" t="s">
        <v>2</v>
      </c>
      <c r="U839" s="185">
        <f>IF(S839&gt;0,IF(RIGHT(Ruimtestaat[[#This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9" s="185">
        <f>IF(U839&gt;0,VLOOKUP($K839,Ruimtegroepen[],3,FALSE)*VLOOKUP($M839,Vloersoorten[],3,FALSE)*VLOOKUP($T839,Frequenties[],3,FALSE)*VLOOKUP($A839,Locaties[],3,FALSE),0)</f>
        <v>0</v>
      </c>
      <c r="W839" s="185">
        <f>Ruimtestaat[[#This Row],[Uitvoeringen werkdagen]]*Ruimtestaat[[#This Row],[Oppervlak (netto)]]</f>
        <v>340</v>
      </c>
      <c r="X839" s="220">
        <f>IF(V839&gt;0,Ruimtestaat[[#This Row],[Prest. (m2 /jaar) werkdagen]]/Ruimtestaat[[#This Row],[Norm (m2/uur) werkdagen]],0)</f>
        <v>0</v>
      </c>
      <c r="Y839" s="221">
        <f>Ruimtestaat[[#This Row],[uren / jaar werkdagen]]*Tariefsopbouw!$D$38</f>
        <v>0</v>
      </c>
      <c r="Z839" s="33"/>
      <c r="AA839" s="33">
        <f>IF(Ruimtestaat[[#This Row],[Frequentie weekend]]&gt;0,VALUE(LEFT(Z839,1))*S839,0)</f>
        <v>0</v>
      </c>
      <c r="AB839" s="33">
        <f>IF($AA839&gt;0,VLOOKUP($K839,Ruimtegroepen[],3,FALSE)*VLOOKUP($M839,Vloersoorten[],3,FALSE)*VLOOKUP($Z839,Frequenties[],3,FALSE)*VLOOKUP(#REF!,Locaties[],3,FALSE),0)</f>
        <v>0</v>
      </c>
      <c r="AC839" s="33"/>
      <c r="AD839" s="33"/>
      <c r="AE839" s="33">
        <f>Ruimtestaat[[#This Row],[uren / jaar weekend]]*Tariefsopbouw!$D$40</f>
        <v>0</v>
      </c>
      <c r="AF839" s="79">
        <f>Ruimtestaat[[#This Row],[Prest. (m2 /jaar) weekend]]+Ruimtestaat[[#This Row],[Prest. (m2 /jaar) werkdagen]]</f>
        <v>340</v>
      </c>
      <c r="AG839" s="79">
        <f>Ruimtestaat[[#This Row],[uren / jaar weekend]]+Ruimtestaat[[#This Row],[uren / jaar werkdagen]]</f>
        <v>0</v>
      </c>
      <c r="AH839" s="80">
        <f>Ruimtestaat[[#This Row],[kosten / jaar weekend]]+Ruimtestaat[[#This Row],[kosten / jaar werkdagen]]</f>
        <v>0</v>
      </c>
    </row>
    <row r="840" spans="1:34" ht="15" customHeight="1">
      <c r="A840" s="256">
        <v>11</v>
      </c>
      <c r="B840" s="171" t="str">
        <f>VLOOKUP(Ruimtestaat[[#This Row],[Code]],Locaties[#All],2,FALSE)</f>
        <v>De Bouwsteen / Het Fundament</v>
      </c>
      <c r="C840" s="258" t="str">
        <f>VLOOKUP(Ruimtestaat[[#This Row],[Code]],Locaties[#All],4,FALSE)</f>
        <v>Anna Reynvaanweg 50</v>
      </c>
      <c r="D840" s="258" t="str">
        <f>VLOOKUP(Ruimtestaat[[#This Row],[Code]],Locaties[#All],5,FALSE)</f>
        <v>7555SG</v>
      </c>
      <c r="E840" s="258" t="str">
        <f>VLOOKUP(Ruimtestaat[[#This Row],[Code]],Locaties[#All],6,FALSE)</f>
        <v>Hengelo</v>
      </c>
      <c r="F840" s="257"/>
      <c r="G840" s="257" t="s">
        <v>564</v>
      </c>
      <c r="H840" s="171"/>
      <c r="I840" s="257" t="s">
        <v>519</v>
      </c>
      <c r="J840" s="259" t="s">
        <v>568</v>
      </c>
      <c r="K840" s="171">
        <v>6</v>
      </c>
      <c r="L840" s="260" t="str">
        <f>VLOOKUP(Ruimtestaat[[#This Row],[Ruimte code]],Ruimtegroepen[#All],2,FALSE)</f>
        <v>Gangen/hallen</v>
      </c>
      <c r="M840" s="185" t="s">
        <v>598</v>
      </c>
      <c r="N840" s="257" t="s">
        <v>132</v>
      </c>
      <c r="O840" s="261">
        <v>1.9</v>
      </c>
      <c r="P840" s="183"/>
      <c r="Q840" s="212" t="str">
        <f>VLOOKUP(Ruimtestaat[[#This Row],[Ruimte code]],Ruimtegroepen[#All],4,FALSE)</f>
        <v>V  (Verkeersruimte)</v>
      </c>
      <c r="R840" s="184"/>
      <c r="S840" s="185">
        <v>40</v>
      </c>
      <c r="T840" s="185" t="s">
        <v>2</v>
      </c>
      <c r="U840" s="185">
        <f>IF(S840&gt;0,IF(RIGHT(Ruimtestaat[[#This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0" s="185">
        <f>IF(U840&gt;0,VLOOKUP($K840,Ruimtegroepen[],3,FALSE)*VLOOKUP($M840,Vloersoorten[],3,FALSE)*VLOOKUP($T840,Frequenties[],3,FALSE)*VLOOKUP($A840,Locaties[],3,FALSE),0)</f>
        <v>0</v>
      </c>
      <c r="W840" s="185">
        <f>Ruimtestaat[[#This Row],[Uitvoeringen werkdagen]]*Ruimtestaat[[#This Row],[Oppervlak (netto)]]</f>
        <v>380</v>
      </c>
      <c r="X840" s="220">
        <f>IF(V840&gt;0,Ruimtestaat[[#This Row],[Prest. (m2 /jaar) werkdagen]]/Ruimtestaat[[#This Row],[Norm (m2/uur) werkdagen]],0)</f>
        <v>0</v>
      </c>
      <c r="Y840" s="221">
        <f>Ruimtestaat[[#This Row],[uren / jaar werkdagen]]*Tariefsopbouw!$D$38</f>
        <v>0</v>
      </c>
      <c r="Z840" s="33"/>
      <c r="AA840" s="33">
        <f>IF(Ruimtestaat[[#This Row],[Frequentie weekend]]&gt;0,VALUE(LEFT(Z840,1))*S840,0)</f>
        <v>0</v>
      </c>
      <c r="AB840" s="33">
        <f>IF($AA840&gt;0,VLOOKUP($K840,Ruimtegroepen[],3,FALSE)*VLOOKUP($M840,Vloersoorten[],3,FALSE)*VLOOKUP($Z840,Frequenties[],3,FALSE)*VLOOKUP(#REF!,Locaties[],3,FALSE),0)</f>
        <v>0</v>
      </c>
      <c r="AC840" s="33"/>
      <c r="AD840" s="33"/>
      <c r="AE840" s="33">
        <f>Ruimtestaat[[#This Row],[uren / jaar weekend]]*Tariefsopbouw!$D$40</f>
        <v>0</v>
      </c>
      <c r="AF840" s="79">
        <f>Ruimtestaat[[#This Row],[Prest. (m2 /jaar) weekend]]+Ruimtestaat[[#This Row],[Prest. (m2 /jaar) werkdagen]]</f>
        <v>380</v>
      </c>
      <c r="AG840" s="79">
        <f>Ruimtestaat[[#This Row],[uren / jaar weekend]]+Ruimtestaat[[#This Row],[uren / jaar werkdagen]]</f>
        <v>0</v>
      </c>
      <c r="AH840" s="80">
        <f>Ruimtestaat[[#This Row],[kosten / jaar weekend]]+Ruimtestaat[[#This Row],[kosten / jaar werkdagen]]</f>
        <v>0</v>
      </c>
    </row>
    <row r="841" spans="1:34" ht="15" customHeight="1">
      <c r="A841" s="256">
        <v>11</v>
      </c>
      <c r="B841" s="171" t="str">
        <f>VLOOKUP(Ruimtestaat[[#This Row],[Code]],Locaties[#All],2,FALSE)</f>
        <v>De Bouwsteen / Het Fundament</v>
      </c>
      <c r="C841" s="258" t="str">
        <f>VLOOKUP(Ruimtestaat[[#This Row],[Code]],Locaties[#All],4,FALSE)</f>
        <v>Anna Reynvaanweg 50</v>
      </c>
      <c r="D841" s="258" t="str">
        <f>VLOOKUP(Ruimtestaat[[#This Row],[Code]],Locaties[#All],5,FALSE)</f>
        <v>7555SG</v>
      </c>
      <c r="E841" s="258" t="str">
        <f>VLOOKUP(Ruimtestaat[[#This Row],[Code]],Locaties[#All],6,FALSE)</f>
        <v>Hengelo</v>
      </c>
      <c r="F841" s="257"/>
      <c r="G841" s="257" t="s">
        <v>564</v>
      </c>
      <c r="H841" s="171"/>
      <c r="I841" s="257" t="s">
        <v>520</v>
      </c>
      <c r="J841" s="259" t="s">
        <v>576</v>
      </c>
      <c r="K841" s="171">
        <v>16</v>
      </c>
      <c r="L841" s="260" t="str">
        <f>VLOOKUP(Ruimtestaat[[#This Row],[Ruimte code]],Ruimtegroepen[#All],2,FALSE)</f>
        <v>Leslokalen</v>
      </c>
      <c r="M841" s="185" t="s">
        <v>598</v>
      </c>
      <c r="N841" s="257" t="s">
        <v>132</v>
      </c>
      <c r="O841" s="261">
        <v>45</v>
      </c>
      <c r="P841" s="183"/>
      <c r="Q841" s="212" t="str">
        <f>VLOOKUP(Ruimtestaat[[#This Row],[Ruimte code]],Ruimtegroepen[#All],4,FALSE)</f>
        <v>L  (Lesruimte)</v>
      </c>
      <c r="R841" s="184"/>
      <c r="S841" s="185">
        <v>40</v>
      </c>
      <c r="T841" s="185" t="s">
        <v>2</v>
      </c>
      <c r="U841" s="185">
        <f>IF(S841&gt;0,IF(RIGHT(Ruimtestaat[[#This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1" s="185">
        <f>IF(U841&gt;0,VLOOKUP($K841,Ruimtegroepen[],3,FALSE)*VLOOKUP($M841,Vloersoorten[],3,FALSE)*VLOOKUP($T841,Frequenties[],3,FALSE)*VLOOKUP($A841,Locaties[],3,FALSE),0)</f>
        <v>0</v>
      </c>
      <c r="W841" s="185">
        <f>Ruimtestaat[[#This Row],[Uitvoeringen werkdagen]]*Ruimtestaat[[#This Row],[Oppervlak (netto)]]</f>
        <v>9000</v>
      </c>
      <c r="X841" s="220">
        <f>IF(V841&gt;0,Ruimtestaat[[#This Row],[Prest. (m2 /jaar) werkdagen]]/Ruimtestaat[[#This Row],[Norm (m2/uur) werkdagen]],0)</f>
        <v>0</v>
      </c>
      <c r="Y841" s="221">
        <f>Ruimtestaat[[#This Row],[uren / jaar werkdagen]]*Tariefsopbouw!$D$38</f>
        <v>0</v>
      </c>
      <c r="Z841" s="33"/>
      <c r="AA841" s="33">
        <f>IF(Ruimtestaat[[#This Row],[Frequentie weekend]]&gt;0,VALUE(LEFT(Z841,1))*S841,0)</f>
        <v>0</v>
      </c>
      <c r="AB841" s="33">
        <f>IF($AA841&gt;0,VLOOKUP($K841,Ruimtegroepen[],3,FALSE)*VLOOKUP($M841,Vloersoorten[],3,FALSE)*VLOOKUP($Z841,Frequenties[],3,FALSE)*VLOOKUP(#REF!,Locaties[],3,FALSE),0)</f>
        <v>0</v>
      </c>
      <c r="AC841" s="33"/>
      <c r="AD841" s="33"/>
      <c r="AE841" s="33">
        <f>Ruimtestaat[[#This Row],[uren / jaar weekend]]*Tariefsopbouw!$D$40</f>
        <v>0</v>
      </c>
      <c r="AF841" s="79">
        <f>Ruimtestaat[[#This Row],[Prest. (m2 /jaar) weekend]]+Ruimtestaat[[#This Row],[Prest. (m2 /jaar) werkdagen]]</f>
        <v>9000</v>
      </c>
      <c r="AG841" s="79">
        <f>Ruimtestaat[[#This Row],[uren / jaar weekend]]+Ruimtestaat[[#This Row],[uren / jaar werkdagen]]</f>
        <v>0</v>
      </c>
      <c r="AH841" s="80">
        <f>Ruimtestaat[[#This Row],[kosten / jaar weekend]]+Ruimtestaat[[#This Row],[kosten / jaar werkdagen]]</f>
        <v>0</v>
      </c>
    </row>
    <row r="842" spans="1:34" ht="15" customHeight="1">
      <c r="A842" s="256">
        <v>11</v>
      </c>
      <c r="B842" s="171" t="str">
        <f>VLOOKUP(Ruimtestaat[[#This Row],[Code]],Locaties[#All],2,FALSE)</f>
        <v>De Bouwsteen / Het Fundament</v>
      </c>
      <c r="C842" s="258" t="str">
        <f>VLOOKUP(Ruimtestaat[[#This Row],[Code]],Locaties[#All],4,FALSE)</f>
        <v>Anna Reynvaanweg 50</v>
      </c>
      <c r="D842" s="258" t="str">
        <f>VLOOKUP(Ruimtestaat[[#This Row],[Code]],Locaties[#All],5,FALSE)</f>
        <v>7555SG</v>
      </c>
      <c r="E842" s="258" t="str">
        <f>VLOOKUP(Ruimtestaat[[#This Row],[Code]],Locaties[#All],6,FALSE)</f>
        <v>Hengelo</v>
      </c>
      <c r="F842" s="257"/>
      <c r="G842" s="257" t="s">
        <v>564</v>
      </c>
      <c r="H842" s="171"/>
      <c r="I842" s="257" t="s">
        <v>521</v>
      </c>
      <c r="J842" s="259" t="s">
        <v>576</v>
      </c>
      <c r="K842" s="171">
        <v>16</v>
      </c>
      <c r="L842" s="260" t="str">
        <f>VLOOKUP(Ruimtestaat[[#This Row],[Ruimte code]],Ruimtegroepen[#All],2,FALSE)</f>
        <v>Leslokalen</v>
      </c>
      <c r="M842" s="185" t="s">
        <v>598</v>
      </c>
      <c r="N842" s="257" t="s">
        <v>132</v>
      </c>
      <c r="O842" s="261">
        <v>45</v>
      </c>
      <c r="P842" s="183"/>
      <c r="Q842" s="212" t="str">
        <f>VLOOKUP(Ruimtestaat[[#This Row],[Ruimte code]],Ruimtegroepen[#All],4,FALSE)</f>
        <v>L  (Lesruimte)</v>
      </c>
      <c r="R842" s="184"/>
      <c r="S842" s="185">
        <v>40</v>
      </c>
      <c r="T842" s="185" t="s">
        <v>2</v>
      </c>
      <c r="U842" s="185">
        <f>IF(S842&gt;0,IF(RIGHT(Ruimtestaat[[#This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2" s="185">
        <f>IF(U842&gt;0,VLOOKUP($K842,Ruimtegroepen[],3,FALSE)*VLOOKUP($M842,Vloersoorten[],3,FALSE)*VLOOKUP($T842,Frequenties[],3,FALSE)*VLOOKUP($A842,Locaties[],3,FALSE),0)</f>
        <v>0</v>
      </c>
      <c r="W842" s="185">
        <f>Ruimtestaat[[#This Row],[Uitvoeringen werkdagen]]*Ruimtestaat[[#This Row],[Oppervlak (netto)]]</f>
        <v>9000</v>
      </c>
      <c r="X842" s="220">
        <f>IF(V842&gt;0,Ruimtestaat[[#This Row],[Prest. (m2 /jaar) werkdagen]]/Ruimtestaat[[#This Row],[Norm (m2/uur) werkdagen]],0)</f>
        <v>0</v>
      </c>
      <c r="Y842" s="221">
        <f>Ruimtestaat[[#This Row],[uren / jaar werkdagen]]*Tariefsopbouw!$D$38</f>
        <v>0</v>
      </c>
      <c r="Z842" s="33"/>
      <c r="AA842" s="33">
        <f>IF(Ruimtestaat[[#This Row],[Frequentie weekend]]&gt;0,VALUE(LEFT(Z842,1))*S842,0)</f>
        <v>0</v>
      </c>
      <c r="AB842" s="33">
        <f>IF($AA842&gt;0,VLOOKUP($K842,Ruimtegroepen[],3,FALSE)*VLOOKUP($M842,Vloersoorten[],3,FALSE)*VLOOKUP($Z842,Frequenties[],3,FALSE)*VLOOKUP(#REF!,Locaties[],3,FALSE),0)</f>
        <v>0</v>
      </c>
      <c r="AC842" s="33"/>
      <c r="AD842" s="33"/>
      <c r="AE842" s="33">
        <f>Ruimtestaat[[#This Row],[uren / jaar weekend]]*Tariefsopbouw!$D$40</f>
        <v>0</v>
      </c>
      <c r="AF842" s="79">
        <f>Ruimtestaat[[#This Row],[Prest. (m2 /jaar) weekend]]+Ruimtestaat[[#This Row],[Prest. (m2 /jaar) werkdagen]]</f>
        <v>9000</v>
      </c>
      <c r="AG842" s="79">
        <f>Ruimtestaat[[#This Row],[uren / jaar weekend]]+Ruimtestaat[[#This Row],[uren / jaar werkdagen]]</f>
        <v>0</v>
      </c>
      <c r="AH842" s="80">
        <f>Ruimtestaat[[#This Row],[kosten / jaar weekend]]+Ruimtestaat[[#This Row],[kosten / jaar werkdagen]]</f>
        <v>0</v>
      </c>
    </row>
    <row r="843" spans="1:34" ht="15" customHeight="1">
      <c r="A843" s="256">
        <v>11</v>
      </c>
      <c r="B843" s="171" t="str">
        <f>VLOOKUP(Ruimtestaat[[#This Row],[Code]],Locaties[#All],2,FALSE)</f>
        <v>De Bouwsteen / Het Fundament</v>
      </c>
      <c r="C843" s="258" t="str">
        <f>VLOOKUP(Ruimtestaat[[#This Row],[Code]],Locaties[#All],4,FALSE)</f>
        <v>Anna Reynvaanweg 50</v>
      </c>
      <c r="D843" s="258" t="str">
        <f>VLOOKUP(Ruimtestaat[[#This Row],[Code]],Locaties[#All],5,FALSE)</f>
        <v>7555SG</v>
      </c>
      <c r="E843" s="258" t="str">
        <f>VLOOKUP(Ruimtestaat[[#This Row],[Code]],Locaties[#All],6,FALSE)</f>
        <v>Hengelo</v>
      </c>
      <c r="F843" s="257"/>
      <c r="G843" s="257" t="s">
        <v>564</v>
      </c>
      <c r="H843" s="171"/>
      <c r="I843" s="257" t="s">
        <v>522</v>
      </c>
      <c r="J843" s="259" t="s">
        <v>568</v>
      </c>
      <c r="K843" s="171">
        <v>6</v>
      </c>
      <c r="L843" s="260" t="str">
        <f>VLOOKUP(Ruimtestaat[[#This Row],[Ruimte code]],Ruimtegroepen[#All],2,FALSE)</f>
        <v>Gangen/hallen</v>
      </c>
      <c r="M843" s="185" t="s">
        <v>598</v>
      </c>
      <c r="N843" s="257" t="s">
        <v>132</v>
      </c>
      <c r="O843" s="261">
        <v>2.1</v>
      </c>
      <c r="P843" s="183"/>
      <c r="Q843" s="212" t="str">
        <f>VLOOKUP(Ruimtestaat[[#This Row],[Ruimte code]],Ruimtegroepen[#All],4,FALSE)</f>
        <v>V  (Verkeersruimte)</v>
      </c>
      <c r="R843" s="184"/>
      <c r="S843" s="185">
        <v>40</v>
      </c>
      <c r="T843" s="185" t="s">
        <v>2</v>
      </c>
      <c r="U843" s="185">
        <f>IF(S843&gt;0,IF(RIGHT(Ruimtestaat[[#This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3" s="185">
        <f>IF(U843&gt;0,VLOOKUP($K843,Ruimtegroepen[],3,FALSE)*VLOOKUP($M843,Vloersoorten[],3,FALSE)*VLOOKUP($T843,Frequenties[],3,FALSE)*VLOOKUP($A843,Locaties[],3,FALSE),0)</f>
        <v>0</v>
      </c>
      <c r="W843" s="185">
        <f>Ruimtestaat[[#This Row],[Uitvoeringen werkdagen]]*Ruimtestaat[[#This Row],[Oppervlak (netto)]]</f>
        <v>420</v>
      </c>
      <c r="X843" s="220">
        <f>IF(V843&gt;0,Ruimtestaat[[#This Row],[Prest. (m2 /jaar) werkdagen]]/Ruimtestaat[[#This Row],[Norm (m2/uur) werkdagen]],0)</f>
        <v>0</v>
      </c>
      <c r="Y843" s="221">
        <f>Ruimtestaat[[#This Row],[uren / jaar werkdagen]]*Tariefsopbouw!$D$38</f>
        <v>0</v>
      </c>
      <c r="Z843" s="33"/>
      <c r="AA843" s="33">
        <f>IF(Ruimtestaat[[#This Row],[Frequentie weekend]]&gt;0,VALUE(LEFT(Z843,1))*S843,0)</f>
        <v>0</v>
      </c>
      <c r="AB843" s="33">
        <f>IF($AA843&gt;0,VLOOKUP($K843,Ruimtegroepen[],3,FALSE)*VLOOKUP($M843,Vloersoorten[],3,FALSE)*VLOOKUP($Z843,Frequenties[],3,FALSE)*VLOOKUP(#REF!,Locaties[],3,FALSE),0)</f>
        <v>0</v>
      </c>
      <c r="AC843" s="33"/>
      <c r="AD843" s="33"/>
      <c r="AE843" s="33">
        <f>Ruimtestaat[[#This Row],[uren / jaar weekend]]*Tariefsopbouw!$D$40</f>
        <v>0</v>
      </c>
      <c r="AF843" s="79">
        <f>Ruimtestaat[[#This Row],[Prest. (m2 /jaar) weekend]]+Ruimtestaat[[#This Row],[Prest. (m2 /jaar) werkdagen]]</f>
        <v>420</v>
      </c>
      <c r="AG843" s="79">
        <f>Ruimtestaat[[#This Row],[uren / jaar weekend]]+Ruimtestaat[[#This Row],[uren / jaar werkdagen]]</f>
        <v>0</v>
      </c>
      <c r="AH843" s="80">
        <f>Ruimtestaat[[#This Row],[kosten / jaar weekend]]+Ruimtestaat[[#This Row],[kosten / jaar werkdagen]]</f>
        <v>0</v>
      </c>
    </row>
    <row r="844" spans="1:34" ht="15" customHeight="1">
      <c r="A844" s="256">
        <v>11</v>
      </c>
      <c r="B844" s="171" t="str">
        <f>VLOOKUP(Ruimtestaat[[#This Row],[Code]],Locaties[#All],2,FALSE)</f>
        <v>De Bouwsteen / Het Fundament</v>
      </c>
      <c r="C844" s="258" t="str">
        <f>VLOOKUP(Ruimtestaat[[#This Row],[Code]],Locaties[#All],4,FALSE)</f>
        <v>Anna Reynvaanweg 50</v>
      </c>
      <c r="D844" s="258" t="str">
        <f>VLOOKUP(Ruimtestaat[[#This Row],[Code]],Locaties[#All],5,FALSE)</f>
        <v>7555SG</v>
      </c>
      <c r="E844" s="258" t="str">
        <f>VLOOKUP(Ruimtestaat[[#This Row],[Code]],Locaties[#All],6,FALSE)</f>
        <v>Hengelo</v>
      </c>
      <c r="F844" s="257"/>
      <c r="G844" s="257" t="s">
        <v>564</v>
      </c>
      <c r="H844" s="171"/>
      <c r="I844" s="257" t="s">
        <v>523</v>
      </c>
      <c r="J844" s="259" t="s">
        <v>569</v>
      </c>
      <c r="K844" s="171">
        <v>5</v>
      </c>
      <c r="L844" s="260" t="str">
        <f>VLOOKUP(Ruimtestaat[[#This Row],[Ruimte code]],Ruimtegroepen[#All],2,FALSE)</f>
        <v>Sanitair</v>
      </c>
      <c r="M844" s="212" t="s">
        <v>111</v>
      </c>
      <c r="N844" s="257" t="s">
        <v>595</v>
      </c>
      <c r="O844" s="261">
        <v>1.7</v>
      </c>
      <c r="P844" s="183"/>
      <c r="Q844" s="212" t="str">
        <f>VLOOKUP(Ruimtestaat[[#This Row],[Ruimte code]],Ruimtegroepen[#All],4,FALSE)</f>
        <v>S  (Sanitair)</v>
      </c>
      <c r="R844" s="184"/>
      <c r="S844" s="185">
        <v>40</v>
      </c>
      <c r="T844" s="185" t="s">
        <v>2</v>
      </c>
      <c r="U844" s="185">
        <f>IF(S844&gt;0,IF(RIGHT(Ruimtestaat[[#This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4" s="185">
        <f>IF(U844&gt;0,VLOOKUP($K844,Ruimtegroepen[],3,FALSE)*VLOOKUP($M844,Vloersoorten[],3,FALSE)*VLOOKUP($T844,Frequenties[],3,FALSE)*VLOOKUP($A844,Locaties[],3,FALSE),0)</f>
        <v>0</v>
      </c>
      <c r="W844" s="185">
        <f>Ruimtestaat[[#This Row],[Uitvoeringen werkdagen]]*Ruimtestaat[[#This Row],[Oppervlak (netto)]]</f>
        <v>340</v>
      </c>
      <c r="X844" s="220">
        <f>IF(V844&gt;0,Ruimtestaat[[#This Row],[Prest. (m2 /jaar) werkdagen]]/Ruimtestaat[[#This Row],[Norm (m2/uur) werkdagen]],0)</f>
        <v>0</v>
      </c>
      <c r="Y844" s="221">
        <f>Ruimtestaat[[#This Row],[uren / jaar werkdagen]]*Tariefsopbouw!$D$38</f>
        <v>0</v>
      </c>
      <c r="Z844" s="33"/>
      <c r="AA844" s="33">
        <f>IF(Ruimtestaat[[#This Row],[Frequentie weekend]]&gt;0,VALUE(LEFT(Z844,1))*S844,0)</f>
        <v>0</v>
      </c>
      <c r="AB844" s="33">
        <f>IF($AA844&gt;0,VLOOKUP($K844,Ruimtegroepen[],3,FALSE)*VLOOKUP($M844,Vloersoorten[],3,FALSE)*VLOOKUP($Z844,Frequenties[],3,FALSE)*VLOOKUP(#REF!,Locaties[],3,FALSE),0)</f>
        <v>0</v>
      </c>
      <c r="AC844" s="33"/>
      <c r="AD844" s="33"/>
      <c r="AE844" s="33">
        <f>Ruimtestaat[[#This Row],[uren / jaar weekend]]*Tariefsopbouw!$D$40</f>
        <v>0</v>
      </c>
      <c r="AF844" s="79">
        <f>Ruimtestaat[[#This Row],[Prest. (m2 /jaar) weekend]]+Ruimtestaat[[#This Row],[Prest. (m2 /jaar) werkdagen]]</f>
        <v>340</v>
      </c>
      <c r="AG844" s="79">
        <f>Ruimtestaat[[#This Row],[uren / jaar weekend]]+Ruimtestaat[[#This Row],[uren / jaar werkdagen]]</f>
        <v>0</v>
      </c>
      <c r="AH844" s="80">
        <f>Ruimtestaat[[#This Row],[kosten / jaar weekend]]+Ruimtestaat[[#This Row],[kosten / jaar werkdagen]]</f>
        <v>0</v>
      </c>
    </row>
    <row r="845" spans="1:34" ht="15" customHeight="1">
      <c r="A845" s="256">
        <v>11</v>
      </c>
      <c r="B845" s="171" t="str">
        <f>VLOOKUP(Ruimtestaat[[#This Row],[Code]],Locaties[#All],2,FALSE)</f>
        <v>De Bouwsteen / Het Fundament</v>
      </c>
      <c r="C845" s="258" t="str">
        <f>VLOOKUP(Ruimtestaat[[#This Row],[Code]],Locaties[#All],4,FALSE)</f>
        <v>Anna Reynvaanweg 50</v>
      </c>
      <c r="D845" s="258" t="str">
        <f>VLOOKUP(Ruimtestaat[[#This Row],[Code]],Locaties[#All],5,FALSE)</f>
        <v>7555SG</v>
      </c>
      <c r="E845" s="258" t="str">
        <f>VLOOKUP(Ruimtestaat[[#This Row],[Code]],Locaties[#All],6,FALSE)</f>
        <v>Hengelo</v>
      </c>
      <c r="F845" s="257"/>
      <c r="G845" s="257" t="s">
        <v>564</v>
      </c>
      <c r="H845" s="171"/>
      <c r="I845" s="257" t="s">
        <v>524</v>
      </c>
      <c r="J845" s="259" t="s">
        <v>567</v>
      </c>
      <c r="K845" s="171">
        <v>9</v>
      </c>
      <c r="L845" s="260" t="str">
        <f>VLOOKUP(Ruimtestaat[[#This Row],[Ruimte code]],Ruimtegroepen[#All],2,FALSE)</f>
        <v>Time-out ruimte</v>
      </c>
      <c r="M845" s="185" t="s">
        <v>598</v>
      </c>
      <c r="N845" s="257" t="s">
        <v>132</v>
      </c>
      <c r="O845" s="261">
        <v>4.5999999999999996</v>
      </c>
      <c r="P845" s="183"/>
      <c r="Q845" s="212" t="str">
        <f>VLOOKUP(Ruimtestaat[[#This Row],[Ruimte code]],Ruimtegroepen[#All],4,FALSE)</f>
        <v>V  (Verkeersruimte)</v>
      </c>
      <c r="R845" s="184"/>
      <c r="S845" s="185">
        <v>40</v>
      </c>
      <c r="T845" s="185" t="s">
        <v>2</v>
      </c>
      <c r="U845" s="185">
        <f>IF(S845&gt;0,IF(RIGHT(Ruimtestaat[[#This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5" s="185">
        <f>IF(U845&gt;0,VLOOKUP($K845,Ruimtegroepen[],3,FALSE)*VLOOKUP($M845,Vloersoorten[],3,FALSE)*VLOOKUP($T845,Frequenties[],3,FALSE)*VLOOKUP($A845,Locaties[],3,FALSE),0)</f>
        <v>0</v>
      </c>
      <c r="W845" s="185">
        <f>Ruimtestaat[[#This Row],[Uitvoeringen werkdagen]]*Ruimtestaat[[#This Row],[Oppervlak (netto)]]</f>
        <v>919.99999999999989</v>
      </c>
      <c r="X845" s="220">
        <f>IF(V845&gt;0,Ruimtestaat[[#This Row],[Prest. (m2 /jaar) werkdagen]]/Ruimtestaat[[#This Row],[Norm (m2/uur) werkdagen]],0)</f>
        <v>0</v>
      </c>
      <c r="Y845" s="221">
        <f>Ruimtestaat[[#This Row],[uren / jaar werkdagen]]*Tariefsopbouw!$D$38</f>
        <v>0</v>
      </c>
      <c r="Z845" s="33"/>
      <c r="AA845" s="33">
        <f>IF(Ruimtestaat[[#This Row],[Frequentie weekend]]&gt;0,VALUE(LEFT(Z845,1))*S845,0)</f>
        <v>0</v>
      </c>
      <c r="AB845" s="33">
        <f>IF($AA845&gt;0,VLOOKUP($K845,Ruimtegroepen[],3,FALSE)*VLOOKUP($M845,Vloersoorten[],3,FALSE)*VLOOKUP($Z845,Frequenties[],3,FALSE)*VLOOKUP(#REF!,Locaties[],3,FALSE),0)</f>
        <v>0</v>
      </c>
      <c r="AC845" s="33"/>
      <c r="AD845" s="33"/>
      <c r="AE845" s="33">
        <f>Ruimtestaat[[#This Row],[uren / jaar weekend]]*Tariefsopbouw!$D$40</f>
        <v>0</v>
      </c>
      <c r="AF845" s="79">
        <f>Ruimtestaat[[#This Row],[Prest. (m2 /jaar) weekend]]+Ruimtestaat[[#This Row],[Prest. (m2 /jaar) werkdagen]]</f>
        <v>919.99999999999989</v>
      </c>
      <c r="AG845" s="79">
        <f>Ruimtestaat[[#This Row],[uren / jaar weekend]]+Ruimtestaat[[#This Row],[uren / jaar werkdagen]]</f>
        <v>0</v>
      </c>
      <c r="AH845" s="80">
        <f>Ruimtestaat[[#This Row],[kosten / jaar weekend]]+Ruimtestaat[[#This Row],[kosten / jaar werkdagen]]</f>
        <v>0</v>
      </c>
    </row>
    <row r="846" spans="1:34" ht="15" customHeight="1">
      <c r="A846" s="256">
        <v>11</v>
      </c>
      <c r="B846" s="171" t="str">
        <f>VLOOKUP(Ruimtestaat[[#This Row],[Code]],Locaties[#All],2,FALSE)</f>
        <v>De Bouwsteen / Het Fundament</v>
      </c>
      <c r="C846" s="258" t="str">
        <f>VLOOKUP(Ruimtestaat[[#This Row],[Code]],Locaties[#All],4,FALSE)</f>
        <v>Anna Reynvaanweg 50</v>
      </c>
      <c r="D846" s="258" t="str">
        <f>VLOOKUP(Ruimtestaat[[#This Row],[Code]],Locaties[#All],5,FALSE)</f>
        <v>7555SG</v>
      </c>
      <c r="E846" s="258" t="str">
        <f>VLOOKUP(Ruimtestaat[[#This Row],[Code]],Locaties[#All],6,FALSE)</f>
        <v>Hengelo</v>
      </c>
      <c r="F846" s="257"/>
      <c r="G846" s="257" t="s">
        <v>564</v>
      </c>
      <c r="H846" s="171"/>
      <c r="I846" s="257" t="s">
        <v>525</v>
      </c>
      <c r="J846" s="259" t="s">
        <v>567</v>
      </c>
      <c r="K846" s="171">
        <v>9</v>
      </c>
      <c r="L846" s="260" t="str">
        <f>VLOOKUP(Ruimtestaat[[#This Row],[Ruimte code]],Ruimtegroepen[#All],2,FALSE)</f>
        <v>Time-out ruimte</v>
      </c>
      <c r="M846" s="258" t="s">
        <v>598</v>
      </c>
      <c r="N846" s="257" t="s">
        <v>132</v>
      </c>
      <c r="O846" s="261">
        <v>4.5999999999999996</v>
      </c>
      <c r="P846" s="183"/>
      <c r="Q846" s="212" t="str">
        <f>VLOOKUP(Ruimtestaat[[#This Row],[Ruimte code]],Ruimtegroepen[#All],4,FALSE)</f>
        <v>V  (Verkeersruimte)</v>
      </c>
      <c r="R846" s="184"/>
      <c r="S846" s="185">
        <v>40</v>
      </c>
      <c r="T846" s="185" t="s">
        <v>2</v>
      </c>
      <c r="U846" s="185">
        <f>IF(S846&gt;0,IF(RIGHT(Ruimtestaat[[#This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6" s="185">
        <f>IF(U846&gt;0,VLOOKUP($K846,Ruimtegroepen[],3,FALSE)*VLOOKUP($M846,Vloersoorten[],3,FALSE)*VLOOKUP($T846,Frequenties[],3,FALSE)*VLOOKUP($A846,Locaties[],3,FALSE),0)</f>
        <v>0</v>
      </c>
      <c r="W846" s="185">
        <f>Ruimtestaat[[#This Row],[Uitvoeringen werkdagen]]*Ruimtestaat[[#This Row],[Oppervlak (netto)]]</f>
        <v>919.99999999999989</v>
      </c>
      <c r="X846" s="220">
        <f>IF(V846&gt;0,Ruimtestaat[[#This Row],[Prest. (m2 /jaar) werkdagen]]/Ruimtestaat[[#This Row],[Norm (m2/uur) werkdagen]],0)</f>
        <v>0</v>
      </c>
      <c r="Y846" s="221">
        <f>Ruimtestaat[[#This Row],[uren / jaar werkdagen]]*Tariefsopbouw!$D$38</f>
        <v>0</v>
      </c>
      <c r="Z846" s="33"/>
      <c r="AA846" s="33">
        <f>IF(Ruimtestaat[[#This Row],[Frequentie weekend]]&gt;0,VALUE(LEFT(Z846,1))*S846,0)</f>
        <v>0</v>
      </c>
      <c r="AB846" s="33">
        <f>IF($AA846&gt;0,VLOOKUP($K846,Ruimtegroepen[],3,FALSE)*VLOOKUP($M846,Vloersoorten[],3,FALSE)*VLOOKUP($Z846,Frequenties[],3,FALSE)*VLOOKUP(#REF!,Locaties[],3,FALSE),0)</f>
        <v>0</v>
      </c>
      <c r="AC846" s="33"/>
      <c r="AD846" s="33"/>
      <c r="AE846" s="33">
        <f>Ruimtestaat[[#This Row],[uren / jaar weekend]]*Tariefsopbouw!$D$40</f>
        <v>0</v>
      </c>
      <c r="AF846" s="79">
        <f>Ruimtestaat[[#This Row],[Prest. (m2 /jaar) weekend]]+Ruimtestaat[[#This Row],[Prest. (m2 /jaar) werkdagen]]</f>
        <v>919.99999999999989</v>
      </c>
      <c r="AG846" s="79">
        <f>Ruimtestaat[[#This Row],[uren / jaar weekend]]+Ruimtestaat[[#This Row],[uren / jaar werkdagen]]</f>
        <v>0</v>
      </c>
      <c r="AH846" s="80">
        <f>Ruimtestaat[[#This Row],[kosten / jaar weekend]]+Ruimtestaat[[#This Row],[kosten / jaar werkdagen]]</f>
        <v>0</v>
      </c>
    </row>
    <row r="847" spans="1:34" ht="15" customHeight="1">
      <c r="A847" s="256">
        <v>11</v>
      </c>
      <c r="B847" s="171" t="str">
        <f>VLOOKUP(Ruimtestaat[[#This Row],[Code]],Locaties[#All],2,FALSE)</f>
        <v>De Bouwsteen / Het Fundament</v>
      </c>
      <c r="C847" s="258" t="str">
        <f>VLOOKUP(Ruimtestaat[[#This Row],[Code]],Locaties[#All],4,FALSE)</f>
        <v>Anna Reynvaanweg 50</v>
      </c>
      <c r="D847" s="258" t="str">
        <f>VLOOKUP(Ruimtestaat[[#This Row],[Code]],Locaties[#All],5,FALSE)</f>
        <v>7555SG</v>
      </c>
      <c r="E847" s="258" t="str">
        <f>VLOOKUP(Ruimtestaat[[#This Row],[Code]],Locaties[#All],6,FALSE)</f>
        <v>Hengelo</v>
      </c>
      <c r="F847" s="257"/>
      <c r="G847" s="257" t="s">
        <v>564</v>
      </c>
      <c r="H847" s="171"/>
      <c r="I847" s="257" t="s">
        <v>526</v>
      </c>
      <c r="J847" s="259" t="s">
        <v>569</v>
      </c>
      <c r="K847" s="185">
        <v>5</v>
      </c>
      <c r="L847" s="260" t="str">
        <f>VLOOKUP(Ruimtestaat[[#This Row],[Ruimte code]],Ruimtegroepen[#All],2,FALSE)</f>
        <v>Sanitair</v>
      </c>
      <c r="M847" s="212" t="s">
        <v>111</v>
      </c>
      <c r="N847" s="257" t="s">
        <v>595</v>
      </c>
      <c r="O847" s="261">
        <v>1.7</v>
      </c>
      <c r="P847" s="183"/>
      <c r="Q847" s="212" t="str">
        <f>VLOOKUP(Ruimtestaat[[#This Row],[Ruimte code]],Ruimtegroepen[#All],4,FALSE)</f>
        <v>S  (Sanitair)</v>
      </c>
      <c r="R847" s="184"/>
      <c r="S847" s="185">
        <v>40</v>
      </c>
      <c r="T847" s="185" t="s">
        <v>2</v>
      </c>
      <c r="U847" s="185">
        <f>IF(S847&gt;0,IF(RIGHT(Ruimtestaat[[#This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7" s="185">
        <f>IF(U847&gt;0,VLOOKUP($K847,Ruimtegroepen[],3,FALSE)*VLOOKUP($M847,Vloersoorten[],3,FALSE)*VLOOKUP($T847,Frequenties[],3,FALSE)*VLOOKUP($A847,Locaties[],3,FALSE),0)</f>
        <v>0</v>
      </c>
      <c r="W847" s="185">
        <f>Ruimtestaat[[#This Row],[Uitvoeringen werkdagen]]*Ruimtestaat[[#This Row],[Oppervlak (netto)]]</f>
        <v>340</v>
      </c>
      <c r="X847" s="220">
        <f>IF(V847&gt;0,Ruimtestaat[[#This Row],[Prest. (m2 /jaar) werkdagen]]/Ruimtestaat[[#This Row],[Norm (m2/uur) werkdagen]],0)</f>
        <v>0</v>
      </c>
      <c r="Y847" s="221">
        <f>Ruimtestaat[[#This Row],[uren / jaar werkdagen]]*Tariefsopbouw!$D$38</f>
        <v>0</v>
      </c>
      <c r="Z847" s="33"/>
      <c r="AA847" s="33">
        <f>IF(Ruimtestaat[[#This Row],[Frequentie weekend]]&gt;0,VALUE(LEFT(Z847,1))*S847,0)</f>
        <v>0</v>
      </c>
      <c r="AB847" s="33">
        <f>IF($AA847&gt;0,VLOOKUP($K847,Ruimtegroepen[],3,FALSE)*VLOOKUP($M847,Vloersoorten[],3,FALSE)*VLOOKUP($Z847,Frequenties[],3,FALSE)*VLOOKUP(#REF!,Locaties[],3,FALSE),0)</f>
        <v>0</v>
      </c>
      <c r="AC847" s="33"/>
      <c r="AD847" s="33"/>
      <c r="AE847" s="33">
        <f>Ruimtestaat[[#This Row],[uren / jaar weekend]]*Tariefsopbouw!$D$40</f>
        <v>0</v>
      </c>
      <c r="AF847" s="79">
        <f>Ruimtestaat[[#This Row],[Prest. (m2 /jaar) weekend]]+Ruimtestaat[[#This Row],[Prest. (m2 /jaar) werkdagen]]</f>
        <v>340</v>
      </c>
      <c r="AG847" s="79">
        <f>Ruimtestaat[[#This Row],[uren / jaar weekend]]+Ruimtestaat[[#This Row],[uren / jaar werkdagen]]</f>
        <v>0</v>
      </c>
      <c r="AH847" s="80">
        <f>Ruimtestaat[[#This Row],[kosten / jaar weekend]]+Ruimtestaat[[#This Row],[kosten / jaar werkdagen]]</f>
        <v>0</v>
      </c>
    </row>
    <row r="848" spans="1:34" ht="15" customHeight="1">
      <c r="A848" s="256">
        <v>11</v>
      </c>
      <c r="B848" s="171" t="str">
        <f>VLOOKUP(Ruimtestaat[[#This Row],[Code]],Locaties[#All],2,FALSE)</f>
        <v>De Bouwsteen / Het Fundament</v>
      </c>
      <c r="C848" s="258" t="str">
        <f>VLOOKUP(Ruimtestaat[[#This Row],[Code]],Locaties[#All],4,FALSE)</f>
        <v>Anna Reynvaanweg 50</v>
      </c>
      <c r="D848" s="258" t="str">
        <f>VLOOKUP(Ruimtestaat[[#This Row],[Code]],Locaties[#All],5,FALSE)</f>
        <v>7555SG</v>
      </c>
      <c r="E848" s="258" t="str">
        <f>VLOOKUP(Ruimtestaat[[#This Row],[Code]],Locaties[#All],6,FALSE)</f>
        <v>Hengelo</v>
      </c>
      <c r="F848" s="257"/>
      <c r="G848" s="257" t="s">
        <v>564</v>
      </c>
      <c r="H848" s="171"/>
      <c r="I848" s="257" t="s">
        <v>527</v>
      </c>
      <c r="J848" s="259" t="s">
        <v>568</v>
      </c>
      <c r="K848" s="171">
        <v>6</v>
      </c>
      <c r="L848" s="260" t="str">
        <f>VLOOKUP(Ruimtestaat[[#This Row],[Ruimte code]],Ruimtegroepen[#All],2,FALSE)</f>
        <v>Gangen/hallen</v>
      </c>
      <c r="M848" s="258" t="s">
        <v>598</v>
      </c>
      <c r="N848" s="257" t="s">
        <v>132</v>
      </c>
      <c r="O848" s="261">
        <v>2.1</v>
      </c>
      <c r="P848" s="183"/>
      <c r="Q848" s="212" t="str">
        <f>VLOOKUP(Ruimtestaat[[#This Row],[Ruimte code]],Ruimtegroepen[#All],4,FALSE)</f>
        <v>V  (Verkeersruimte)</v>
      </c>
      <c r="R848" s="184"/>
      <c r="S848" s="185">
        <v>40</v>
      </c>
      <c r="T848" s="185" t="s">
        <v>2</v>
      </c>
      <c r="U848" s="185">
        <f>IF(S848&gt;0,IF(RIGHT(Ruimtestaat[[#This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8" s="185">
        <f>IF(U848&gt;0,VLOOKUP($K848,Ruimtegroepen[],3,FALSE)*VLOOKUP($M848,Vloersoorten[],3,FALSE)*VLOOKUP($T848,Frequenties[],3,FALSE)*VLOOKUP($A848,Locaties[],3,FALSE),0)</f>
        <v>0</v>
      </c>
      <c r="W848" s="185">
        <f>Ruimtestaat[[#This Row],[Uitvoeringen werkdagen]]*Ruimtestaat[[#This Row],[Oppervlak (netto)]]</f>
        <v>420</v>
      </c>
      <c r="X848" s="220">
        <f>IF(V848&gt;0,Ruimtestaat[[#This Row],[Prest. (m2 /jaar) werkdagen]]/Ruimtestaat[[#This Row],[Norm (m2/uur) werkdagen]],0)</f>
        <v>0</v>
      </c>
      <c r="Y848" s="221">
        <f>Ruimtestaat[[#This Row],[uren / jaar werkdagen]]*Tariefsopbouw!$D$38</f>
        <v>0</v>
      </c>
      <c r="Z848" s="33"/>
      <c r="AA848" s="33">
        <f>IF(Ruimtestaat[[#This Row],[Frequentie weekend]]&gt;0,VALUE(LEFT(Z848,1))*S848,0)</f>
        <v>0</v>
      </c>
      <c r="AB848" s="33">
        <f>IF($AA848&gt;0,VLOOKUP($K848,Ruimtegroepen[],3,FALSE)*VLOOKUP($M848,Vloersoorten[],3,FALSE)*VLOOKUP($Z848,Frequenties[],3,FALSE)*VLOOKUP(#REF!,Locaties[],3,FALSE),0)</f>
        <v>0</v>
      </c>
      <c r="AC848" s="33"/>
      <c r="AD848" s="33"/>
      <c r="AE848" s="33">
        <f>Ruimtestaat[[#This Row],[uren / jaar weekend]]*Tariefsopbouw!$D$40</f>
        <v>0</v>
      </c>
      <c r="AF848" s="79">
        <f>Ruimtestaat[[#This Row],[Prest. (m2 /jaar) weekend]]+Ruimtestaat[[#This Row],[Prest. (m2 /jaar) werkdagen]]</f>
        <v>420</v>
      </c>
      <c r="AG848" s="79">
        <f>Ruimtestaat[[#This Row],[uren / jaar weekend]]+Ruimtestaat[[#This Row],[uren / jaar werkdagen]]</f>
        <v>0</v>
      </c>
      <c r="AH848" s="80">
        <f>Ruimtestaat[[#This Row],[kosten / jaar weekend]]+Ruimtestaat[[#This Row],[kosten / jaar werkdagen]]</f>
        <v>0</v>
      </c>
    </row>
    <row r="849" spans="1:34" ht="15" customHeight="1">
      <c r="A849" s="256">
        <v>11</v>
      </c>
      <c r="B849" s="171" t="str">
        <f>VLOOKUP(Ruimtestaat[[#This Row],[Code]],Locaties[#All],2,FALSE)</f>
        <v>De Bouwsteen / Het Fundament</v>
      </c>
      <c r="C849" s="258" t="str">
        <f>VLOOKUP(Ruimtestaat[[#This Row],[Code]],Locaties[#All],4,FALSE)</f>
        <v>Anna Reynvaanweg 50</v>
      </c>
      <c r="D849" s="258" t="str">
        <f>VLOOKUP(Ruimtestaat[[#This Row],[Code]],Locaties[#All],5,FALSE)</f>
        <v>7555SG</v>
      </c>
      <c r="E849" s="258" t="str">
        <f>VLOOKUP(Ruimtestaat[[#This Row],[Code]],Locaties[#All],6,FALSE)</f>
        <v>Hengelo</v>
      </c>
      <c r="F849" s="257"/>
      <c r="G849" s="257" t="s">
        <v>564</v>
      </c>
      <c r="H849" s="171"/>
      <c r="I849" s="257" t="s">
        <v>528</v>
      </c>
      <c r="J849" s="259" t="s">
        <v>576</v>
      </c>
      <c r="K849" s="171">
        <v>16</v>
      </c>
      <c r="L849" s="260" t="str">
        <f>VLOOKUP(Ruimtestaat[[#This Row],[Ruimte code]],Ruimtegroepen[#All],2,FALSE)</f>
        <v>Leslokalen</v>
      </c>
      <c r="M849" s="185" t="s">
        <v>598</v>
      </c>
      <c r="N849" s="257" t="s">
        <v>132</v>
      </c>
      <c r="O849" s="261">
        <v>45</v>
      </c>
      <c r="P849" s="183"/>
      <c r="Q849" s="212" t="str">
        <f>VLOOKUP(Ruimtestaat[[#This Row],[Ruimte code]],Ruimtegroepen[#All],4,FALSE)</f>
        <v>L  (Lesruimte)</v>
      </c>
      <c r="R849" s="184"/>
      <c r="S849" s="185">
        <v>40</v>
      </c>
      <c r="T849" s="185" t="s">
        <v>2</v>
      </c>
      <c r="U849" s="185">
        <f>IF(S849&gt;0,IF(RIGHT(Ruimtestaat[[#This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9" s="185">
        <f>IF(U849&gt;0,VLOOKUP($K849,Ruimtegroepen[],3,FALSE)*VLOOKUP($M849,Vloersoorten[],3,FALSE)*VLOOKUP($T849,Frequenties[],3,FALSE)*VLOOKUP($A849,Locaties[],3,FALSE),0)</f>
        <v>0</v>
      </c>
      <c r="W849" s="185">
        <f>Ruimtestaat[[#This Row],[Uitvoeringen werkdagen]]*Ruimtestaat[[#This Row],[Oppervlak (netto)]]</f>
        <v>9000</v>
      </c>
      <c r="X849" s="220">
        <f>IF(V849&gt;0,Ruimtestaat[[#This Row],[Prest. (m2 /jaar) werkdagen]]/Ruimtestaat[[#This Row],[Norm (m2/uur) werkdagen]],0)</f>
        <v>0</v>
      </c>
      <c r="Y849" s="221">
        <f>Ruimtestaat[[#This Row],[uren / jaar werkdagen]]*Tariefsopbouw!$D$38</f>
        <v>0</v>
      </c>
      <c r="Z849" s="33"/>
      <c r="AA849" s="33">
        <f>IF(Ruimtestaat[[#This Row],[Frequentie weekend]]&gt;0,VALUE(LEFT(Z849,1))*S849,0)</f>
        <v>0</v>
      </c>
      <c r="AB849" s="33">
        <f>IF($AA849&gt;0,VLOOKUP($K849,Ruimtegroepen[],3,FALSE)*VLOOKUP($M849,Vloersoorten[],3,FALSE)*VLOOKUP($Z849,Frequenties[],3,FALSE)*VLOOKUP(#REF!,Locaties[],3,FALSE),0)</f>
        <v>0</v>
      </c>
      <c r="AC849" s="33"/>
      <c r="AD849" s="33"/>
      <c r="AE849" s="33">
        <f>Ruimtestaat[[#This Row],[uren / jaar weekend]]*Tariefsopbouw!$D$40</f>
        <v>0</v>
      </c>
      <c r="AF849" s="79">
        <f>Ruimtestaat[[#This Row],[Prest. (m2 /jaar) weekend]]+Ruimtestaat[[#This Row],[Prest. (m2 /jaar) werkdagen]]</f>
        <v>9000</v>
      </c>
      <c r="AG849" s="79">
        <f>Ruimtestaat[[#This Row],[uren / jaar weekend]]+Ruimtestaat[[#This Row],[uren / jaar werkdagen]]</f>
        <v>0</v>
      </c>
      <c r="AH849" s="80">
        <f>Ruimtestaat[[#This Row],[kosten / jaar weekend]]+Ruimtestaat[[#This Row],[kosten / jaar werkdagen]]</f>
        <v>0</v>
      </c>
    </row>
    <row r="850" spans="1:34" ht="15" customHeight="1">
      <c r="A850" s="256">
        <v>11</v>
      </c>
      <c r="B850" s="171" t="str">
        <f>VLOOKUP(Ruimtestaat[[#This Row],[Code]],Locaties[#All],2,FALSE)</f>
        <v>De Bouwsteen / Het Fundament</v>
      </c>
      <c r="C850" s="258" t="str">
        <f>VLOOKUP(Ruimtestaat[[#This Row],[Code]],Locaties[#All],4,FALSE)</f>
        <v>Anna Reynvaanweg 50</v>
      </c>
      <c r="D850" s="258" t="str">
        <f>VLOOKUP(Ruimtestaat[[#This Row],[Code]],Locaties[#All],5,FALSE)</f>
        <v>7555SG</v>
      </c>
      <c r="E850" s="258" t="str">
        <f>VLOOKUP(Ruimtestaat[[#This Row],[Code]],Locaties[#All],6,FALSE)</f>
        <v>Hengelo</v>
      </c>
      <c r="F850" s="257"/>
      <c r="G850" s="257" t="s">
        <v>564</v>
      </c>
      <c r="H850" s="171"/>
      <c r="I850" s="257" t="s">
        <v>529</v>
      </c>
      <c r="J850" s="259" t="s">
        <v>576</v>
      </c>
      <c r="K850" s="171">
        <v>16</v>
      </c>
      <c r="L850" s="260" t="str">
        <f>VLOOKUP(Ruimtestaat[[#This Row],[Ruimte code]],Ruimtegroepen[#All],2,FALSE)</f>
        <v>Leslokalen</v>
      </c>
      <c r="M850" s="185" t="s">
        <v>598</v>
      </c>
      <c r="N850" s="257" t="s">
        <v>132</v>
      </c>
      <c r="O850" s="261">
        <v>44.4</v>
      </c>
      <c r="P850" s="183"/>
      <c r="Q850" s="212" t="str">
        <f>VLOOKUP(Ruimtestaat[[#This Row],[Ruimte code]],Ruimtegroepen[#All],4,FALSE)</f>
        <v>L  (Lesruimte)</v>
      </c>
      <c r="R850" s="184"/>
      <c r="S850" s="185">
        <v>40</v>
      </c>
      <c r="T850" s="185" t="s">
        <v>2</v>
      </c>
      <c r="U850" s="185">
        <f>IF(S850&gt;0,IF(RIGHT(Ruimtestaat[[#This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0" s="185">
        <f>IF(U850&gt;0,VLOOKUP($K850,Ruimtegroepen[],3,FALSE)*VLOOKUP($M850,Vloersoorten[],3,FALSE)*VLOOKUP($T850,Frequenties[],3,FALSE)*VLOOKUP($A850,Locaties[],3,FALSE),0)</f>
        <v>0</v>
      </c>
      <c r="W850" s="185">
        <f>Ruimtestaat[[#This Row],[Uitvoeringen werkdagen]]*Ruimtestaat[[#This Row],[Oppervlak (netto)]]</f>
        <v>8880</v>
      </c>
      <c r="X850" s="220">
        <f>IF(V850&gt;0,Ruimtestaat[[#This Row],[Prest. (m2 /jaar) werkdagen]]/Ruimtestaat[[#This Row],[Norm (m2/uur) werkdagen]],0)</f>
        <v>0</v>
      </c>
      <c r="Y850" s="221">
        <f>Ruimtestaat[[#This Row],[uren / jaar werkdagen]]*Tariefsopbouw!$D$38</f>
        <v>0</v>
      </c>
      <c r="Z850" s="33"/>
      <c r="AA850" s="33">
        <f>IF(Ruimtestaat[[#This Row],[Frequentie weekend]]&gt;0,VALUE(LEFT(Z850,1))*S850,0)</f>
        <v>0</v>
      </c>
      <c r="AB850" s="33">
        <f>IF($AA850&gt;0,VLOOKUP($K850,Ruimtegroepen[],3,FALSE)*VLOOKUP($M850,Vloersoorten[],3,FALSE)*VLOOKUP($Z850,Frequenties[],3,FALSE)*VLOOKUP(#REF!,Locaties[],3,FALSE),0)</f>
        <v>0</v>
      </c>
      <c r="AC850" s="33"/>
      <c r="AD850" s="33"/>
      <c r="AE850" s="33">
        <f>Ruimtestaat[[#This Row],[uren / jaar weekend]]*Tariefsopbouw!$D$40</f>
        <v>0</v>
      </c>
      <c r="AF850" s="79">
        <f>Ruimtestaat[[#This Row],[Prest. (m2 /jaar) weekend]]+Ruimtestaat[[#This Row],[Prest. (m2 /jaar) werkdagen]]</f>
        <v>8880</v>
      </c>
      <c r="AG850" s="79">
        <f>Ruimtestaat[[#This Row],[uren / jaar weekend]]+Ruimtestaat[[#This Row],[uren / jaar werkdagen]]</f>
        <v>0</v>
      </c>
      <c r="AH850" s="80">
        <f>Ruimtestaat[[#This Row],[kosten / jaar weekend]]+Ruimtestaat[[#This Row],[kosten / jaar werkdagen]]</f>
        <v>0</v>
      </c>
    </row>
    <row r="851" spans="1:34" ht="15" customHeight="1">
      <c r="A851" s="256">
        <v>11</v>
      </c>
      <c r="B851" s="171" t="str">
        <f>VLOOKUP(Ruimtestaat[[#This Row],[Code]],Locaties[#All],2,FALSE)</f>
        <v>De Bouwsteen / Het Fundament</v>
      </c>
      <c r="C851" s="258" t="str">
        <f>VLOOKUP(Ruimtestaat[[#This Row],[Code]],Locaties[#All],4,FALSE)</f>
        <v>Anna Reynvaanweg 50</v>
      </c>
      <c r="D851" s="258" t="str">
        <f>VLOOKUP(Ruimtestaat[[#This Row],[Code]],Locaties[#All],5,FALSE)</f>
        <v>7555SG</v>
      </c>
      <c r="E851" s="258" t="str">
        <f>VLOOKUP(Ruimtestaat[[#This Row],[Code]],Locaties[#All],6,FALSE)</f>
        <v>Hengelo</v>
      </c>
      <c r="F851" s="257"/>
      <c r="G851" s="257" t="s">
        <v>564</v>
      </c>
      <c r="H851" s="171"/>
      <c r="I851" s="257" t="s">
        <v>530</v>
      </c>
      <c r="J851" s="259" t="s">
        <v>568</v>
      </c>
      <c r="K851" s="171">
        <v>6</v>
      </c>
      <c r="L851" s="260" t="str">
        <f>VLOOKUP(Ruimtestaat[[#This Row],[Ruimte code]],Ruimtegroepen[#All],2,FALSE)</f>
        <v>Gangen/hallen</v>
      </c>
      <c r="M851" s="258" t="s">
        <v>598</v>
      </c>
      <c r="N851" s="257" t="s">
        <v>132</v>
      </c>
      <c r="O851" s="261">
        <v>1.9</v>
      </c>
      <c r="P851" s="183"/>
      <c r="Q851" s="212" t="str">
        <f>VLOOKUP(Ruimtestaat[[#This Row],[Ruimte code]],Ruimtegroepen[#All],4,FALSE)</f>
        <v>V  (Verkeersruimte)</v>
      </c>
      <c r="R851" s="184"/>
      <c r="S851" s="185">
        <v>40</v>
      </c>
      <c r="T851" s="185" t="s">
        <v>2</v>
      </c>
      <c r="U851" s="185">
        <f>IF(S851&gt;0,IF(RIGHT(Ruimtestaat[[#This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1" s="185">
        <f>IF(U851&gt;0,VLOOKUP($K851,Ruimtegroepen[],3,FALSE)*VLOOKUP($M851,Vloersoorten[],3,FALSE)*VLOOKUP($T851,Frequenties[],3,FALSE)*VLOOKUP($A851,Locaties[],3,FALSE),0)</f>
        <v>0</v>
      </c>
      <c r="W851" s="185">
        <f>Ruimtestaat[[#This Row],[Uitvoeringen werkdagen]]*Ruimtestaat[[#This Row],[Oppervlak (netto)]]</f>
        <v>380</v>
      </c>
      <c r="X851" s="220">
        <f>IF(V851&gt;0,Ruimtestaat[[#This Row],[Prest. (m2 /jaar) werkdagen]]/Ruimtestaat[[#This Row],[Norm (m2/uur) werkdagen]],0)</f>
        <v>0</v>
      </c>
      <c r="Y851" s="221">
        <f>Ruimtestaat[[#This Row],[uren / jaar werkdagen]]*Tariefsopbouw!$D$38</f>
        <v>0</v>
      </c>
      <c r="Z851" s="33"/>
      <c r="AA851" s="33">
        <f>IF(Ruimtestaat[[#This Row],[Frequentie weekend]]&gt;0,VALUE(LEFT(Z851,1))*S851,0)</f>
        <v>0</v>
      </c>
      <c r="AB851" s="33">
        <f>IF($AA851&gt;0,VLOOKUP($K851,Ruimtegroepen[],3,FALSE)*VLOOKUP($M851,Vloersoorten[],3,FALSE)*VLOOKUP($Z851,Frequenties[],3,FALSE)*VLOOKUP(#REF!,Locaties[],3,FALSE),0)</f>
        <v>0</v>
      </c>
      <c r="AC851" s="33"/>
      <c r="AD851" s="33"/>
      <c r="AE851" s="33">
        <f>Ruimtestaat[[#This Row],[uren / jaar weekend]]*Tariefsopbouw!$D$40</f>
        <v>0</v>
      </c>
      <c r="AF851" s="79">
        <f>Ruimtestaat[[#This Row],[Prest. (m2 /jaar) weekend]]+Ruimtestaat[[#This Row],[Prest. (m2 /jaar) werkdagen]]</f>
        <v>380</v>
      </c>
      <c r="AG851" s="79">
        <f>Ruimtestaat[[#This Row],[uren / jaar weekend]]+Ruimtestaat[[#This Row],[uren / jaar werkdagen]]</f>
        <v>0</v>
      </c>
      <c r="AH851" s="80">
        <f>Ruimtestaat[[#This Row],[kosten / jaar weekend]]+Ruimtestaat[[#This Row],[kosten / jaar werkdagen]]</f>
        <v>0</v>
      </c>
    </row>
    <row r="852" spans="1:34" ht="15" customHeight="1">
      <c r="A852" s="256">
        <v>11</v>
      </c>
      <c r="B852" s="171" t="str">
        <f>VLOOKUP(Ruimtestaat[[#This Row],[Code]],Locaties[#All],2,FALSE)</f>
        <v>De Bouwsteen / Het Fundament</v>
      </c>
      <c r="C852" s="258" t="str">
        <f>VLOOKUP(Ruimtestaat[[#This Row],[Code]],Locaties[#All],4,FALSE)</f>
        <v>Anna Reynvaanweg 50</v>
      </c>
      <c r="D852" s="258" t="str">
        <f>VLOOKUP(Ruimtestaat[[#This Row],[Code]],Locaties[#All],5,FALSE)</f>
        <v>7555SG</v>
      </c>
      <c r="E852" s="258" t="str">
        <f>VLOOKUP(Ruimtestaat[[#This Row],[Code]],Locaties[#All],6,FALSE)</f>
        <v>Hengelo</v>
      </c>
      <c r="F852" s="257"/>
      <c r="G852" s="257" t="s">
        <v>564</v>
      </c>
      <c r="H852" s="171"/>
      <c r="I852" s="257" t="s">
        <v>531</v>
      </c>
      <c r="J852" s="259" t="s">
        <v>569</v>
      </c>
      <c r="K852" s="171">
        <v>5</v>
      </c>
      <c r="L852" s="260" t="str">
        <f>VLOOKUP(Ruimtestaat[[#This Row],[Ruimte code]],Ruimtegroepen[#All],2,FALSE)</f>
        <v>Sanitair</v>
      </c>
      <c r="M852" s="212" t="s">
        <v>111</v>
      </c>
      <c r="N852" s="257" t="s">
        <v>595</v>
      </c>
      <c r="O852" s="261">
        <v>1.7</v>
      </c>
      <c r="P852" s="183"/>
      <c r="Q852" s="212" t="str">
        <f>VLOOKUP(Ruimtestaat[[#This Row],[Ruimte code]],Ruimtegroepen[#All],4,FALSE)</f>
        <v>S  (Sanitair)</v>
      </c>
      <c r="R852" s="184"/>
      <c r="S852" s="185">
        <v>40</v>
      </c>
      <c r="T852" s="185" t="s">
        <v>2</v>
      </c>
      <c r="U852" s="185">
        <f>IF(S852&gt;0,IF(RIGHT(Ruimtestaat[[#This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2" s="185">
        <f>IF(U852&gt;0,VLOOKUP($K852,Ruimtegroepen[],3,FALSE)*VLOOKUP($M852,Vloersoorten[],3,FALSE)*VLOOKUP($T852,Frequenties[],3,FALSE)*VLOOKUP($A852,Locaties[],3,FALSE),0)</f>
        <v>0</v>
      </c>
      <c r="W852" s="185">
        <f>Ruimtestaat[[#This Row],[Uitvoeringen werkdagen]]*Ruimtestaat[[#This Row],[Oppervlak (netto)]]</f>
        <v>340</v>
      </c>
      <c r="X852" s="220">
        <f>IF(V852&gt;0,Ruimtestaat[[#This Row],[Prest. (m2 /jaar) werkdagen]]/Ruimtestaat[[#This Row],[Norm (m2/uur) werkdagen]],0)</f>
        <v>0</v>
      </c>
      <c r="Y852" s="221">
        <f>Ruimtestaat[[#This Row],[uren / jaar werkdagen]]*Tariefsopbouw!$D$38</f>
        <v>0</v>
      </c>
      <c r="Z852" s="33"/>
      <c r="AA852" s="33">
        <f>IF(Ruimtestaat[[#This Row],[Frequentie weekend]]&gt;0,VALUE(LEFT(Z852,1))*S852,0)</f>
        <v>0</v>
      </c>
      <c r="AB852" s="33">
        <f>IF($AA852&gt;0,VLOOKUP($K852,Ruimtegroepen[],3,FALSE)*VLOOKUP($M852,Vloersoorten[],3,FALSE)*VLOOKUP($Z852,Frequenties[],3,FALSE)*VLOOKUP(#REF!,Locaties[],3,FALSE),0)</f>
        <v>0</v>
      </c>
      <c r="AC852" s="33"/>
      <c r="AD852" s="33"/>
      <c r="AE852" s="33">
        <f>Ruimtestaat[[#This Row],[uren / jaar weekend]]*Tariefsopbouw!$D$40</f>
        <v>0</v>
      </c>
      <c r="AF852" s="79">
        <f>Ruimtestaat[[#This Row],[Prest. (m2 /jaar) weekend]]+Ruimtestaat[[#This Row],[Prest. (m2 /jaar) werkdagen]]</f>
        <v>340</v>
      </c>
      <c r="AG852" s="79">
        <f>Ruimtestaat[[#This Row],[uren / jaar weekend]]+Ruimtestaat[[#This Row],[uren / jaar werkdagen]]</f>
        <v>0</v>
      </c>
      <c r="AH852" s="80">
        <f>Ruimtestaat[[#This Row],[kosten / jaar weekend]]+Ruimtestaat[[#This Row],[kosten / jaar werkdagen]]</f>
        <v>0</v>
      </c>
    </row>
    <row r="853" spans="1:34" ht="15" customHeight="1">
      <c r="A853" s="256">
        <v>11</v>
      </c>
      <c r="B853" s="171" t="str">
        <f>VLOOKUP(Ruimtestaat[[#This Row],[Code]],Locaties[#All],2,FALSE)</f>
        <v>De Bouwsteen / Het Fundament</v>
      </c>
      <c r="C853" s="258" t="str">
        <f>VLOOKUP(Ruimtestaat[[#This Row],[Code]],Locaties[#All],4,FALSE)</f>
        <v>Anna Reynvaanweg 50</v>
      </c>
      <c r="D853" s="258" t="str">
        <f>VLOOKUP(Ruimtestaat[[#This Row],[Code]],Locaties[#All],5,FALSE)</f>
        <v>7555SG</v>
      </c>
      <c r="E853" s="258" t="str">
        <f>VLOOKUP(Ruimtestaat[[#This Row],[Code]],Locaties[#All],6,FALSE)</f>
        <v>Hengelo</v>
      </c>
      <c r="F853" s="257"/>
      <c r="G853" s="257" t="s">
        <v>564</v>
      </c>
      <c r="H853" s="171"/>
      <c r="I853" s="257" t="s">
        <v>532</v>
      </c>
      <c r="J853" s="259" t="s">
        <v>567</v>
      </c>
      <c r="K853" s="171">
        <v>9</v>
      </c>
      <c r="L853" s="260" t="str">
        <f>VLOOKUP(Ruimtestaat[[#This Row],[Ruimte code]],Ruimtegroepen[#All],2,FALSE)</f>
        <v>Time-out ruimte</v>
      </c>
      <c r="M853" s="258" t="s">
        <v>598</v>
      </c>
      <c r="N853" s="257" t="s">
        <v>132</v>
      </c>
      <c r="O853" s="261">
        <v>4.4000000000000004</v>
      </c>
      <c r="P853" s="183"/>
      <c r="Q853" s="212" t="str">
        <f>VLOOKUP(Ruimtestaat[[#This Row],[Ruimte code]],Ruimtegroepen[#All],4,FALSE)</f>
        <v>V  (Verkeersruimte)</v>
      </c>
      <c r="R853" s="184"/>
      <c r="S853" s="185">
        <v>40</v>
      </c>
      <c r="T853" s="185" t="s">
        <v>2</v>
      </c>
      <c r="U853" s="185">
        <f>IF(S853&gt;0,IF(RIGHT(Ruimtestaat[[#This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3" s="185">
        <f>IF(U853&gt;0,VLOOKUP($K853,Ruimtegroepen[],3,FALSE)*VLOOKUP($M853,Vloersoorten[],3,FALSE)*VLOOKUP($T853,Frequenties[],3,FALSE)*VLOOKUP($A853,Locaties[],3,FALSE),0)</f>
        <v>0</v>
      </c>
      <c r="W853" s="185">
        <f>Ruimtestaat[[#This Row],[Uitvoeringen werkdagen]]*Ruimtestaat[[#This Row],[Oppervlak (netto)]]</f>
        <v>880.00000000000011</v>
      </c>
      <c r="X853" s="220">
        <f>IF(V853&gt;0,Ruimtestaat[[#This Row],[Prest. (m2 /jaar) werkdagen]]/Ruimtestaat[[#This Row],[Norm (m2/uur) werkdagen]],0)</f>
        <v>0</v>
      </c>
      <c r="Y853" s="221">
        <f>Ruimtestaat[[#This Row],[uren / jaar werkdagen]]*Tariefsopbouw!$D$38</f>
        <v>0</v>
      </c>
      <c r="Z853" s="33"/>
      <c r="AA853" s="33">
        <f>IF(Ruimtestaat[[#This Row],[Frequentie weekend]]&gt;0,VALUE(LEFT(Z853,1))*S853,0)</f>
        <v>0</v>
      </c>
      <c r="AB853" s="33">
        <f>IF($AA853&gt;0,VLOOKUP($K853,Ruimtegroepen[],3,FALSE)*VLOOKUP($M853,Vloersoorten[],3,FALSE)*VLOOKUP($Z853,Frequenties[],3,FALSE)*VLOOKUP(#REF!,Locaties[],3,FALSE),0)</f>
        <v>0</v>
      </c>
      <c r="AC853" s="33"/>
      <c r="AD853" s="33"/>
      <c r="AE853" s="33">
        <f>Ruimtestaat[[#This Row],[uren / jaar weekend]]*Tariefsopbouw!$D$40</f>
        <v>0</v>
      </c>
      <c r="AF853" s="79">
        <f>Ruimtestaat[[#This Row],[Prest. (m2 /jaar) weekend]]+Ruimtestaat[[#This Row],[Prest. (m2 /jaar) werkdagen]]</f>
        <v>880.00000000000011</v>
      </c>
      <c r="AG853" s="79">
        <f>Ruimtestaat[[#This Row],[uren / jaar weekend]]+Ruimtestaat[[#This Row],[uren / jaar werkdagen]]</f>
        <v>0</v>
      </c>
      <c r="AH853" s="80">
        <f>Ruimtestaat[[#This Row],[kosten / jaar weekend]]+Ruimtestaat[[#This Row],[kosten / jaar werkdagen]]</f>
        <v>0</v>
      </c>
    </row>
    <row r="854" spans="1:34" ht="15" customHeight="1">
      <c r="A854" s="256">
        <v>11</v>
      </c>
      <c r="B854" s="171" t="str">
        <f>VLOOKUP(Ruimtestaat[[#This Row],[Code]],Locaties[#All],2,FALSE)</f>
        <v>De Bouwsteen / Het Fundament</v>
      </c>
      <c r="C854" s="258" t="str">
        <f>VLOOKUP(Ruimtestaat[[#This Row],[Code]],Locaties[#All],4,FALSE)</f>
        <v>Anna Reynvaanweg 50</v>
      </c>
      <c r="D854" s="258" t="str">
        <f>VLOOKUP(Ruimtestaat[[#This Row],[Code]],Locaties[#All],5,FALSE)</f>
        <v>7555SG</v>
      </c>
      <c r="E854" s="258" t="str">
        <f>VLOOKUP(Ruimtestaat[[#This Row],[Code]],Locaties[#All],6,FALSE)</f>
        <v>Hengelo</v>
      </c>
      <c r="F854" s="257"/>
      <c r="G854" s="257" t="s">
        <v>564</v>
      </c>
      <c r="H854" s="171"/>
      <c r="I854" s="257" t="s">
        <v>533</v>
      </c>
      <c r="J854" s="259" t="s">
        <v>574</v>
      </c>
      <c r="K854" s="171">
        <v>6</v>
      </c>
      <c r="L854" s="260" t="str">
        <f>VLOOKUP(Ruimtestaat[[#This Row],[Ruimte code]],Ruimtegroepen[#All],2,FALSE)</f>
        <v>Gangen/hallen</v>
      </c>
      <c r="M854" s="258" t="s">
        <v>598</v>
      </c>
      <c r="N854" s="257" t="s">
        <v>132</v>
      </c>
      <c r="O854" s="261">
        <v>106.3</v>
      </c>
      <c r="P854" s="183"/>
      <c r="Q854" s="212" t="str">
        <f>VLOOKUP(Ruimtestaat[[#This Row],[Ruimte code]],Ruimtegroepen[#All],4,FALSE)</f>
        <v>V  (Verkeersruimte)</v>
      </c>
      <c r="R854" s="184"/>
      <c r="S854" s="185">
        <v>40</v>
      </c>
      <c r="T854" s="185" t="s">
        <v>2</v>
      </c>
      <c r="U854" s="185">
        <f>IF(S854&gt;0,IF(RIGHT(Ruimtestaat[[#This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4" s="185">
        <f>IF(U854&gt;0,VLOOKUP($K854,Ruimtegroepen[],3,FALSE)*VLOOKUP($M854,Vloersoorten[],3,FALSE)*VLOOKUP($T854,Frequenties[],3,FALSE)*VLOOKUP($A854,Locaties[],3,FALSE),0)</f>
        <v>0</v>
      </c>
      <c r="W854" s="185">
        <f>Ruimtestaat[[#This Row],[Uitvoeringen werkdagen]]*Ruimtestaat[[#This Row],[Oppervlak (netto)]]</f>
        <v>21260</v>
      </c>
      <c r="X854" s="220">
        <f>IF(V854&gt;0,Ruimtestaat[[#This Row],[Prest. (m2 /jaar) werkdagen]]/Ruimtestaat[[#This Row],[Norm (m2/uur) werkdagen]],0)</f>
        <v>0</v>
      </c>
      <c r="Y854" s="221">
        <f>Ruimtestaat[[#This Row],[uren / jaar werkdagen]]*Tariefsopbouw!$D$38</f>
        <v>0</v>
      </c>
      <c r="Z854" s="33"/>
      <c r="AA854" s="33">
        <f>IF(Ruimtestaat[[#This Row],[Frequentie weekend]]&gt;0,VALUE(LEFT(Z854,1))*S854,0)</f>
        <v>0</v>
      </c>
      <c r="AB854" s="33">
        <f>IF($AA854&gt;0,VLOOKUP($K854,Ruimtegroepen[],3,FALSE)*VLOOKUP($M854,Vloersoorten[],3,FALSE)*VLOOKUP($Z854,Frequenties[],3,FALSE)*VLOOKUP(#REF!,Locaties[],3,FALSE),0)</f>
        <v>0</v>
      </c>
      <c r="AC854" s="33"/>
      <c r="AD854" s="33"/>
      <c r="AE854" s="33">
        <f>Ruimtestaat[[#This Row],[uren / jaar weekend]]*Tariefsopbouw!$D$40</f>
        <v>0</v>
      </c>
      <c r="AF854" s="79">
        <f>Ruimtestaat[[#This Row],[Prest. (m2 /jaar) weekend]]+Ruimtestaat[[#This Row],[Prest. (m2 /jaar) werkdagen]]</f>
        <v>21260</v>
      </c>
      <c r="AG854" s="79">
        <f>Ruimtestaat[[#This Row],[uren / jaar weekend]]+Ruimtestaat[[#This Row],[uren / jaar werkdagen]]</f>
        <v>0</v>
      </c>
      <c r="AH854" s="80">
        <f>Ruimtestaat[[#This Row],[kosten / jaar weekend]]+Ruimtestaat[[#This Row],[kosten / jaar werkdagen]]</f>
        <v>0</v>
      </c>
    </row>
    <row r="855" spans="1:34" ht="15" customHeight="1">
      <c r="A855" s="256">
        <v>11</v>
      </c>
      <c r="B855" s="171" t="str">
        <f>VLOOKUP(Ruimtestaat[[#This Row],[Code]],Locaties[#All],2,FALSE)</f>
        <v>De Bouwsteen / Het Fundament</v>
      </c>
      <c r="C855" s="258" t="str">
        <f>VLOOKUP(Ruimtestaat[[#This Row],[Code]],Locaties[#All],4,FALSE)</f>
        <v>Anna Reynvaanweg 50</v>
      </c>
      <c r="D855" s="258" t="str">
        <f>VLOOKUP(Ruimtestaat[[#This Row],[Code]],Locaties[#All],5,FALSE)</f>
        <v>7555SG</v>
      </c>
      <c r="E855" s="258" t="str">
        <f>VLOOKUP(Ruimtestaat[[#This Row],[Code]],Locaties[#All],6,FALSE)</f>
        <v>Hengelo</v>
      </c>
      <c r="F855" s="257"/>
      <c r="G855" s="257" t="s">
        <v>564</v>
      </c>
      <c r="H855" s="171"/>
      <c r="I855" s="257" t="s">
        <v>534</v>
      </c>
      <c r="J855" s="259" t="s">
        <v>576</v>
      </c>
      <c r="K855" s="171">
        <v>16</v>
      </c>
      <c r="L855" s="260" t="str">
        <f>VLOOKUP(Ruimtestaat[[#This Row],[Ruimte code]],Ruimtegroepen[#All],2,FALSE)</f>
        <v>Leslokalen</v>
      </c>
      <c r="M855" s="185" t="s">
        <v>598</v>
      </c>
      <c r="N855" s="257" t="s">
        <v>132</v>
      </c>
      <c r="O855" s="261">
        <v>42.4</v>
      </c>
      <c r="P855" s="183"/>
      <c r="Q855" s="212" t="str">
        <f>VLOOKUP(Ruimtestaat[[#This Row],[Ruimte code]],Ruimtegroepen[#All],4,FALSE)</f>
        <v>L  (Lesruimte)</v>
      </c>
      <c r="R855" s="184"/>
      <c r="S855" s="185">
        <v>40</v>
      </c>
      <c r="T855" s="185" t="s">
        <v>2</v>
      </c>
      <c r="U855" s="185">
        <f>IF(S855&gt;0,IF(RIGHT(Ruimtestaat[[#This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5" s="185">
        <f>IF(U855&gt;0,VLOOKUP($K855,Ruimtegroepen[],3,FALSE)*VLOOKUP($M855,Vloersoorten[],3,FALSE)*VLOOKUP($T855,Frequenties[],3,FALSE)*VLOOKUP($A855,Locaties[],3,FALSE),0)</f>
        <v>0</v>
      </c>
      <c r="W855" s="185">
        <f>Ruimtestaat[[#This Row],[Uitvoeringen werkdagen]]*Ruimtestaat[[#This Row],[Oppervlak (netto)]]</f>
        <v>8480</v>
      </c>
      <c r="X855" s="220">
        <f>IF(V855&gt;0,Ruimtestaat[[#This Row],[Prest. (m2 /jaar) werkdagen]]/Ruimtestaat[[#This Row],[Norm (m2/uur) werkdagen]],0)</f>
        <v>0</v>
      </c>
      <c r="Y855" s="221">
        <f>Ruimtestaat[[#This Row],[uren / jaar werkdagen]]*Tariefsopbouw!$D$38</f>
        <v>0</v>
      </c>
      <c r="Z855" s="33"/>
      <c r="AA855" s="33">
        <f>IF(Ruimtestaat[[#This Row],[Frequentie weekend]]&gt;0,VALUE(LEFT(Z855,1))*S855,0)</f>
        <v>0</v>
      </c>
      <c r="AB855" s="33">
        <f>IF($AA855&gt;0,VLOOKUP($K855,Ruimtegroepen[],3,FALSE)*VLOOKUP($M855,Vloersoorten[],3,FALSE)*VLOOKUP($Z855,Frequenties[],3,FALSE)*VLOOKUP(#REF!,Locaties[],3,FALSE),0)</f>
        <v>0</v>
      </c>
      <c r="AC855" s="33"/>
      <c r="AD855" s="33"/>
      <c r="AE855" s="33">
        <f>Ruimtestaat[[#This Row],[uren / jaar weekend]]*Tariefsopbouw!$D$40</f>
        <v>0</v>
      </c>
      <c r="AF855" s="79">
        <f>Ruimtestaat[[#This Row],[Prest. (m2 /jaar) weekend]]+Ruimtestaat[[#This Row],[Prest. (m2 /jaar) werkdagen]]</f>
        <v>8480</v>
      </c>
      <c r="AG855" s="79">
        <f>Ruimtestaat[[#This Row],[uren / jaar weekend]]+Ruimtestaat[[#This Row],[uren / jaar werkdagen]]</f>
        <v>0</v>
      </c>
      <c r="AH855" s="80">
        <f>Ruimtestaat[[#This Row],[kosten / jaar weekend]]+Ruimtestaat[[#This Row],[kosten / jaar werkdagen]]</f>
        <v>0</v>
      </c>
    </row>
    <row r="856" spans="1:34" ht="15" customHeight="1">
      <c r="A856" s="256">
        <v>11</v>
      </c>
      <c r="B856" s="171" t="str">
        <f>VLOOKUP(Ruimtestaat[[#This Row],[Code]],Locaties[#All],2,FALSE)</f>
        <v>De Bouwsteen / Het Fundament</v>
      </c>
      <c r="C856" s="258" t="str">
        <f>VLOOKUP(Ruimtestaat[[#This Row],[Code]],Locaties[#All],4,FALSE)</f>
        <v>Anna Reynvaanweg 50</v>
      </c>
      <c r="D856" s="258" t="str">
        <f>VLOOKUP(Ruimtestaat[[#This Row],[Code]],Locaties[#All],5,FALSE)</f>
        <v>7555SG</v>
      </c>
      <c r="E856" s="258" t="str">
        <f>VLOOKUP(Ruimtestaat[[#This Row],[Code]],Locaties[#All],6,FALSE)</f>
        <v>Hengelo</v>
      </c>
      <c r="F856" s="257"/>
      <c r="G856" s="257" t="s">
        <v>564</v>
      </c>
      <c r="H856" s="171"/>
      <c r="I856" s="257" t="s">
        <v>535</v>
      </c>
      <c r="J856" s="259" t="s">
        <v>568</v>
      </c>
      <c r="K856" s="258">
        <v>6</v>
      </c>
      <c r="L856" s="260" t="str">
        <f>VLOOKUP(Ruimtestaat[[#This Row],[Ruimte code]],Ruimtegroepen[#All],2,FALSE)</f>
        <v>Gangen/hallen</v>
      </c>
      <c r="M856" s="258" t="s">
        <v>598</v>
      </c>
      <c r="N856" s="257" t="s">
        <v>132</v>
      </c>
      <c r="O856" s="261">
        <v>2.1</v>
      </c>
      <c r="P856" s="183"/>
      <c r="Q856" s="212" t="str">
        <f>VLOOKUP(Ruimtestaat[[#This Row],[Ruimte code]],Ruimtegroepen[#All],4,FALSE)</f>
        <v>V  (Verkeersruimte)</v>
      </c>
      <c r="R856" s="184"/>
      <c r="S856" s="185">
        <v>40</v>
      </c>
      <c r="T856" s="185" t="s">
        <v>2</v>
      </c>
      <c r="U856" s="185">
        <f>IF(S856&gt;0,IF(RIGHT(Ruimtestaat[[#This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6" s="185">
        <f>IF(U856&gt;0,VLOOKUP($K856,Ruimtegroepen[],3,FALSE)*VLOOKUP($M856,Vloersoorten[],3,FALSE)*VLOOKUP($T856,Frequenties[],3,FALSE)*VLOOKUP($A856,Locaties[],3,FALSE),0)</f>
        <v>0</v>
      </c>
      <c r="W856" s="185">
        <f>Ruimtestaat[[#This Row],[Uitvoeringen werkdagen]]*Ruimtestaat[[#This Row],[Oppervlak (netto)]]</f>
        <v>420</v>
      </c>
      <c r="X856" s="220">
        <f>IF(V856&gt;0,Ruimtestaat[[#This Row],[Prest. (m2 /jaar) werkdagen]]/Ruimtestaat[[#This Row],[Norm (m2/uur) werkdagen]],0)</f>
        <v>0</v>
      </c>
      <c r="Y856" s="221">
        <f>Ruimtestaat[[#This Row],[uren / jaar werkdagen]]*Tariefsopbouw!$D$38</f>
        <v>0</v>
      </c>
      <c r="Z856" s="33"/>
      <c r="AA856" s="33">
        <f>IF(Ruimtestaat[[#This Row],[Frequentie weekend]]&gt;0,VALUE(LEFT(Z856,1))*S856,0)</f>
        <v>0</v>
      </c>
      <c r="AB856" s="33">
        <f>IF($AA856&gt;0,VLOOKUP($K856,Ruimtegroepen[],3,FALSE)*VLOOKUP($M856,Vloersoorten[],3,FALSE)*VLOOKUP($Z856,Frequenties[],3,FALSE)*VLOOKUP(#REF!,Locaties[],3,FALSE),0)</f>
        <v>0</v>
      </c>
      <c r="AC856" s="33"/>
      <c r="AD856" s="33"/>
      <c r="AE856" s="33">
        <f>Ruimtestaat[[#This Row],[uren / jaar weekend]]*Tariefsopbouw!$D$40</f>
        <v>0</v>
      </c>
      <c r="AF856" s="79">
        <f>Ruimtestaat[[#This Row],[Prest. (m2 /jaar) weekend]]+Ruimtestaat[[#This Row],[Prest. (m2 /jaar) werkdagen]]</f>
        <v>420</v>
      </c>
      <c r="AG856" s="79">
        <f>Ruimtestaat[[#This Row],[uren / jaar weekend]]+Ruimtestaat[[#This Row],[uren / jaar werkdagen]]</f>
        <v>0</v>
      </c>
      <c r="AH856" s="80">
        <f>Ruimtestaat[[#This Row],[kosten / jaar weekend]]+Ruimtestaat[[#This Row],[kosten / jaar werkdagen]]</f>
        <v>0</v>
      </c>
    </row>
    <row r="857" spans="1:34" ht="15" customHeight="1">
      <c r="A857" s="256">
        <v>11</v>
      </c>
      <c r="B857" s="171" t="str">
        <f>VLOOKUP(Ruimtestaat[[#This Row],[Code]],Locaties[#All],2,FALSE)</f>
        <v>De Bouwsteen / Het Fundament</v>
      </c>
      <c r="C857" s="258" t="str">
        <f>VLOOKUP(Ruimtestaat[[#This Row],[Code]],Locaties[#All],4,FALSE)</f>
        <v>Anna Reynvaanweg 50</v>
      </c>
      <c r="D857" s="258" t="str">
        <f>VLOOKUP(Ruimtestaat[[#This Row],[Code]],Locaties[#All],5,FALSE)</f>
        <v>7555SG</v>
      </c>
      <c r="E857" s="258" t="str">
        <f>VLOOKUP(Ruimtestaat[[#This Row],[Code]],Locaties[#All],6,FALSE)</f>
        <v>Hengelo</v>
      </c>
      <c r="F857" s="257"/>
      <c r="G857" s="257" t="s">
        <v>564</v>
      </c>
      <c r="H857" s="171"/>
      <c r="I857" s="257" t="s">
        <v>536</v>
      </c>
      <c r="J857" s="259" t="s">
        <v>569</v>
      </c>
      <c r="K857" s="171">
        <v>5</v>
      </c>
      <c r="L857" s="260" t="str">
        <f>VLOOKUP(Ruimtestaat[[#This Row],[Ruimte code]],Ruimtegroepen[#All],2,FALSE)</f>
        <v>Sanitair</v>
      </c>
      <c r="M857" s="212" t="s">
        <v>111</v>
      </c>
      <c r="N857" s="257" t="s">
        <v>595</v>
      </c>
      <c r="O857" s="261">
        <v>1.6</v>
      </c>
      <c r="P857" s="183"/>
      <c r="Q857" s="212" t="str">
        <f>VLOOKUP(Ruimtestaat[[#This Row],[Ruimte code]],Ruimtegroepen[#All],4,FALSE)</f>
        <v>S  (Sanitair)</v>
      </c>
      <c r="R857" s="184"/>
      <c r="S857" s="185">
        <v>40</v>
      </c>
      <c r="T857" s="185" t="s">
        <v>2</v>
      </c>
      <c r="U857" s="185">
        <f>IF(S857&gt;0,IF(RIGHT(Ruimtestaat[[#This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7" s="185">
        <f>IF(U857&gt;0,VLOOKUP($K857,Ruimtegroepen[],3,FALSE)*VLOOKUP($M857,Vloersoorten[],3,FALSE)*VLOOKUP($T857,Frequenties[],3,FALSE)*VLOOKUP($A857,Locaties[],3,FALSE),0)</f>
        <v>0</v>
      </c>
      <c r="W857" s="185">
        <f>Ruimtestaat[[#This Row],[Uitvoeringen werkdagen]]*Ruimtestaat[[#This Row],[Oppervlak (netto)]]</f>
        <v>320</v>
      </c>
      <c r="X857" s="220">
        <f>IF(V857&gt;0,Ruimtestaat[[#This Row],[Prest. (m2 /jaar) werkdagen]]/Ruimtestaat[[#This Row],[Norm (m2/uur) werkdagen]],0)</f>
        <v>0</v>
      </c>
      <c r="Y857" s="221">
        <f>Ruimtestaat[[#This Row],[uren / jaar werkdagen]]*Tariefsopbouw!$D$38</f>
        <v>0</v>
      </c>
      <c r="Z857" s="33"/>
      <c r="AA857" s="33">
        <f>IF(Ruimtestaat[[#This Row],[Frequentie weekend]]&gt;0,VALUE(LEFT(Z857,1))*S857,0)</f>
        <v>0</v>
      </c>
      <c r="AB857" s="33">
        <f>IF($AA857&gt;0,VLOOKUP($K857,Ruimtegroepen[],3,FALSE)*VLOOKUP($M857,Vloersoorten[],3,FALSE)*VLOOKUP($Z857,Frequenties[],3,FALSE)*VLOOKUP(#REF!,Locaties[],3,FALSE),0)</f>
        <v>0</v>
      </c>
      <c r="AC857" s="33"/>
      <c r="AD857" s="33"/>
      <c r="AE857" s="33">
        <f>Ruimtestaat[[#This Row],[uren / jaar weekend]]*Tariefsopbouw!$D$40</f>
        <v>0</v>
      </c>
      <c r="AF857" s="79">
        <f>Ruimtestaat[[#This Row],[Prest. (m2 /jaar) weekend]]+Ruimtestaat[[#This Row],[Prest. (m2 /jaar) werkdagen]]</f>
        <v>320</v>
      </c>
      <c r="AG857" s="79">
        <f>Ruimtestaat[[#This Row],[uren / jaar weekend]]+Ruimtestaat[[#This Row],[uren / jaar werkdagen]]</f>
        <v>0</v>
      </c>
      <c r="AH857" s="80">
        <f>Ruimtestaat[[#This Row],[kosten / jaar weekend]]+Ruimtestaat[[#This Row],[kosten / jaar werkdagen]]</f>
        <v>0</v>
      </c>
    </row>
    <row r="858" spans="1:34" ht="15" customHeight="1">
      <c r="A858" s="256">
        <v>11</v>
      </c>
      <c r="B858" s="171" t="str">
        <f>VLOOKUP(Ruimtestaat[[#This Row],[Code]],Locaties[#All],2,FALSE)</f>
        <v>De Bouwsteen / Het Fundament</v>
      </c>
      <c r="C858" s="258" t="str">
        <f>VLOOKUP(Ruimtestaat[[#This Row],[Code]],Locaties[#All],4,FALSE)</f>
        <v>Anna Reynvaanweg 50</v>
      </c>
      <c r="D858" s="258" t="str">
        <f>VLOOKUP(Ruimtestaat[[#This Row],[Code]],Locaties[#All],5,FALSE)</f>
        <v>7555SG</v>
      </c>
      <c r="E858" s="258" t="str">
        <f>VLOOKUP(Ruimtestaat[[#This Row],[Code]],Locaties[#All],6,FALSE)</f>
        <v>Hengelo</v>
      </c>
      <c r="F858" s="257"/>
      <c r="G858" s="257" t="s">
        <v>564</v>
      </c>
      <c r="H858" s="171"/>
      <c r="I858" s="257" t="s">
        <v>537</v>
      </c>
      <c r="J858" s="259" t="s">
        <v>567</v>
      </c>
      <c r="K858" s="258">
        <v>9</v>
      </c>
      <c r="L858" s="260" t="str">
        <f>VLOOKUP(Ruimtestaat[[#This Row],[Ruimte code]],Ruimtegroepen[#All],2,FALSE)</f>
        <v>Time-out ruimte</v>
      </c>
      <c r="M858" s="258" t="s">
        <v>598</v>
      </c>
      <c r="N858" s="257" t="s">
        <v>132</v>
      </c>
      <c r="O858" s="261">
        <v>4.8</v>
      </c>
      <c r="P858" s="183"/>
      <c r="Q858" s="212" t="str">
        <f>VLOOKUP(Ruimtestaat[[#This Row],[Ruimte code]],Ruimtegroepen[#All],4,FALSE)</f>
        <v>V  (Verkeersruimte)</v>
      </c>
      <c r="R858" s="184"/>
      <c r="S858" s="185">
        <v>40</v>
      </c>
      <c r="T858" s="185" t="s">
        <v>2</v>
      </c>
      <c r="U858" s="185">
        <f>IF(S858&gt;0,IF(RIGHT(Ruimtestaat[[#This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8" s="185">
        <f>IF(U858&gt;0,VLOOKUP($K858,Ruimtegroepen[],3,FALSE)*VLOOKUP($M858,Vloersoorten[],3,FALSE)*VLOOKUP($T858,Frequenties[],3,FALSE)*VLOOKUP($A858,Locaties[],3,FALSE),0)</f>
        <v>0</v>
      </c>
      <c r="W858" s="185">
        <f>Ruimtestaat[[#This Row],[Uitvoeringen werkdagen]]*Ruimtestaat[[#This Row],[Oppervlak (netto)]]</f>
        <v>960</v>
      </c>
      <c r="X858" s="220">
        <f>IF(V858&gt;0,Ruimtestaat[[#This Row],[Prest. (m2 /jaar) werkdagen]]/Ruimtestaat[[#This Row],[Norm (m2/uur) werkdagen]],0)</f>
        <v>0</v>
      </c>
      <c r="Y858" s="221">
        <f>Ruimtestaat[[#This Row],[uren / jaar werkdagen]]*Tariefsopbouw!$D$38</f>
        <v>0</v>
      </c>
      <c r="Z858" s="33"/>
      <c r="AA858" s="33">
        <f>IF(Ruimtestaat[[#This Row],[Frequentie weekend]]&gt;0,VALUE(LEFT(Z858,1))*S858,0)</f>
        <v>0</v>
      </c>
      <c r="AB858" s="33">
        <f>IF($AA858&gt;0,VLOOKUP($K858,Ruimtegroepen[],3,FALSE)*VLOOKUP($M858,Vloersoorten[],3,FALSE)*VLOOKUP($Z858,Frequenties[],3,FALSE)*VLOOKUP(#REF!,Locaties[],3,FALSE),0)</f>
        <v>0</v>
      </c>
      <c r="AC858" s="33"/>
      <c r="AD858" s="33"/>
      <c r="AE858" s="33">
        <f>Ruimtestaat[[#This Row],[uren / jaar weekend]]*Tariefsopbouw!$D$40</f>
        <v>0</v>
      </c>
      <c r="AF858" s="79">
        <f>Ruimtestaat[[#This Row],[Prest. (m2 /jaar) weekend]]+Ruimtestaat[[#This Row],[Prest. (m2 /jaar) werkdagen]]</f>
        <v>960</v>
      </c>
      <c r="AG858" s="79">
        <f>Ruimtestaat[[#This Row],[uren / jaar weekend]]+Ruimtestaat[[#This Row],[uren / jaar werkdagen]]</f>
        <v>0</v>
      </c>
      <c r="AH858" s="80">
        <f>Ruimtestaat[[#This Row],[kosten / jaar weekend]]+Ruimtestaat[[#This Row],[kosten / jaar werkdagen]]</f>
        <v>0</v>
      </c>
    </row>
    <row r="859" spans="1:34" ht="15" customHeight="1">
      <c r="A859" s="256">
        <v>11</v>
      </c>
      <c r="B859" s="171" t="str">
        <f>VLOOKUP(Ruimtestaat[[#This Row],[Code]],Locaties[#All],2,FALSE)</f>
        <v>De Bouwsteen / Het Fundament</v>
      </c>
      <c r="C859" s="258" t="str">
        <f>VLOOKUP(Ruimtestaat[[#This Row],[Code]],Locaties[#All],4,FALSE)</f>
        <v>Anna Reynvaanweg 50</v>
      </c>
      <c r="D859" s="258" t="str">
        <f>VLOOKUP(Ruimtestaat[[#This Row],[Code]],Locaties[#All],5,FALSE)</f>
        <v>7555SG</v>
      </c>
      <c r="E859" s="258" t="str">
        <f>VLOOKUP(Ruimtestaat[[#This Row],[Code]],Locaties[#All],6,FALSE)</f>
        <v>Hengelo</v>
      </c>
      <c r="F859" s="257"/>
      <c r="G859" s="257" t="s">
        <v>564</v>
      </c>
      <c r="H859" s="171"/>
      <c r="I859" s="257" t="s">
        <v>538</v>
      </c>
      <c r="J859" s="259" t="s">
        <v>567</v>
      </c>
      <c r="K859" s="171">
        <v>9</v>
      </c>
      <c r="L859" s="260" t="str">
        <f>VLOOKUP(Ruimtestaat[[#This Row],[Ruimte code]],Ruimtegroepen[#All],2,FALSE)</f>
        <v>Time-out ruimte</v>
      </c>
      <c r="M859" s="258" t="s">
        <v>598</v>
      </c>
      <c r="N859" s="257" t="s">
        <v>132</v>
      </c>
      <c r="O859" s="261">
        <v>4.5999999999999996</v>
      </c>
      <c r="P859" s="183"/>
      <c r="Q859" s="212" t="str">
        <f>VLOOKUP(Ruimtestaat[[#This Row],[Ruimte code]],Ruimtegroepen[#All],4,FALSE)</f>
        <v>V  (Verkeersruimte)</v>
      </c>
      <c r="R859" s="184"/>
      <c r="S859" s="185">
        <v>40</v>
      </c>
      <c r="T859" s="185" t="s">
        <v>2</v>
      </c>
      <c r="U859" s="185">
        <f>IF(S859&gt;0,IF(RIGHT(Ruimtestaat[[#This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9" s="185">
        <f>IF(U859&gt;0,VLOOKUP($K859,Ruimtegroepen[],3,FALSE)*VLOOKUP($M859,Vloersoorten[],3,FALSE)*VLOOKUP($T859,Frequenties[],3,FALSE)*VLOOKUP($A859,Locaties[],3,FALSE),0)</f>
        <v>0</v>
      </c>
      <c r="W859" s="185">
        <f>Ruimtestaat[[#This Row],[Uitvoeringen werkdagen]]*Ruimtestaat[[#This Row],[Oppervlak (netto)]]</f>
        <v>919.99999999999989</v>
      </c>
      <c r="X859" s="220">
        <f>IF(V859&gt;0,Ruimtestaat[[#This Row],[Prest. (m2 /jaar) werkdagen]]/Ruimtestaat[[#This Row],[Norm (m2/uur) werkdagen]],0)</f>
        <v>0</v>
      </c>
      <c r="Y859" s="221">
        <f>Ruimtestaat[[#This Row],[uren / jaar werkdagen]]*Tariefsopbouw!$D$38</f>
        <v>0</v>
      </c>
      <c r="Z859" s="33"/>
      <c r="AA859" s="33">
        <f>IF(Ruimtestaat[[#This Row],[Frequentie weekend]]&gt;0,VALUE(LEFT(Z859,1))*S859,0)</f>
        <v>0</v>
      </c>
      <c r="AB859" s="33">
        <f>IF($AA859&gt;0,VLOOKUP($K859,Ruimtegroepen[],3,FALSE)*VLOOKUP($M859,Vloersoorten[],3,FALSE)*VLOOKUP($Z859,Frequenties[],3,FALSE)*VLOOKUP(#REF!,Locaties[],3,FALSE),0)</f>
        <v>0</v>
      </c>
      <c r="AC859" s="33"/>
      <c r="AD859" s="33"/>
      <c r="AE859" s="33">
        <f>Ruimtestaat[[#This Row],[uren / jaar weekend]]*Tariefsopbouw!$D$40</f>
        <v>0</v>
      </c>
      <c r="AF859" s="79">
        <f>Ruimtestaat[[#This Row],[Prest. (m2 /jaar) weekend]]+Ruimtestaat[[#This Row],[Prest. (m2 /jaar) werkdagen]]</f>
        <v>919.99999999999989</v>
      </c>
      <c r="AG859" s="79">
        <f>Ruimtestaat[[#This Row],[uren / jaar weekend]]+Ruimtestaat[[#This Row],[uren / jaar werkdagen]]</f>
        <v>0</v>
      </c>
      <c r="AH859" s="80">
        <f>Ruimtestaat[[#This Row],[kosten / jaar weekend]]+Ruimtestaat[[#This Row],[kosten / jaar werkdagen]]</f>
        <v>0</v>
      </c>
    </row>
    <row r="860" spans="1:34" ht="15" customHeight="1">
      <c r="A860" s="256">
        <v>11</v>
      </c>
      <c r="B860" s="171" t="str">
        <f>VLOOKUP(Ruimtestaat[[#This Row],[Code]],Locaties[#All],2,FALSE)</f>
        <v>De Bouwsteen / Het Fundament</v>
      </c>
      <c r="C860" s="258" t="str">
        <f>VLOOKUP(Ruimtestaat[[#This Row],[Code]],Locaties[#All],4,FALSE)</f>
        <v>Anna Reynvaanweg 50</v>
      </c>
      <c r="D860" s="258" t="str">
        <f>VLOOKUP(Ruimtestaat[[#This Row],[Code]],Locaties[#All],5,FALSE)</f>
        <v>7555SG</v>
      </c>
      <c r="E860" s="258" t="str">
        <f>VLOOKUP(Ruimtestaat[[#This Row],[Code]],Locaties[#All],6,FALSE)</f>
        <v>Hengelo</v>
      </c>
      <c r="F860" s="257"/>
      <c r="G860" s="257" t="s">
        <v>564</v>
      </c>
      <c r="H860" s="171"/>
      <c r="I860" s="257" t="s">
        <v>539</v>
      </c>
      <c r="J860" s="259" t="s">
        <v>569</v>
      </c>
      <c r="K860" s="185">
        <v>5</v>
      </c>
      <c r="L860" s="260" t="str">
        <f>VLOOKUP(Ruimtestaat[[#This Row],[Ruimte code]],Ruimtegroepen[#All],2,FALSE)</f>
        <v>Sanitair</v>
      </c>
      <c r="M860" s="212" t="s">
        <v>111</v>
      </c>
      <c r="N860" s="257" t="s">
        <v>595</v>
      </c>
      <c r="O860" s="261">
        <v>1.6</v>
      </c>
      <c r="P860" s="183"/>
      <c r="Q860" s="212" t="str">
        <f>VLOOKUP(Ruimtestaat[[#This Row],[Ruimte code]],Ruimtegroepen[#All],4,FALSE)</f>
        <v>S  (Sanitair)</v>
      </c>
      <c r="R860" s="184"/>
      <c r="S860" s="185">
        <v>40</v>
      </c>
      <c r="T860" s="185" t="s">
        <v>2</v>
      </c>
      <c r="U860" s="185">
        <f>IF(S860&gt;0,IF(RIGHT(Ruimtestaat[[#This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0" s="185">
        <f>IF(U860&gt;0,VLOOKUP($K860,Ruimtegroepen[],3,FALSE)*VLOOKUP($M860,Vloersoorten[],3,FALSE)*VLOOKUP($T860,Frequenties[],3,FALSE)*VLOOKUP($A860,Locaties[],3,FALSE),0)</f>
        <v>0</v>
      </c>
      <c r="W860" s="185">
        <f>Ruimtestaat[[#This Row],[Uitvoeringen werkdagen]]*Ruimtestaat[[#This Row],[Oppervlak (netto)]]</f>
        <v>320</v>
      </c>
      <c r="X860" s="220">
        <f>IF(V860&gt;0,Ruimtestaat[[#This Row],[Prest. (m2 /jaar) werkdagen]]/Ruimtestaat[[#This Row],[Norm (m2/uur) werkdagen]],0)</f>
        <v>0</v>
      </c>
      <c r="Y860" s="221">
        <f>Ruimtestaat[[#This Row],[uren / jaar werkdagen]]*Tariefsopbouw!$D$38</f>
        <v>0</v>
      </c>
      <c r="Z860" s="33"/>
      <c r="AA860" s="33">
        <f>IF(Ruimtestaat[[#This Row],[Frequentie weekend]]&gt;0,VALUE(LEFT(Z860,1))*S860,0)</f>
        <v>0</v>
      </c>
      <c r="AB860" s="33">
        <f>IF($AA860&gt;0,VLOOKUP($K860,Ruimtegroepen[],3,FALSE)*VLOOKUP($M860,Vloersoorten[],3,FALSE)*VLOOKUP($Z860,Frequenties[],3,FALSE)*VLOOKUP(#REF!,Locaties[],3,FALSE),0)</f>
        <v>0</v>
      </c>
      <c r="AC860" s="33"/>
      <c r="AD860" s="33"/>
      <c r="AE860" s="33">
        <f>Ruimtestaat[[#This Row],[uren / jaar weekend]]*Tariefsopbouw!$D$40</f>
        <v>0</v>
      </c>
      <c r="AF860" s="79">
        <f>Ruimtestaat[[#This Row],[Prest. (m2 /jaar) weekend]]+Ruimtestaat[[#This Row],[Prest. (m2 /jaar) werkdagen]]</f>
        <v>320</v>
      </c>
      <c r="AG860" s="79">
        <f>Ruimtestaat[[#This Row],[uren / jaar weekend]]+Ruimtestaat[[#This Row],[uren / jaar werkdagen]]</f>
        <v>0</v>
      </c>
      <c r="AH860" s="80">
        <f>Ruimtestaat[[#This Row],[kosten / jaar weekend]]+Ruimtestaat[[#This Row],[kosten / jaar werkdagen]]</f>
        <v>0</v>
      </c>
    </row>
    <row r="861" spans="1:34" ht="15" customHeight="1">
      <c r="A861" s="256">
        <v>11</v>
      </c>
      <c r="B861" s="171" t="str">
        <f>VLOOKUP(Ruimtestaat[[#This Row],[Code]],Locaties[#All],2,FALSE)</f>
        <v>De Bouwsteen / Het Fundament</v>
      </c>
      <c r="C861" s="258" t="str">
        <f>VLOOKUP(Ruimtestaat[[#This Row],[Code]],Locaties[#All],4,FALSE)</f>
        <v>Anna Reynvaanweg 50</v>
      </c>
      <c r="D861" s="258" t="str">
        <f>VLOOKUP(Ruimtestaat[[#This Row],[Code]],Locaties[#All],5,FALSE)</f>
        <v>7555SG</v>
      </c>
      <c r="E861" s="258" t="str">
        <f>VLOOKUP(Ruimtestaat[[#This Row],[Code]],Locaties[#All],6,FALSE)</f>
        <v>Hengelo</v>
      </c>
      <c r="F861" s="257"/>
      <c r="G861" s="257" t="s">
        <v>564</v>
      </c>
      <c r="H861" s="171"/>
      <c r="I861" s="257" t="s">
        <v>540</v>
      </c>
      <c r="J861" s="259" t="s">
        <v>568</v>
      </c>
      <c r="K861" s="171">
        <v>6</v>
      </c>
      <c r="L861" s="260" t="str">
        <f>VLOOKUP(Ruimtestaat[[#This Row],[Ruimte code]],Ruimtegroepen[#All],2,FALSE)</f>
        <v>Gangen/hallen</v>
      </c>
      <c r="M861" s="185" t="s">
        <v>598</v>
      </c>
      <c r="N861" s="257" t="s">
        <v>132</v>
      </c>
      <c r="O861" s="261">
        <v>2.1</v>
      </c>
      <c r="P861" s="183"/>
      <c r="Q861" s="212" t="str">
        <f>VLOOKUP(Ruimtestaat[[#This Row],[Ruimte code]],Ruimtegroepen[#All],4,FALSE)</f>
        <v>V  (Verkeersruimte)</v>
      </c>
      <c r="R861" s="184"/>
      <c r="S861" s="185">
        <v>40</v>
      </c>
      <c r="T861" s="185" t="s">
        <v>2</v>
      </c>
      <c r="U861" s="185">
        <f>IF(S861&gt;0,IF(RIGHT(Ruimtestaat[[#This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1" s="185">
        <f>IF(U861&gt;0,VLOOKUP($K861,Ruimtegroepen[],3,FALSE)*VLOOKUP($M861,Vloersoorten[],3,FALSE)*VLOOKUP($T861,Frequenties[],3,FALSE)*VLOOKUP($A861,Locaties[],3,FALSE),0)</f>
        <v>0</v>
      </c>
      <c r="W861" s="185">
        <f>Ruimtestaat[[#This Row],[Uitvoeringen werkdagen]]*Ruimtestaat[[#This Row],[Oppervlak (netto)]]</f>
        <v>420</v>
      </c>
      <c r="X861" s="220">
        <f>IF(V861&gt;0,Ruimtestaat[[#This Row],[Prest. (m2 /jaar) werkdagen]]/Ruimtestaat[[#This Row],[Norm (m2/uur) werkdagen]],0)</f>
        <v>0</v>
      </c>
      <c r="Y861" s="221">
        <f>Ruimtestaat[[#This Row],[uren / jaar werkdagen]]*Tariefsopbouw!$D$38</f>
        <v>0</v>
      </c>
      <c r="Z861" s="33"/>
      <c r="AA861" s="33">
        <f>IF(Ruimtestaat[[#This Row],[Frequentie weekend]]&gt;0,VALUE(LEFT(Z861,1))*S861,0)</f>
        <v>0</v>
      </c>
      <c r="AB861" s="33">
        <f>IF($AA861&gt;0,VLOOKUP($K861,Ruimtegroepen[],3,FALSE)*VLOOKUP($M861,Vloersoorten[],3,FALSE)*VLOOKUP($Z861,Frequenties[],3,FALSE)*VLOOKUP(#REF!,Locaties[],3,FALSE),0)</f>
        <v>0</v>
      </c>
      <c r="AC861" s="33"/>
      <c r="AD861" s="33"/>
      <c r="AE861" s="33">
        <f>Ruimtestaat[[#This Row],[uren / jaar weekend]]*Tariefsopbouw!$D$40</f>
        <v>0</v>
      </c>
      <c r="AF861" s="79">
        <f>Ruimtestaat[[#This Row],[Prest. (m2 /jaar) weekend]]+Ruimtestaat[[#This Row],[Prest. (m2 /jaar) werkdagen]]</f>
        <v>420</v>
      </c>
      <c r="AG861" s="79">
        <f>Ruimtestaat[[#This Row],[uren / jaar weekend]]+Ruimtestaat[[#This Row],[uren / jaar werkdagen]]</f>
        <v>0</v>
      </c>
      <c r="AH861" s="80">
        <f>Ruimtestaat[[#This Row],[kosten / jaar weekend]]+Ruimtestaat[[#This Row],[kosten / jaar werkdagen]]</f>
        <v>0</v>
      </c>
    </row>
    <row r="862" spans="1:34" ht="15" customHeight="1">
      <c r="A862" s="256">
        <v>11</v>
      </c>
      <c r="B862" s="171" t="str">
        <f>VLOOKUP(Ruimtestaat[[#This Row],[Code]],Locaties[#All],2,FALSE)</f>
        <v>De Bouwsteen / Het Fundament</v>
      </c>
      <c r="C862" s="258" t="str">
        <f>VLOOKUP(Ruimtestaat[[#This Row],[Code]],Locaties[#All],4,FALSE)</f>
        <v>Anna Reynvaanweg 50</v>
      </c>
      <c r="D862" s="258" t="str">
        <f>VLOOKUP(Ruimtestaat[[#This Row],[Code]],Locaties[#All],5,FALSE)</f>
        <v>7555SG</v>
      </c>
      <c r="E862" s="258" t="str">
        <f>VLOOKUP(Ruimtestaat[[#This Row],[Code]],Locaties[#All],6,FALSE)</f>
        <v>Hengelo</v>
      </c>
      <c r="F862" s="257"/>
      <c r="G862" s="257" t="s">
        <v>564</v>
      </c>
      <c r="H862" s="171"/>
      <c r="I862" s="257" t="s">
        <v>541</v>
      </c>
      <c r="J862" s="259" t="s">
        <v>576</v>
      </c>
      <c r="K862" s="171">
        <v>16</v>
      </c>
      <c r="L862" s="260" t="str">
        <f>VLOOKUP(Ruimtestaat[[#This Row],[Ruimte code]],Ruimtegroepen[#All],2,FALSE)</f>
        <v>Leslokalen</v>
      </c>
      <c r="M862" s="258" t="s">
        <v>598</v>
      </c>
      <c r="N862" s="257" t="s">
        <v>132</v>
      </c>
      <c r="O862" s="261">
        <v>42.9</v>
      </c>
      <c r="P862" s="183"/>
      <c r="Q862" s="212" t="str">
        <f>VLOOKUP(Ruimtestaat[[#This Row],[Ruimte code]],Ruimtegroepen[#All],4,FALSE)</f>
        <v>L  (Lesruimte)</v>
      </c>
      <c r="R862" s="184"/>
      <c r="S862" s="185">
        <v>40</v>
      </c>
      <c r="T862" s="185" t="s">
        <v>2</v>
      </c>
      <c r="U862" s="185">
        <f>IF(S862&gt;0,IF(RIGHT(Ruimtestaat[[#This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2" s="185">
        <f>IF(U862&gt;0,VLOOKUP($K862,Ruimtegroepen[],3,FALSE)*VLOOKUP($M862,Vloersoorten[],3,FALSE)*VLOOKUP($T862,Frequenties[],3,FALSE)*VLOOKUP($A862,Locaties[],3,FALSE),0)</f>
        <v>0</v>
      </c>
      <c r="W862" s="185">
        <f>Ruimtestaat[[#This Row],[Uitvoeringen werkdagen]]*Ruimtestaat[[#This Row],[Oppervlak (netto)]]</f>
        <v>8580</v>
      </c>
      <c r="X862" s="220">
        <f>IF(V862&gt;0,Ruimtestaat[[#This Row],[Prest. (m2 /jaar) werkdagen]]/Ruimtestaat[[#This Row],[Norm (m2/uur) werkdagen]],0)</f>
        <v>0</v>
      </c>
      <c r="Y862" s="221">
        <f>Ruimtestaat[[#This Row],[uren / jaar werkdagen]]*Tariefsopbouw!$D$38</f>
        <v>0</v>
      </c>
      <c r="Z862" s="33"/>
      <c r="AA862" s="33">
        <f>IF(Ruimtestaat[[#This Row],[Frequentie weekend]]&gt;0,VALUE(LEFT(Z862,1))*S862,0)</f>
        <v>0</v>
      </c>
      <c r="AB862" s="33">
        <f>IF($AA862&gt;0,VLOOKUP($K862,Ruimtegroepen[],3,FALSE)*VLOOKUP($M862,Vloersoorten[],3,FALSE)*VLOOKUP($Z862,Frequenties[],3,FALSE)*VLOOKUP(#REF!,Locaties[],3,FALSE),0)</f>
        <v>0</v>
      </c>
      <c r="AC862" s="33"/>
      <c r="AD862" s="33"/>
      <c r="AE862" s="33">
        <f>Ruimtestaat[[#This Row],[uren / jaar weekend]]*Tariefsopbouw!$D$40</f>
        <v>0</v>
      </c>
      <c r="AF862" s="79">
        <f>Ruimtestaat[[#This Row],[Prest. (m2 /jaar) weekend]]+Ruimtestaat[[#This Row],[Prest. (m2 /jaar) werkdagen]]</f>
        <v>8580</v>
      </c>
      <c r="AG862" s="79">
        <f>Ruimtestaat[[#This Row],[uren / jaar weekend]]+Ruimtestaat[[#This Row],[uren / jaar werkdagen]]</f>
        <v>0</v>
      </c>
      <c r="AH862" s="80">
        <f>Ruimtestaat[[#This Row],[kosten / jaar weekend]]+Ruimtestaat[[#This Row],[kosten / jaar werkdagen]]</f>
        <v>0</v>
      </c>
    </row>
    <row r="863" spans="1:34" ht="15" customHeight="1">
      <c r="A863" s="256">
        <v>11</v>
      </c>
      <c r="B863" s="171" t="str">
        <f>VLOOKUP(Ruimtestaat[[#This Row],[Code]],Locaties[#All],2,FALSE)</f>
        <v>De Bouwsteen / Het Fundament</v>
      </c>
      <c r="C863" s="258" t="str">
        <f>VLOOKUP(Ruimtestaat[[#This Row],[Code]],Locaties[#All],4,FALSE)</f>
        <v>Anna Reynvaanweg 50</v>
      </c>
      <c r="D863" s="258" t="str">
        <f>VLOOKUP(Ruimtestaat[[#This Row],[Code]],Locaties[#All],5,FALSE)</f>
        <v>7555SG</v>
      </c>
      <c r="E863" s="258" t="str">
        <f>VLOOKUP(Ruimtestaat[[#This Row],[Code]],Locaties[#All],6,FALSE)</f>
        <v>Hengelo</v>
      </c>
      <c r="F863" s="257"/>
      <c r="G863" s="257" t="s">
        <v>564</v>
      </c>
      <c r="H863" s="171"/>
      <c r="I863" s="257" t="s">
        <v>542</v>
      </c>
      <c r="J863" s="259" t="s">
        <v>576</v>
      </c>
      <c r="K863" s="171">
        <v>16</v>
      </c>
      <c r="L863" s="260" t="str">
        <f>VLOOKUP(Ruimtestaat[[#This Row],[Ruimte code]],Ruimtegroepen[#All],2,FALSE)</f>
        <v>Leslokalen</v>
      </c>
      <c r="M863" s="258" t="s">
        <v>598</v>
      </c>
      <c r="N863" s="257" t="s">
        <v>132</v>
      </c>
      <c r="O863" s="261">
        <v>42.9</v>
      </c>
      <c r="P863" s="183"/>
      <c r="Q863" s="212" t="str">
        <f>VLOOKUP(Ruimtestaat[[#This Row],[Ruimte code]],Ruimtegroepen[#All],4,FALSE)</f>
        <v>L  (Lesruimte)</v>
      </c>
      <c r="R863" s="184"/>
      <c r="S863" s="185">
        <v>40</v>
      </c>
      <c r="T863" s="185" t="s">
        <v>2</v>
      </c>
      <c r="U863" s="185">
        <f>IF(S863&gt;0,IF(RIGHT(Ruimtestaat[[#This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3" s="185">
        <f>IF(U863&gt;0,VLOOKUP($K863,Ruimtegroepen[],3,FALSE)*VLOOKUP($M863,Vloersoorten[],3,FALSE)*VLOOKUP($T863,Frequenties[],3,FALSE)*VLOOKUP($A863,Locaties[],3,FALSE),0)</f>
        <v>0</v>
      </c>
      <c r="W863" s="185">
        <f>Ruimtestaat[[#This Row],[Uitvoeringen werkdagen]]*Ruimtestaat[[#This Row],[Oppervlak (netto)]]</f>
        <v>8580</v>
      </c>
      <c r="X863" s="220">
        <f>IF(V863&gt;0,Ruimtestaat[[#This Row],[Prest. (m2 /jaar) werkdagen]]/Ruimtestaat[[#This Row],[Norm (m2/uur) werkdagen]],0)</f>
        <v>0</v>
      </c>
      <c r="Y863" s="221">
        <f>Ruimtestaat[[#This Row],[uren / jaar werkdagen]]*Tariefsopbouw!$D$38</f>
        <v>0</v>
      </c>
      <c r="Z863" s="33"/>
      <c r="AA863" s="33">
        <f>IF(Ruimtestaat[[#This Row],[Frequentie weekend]]&gt;0,VALUE(LEFT(Z863,1))*S863,0)</f>
        <v>0</v>
      </c>
      <c r="AB863" s="33">
        <f>IF($AA863&gt;0,VLOOKUP($K863,Ruimtegroepen[],3,FALSE)*VLOOKUP($M863,Vloersoorten[],3,FALSE)*VLOOKUP($Z863,Frequenties[],3,FALSE)*VLOOKUP(#REF!,Locaties[],3,FALSE),0)</f>
        <v>0</v>
      </c>
      <c r="AC863" s="33"/>
      <c r="AD863" s="33"/>
      <c r="AE863" s="33">
        <f>Ruimtestaat[[#This Row],[uren / jaar weekend]]*Tariefsopbouw!$D$40</f>
        <v>0</v>
      </c>
      <c r="AF863" s="79">
        <f>Ruimtestaat[[#This Row],[Prest. (m2 /jaar) weekend]]+Ruimtestaat[[#This Row],[Prest. (m2 /jaar) werkdagen]]</f>
        <v>8580</v>
      </c>
      <c r="AG863" s="79">
        <f>Ruimtestaat[[#This Row],[uren / jaar weekend]]+Ruimtestaat[[#This Row],[uren / jaar werkdagen]]</f>
        <v>0</v>
      </c>
      <c r="AH863" s="80">
        <f>Ruimtestaat[[#This Row],[kosten / jaar weekend]]+Ruimtestaat[[#This Row],[kosten / jaar werkdagen]]</f>
        <v>0</v>
      </c>
    </row>
    <row r="864" spans="1:34" ht="15" customHeight="1">
      <c r="A864" s="256">
        <v>11</v>
      </c>
      <c r="B864" s="171" t="str">
        <f>VLOOKUP(Ruimtestaat[[#This Row],[Code]],Locaties[#All],2,FALSE)</f>
        <v>De Bouwsteen / Het Fundament</v>
      </c>
      <c r="C864" s="258" t="str">
        <f>VLOOKUP(Ruimtestaat[[#This Row],[Code]],Locaties[#All],4,FALSE)</f>
        <v>Anna Reynvaanweg 50</v>
      </c>
      <c r="D864" s="258" t="str">
        <f>VLOOKUP(Ruimtestaat[[#This Row],[Code]],Locaties[#All],5,FALSE)</f>
        <v>7555SG</v>
      </c>
      <c r="E864" s="258" t="str">
        <f>VLOOKUP(Ruimtestaat[[#This Row],[Code]],Locaties[#All],6,FALSE)</f>
        <v>Hengelo</v>
      </c>
      <c r="F864" s="257"/>
      <c r="G864" s="257" t="s">
        <v>564</v>
      </c>
      <c r="H864" s="171"/>
      <c r="I864" s="257" t="s">
        <v>543</v>
      </c>
      <c r="J864" s="259" t="s">
        <v>568</v>
      </c>
      <c r="K864" s="171">
        <v>6</v>
      </c>
      <c r="L864" s="260" t="str">
        <f>VLOOKUP(Ruimtestaat[[#This Row],[Ruimte code]],Ruimtegroepen[#All],2,FALSE)</f>
        <v>Gangen/hallen</v>
      </c>
      <c r="M864" s="258" t="s">
        <v>598</v>
      </c>
      <c r="N864" s="257" t="s">
        <v>132</v>
      </c>
      <c r="O864" s="261">
        <v>1.9</v>
      </c>
      <c r="P864" s="183"/>
      <c r="Q864" s="212" t="str">
        <f>VLOOKUP(Ruimtestaat[[#This Row],[Ruimte code]],Ruimtegroepen[#All],4,FALSE)</f>
        <v>V  (Verkeersruimte)</v>
      </c>
      <c r="R864" s="184"/>
      <c r="S864" s="185">
        <v>40</v>
      </c>
      <c r="T864" s="185" t="s">
        <v>2</v>
      </c>
      <c r="U864" s="185">
        <f>IF(S864&gt;0,IF(RIGHT(Ruimtestaat[[#This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4" s="185">
        <f>IF(U864&gt;0,VLOOKUP($K864,Ruimtegroepen[],3,FALSE)*VLOOKUP($M864,Vloersoorten[],3,FALSE)*VLOOKUP($T864,Frequenties[],3,FALSE)*VLOOKUP($A864,Locaties[],3,FALSE),0)</f>
        <v>0</v>
      </c>
      <c r="W864" s="185">
        <f>Ruimtestaat[[#This Row],[Uitvoeringen werkdagen]]*Ruimtestaat[[#This Row],[Oppervlak (netto)]]</f>
        <v>380</v>
      </c>
      <c r="X864" s="220">
        <f>IF(V864&gt;0,Ruimtestaat[[#This Row],[Prest. (m2 /jaar) werkdagen]]/Ruimtestaat[[#This Row],[Norm (m2/uur) werkdagen]],0)</f>
        <v>0</v>
      </c>
      <c r="Y864" s="221">
        <f>Ruimtestaat[[#This Row],[uren / jaar werkdagen]]*Tariefsopbouw!$D$38</f>
        <v>0</v>
      </c>
      <c r="Z864" s="33"/>
      <c r="AA864" s="33">
        <f>IF(Ruimtestaat[[#This Row],[Frequentie weekend]]&gt;0,VALUE(LEFT(Z864,1))*S864,0)</f>
        <v>0</v>
      </c>
      <c r="AB864" s="33">
        <f>IF($AA864&gt;0,VLOOKUP($K864,Ruimtegroepen[],3,FALSE)*VLOOKUP($M864,Vloersoorten[],3,FALSE)*VLOOKUP($Z864,Frequenties[],3,FALSE)*VLOOKUP(#REF!,Locaties[],3,FALSE),0)</f>
        <v>0</v>
      </c>
      <c r="AC864" s="33"/>
      <c r="AD864" s="33"/>
      <c r="AE864" s="33">
        <f>Ruimtestaat[[#This Row],[uren / jaar weekend]]*Tariefsopbouw!$D$40</f>
        <v>0</v>
      </c>
      <c r="AF864" s="79">
        <f>Ruimtestaat[[#This Row],[Prest. (m2 /jaar) weekend]]+Ruimtestaat[[#This Row],[Prest. (m2 /jaar) werkdagen]]</f>
        <v>380</v>
      </c>
      <c r="AG864" s="79">
        <f>Ruimtestaat[[#This Row],[uren / jaar weekend]]+Ruimtestaat[[#This Row],[uren / jaar werkdagen]]</f>
        <v>0</v>
      </c>
      <c r="AH864" s="80">
        <f>Ruimtestaat[[#This Row],[kosten / jaar weekend]]+Ruimtestaat[[#This Row],[kosten / jaar werkdagen]]</f>
        <v>0</v>
      </c>
    </row>
    <row r="865" spans="1:34" ht="15" customHeight="1">
      <c r="A865" s="256">
        <v>11</v>
      </c>
      <c r="B865" s="171" t="str">
        <f>VLOOKUP(Ruimtestaat[[#This Row],[Code]],Locaties[#All],2,FALSE)</f>
        <v>De Bouwsteen / Het Fundament</v>
      </c>
      <c r="C865" s="258" t="str">
        <f>VLOOKUP(Ruimtestaat[[#This Row],[Code]],Locaties[#All],4,FALSE)</f>
        <v>Anna Reynvaanweg 50</v>
      </c>
      <c r="D865" s="258" t="str">
        <f>VLOOKUP(Ruimtestaat[[#This Row],[Code]],Locaties[#All],5,FALSE)</f>
        <v>7555SG</v>
      </c>
      <c r="E865" s="258" t="str">
        <f>VLOOKUP(Ruimtestaat[[#This Row],[Code]],Locaties[#All],6,FALSE)</f>
        <v>Hengelo</v>
      </c>
      <c r="F865" s="257"/>
      <c r="G865" s="257" t="s">
        <v>564</v>
      </c>
      <c r="H865" s="171"/>
      <c r="I865" s="257" t="s">
        <v>544</v>
      </c>
      <c r="J865" s="259" t="s">
        <v>569</v>
      </c>
      <c r="K865" s="171">
        <v>5</v>
      </c>
      <c r="L865" s="260" t="str">
        <f>VLOOKUP(Ruimtestaat[[#This Row],[Ruimte code]],Ruimtegroepen[#All],2,FALSE)</f>
        <v>Sanitair</v>
      </c>
      <c r="M865" s="212" t="s">
        <v>111</v>
      </c>
      <c r="N865" s="257" t="s">
        <v>595</v>
      </c>
      <c r="O865" s="261">
        <v>1.6</v>
      </c>
      <c r="P865" s="183"/>
      <c r="Q865" s="212" t="str">
        <f>VLOOKUP(Ruimtestaat[[#This Row],[Ruimte code]],Ruimtegroepen[#All],4,FALSE)</f>
        <v>S  (Sanitair)</v>
      </c>
      <c r="R865" s="184"/>
      <c r="S865" s="185">
        <v>40</v>
      </c>
      <c r="T865" s="185" t="s">
        <v>2</v>
      </c>
      <c r="U865" s="185">
        <f>IF(S865&gt;0,IF(RIGHT(Ruimtestaat[[#This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5" s="185">
        <f>IF(U865&gt;0,VLOOKUP($K865,Ruimtegroepen[],3,FALSE)*VLOOKUP($M865,Vloersoorten[],3,FALSE)*VLOOKUP($T865,Frequenties[],3,FALSE)*VLOOKUP($A865,Locaties[],3,FALSE),0)</f>
        <v>0</v>
      </c>
      <c r="W865" s="185">
        <f>Ruimtestaat[[#This Row],[Uitvoeringen werkdagen]]*Ruimtestaat[[#This Row],[Oppervlak (netto)]]</f>
        <v>320</v>
      </c>
      <c r="X865" s="220">
        <f>IF(V865&gt;0,Ruimtestaat[[#This Row],[Prest. (m2 /jaar) werkdagen]]/Ruimtestaat[[#This Row],[Norm (m2/uur) werkdagen]],0)</f>
        <v>0</v>
      </c>
      <c r="Y865" s="221">
        <f>Ruimtestaat[[#This Row],[uren / jaar werkdagen]]*Tariefsopbouw!$D$38</f>
        <v>0</v>
      </c>
      <c r="Z865" s="33"/>
      <c r="AA865" s="33">
        <f>IF(Ruimtestaat[[#This Row],[Frequentie weekend]]&gt;0,VALUE(LEFT(Z865,1))*S865,0)</f>
        <v>0</v>
      </c>
      <c r="AB865" s="33">
        <f>IF($AA865&gt;0,VLOOKUP($K865,Ruimtegroepen[],3,FALSE)*VLOOKUP($M865,Vloersoorten[],3,FALSE)*VLOOKUP($Z865,Frequenties[],3,FALSE)*VLOOKUP(#REF!,Locaties[],3,FALSE),0)</f>
        <v>0</v>
      </c>
      <c r="AC865" s="33"/>
      <c r="AD865" s="33"/>
      <c r="AE865" s="33">
        <f>Ruimtestaat[[#This Row],[uren / jaar weekend]]*Tariefsopbouw!$D$40</f>
        <v>0</v>
      </c>
      <c r="AF865" s="79">
        <f>Ruimtestaat[[#This Row],[Prest. (m2 /jaar) weekend]]+Ruimtestaat[[#This Row],[Prest. (m2 /jaar) werkdagen]]</f>
        <v>320</v>
      </c>
      <c r="AG865" s="79">
        <f>Ruimtestaat[[#This Row],[uren / jaar weekend]]+Ruimtestaat[[#This Row],[uren / jaar werkdagen]]</f>
        <v>0</v>
      </c>
      <c r="AH865" s="80">
        <f>Ruimtestaat[[#This Row],[kosten / jaar weekend]]+Ruimtestaat[[#This Row],[kosten / jaar werkdagen]]</f>
        <v>0</v>
      </c>
    </row>
    <row r="866" spans="1:34" ht="15" customHeight="1">
      <c r="A866" s="256">
        <v>11</v>
      </c>
      <c r="B866" s="171" t="str">
        <f>VLOOKUP(Ruimtestaat[[#This Row],[Code]],Locaties[#All],2,FALSE)</f>
        <v>De Bouwsteen / Het Fundament</v>
      </c>
      <c r="C866" s="258" t="str">
        <f>VLOOKUP(Ruimtestaat[[#This Row],[Code]],Locaties[#All],4,FALSE)</f>
        <v>Anna Reynvaanweg 50</v>
      </c>
      <c r="D866" s="258" t="str">
        <f>VLOOKUP(Ruimtestaat[[#This Row],[Code]],Locaties[#All],5,FALSE)</f>
        <v>7555SG</v>
      </c>
      <c r="E866" s="258" t="str">
        <f>VLOOKUP(Ruimtestaat[[#This Row],[Code]],Locaties[#All],6,FALSE)</f>
        <v>Hengelo</v>
      </c>
      <c r="F866" s="257"/>
      <c r="G866" s="257" t="s">
        <v>564</v>
      </c>
      <c r="H866" s="171"/>
      <c r="I866" s="257" t="s">
        <v>545</v>
      </c>
      <c r="J866" s="259" t="s">
        <v>567</v>
      </c>
      <c r="K866" s="258">
        <v>9</v>
      </c>
      <c r="L866" s="260" t="str">
        <f>VLOOKUP(Ruimtestaat[[#This Row],[Ruimte code]],Ruimtegroepen[#All],2,FALSE)</f>
        <v>Time-out ruimte</v>
      </c>
      <c r="M866" s="185" t="s">
        <v>598</v>
      </c>
      <c r="N866" s="257" t="s">
        <v>132</v>
      </c>
      <c r="O866" s="261">
        <v>4.5999999999999996</v>
      </c>
      <c r="P866" s="183"/>
      <c r="Q866" s="212" t="str">
        <f>VLOOKUP(Ruimtestaat[[#This Row],[Ruimte code]],Ruimtegroepen[#All],4,FALSE)</f>
        <v>V  (Verkeersruimte)</v>
      </c>
      <c r="R866" s="184"/>
      <c r="S866" s="185">
        <v>40</v>
      </c>
      <c r="T866" s="185" t="s">
        <v>2</v>
      </c>
      <c r="U866" s="185">
        <f>IF(S866&gt;0,IF(RIGHT(Ruimtestaat[[#This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6" s="185">
        <f>IF(U866&gt;0,VLOOKUP($K866,Ruimtegroepen[],3,FALSE)*VLOOKUP($M866,Vloersoorten[],3,FALSE)*VLOOKUP($T866,Frequenties[],3,FALSE)*VLOOKUP($A866,Locaties[],3,FALSE),0)</f>
        <v>0</v>
      </c>
      <c r="W866" s="185">
        <f>Ruimtestaat[[#This Row],[Uitvoeringen werkdagen]]*Ruimtestaat[[#This Row],[Oppervlak (netto)]]</f>
        <v>919.99999999999989</v>
      </c>
      <c r="X866" s="220">
        <f>IF(V866&gt;0,Ruimtestaat[[#This Row],[Prest. (m2 /jaar) werkdagen]]/Ruimtestaat[[#This Row],[Norm (m2/uur) werkdagen]],0)</f>
        <v>0</v>
      </c>
      <c r="Y866" s="221">
        <f>Ruimtestaat[[#This Row],[uren / jaar werkdagen]]*Tariefsopbouw!$D$38</f>
        <v>0</v>
      </c>
      <c r="Z866" s="33"/>
      <c r="AA866" s="33">
        <f>IF(Ruimtestaat[[#This Row],[Frequentie weekend]]&gt;0,VALUE(LEFT(Z866,1))*S866,0)</f>
        <v>0</v>
      </c>
      <c r="AB866" s="33">
        <f>IF($AA866&gt;0,VLOOKUP($K866,Ruimtegroepen[],3,FALSE)*VLOOKUP($M866,Vloersoorten[],3,FALSE)*VLOOKUP($Z866,Frequenties[],3,FALSE)*VLOOKUP(#REF!,Locaties[],3,FALSE),0)</f>
        <v>0</v>
      </c>
      <c r="AC866" s="33"/>
      <c r="AD866" s="33"/>
      <c r="AE866" s="33">
        <f>Ruimtestaat[[#This Row],[uren / jaar weekend]]*Tariefsopbouw!$D$40</f>
        <v>0</v>
      </c>
      <c r="AF866" s="79">
        <f>Ruimtestaat[[#This Row],[Prest. (m2 /jaar) weekend]]+Ruimtestaat[[#This Row],[Prest. (m2 /jaar) werkdagen]]</f>
        <v>919.99999999999989</v>
      </c>
      <c r="AG866" s="79">
        <f>Ruimtestaat[[#This Row],[uren / jaar weekend]]+Ruimtestaat[[#This Row],[uren / jaar werkdagen]]</f>
        <v>0</v>
      </c>
      <c r="AH866" s="80">
        <f>Ruimtestaat[[#This Row],[kosten / jaar weekend]]+Ruimtestaat[[#This Row],[kosten / jaar werkdagen]]</f>
        <v>0</v>
      </c>
    </row>
    <row r="867" spans="1:34" ht="15" customHeight="1">
      <c r="A867" s="256">
        <v>11</v>
      </c>
      <c r="B867" s="171" t="str">
        <f>VLOOKUP(Ruimtestaat[[#This Row],[Code]],Locaties[#All],2,FALSE)</f>
        <v>De Bouwsteen / Het Fundament</v>
      </c>
      <c r="C867" s="258" t="str">
        <f>VLOOKUP(Ruimtestaat[[#This Row],[Code]],Locaties[#All],4,FALSE)</f>
        <v>Anna Reynvaanweg 50</v>
      </c>
      <c r="D867" s="258" t="str">
        <f>VLOOKUP(Ruimtestaat[[#This Row],[Code]],Locaties[#All],5,FALSE)</f>
        <v>7555SG</v>
      </c>
      <c r="E867" s="258" t="str">
        <f>VLOOKUP(Ruimtestaat[[#This Row],[Code]],Locaties[#All],6,FALSE)</f>
        <v>Hengelo</v>
      </c>
      <c r="F867" s="257"/>
      <c r="G867" s="257" t="s">
        <v>564</v>
      </c>
      <c r="H867" s="171"/>
      <c r="I867" s="257" t="s">
        <v>546</v>
      </c>
      <c r="J867" s="259" t="s">
        <v>567</v>
      </c>
      <c r="K867" s="258">
        <v>9</v>
      </c>
      <c r="L867" s="260" t="str">
        <f>VLOOKUP(Ruimtestaat[[#This Row],[Ruimte code]],Ruimtegroepen[#All],2,FALSE)</f>
        <v>Time-out ruimte</v>
      </c>
      <c r="M867" s="185" t="s">
        <v>598</v>
      </c>
      <c r="N867" s="257" t="s">
        <v>132</v>
      </c>
      <c r="O867" s="261">
        <v>4.5999999999999996</v>
      </c>
      <c r="P867" s="183"/>
      <c r="Q867" s="212" t="str">
        <f>VLOOKUP(Ruimtestaat[[#This Row],[Ruimte code]],Ruimtegroepen[#All],4,FALSE)</f>
        <v>V  (Verkeersruimte)</v>
      </c>
      <c r="R867" s="184"/>
      <c r="S867" s="185">
        <v>40</v>
      </c>
      <c r="T867" s="185" t="s">
        <v>2</v>
      </c>
      <c r="U867" s="185">
        <f>IF(S867&gt;0,IF(RIGHT(Ruimtestaat[[#This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7" s="185">
        <f>IF(U867&gt;0,VLOOKUP($K867,Ruimtegroepen[],3,FALSE)*VLOOKUP($M867,Vloersoorten[],3,FALSE)*VLOOKUP($T867,Frequenties[],3,FALSE)*VLOOKUP($A867,Locaties[],3,FALSE),0)</f>
        <v>0</v>
      </c>
      <c r="W867" s="185">
        <f>Ruimtestaat[[#This Row],[Uitvoeringen werkdagen]]*Ruimtestaat[[#This Row],[Oppervlak (netto)]]</f>
        <v>919.99999999999989</v>
      </c>
      <c r="X867" s="220">
        <f>IF(V867&gt;0,Ruimtestaat[[#This Row],[Prest. (m2 /jaar) werkdagen]]/Ruimtestaat[[#This Row],[Norm (m2/uur) werkdagen]],0)</f>
        <v>0</v>
      </c>
      <c r="Y867" s="221">
        <f>Ruimtestaat[[#This Row],[uren / jaar werkdagen]]*Tariefsopbouw!$D$38</f>
        <v>0</v>
      </c>
      <c r="Z867" s="33"/>
      <c r="AA867" s="33">
        <f>IF(Ruimtestaat[[#This Row],[Frequentie weekend]]&gt;0,VALUE(LEFT(Z867,1))*S867,0)</f>
        <v>0</v>
      </c>
      <c r="AB867" s="33">
        <f>IF($AA867&gt;0,VLOOKUP($K867,Ruimtegroepen[],3,FALSE)*VLOOKUP($M867,Vloersoorten[],3,FALSE)*VLOOKUP($Z867,Frequenties[],3,FALSE)*VLOOKUP(#REF!,Locaties[],3,FALSE),0)</f>
        <v>0</v>
      </c>
      <c r="AC867" s="33"/>
      <c r="AD867" s="33"/>
      <c r="AE867" s="33">
        <f>Ruimtestaat[[#This Row],[uren / jaar weekend]]*Tariefsopbouw!$D$40</f>
        <v>0</v>
      </c>
      <c r="AF867" s="79">
        <f>Ruimtestaat[[#This Row],[Prest. (m2 /jaar) weekend]]+Ruimtestaat[[#This Row],[Prest. (m2 /jaar) werkdagen]]</f>
        <v>919.99999999999989</v>
      </c>
      <c r="AG867" s="79">
        <f>Ruimtestaat[[#This Row],[uren / jaar weekend]]+Ruimtestaat[[#This Row],[uren / jaar werkdagen]]</f>
        <v>0</v>
      </c>
      <c r="AH867" s="80">
        <f>Ruimtestaat[[#This Row],[kosten / jaar weekend]]+Ruimtestaat[[#This Row],[kosten / jaar werkdagen]]</f>
        <v>0</v>
      </c>
    </row>
    <row r="868" spans="1:34" ht="15" customHeight="1">
      <c r="A868" s="256">
        <v>11</v>
      </c>
      <c r="B868" s="171" t="str">
        <f>VLOOKUP(Ruimtestaat[[#This Row],[Code]],Locaties[#All],2,FALSE)</f>
        <v>De Bouwsteen / Het Fundament</v>
      </c>
      <c r="C868" s="258" t="str">
        <f>VLOOKUP(Ruimtestaat[[#This Row],[Code]],Locaties[#All],4,FALSE)</f>
        <v>Anna Reynvaanweg 50</v>
      </c>
      <c r="D868" s="258" t="str">
        <f>VLOOKUP(Ruimtestaat[[#This Row],[Code]],Locaties[#All],5,FALSE)</f>
        <v>7555SG</v>
      </c>
      <c r="E868" s="258" t="str">
        <f>VLOOKUP(Ruimtestaat[[#This Row],[Code]],Locaties[#All],6,FALSE)</f>
        <v>Hengelo</v>
      </c>
      <c r="F868" s="257"/>
      <c r="G868" s="257" t="s">
        <v>564</v>
      </c>
      <c r="H868" s="171"/>
      <c r="I868" s="257" t="s">
        <v>547</v>
      </c>
      <c r="J868" s="259" t="s">
        <v>569</v>
      </c>
      <c r="K868" s="258">
        <v>5</v>
      </c>
      <c r="L868" s="260" t="str">
        <f>VLOOKUP(Ruimtestaat[[#This Row],[Ruimte code]],Ruimtegroepen[#All],2,FALSE)</f>
        <v>Sanitair</v>
      </c>
      <c r="M868" s="212" t="s">
        <v>111</v>
      </c>
      <c r="N868" s="257" t="s">
        <v>595</v>
      </c>
      <c r="O868" s="261">
        <v>1.6</v>
      </c>
      <c r="P868" s="183"/>
      <c r="Q868" s="212" t="str">
        <f>VLOOKUP(Ruimtestaat[[#This Row],[Ruimte code]],Ruimtegroepen[#All],4,FALSE)</f>
        <v>S  (Sanitair)</v>
      </c>
      <c r="R868" s="184"/>
      <c r="S868" s="185">
        <v>40</v>
      </c>
      <c r="T868" s="185" t="s">
        <v>2</v>
      </c>
      <c r="U868" s="185">
        <f>IF(S868&gt;0,IF(RIGHT(Ruimtestaat[[#This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8" s="185">
        <f>IF(U868&gt;0,VLOOKUP($K868,Ruimtegroepen[],3,FALSE)*VLOOKUP($M868,Vloersoorten[],3,FALSE)*VLOOKUP($T868,Frequenties[],3,FALSE)*VLOOKUP($A868,Locaties[],3,FALSE),0)</f>
        <v>0</v>
      </c>
      <c r="W868" s="185">
        <f>Ruimtestaat[[#This Row],[Uitvoeringen werkdagen]]*Ruimtestaat[[#This Row],[Oppervlak (netto)]]</f>
        <v>320</v>
      </c>
      <c r="X868" s="220">
        <f>IF(V868&gt;0,Ruimtestaat[[#This Row],[Prest. (m2 /jaar) werkdagen]]/Ruimtestaat[[#This Row],[Norm (m2/uur) werkdagen]],0)</f>
        <v>0</v>
      </c>
      <c r="Y868" s="221">
        <f>Ruimtestaat[[#This Row],[uren / jaar werkdagen]]*Tariefsopbouw!$D$38</f>
        <v>0</v>
      </c>
      <c r="Z868" s="33"/>
      <c r="AA868" s="33">
        <f>IF(Ruimtestaat[[#This Row],[Frequentie weekend]]&gt;0,VALUE(LEFT(Z868,1))*S868,0)</f>
        <v>0</v>
      </c>
      <c r="AB868" s="33">
        <f>IF($AA868&gt;0,VLOOKUP($K868,Ruimtegroepen[],3,FALSE)*VLOOKUP($M868,Vloersoorten[],3,FALSE)*VLOOKUP($Z868,Frequenties[],3,FALSE)*VLOOKUP(#REF!,Locaties[],3,FALSE),0)</f>
        <v>0</v>
      </c>
      <c r="AC868" s="33"/>
      <c r="AD868" s="33"/>
      <c r="AE868" s="33">
        <f>Ruimtestaat[[#This Row],[uren / jaar weekend]]*Tariefsopbouw!$D$40</f>
        <v>0</v>
      </c>
      <c r="AF868" s="79">
        <f>Ruimtestaat[[#This Row],[Prest. (m2 /jaar) weekend]]+Ruimtestaat[[#This Row],[Prest. (m2 /jaar) werkdagen]]</f>
        <v>320</v>
      </c>
      <c r="AG868" s="79">
        <f>Ruimtestaat[[#This Row],[uren / jaar weekend]]+Ruimtestaat[[#This Row],[uren / jaar werkdagen]]</f>
        <v>0</v>
      </c>
      <c r="AH868" s="80">
        <f>Ruimtestaat[[#This Row],[kosten / jaar weekend]]+Ruimtestaat[[#This Row],[kosten / jaar werkdagen]]</f>
        <v>0</v>
      </c>
    </row>
    <row r="869" spans="1:34" ht="15" customHeight="1">
      <c r="A869" s="256">
        <v>11</v>
      </c>
      <c r="B869" s="171" t="str">
        <f>VLOOKUP(Ruimtestaat[[#This Row],[Code]],Locaties[#All],2,FALSE)</f>
        <v>De Bouwsteen / Het Fundament</v>
      </c>
      <c r="C869" s="258" t="str">
        <f>VLOOKUP(Ruimtestaat[[#This Row],[Code]],Locaties[#All],4,FALSE)</f>
        <v>Anna Reynvaanweg 50</v>
      </c>
      <c r="D869" s="258" t="str">
        <f>VLOOKUP(Ruimtestaat[[#This Row],[Code]],Locaties[#All],5,FALSE)</f>
        <v>7555SG</v>
      </c>
      <c r="E869" s="258" t="str">
        <f>VLOOKUP(Ruimtestaat[[#This Row],[Code]],Locaties[#All],6,FALSE)</f>
        <v>Hengelo</v>
      </c>
      <c r="F869" s="257"/>
      <c r="G869" s="257" t="s">
        <v>564</v>
      </c>
      <c r="H869" s="171"/>
      <c r="I869" s="257" t="s">
        <v>548</v>
      </c>
      <c r="J869" s="259" t="s">
        <v>568</v>
      </c>
      <c r="K869" s="258">
        <v>6</v>
      </c>
      <c r="L869" s="260" t="str">
        <f>VLOOKUP(Ruimtestaat[[#This Row],[Ruimte code]],Ruimtegroepen[#All],2,FALSE)</f>
        <v>Gangen/hallen</v>
      </c>
      <c r="M869" s="185" t="s">
        <v>598</v>
      </c>
      <c r="N869" s="257" t="s">
        <v>132</v>
      </c>
      <c r="O869" s="261">
        <v>2.1</v>
      </c>
      <c r="P869" s="183"/>
      <c r="Q869" s="212" t="str">
        <f>VLOOKUP(Ruimtestaat[[#This Row],[Ruimte code]],Ruimtegroepen[#All],4,FALSE)</f>
        <v>V  (Verkeersruimte)</v>
      </c>
      <c r="R869" s="184"/>
      <c r="S869" s="185">
        <v>40</v>
      </c>
      <c r="T869" s="185" t="s">
        <v>2</v>
      </c>
      <c r="U869" s="185">
        <f>IF(S869&gt;0,IF(RIGHT(Ruimtestaat[[#This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9" s="185">
        <f>IF(U869&gt;0,VLOOKUP($K869,Ruimtegroepen[],3,FALSE)*VLOOKUP($M869,Vloersoorten[],3,FALSE)*VLOOKUP($T869,Frequenties[],3,FALSE)*VLOOKUP($A869,Locaties[],3,FALSE),0)</f>
        <v>0</v>
      </c>
      <c r="W869" s="185">
        <f>Ruimtestaat[[#This Row],[Uitvoeringen werkdagen]]*Ruimtestaat[[#This Row],[Oppervlak (netto)]]</f>
        <v>420</v>
      </c>
      <c r="X869" s="220">
        <f>IF(V869&gt;0,Ruimtestaat[[#This Row],[Prest. (m2 /jaar) werkdagen]]/Ruimtestaat[[#This Row],[Norm (m2/uur) werkdagen]],0)</f>
        <v>0</v>
      </c>
      <c r="Y869" s="221">
        <f>Ruimtestaat[[#This Row],[uren / jaar werkdagen]]*Tariefsopbouw!$D$38</f>
        <v>0</v>
      </c>
      <c r="Z869" s="33"/>
      <c r="AA869" s="33">
        <f>IF(Ruimtestaat[[#This Row],[Frequentie weekend]]&gt;0,VALUE(LEFT(Z869,1))*S869,0)</f>
        <v>0</v>
      </c>
      <c r="AB869" s="33">
        <f>IF($AA869&gt;0,VLOOKUP($K869,Ruimtegroepen[],3,FALSE)*VLOOKUP($M869,Vloersoorten[],3,FALSE)*VLOOKUP($Z869,Frequenties[],3,FALSE)*VLOOKUP(#REF!,Locaties[],3,FALSE),0)</f>
        <v>0</v>
      </c>
      <c r="AC869" s="33"/>
      <c r="AD869" s="33"/>
      <c r="AE869" s="33">
        <f>Ruimtestaat[[#This Row],[uren / jaar weekend]]*Tariefsopbouw!$D$40</f>
        <v>0</v>
      </c>
      <c r="AF869" s="79">
        <f>Ruimtestaat[[#This Row],[Prest. (m2 /jaar) weekend]]+Ruimtestaat[[#This Row],[Prest. (m2 /jaar) werkdagen]]</f>
        <v>420</v>
      </c>
      <c r="AG869" s="79">
        <f>Ruimtestaat[[#This Row],[uren / jaar weekend]]+Ruimtestaat[[#This Row],[uren / jaar werkdagen]]</f>
        <v>0</v>
      </c>
      <c r="AH869" s="80">
        <f>Ruimtestaat[[#This Row],[kosten / jaar weekend]]+Ruimtestaat[[#This Row],[kosten / jaar werkdagen]]</f>
        <v>0</v>
      </c>
    </row>
    <row r="870" spans="1:34" ht="15" customHeight="1">
      <c r="A870" s="256">
        <v>11</v>
      </c>
      <c r="B870" s="171" t="str">
        <f>VLOOKUP(Ruimtestaat[[#This Row],[Code]],Locaties[#All],2,FALSE)</f>
        <v>De Bouwsteen / Het Fundament</v>
      </c>
      <c r="C870" s="258" t="str">
        <f>VLOOKUP(Ruimtestaat[[#This Row],[Code]],Locaties[#All],4,FALSE)</f>
        <v>Anna Reynvaanweg 50</v>
      </c>
      <c r="D870" s="258" t="str">
        <f>VLOOKUP(Ruimtestaat[[#This Row],[Code]],Locaties[#All],5,FALSE)</f>
        <v>7555SG</v>
      </c>
      <c r="E870" s="258" t="str">
        <f>VLOOKUP(Ruimtestaat[[#This Row],[Code]],Locaties[#All],6,FALSE)</f>
        <v>Hengelo</v>
      </c>
      <c r="F870" s="257"/>
      <c r="G870" s="257" t="s">
        <v>564</v>
      </c>
      <c r="H870" s="171"/>
      <c r="I870" s="257" t="s">
        <v>549</v>
      </c>
      <c r="J870" s="259" t="s">
        <v>576</v>
      </c>
      <c r="K870" s="224">
        <v>16</v>
      </c>
      <c r="L870" s="260" t="str">
        <f>VLOOKUP(Ruimtestaat[[#This Row],[Ruimte code]],Ruimtegroepen[#All],2,FALSE)</f>
        <v>Leslokalen</v>
      </c>
      <c r="M870" s="185" t="s">
        <v>598</v>
      </c>
      <c r="N870" s="257" t="s">
        <v>132</v>
      </c>
      <c r="O870" s="261">
        <v>42.9</v>
      </c>
      <c r="P870" s="183"/>
      <c r="Q870" s="212" t="str">
        <f>VLOOKUP(Ruimtestaat[[#This Row],[Ruimte code]],Ruimtegroepen[#All],4,FALSE)</f>
        <v>L  (Lesruimte)</v>
      </c>
      <c r="R870" s="184"/>
      <c r="S870" s="185">
        <v>40</v>
      </c>
      <c r="T870" s="185" t="s">
        <v>2</v>
      </c>
      <c r="U870" s="185">
        <f>IF(S870&gt;0,IF(RIGHT(Ruimtestaat[[#This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0" s="185">
        <f>IF(U870&gt;0,VLOOKUP($K870,Ruimtegroepen[],3,FALSE)*VLOOKUP($M870,Vloersoorten[],3,FALSE)*VLOOKUP($T870,Frequenties[],3,FALSE)*VLOOKUP($A870,Locaties[],3,FALSE),0)</f>
        <v>0</v>
      </c>
      <c r="W870" s="185">
        <f>Ruimtestaat[[#This Row],[Uitvoeringen werkdagen]]*Ruimtestaat[[#This Row],[Oppervlak (netto)]]</f>
        <v>8580</v>
      </c>
      <c r="X870" s="220">
        <f>IF(V870&gt;0,Ruimtestaat[[#This Row],[Prest. (m2 /jaar) werkdagen]]/Ruimtestaat[[#This Row],[Norm (m2/uur) werkdagen]],0)</f>
        <v>0</v>
      </c>
      <c r="Y870" s="221">
        <f>Ruimtestaat[[#This Row],[uren / jaar werkdagen]]*Tariefsopbouw!$D$38</f>
        <v>0</v>
      </c>
      <c r="Z870" s="33"/>
      <c r="AA870" s="33">
        <f>IF(Ruimtestaat[[#This Row],[Frequentie weekend]]&gt;0,VALUE(LEFT(Z870,1))*S870,0)</f>
        <v>0</v>
      </c>
      <c r="AB870" s="33">
        <f>IF($AA870&gt;0,VLOOKUP($K870,Ruimtegroepen[],3,FALSE)*VLOOKUP($M870,Vloersoorten[],3,FALSE)*VLOOKUP($Z870,Frequenties[],3,FALSE)*VLOOKUP(#REF!,Locaties[],3,FALSE),0)</f>
        <v>0</v>
      </c>
      <c r="AC870" s="33"/>
      <c r="AD870" s="33"/>
      <c r="AE870" s="33">
        <f>Ruimtestaat[[#This Row],[uren / jaar weekend]]*Tariefsopbouw!$D$40</f>
        <v>0</v>
      </c>
      <c r="AF870" s="79">
        <f>Ruimtestaat[[#This Row],[Prest. (m2 /jaar) weekend]]+Ruimtestaat[[#This Row],[Prest. (m2 /jaar) werkdagen]]</f>
        <v>8580</v>
      </c>
      <c r="AG870" s="79">
        <f>Ruimtestaat[[#This Row],[uren / jaar weekend]]+Ruimtestaat[[#This Row],[uren / jaar werkdagen]]</f>
        <v>0</v>
      </c>
      <c r="AH870" s="80">
        <f>Ruimtestaat[[#This Row],[kosten / jaar weekend]]+Ruimtestaat[[#This Row],[kosten / jaar werkdagen]]</f>
        <v>0</v>
      </c>
    </row>
    <row r="871" spans="1:34" ht="15" customHeight="1">
      <c r="A871" s="256">
        <v>11</v>
      </c>
      <c r="B871" s="171" t="str">
        <f>VLOOKUP(Ruimtestaat[[#This Row],[Code]],Locaties[#All],2,FALSE)</f>
        <v>De Bouwsteen / Het Fundament</v>
      </c>
      <c r="C871" s="258" t="str">
        <f>VLOOKUP(Ruimtestaat[[#This Row],[Code]],Locaties[#All],4,FALSE)</f>
        <v>Anna Reynvaanweg 50</v>
      </c>
      <c r="D871" s="258" t="str">
        <f>VLOOKUP(Ruimtestaat[[#This Row],[Code]],Locaties[#All],5,FALSE)</f>
        <v>7555SG</v>
      </c>
      <c r="E871" s="258" t="str">
        <f>VLOOKUP(Ruimtestaat[[#This Row],[Code]],Locaties[#All],6,FALSE)</f>
        <v>Hengelo</v>
      </c>
      <c r="F871" s="257"/>
      <c r="G871" s="257" t="s">
        <v>564</v>
      </c>
      <c r="H871" s="171"/>
      <c r="I871" s="257" t="s">
        <v>550</v>
      </c>
      <c r="J871" s="259" t="s">
        <v>588</v>
      </c>
      <c r="K871" s="185">
        <v>6</v>
      </c>
      <c r="L871" s="260" t="str">
        <f>VLOOKUP(Ruimtestaat[[#This Row],[Ruimte code]],Ruimtegroepen[#All],2,FALSE)</f>
        <v>Gangen/hallen</v>
      </c>
      <c r="M871" s="258" t="s">
        <v>598</v>
      </c>
      <c r="N871" s="257" t="s">
        <v>132</v>
      </c>
      <c r="O871" s="261">
        <v>9.4</v>
      </c>
      <c r="P871" s="183"/>
      <c r="Q871" s="212" t="str">
        <f>VLOOKUP(Ruimtestaat[[#This Row],[Ruimte code]],Ruimtegroepen[#All],4,FALSE)</f>
        <v>V  (Verkeersruimte)</v>
      </c>
      <c r="R871" s="184"/>
      <c r="S871" s="185">
        <v>40</v>
      </c>
      <c r="T871" s="185" t="s">
        <v>2</v>
      </c>
      <c r="U871" s="185">
        <f>IF(S871&gt;0,IF(RIGHT(Ruimtestaat[[#This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1" s="185">
        <f>IF(U871&gt;0,VLOOKUP($K871,Ruimtegroepen[],3,FALSE)*VLOOKUP($M871,Vloersoorten[],3,FALSE)*VLOOKUP($T871,Frequenties[],3,FALSE)*VLOOKUP($A871,Locaties[],3,FALSE),0)</f>
        <v>0</v>
      </c>
      <c r="W871" s="185">
        <f>Ruimtestaat[[#This Row],[Uitvoeringen werkdagen]]*Ruimtestaat[[#This Row],[Oppervlak (netto)]]</f>
        <v>1880</v>
      </c>
      <c r="X871" s="220">
        <f>IF(V871&gt;0,Ruimtestaat[[#This Row],[Prest. (m2 /jaar) werkdagen]]/Ruimtestaat[[#This Row],[Norm (m2/uur) werkdagen]],0)</f>
        <v>0</v>
      </c>
      <c r="Y871" s="221">
        <f>Ruimtestaat[[#This Row],[uren / jaar werkdagen]]*Tariefsopbouw!$D$38</f>
        <v>0</v>
      </c>
      <c r="Z871" s="33"/>
      <c r="AA871" s="33">
        <f>IF(Ruimtestaat[[#This Row],[Frequentie weekend]]&gt;0,VALUE(LEFT(Z871,1))*S871,0)</f>
        <v>0</v>
      </c>
      <c r="AB871" s="33">
        <f>IF($AA871&gt;0,VLOOKUP($K871,Ruimtegroepen[],3,FALSE)*VLOOKUP($M871,Vloersoorten[],3,FALSE)*VLOOKUP($Z871,Frequenties[],3,FALSE)*VLOOKUP(#REF!,Locaties[],3,FALSE),0)</f>
        <v>0</v>
      </c>
      <c r="AC871" s="33"/>
      <c r="AD871" s="33"/>
      <c r="AE871" s="33">
        <f>Ruimtestaat[[#This Row],[uren / jaar weekend]]*Tariefsopbouw!$D$40</f>
        <v>0</v>
      </c>
      <c r="AF871" s="79">
        <f>Ruimtestaat[[#This Row],[Prest. (m2 /jaar) weekend]]+Ruimtestaat[[#This Row],[Prest. (m2 /jaar) werkdagen]]</f>
        <v>1880</v>
      </c>
      <c r="AG871" s="79">
        <f>Ruimtestaat[[#This Row],[uren / jaar weekend]]+Ruimtestaat[[#This Row],[uren / jaar werkdagen]]</f>
        <v>0</v>
      </c>
      <c r="AH871" s="80">
        <f>Ruimtestaat[[#This Row],[kosten / jaar weekend]]+Ruimtestaat[[#This Row],[kosten / jaar werkdagen]]</f>
        <v>0</v>
      </c>
    </row>
    <row r="872" spans="1:34" ht="15" customHeight="1">
      <c r="A872" s="256">
        <v>11</v>
      </c>
      <c r="B872" s="171" t="str">
        <f>VLOOKUP(Ruimtestaat[[#This Row],[Code]],Locaties[#All],2,FALSE)</f>
        <v>De Bouwsteen / Het Fundament</v>
      </c>
      <c r="C872" s="258" t="str">
        <f>VLOOKUP(Ruimtestaat[[#This Row],[Code]],Locaties[#All],4,FALSE)</f>
        <v>Anna Reynvaanweg 50</v>
      </c>
      <c r="D872" s="258" t="str">
        <f>VLOOKUP(Ruimtestaat[[#This Row],[Code]],Locaties[#All],5,FALSE)</f>
        <v>7555SG</v>
      </c>
      <c r="E872" s="258" t="str">
        <f>VLOOKUP(Ruimtestaat[[#This Row],[Code]],Locaties[#All],6,FALSE)</f>
        <v>Hengelo</v>
      </c>
      <c r="F872" s="257"/>
      <c r="G872" s="257" t="s">
        <v>564</v>
      </c>
      <c r="H872" s="171"/>
      <c r="I872" s="257" t="s">
        <v>551</v>
      </c>
      <c r="J872" s="259" t="s">
        <v>589</v>
      </c>
      <c r="K872" s="171">
        <v>15</v>
      </c>
      <c r="L872" s="260" t="str">
        <f>VLOOKUP(Ruimtestaat[[#This Row],[Ruimte code]],Ruimtegroepen[#All],2,FALSE)</f>
        <v>Keuken/pantry</v>
      </c>
      <c r="M872" s="185" t="s">
        <v>598</v>
      </c>
      <c r="N872" s="257" t="s">
        <v>132</v>
      </c>
      <c r="O872" s="261">
        <v>3</v>
      </c>
      <c r="P872" s="183"/>
      <c r="Q872" s="212" t="str">
        <f>VLOOKUP(Ruimtestaat[[#This Row],[Ruimte code]],Ruimtegroepen[#All],4,FALSE)</f>
        <v>V  (Verkeersruimte)</v>
      </c>
      <c r="R872" s="184"/>
      <c r="S872" s="185">
        <v>40</v>
      </c>
      <c r="T872" s="185" t="s">
        <v>2</v>
      </c>
      <c r="U872" s="185">
        <f>IF(S872&gt;0,IF(RIGHT(Ruimtestaat[[#This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2" s="185">
        <f>IF(U872&gt;0,VLOOKUP($K872,Ruimtegroepen[],3,FALSE)*VLOOKUP($M872,Vloersoorten[],3,FALSE)*VLOOKUP($T872,Frequenties[],3,FALSE)*VLOOKUP($A872,Locaties[],3,FALSE),0)</f>
        <v>0</v>
      </c>
      <c r="W872" s="185">
        <f>Ruimtestaat[[#This Row],[Uitvoeringen werkdagen]]*Ruimtestaat[[#This Row],[Oppervlak (netto)]]</f>
        <v>600</v>
      </c>
      <c r="X872" s="220">
        <f>IF(V872&gt;0,Ruimtestaat[[#This Row],[Prest. (m2 /jaar) werkdagen]]/Ruimtestaat[[#This Row],[Norm (m2/uur) werkdagen]],0)</f>
        <v>0</v>
      </c>
      <c r="Y872" s="221">
        <f>Ruimtestaat[[#This Row],[uren / jaar werkdagen]]*Tariefsopbouw!$D$38</f>
        <v>0</v>
      </c>
      <c r="Z872" s="33"/>
      <c r="AA872" s="33">
        <f>IF(Ruimtestaat[[#This Row],[Frequentie weekend]]&gt;0,VALUE(LEFT(Z872,1))*S872,0)</f>
        <v>0</v>
      </c>
      <c r="AB872" s="33">
        <f>IF($AA872&gt;0,VLOOKUP($K872,Ruimtegroepen[],3,FALSE)*VLOOKUP($M872,Vloersoorten[],3,FALSE)*VLOOKUP($Z872,Frequenties[],3,FALSE)*VLOOKUP(#REF!,Locaties[],3,FALSE),0)</f>
        <v>0</v>
      </c>
      <c r="AC872" s="33"/>
      <c r="AD872" s="33"/>
      <c r="AE872" s="33">
        <f>Ruimtestaat[[#This Row],[uren / jaar weekend]]*Tariefsopbouw!$D$40</f>
        <v>0</v>
      </c>
      <c r="AF872" s="79">
        <f>Ruimtestaat[[#This Row],[Prest. (m2 /jaar) weekend]]+Ruimtestaat[[#This Row],[Prest. (m2 /jaar) werkdagen]]</f>
        <v>600</v>
      </c>
      <c r="AG872" s="79">
        <f>Ruimtestaat[[#This Row],[uren / jaar weekend]]+Ruimtestaat[[#This Row],[uren / jaar werkdagen]]</f>
        <v>0</v>
      </c>
      <c r="AH872" s="80">
        <f>Ruimtestaat[[#This Row],[kosten / jaar weekend]]+Ruimtestaat[[#This Row],[kosten / jaar werkdagen]]</f>
        <v>0</v>
      </c>
    </row>
    <row r="873" spans="1:34" ht="15" customHeight="1">
      <c r="A873" s="256">
        <v>11</v>
      </c>
      <c r="B873" s="171" t="str">
        <f>VLOOKUP(Ruimtestaat[[#This Row],[Code]],Locaties[#All],2,FALSE)</f>
        <v>De Bouwsteen / Het Fundament</v>
      </c>
      <c r="C873" s="258" t="str">
        <f>VLOOKUP(Ruimtestaat[[#This Row],[Code]],Locaties[#All],4,FALSE)</f>
        <v>Anna Reynvaanweg 50</v>
      </c>
      <c r="D873" s="258" t="str">
        <f>VLOOKUP(Ruimtestaat[[#This Row],[Code]],Locaties[#All],5,FALSE)</f>
        <v>7555SG</v>
      </c>
      <c r="E873" s="258" t="str">
        <f>VLOOKUP(Ruimtestaat[[#This Row],[Code]],Locaties[#All],6,FALSE)</f>
        <v>Hengelo</v>
      </c>
      <c r="F873" s="257"/>
      <c r="G873" s="257" t="s">
        <v>564</v>
      </c>
      <c r="H873" s="171"/>
      <c r="I873" s="257" t="s">
        <v>552</v>
      </c>
      <c r="J873" s="259" t="s">
        <v>590</v>
      </c>
      <c r="K873" s="258">
        <v>2</v>
      </c>
      <c r="L873" s="260" t="str">
        <f>VLOOKUP(Ruimtestaat[[#This Row],[Ruimte code]],Ruimtegroepen[#All],2,FALSE)</f>
        <v>Kantoren</v>
      </c>
      <c r="M873" s="185" t="s">
        <v>598</v>
      </c>
      <c r="N873" s="257" t="s">
        <v>132</v>
      </c>
      <c r="O873" s="261">
        <v>15</v>
      </c>
      <c r="P873" s="183"/>
      <c r="Q873" s="212" t="str">
        <f>VLOOKUP(Ruimtestaat[[#This Row],[Ruimte code]],Ruimtegroepen[#All],4,FALSE)</f>
        <v>B  (Bureauruimte)</v>
      </c>
      <c r="R873" s="184"/>
      <c r="S873" s="185">
        <v>40</v>
      </c>
      <c r="T873" s="185" t="s">
        <v>2</v>
      </c>
      <c r="U873" s="185">
        <f>IF(S873&gt;0,IF(RIGHT(Ruimtestaat[[#This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3" s="185">
        <f>IF(U873&gt;0,VLOOKUP($K873,Ruimtegroepen[],3,FALSE)*VLOOKUP($M873,Vloersoorten[],3,FALSE)*VLOOKUP($T873,Frequenties[],3,FALSE)*VLOOKUP($A873,Locaties[],3,FALSE),0)</f>
        <v>0</v>
      </c>
      <c r="W873" s="185">
        <f>Ruimtestaat[[#This Row],[Uitvoeringen werkdagen]]*Ruimtestaat[[#This Row],[Oppervlak (netto)]]</f>
        <v>3000</v>
      </c>
      <c r="X873" s="220">
        <f>IF(V873&gt;0,Ruimtestaat[[#This Row],[Prest. (m2 /jaar) werkdagen]]/Ruimtestaat[[#This Row],[Norm (m2/uur) werkdagen]],0)</f>
        <v>0</v>
      </c>
      <c r="Y873" s="221">
        <f>Ruimtestaat[[#This Row],[uren / jaar werkdagen]]*Tariefsopbouw!$D$38</f>
        <v>0</v>
      </c>
      <c r="Z873" s="33"/>
      <c r="AA873" s="33">
        <f>IF(Ruimtestaat[[#This Row],[Frequentie weekend]]&gt;0,VALUE(LEFT(Z873,1))*S873,0)</f>
        <v>0</v>
      </c>
      <c r="AB873" s="33">
        <f>IF($AA873&gt;0,VLOOKUP($K873,Ruimtegroepen[],3,FALSE)*VLOOKUP($M873,Vloersoorten[],3,FALSE)*VLOOKUP($Z873,Frequenties[],3,FALSE)*VLOOKUP(#REF!,Locaties[],3,FALSE),0)</f>
        <v>0</v>
      </c>
      <c r="AC873" s="33"/>
      <c r="AD873" s="33"/>
      <c r="AE873" s="33">
        <f>Ruimtestaat[[#This Row],[uren / jaar weekend]]*Tariefsopbouw!$D$40</f>
        <v>0</v>
      </c>
      <c r="AF873" s="79">
        <f>Ruimtestaat[[#This Row],[Prest. (m2 /jaar) weekend]]+Ruimtestaat[[#This Row],[Prest. (m2 /jaar) werkdagen]]</f>
        <v>3000</v>
      </c>
      <c r="AG873" s="79">
        <f>Ruimtestaat[[#This Row],[uren / jaar weekend]]+Ruimtestaat[[#This Row],[uren / jaar werkdagen]]</f>
        <v>0</v>
      </c>
      <c r="AH873" s="80">
        <f>Ruimtestaat[[#This Row],[kosten / jaar weekend]]+Ruimtestaat[[#This Row],[kosten / jaar werkdagen]]</f>
        <v>0</v>
      </c>
    </row>
    <row r="874" spans="1:34" ht="15" customHeight="1">
      <c r="A874" s="256">
        <v>11</v>
      </c>
      <c r="B874" s="171" t="str">
        <f>VLOOKUP(Ruimtestaat[[#This Row],[Code]],Locaties[#All],2,FALSE)</f>
        <v>De Bouwsteen / Het Fundament</v>
      </c>
      <c r="C874" s="258" t="str">
        <f>VLOOKUP(Ruimtestaat[[#This Row],[Code]],Locaties[#All],4,FALSE)</f>
        <v>Anna Reynvaanweg 50</v>
      </c>
      <c r="D874" s="258" t="str">
        <f>VLOOKUP(Ruimtestaat[[#This Row],[Code]],Locaties[#All],5,FALSE)</f>
        <v>7555SG</v>
      </c>
      <c r="E874" s="258" t="str">
        <f>VLOOKUP(Ruimtestaat[[#This Row],[Code]],Locaties[#All],6,FALSE)</f>
        <v>Hengelo</v>
      </c>
      <c r="F874" s="257"/>
      <c r="G874" s="257" t="s">
        <v>564</v>
      </c>
      <c r="H874" s="171"/>
      <c r="I874" s="257" t="s">
        <v>553</v>
      </c>
      <c r="J874" s="259" t="s">
        <v>590</v>
      </c>
      <c r="K874" s="171">
        <v>2</v>
      </c>
      <c r="L874" s="260" t="str">
        <f>VLOOKUP(Ruimtestaat[[#This Row],[Ruimte code]],Ruimtegroepen[#All],2,FALSE)</f>
        <v>Kantoren</v>
      </c>
      <c r="M874" s="185" t="s">
        <v>598</v>
      </c>
      <c r="N874" s="257" t="s">
        <v>132</v>
      </c>
      <c r="O874" s="261">
        <v>15</v>
      </c>
      <c r="P874" s="183"/>
      <c r="Q874" s="212" t="str">
        <f>VLOOKUP(Ruimtestaat[[#This Row],[Ruimte code]],Ruimtegroepen[#All],4,FALSE)</f>
        <v>B  (Bureauruimte)</v>
      </c>
      <c r="R874" s="184"/>
      <c r="S874" s="185">
        <v>40</v>
      </c>
      <c r="T874" s="185" t="s">
        <v>2</v>
      </c>
      <c r="U874" s="185">
        <f>IF(S874&gt;0,IF(RIGHT(Ruimtestaat[[#This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4" s="185">
        <f>IF(U874&gt;0,VLOOKUP($K874,Ruimtegroepen[],3,FALSE)*VLOOKUP($M874,Vloersoorten[],3,FALSE)*VLOOKUP($T874,Frequenties[],3,FALSE)*VLOOKUP($A874,Locaties[],3,FALSE),0)</f>
        <v>0</v>
      </c>
      <c r="W874" s="185">
        <f>Ruimtestaat[[#This Row],[Uitvoeringen werkdagen]]*Ruimtestaat[[#This Row],[Oppervlak (netto)]]</f>
        <v>3000</v>
      </c>
      <c r="X874" s="220">
        <f>IF(V874&gt;0,Ruimtestaat[[#This Row],[Prest. (m2 /jaar) werkdagen]]/Ruimtestaat[[#This Row],[Norm (m2/uur) werkdagen]],0)</f>
        <v>0</v>
      </c>
      <c r="Y874" s="221">
        <f>Ruimtestaat[[#This Row],[uren / jaar werkdagen]]*Tariefsopbouw!$D$38</f>
        <v>0</v>
      </c>
      <c r="Z874" s="33"/>
      <c r="AA874" s="33">
        <f>IF(Ruimtestaat[[#This Row],[Frequentie weekend]]&gt;0,VALUE(LEFT(Z874,1))*S874,0)</f>
        <v>0</v>
      </c>
      <c r="AB874" s="33">
        <f>IF($AA874&gt;0,VLOOKUP($K874,Ruimtegroepen[],3,FALSE)*VLOOKUP($M874,Vloersoorten[],3,FALSE)*VLOOKUP($Z874,Frequenties[],3,FALSE)*VLOOKUP(#REF!,Locaties[],3,FALSE),0)</f>
        <v>0</v>
      </c>
      <c r="AC874" s="33"/>
      <c r="AD874" s="33"/>
      <c r="AE874" s="33">
        <f>Ruimtestaat[[#This Row],[uren / jaar weekend]]*Tariefsopbouw!$D$40</f>
        <v>0</v>
      </c>
      <c r="AF874" s="79">
        <f>Ruimtestaat[[#This Row],[Prest. (m2 /jaar) weekend]]+Ruimtestaat[[#This Row],[Prest. (m2 /jaar) werkdagen]]</f>
        <v>3000</v>
      </c>
      <c r="AG874" s="79">
        <f>Ruimtestaat[[#This Row],[uren / jaar weekend]]+Ruimtestaat[[#This Row],[uren / jaar werkdagen]]</f>
        <v>0</v>
      </c>
      <c r="AH874" s="80">
        <f>Ruimtestaat[[#This Row],[kosten / jaar weekend]]+Ruimtestaat[[#This Row],[kosten / jaar werkdagen]]</f>
        <v>0</v>
      </c>
    </row>
    <row r="875" spans="1:34" ht="15" customHeight="1">
      <c r="A875" s="256">
        <v>11</v>
      </c>
      <c r="B875" s="171" t="str">
        <f>VLOOKUP(Ruimtestaat[[#This Row],[Code]],Locaties[#All],2,FALSE)</f>
        <v>De Bouwsteen / Het Fundament</v>
      </c>
      <c r="C875" s="258" t="str">
        <f>VLOOKUP(Ruimtestaat[[#This Row],[Code]],Locaties[#All],4,FALSE)</f>
        <v>Anna Reynvaanweg 50</v>
      </c>
      <c r="D875" s="258" t="str">
        <f>VLOOKUP(Ruimtestaat[[#This Row],[Code]],Locaties[#All],5,FALSE)</f>
        <v>7555SG</v>
      </c>
      <c r="E875" s="258" t="str">
        <f>VLOOKUP(Ruimtestaat[[#This Row],[Code]],Locaties[#All],6,FALSE)</f>
        <v>Hengelo</v>
      </c>
      <c r="F875" s="257"/>
      <c r="G875" s="257" t="s">
        <v>564</v>
      </c>
      <c r="H875" s="171"/>
      <c r="I875" s="257" t="s">
        <v>554</v>
      </c>
      <c r="J875" s="259" t="s">
        <v>591</v>
      </c>
      <c r="K875" s="171">
        <v>4</v>
      </c>
      <c r="L875" s="260" t="str">
        <f>VLOOKUP(Ruimtestaat[[#This Row],[Ruimte code]],Ruimtegroepen[#All],2,FALSE)</f>
        <v>Vergader/spreekkamers</v>
      </c>
      <c r="M875" s="258" t="s">
        <v>598</v>
      </c>
      <c r="N875" s="257" t="s">
        <v>132</v>
      </c>
      <c r="O875" s="261">
        <v>7</v>
      </c>
      <c r="P875" s="183"/>
      <c r="Q875" s="212" t="str">
        <f>VLOOKUP(Ruimtestaat[[#This Row],[Ruimte code]],Ruimtegroepen[#All],4,FALSE)</f>
        <v>B  (Bureauruimte)</v>
      </c>
      <c r="R875" s="184"/>
      <c r="S875" s="185">
        <v>40</v>
      </c>
      <c r="T875" s="185" t="s">
        <v>2</v>
      </c>
      <c r="U875" s="185">
        <f>IF(S875&gt;0,IF(RIGHT(Ruimtestaat[[#This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5" s="185">
        <f>IF(U875&gt;0,VLOOKUP($K875,Ruimtegroepen[],3,FALSE)*VLOOKUP($M875,Vloersoorten[],3,FALSE)*VLOOKUP($T875,Frequenties[],3,FALSE)*VLOOKUP($A875,Locaties[],3,FALSE),0)</f>
        <v>0</v>
      </c>
      <c r="W875" s="185">
        <f>Ruimtestaat[[#This Row],[Uitvoeringen werkdagen]]*Ruimtestaat[[#This Row],[Oppervlak (netto)]]</f>
        <v>1400</v>
      </c>
      <c r="X875" s="220">
        <f>IF(V875&gt;0,Ruimtestaat[[#This Row],[Prest. (m2 /jaar) werkdagen]]/Ruimtestaat[[#This Row],[Norm (m2/uur) werkdagen]],0)</f>
        <v>0</v>
      </c>
      <c r="Y875" s="221">
        <f>Ruimtestaat[[#This Row],[uren / jaar werkdagen]]*Tariefsopbouw!$D$38</f>
        <v>0</v>
      </c>
      <c r="Z875" s="33"/>
      <c r="AA875" s="33">
        <f>IF(Ruimtestaat[[#This Row],[Frequentie weekend]]&gt;0,VALUE(LEFT(Z875,1))*S875,0)</f>
        <v>0</v>
      </c>
      <c r="AB875" s="33">
        <f>IF($AA875&gt;0,VLOOKUP($K875,Ruimtegroepen[],3,FALSE)*VLOOKUP($M875,Vloersoorten[],3,FALSE)*VLOOKUP($Z875,Frequenties[],3,FALSE)*VLOOKUP(#REF!,Locaties[],3,FALSE),0)</f>
        <v>0</v>
      </c>
      <c r="AC875" s="33"/>
      <c r="AD875" s="33"/>
      <c r="AE875" s="33">
        <f>Ruimtestaat[[#This Row],[uren / jaar weekend]]*Tariefsopbouw!$D$40</f>
        <v>0</v>
      </c>
      <c r="AF875" s="79">
        <f>Ruimtestaat[[#This Row],[Prest. (m2 /jaar) weekend]]+Ruimtestaat[[#This Row],[Prest. (m2 /jaar) werkdagen]]</f>
        <v>1400</v>
      </c>
      <c r="AG875" s="79">
        <f>Ruimtestaat[[#This Row],[uren / jaar weekend]]+Ruimtestaat[[#This Row],[uren / jaar werkdagen]]</f>
        <v>0</v>
      </c>
      <c r="AH875" s="80">
        <f>Ruimtestaat[[#This Row],[kosten / jaar weekend]]+Ruimtestaat[[#This Row],[kosten / jaar werkdagen]]</f>
        <v>0</v>
      </c>
    </row>
    <row r="876" spans="1:34" ht="15" customHeight="1">
      <c r="A876" s="256">
        <v>11</v>
      </c>
      <c r="B876" s="171" t="str">
        <f>VLOOKUP(Ruimtestaat[[#This Row],[Code]],Locaties[#All],2,FALSE)</f>
        <v>De Bouwsteen / Het Fundament</v>
      </c>
      <c r="C876" s="258" t="str">
        <f>VLOOKUP(Ruimtestaat[[#This Row],[Code]],Locaties[#All],4,FALSE)</f>
        <v>Anna Reynvaanweg 50</v>
      </c>
      <c r="D876" s="258" t="str">
        <f>VLOOKUP(Ruimtestaat[[#This Row],[Code]],Locaties[#All],5,FALSE)</f>
        <v>7555SG</v>
      </c>
      <c r="E876" s="258" t="str">
        <f>VLOOKUP(Ruimtestaat[[#This Row],[Code]],Locaties[#All],6,FALSE)</f>
        <v>Hengelo</v>
      </c>
      <c r="F876" s="257"/>
      <c r="G876" s="257" t="s">
        <v>564</v>
      </c>
      <c r="H876" s="171"/>
      <c r="I876" s="257" t="s">
        <v>555</v>
      </c>
      <c r="J876" s="259" t="s">
        <v>569</v>
      </c>
      <c r="K876" s="171">
        <v>5</v>
      </c>
      <c r="L876" s="260" t="str">
        <f>VLOOKUP(Ruimtestaat[[#This Row],[Ruimte code]],Ruimtegroepen[#All],2,FALSE)</f>
        <v>Sanitair</v>
      </c>
      <c r="M876" s="212" t="s">
        <v>111</v>
      </c>
      <c r="N876" s="257" t="s">
        <v>595</v>
      </c>
      <c r="O876" s="261">
        <v>1.6</v>
      </c>
      <c r="P876" s="183"/>
      <c r="Q876" s="212" t="str">
        <f>VLOOKUP(Ruimtestaat[[#This Row],[Ruimte code]],Ruimtegroepen[#All],4,FALSE)</f>
        <v>S  (Sanitair)</v>
      </c>
      <c r="R876" s="184"/>
      <c r="S876" s="185">
        <v>40</v>
      </c>
      <c r="T876" s="185" t="s">
        <v>2</v>
      </c>
      <c r="U876" s="185">
        <f>IF(S876&gt;0,IF(RIGHT(Ruimtestaat[[#This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6" s="185">
        <f>IF(U876&gt;0,VLOOKUP($K876,Ruimtegroepen[],3,FALSE)*VLOOKUP($M876,Vloersoorten[],3,FALSE)*VLOOKUP($T876,Frequenties[],3,FALSE)*VLOOKUP($A876,Locaties[],3,FALSE),0)</f>
        <v>0</v>
      </c>
      <c r="W876" s="185">
        <f>Ruimtestaat[[#This Row],[Uitvoeringen werkdagen]]*Ruimtestaat[[#This Row],[Oppervlak (netto)]]</f>
        <v>320</v>
      </c>
      <c r="X876" s="220">
        <f>IF(V876&gt;0,Ruimtestaat[[#This Row],[Prest. (m2 /jaar) werkdagen]]/Ruimtestaat[[#This Row],[Norm (m2/uur) werkdagen]],0)</f>
        <v>0</v>
      </c>
      <c r="Y876" s="221">
        <f>Ruimtestaat[[#This Row],[uren / jaar werkdagen]]*Tariefsopbouw!$D$38</f>
        <v>0</v>
      </c>
      <c r="Z876" s="33"/>
      <c r="AA876" s="33">
        <f>IF(Ruimtestaat[[#This Row],[Frequentie weekend]]&gt;0,VALUE(LEFT(Z876,1))*S876,0)</f>
        <v>0</v>
      </c>
      <c r="AB876" s="33">
        <f>IF($AA876&gt;0,VLOOKUP($K876,Ruimtegroepen[],3,FALSE)*VLOOKUP($M876,Vloersoorten[],3,FALSE)*VLOOKUP($Z876,Frequenties[],3,FALSE)*VLOOKUP(#REF!,Locaties[],3,FALSE),0)</f>
        <v>0</v>
      </c>
      <c r="AC876" s="33"/>
      <c r="AD876" s="33"/>
      <c r="AE876" s="33">
        <f>Ruimtestaat[[#This Row],[uren / jaar weekend]]*Tariefsopbouw!$D$40</f>
        <v>0</v>
      </c>
      <c r="AF876" s="79">
        <f>Ruimtestaat[[#This Row],[Prest. (m2 /jaar) weekend]]+Ruimtestaat[[#This Row],[Prest. (m2 /jaar) werkdagen]]</f>
        <v>320</v>
      </c>
      <c r="AG876" s="79">
        <f>Ruimtestaat[[#This Row],[uren / jaar weekend]]+Ruimtestaat[[#This Row],[uren / jaar werkdagen]]</f>
        <v>0</v>
      </c>
      <c r="AH876" s="80">
        <f>Ruimtestaat[[#This Row],[kosten / jaar weekend]]+Ruimtestaat[[#This Row],[kosten / jaar werkdagen]]</f>
        <v>0</v>
      </c>
    </row>
    <row r="877" spans="1:34" ht="15" customHeight="1">
      <c r="A877" s="256">
        <v>11</v>
      </c>
      <c r="B877" s="171" t="str">
        <f>VLOOKUP(Ruimtestaat[[#This Row],[Code]],Locaties[#All],2,FALSE)</f>
        <v>De Bouwsteen / Het Fundament</v>
      </c>
      <c r="C877" s="258" t="str">
        <f>VLOOKUP(Ruimtestaat[[#This Row],[Code]],Locaties[#All],4,FALSE)</f>
        <v>Anna Reynvaanweg 50</v>
      </c>
      <c r="D877" s="258" t="str">
        <f>VLOOKUP(Ruimtestaat[[#This Row],[Code]],Locaties[#All],5,FALSE)</f>
        <v>7555SG</v>
      </c>
      <c r="E877" s="258" t="str">
        <f>VLOOKUP(Ruimtestaat[[#This Row],[Code]],Locaties[#All],6,FALSE)</f>
        <v>Hengelo</v>
      </c>
      <c r="F877" s="257"/>
      <c r="G877" s="257" t="s">
        <v>564</v>
      </c>
      <c r="H877" s="171"/>
      <c r="I877" s="257" t="s">
        <v>556</v>
      </c>
      <c r="J877" s="259" t="s">
        <v>568</v>
      </c>
      <c r="K877" s="258">
        <v>6</v>
      </c>
      <c r="L877" s="260" t="str">
        <f>VLOOKUP(Ruimtestaat[[#This Row],[Ruimte code]],Ruimtegroepen[#All],2,FALSE)</f>
        <v>Gangen/hallen</v>
      </c>
      <c r="M877" s="258" t="s">
        <v>598</v>
      </c>
      <c r="N877" s="257" t="s">
        <v>132</v>
      </c>
      <c r="O877" s="261">
        <v>1.9</v>
      </c>
      <c r="P877" s="183"/>
      <c r="Q877" s="212" t="str">
        <f>VLOOKUP(Ruimtestaat[[#This Row],[Ruimte code]],Ruimtegroepen[#All],4,FALSE)</f>
        <v>V  (Verkeersruimte)</v>
      </c>
      <c r="R877" s="184"/>
      <c r="S877" s="185">
        <v>40</v>
      </c>
      <c r="T877" s="185" t="s">
        <v>2</v>
      </c>
      <c r="U877" s="185">
        <f>IF(S877&gt;0,IF(RIGHT(Ruimtestaat[[#This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7" s="185">
        <f>IF(U877&gt;0,VLOOKUP($K877,Ruimtegroepen[],3,FALSE)*VLOOKUP($M877,Vloersoorten[],3,FALSE)*VLOOKUP($T877,Frequenties[],3,FALSE)*VLOOKUP($A877,Locaties[],3,FALSE),0)</f>
        <v>0</v>
      </c>
      <c r="W877" s="185">
        <f>Ruimtestaat[[#This Row],[Uitvoeringen werkdagen]]*Ruimtestaat[[#This Row],[Oppervlak (netto)]]</f>
        <v>380</v>
      </c>
      <c r="X877" s="220">
        <f>IF(V877&gt;0,Ruimtestaat[[#This Row],[Prest. (m2 /jaar) werkdagen]]/Ruimtestaat[[#This Row],[Norm (m2/uur) werkdagen]],0)</f>
        <v>0</v>
      </c>
      <c r="Y877" s="221">
        <f>Ruimtestaat[[#This Row],[uren / jaar werkdagen]]*Tariefsopbouw!$D$38</f>
        <v>0</v>
      </c>
      <c r="Z877" s="33"/>
      <c r="AA877" s="33">
        <f>IF(Ruimtestaat[[#This Row],[Frequentie weekend]]&gt;0,VALUE(LEFT(Z877,1))*S877,0)</f>
        <v>0</v>
      </c>
      <c r="AB877" s="33">
        <f>IF($AA877&gt;0,VLOOKUP($K877,Ruimtegroepen[],3,FALSE)*VLOOKUP($M877,Vloersoorten[],3,FALSE)*VLOOKUP($Z877,Frequenties[],3,FALSE)*VLOOKUP(#REF!,Locaties[],3,FALSE),0)</f>
        <v>0</v>
      </c>
      <c r="AC877" s="33"/>
      <c r="AD877" s="33"/>
      <c r="AE877" s="33">
        <f>Ruimtestaat[[#This Row],[uren / jaar weekend]]*Tariefsopbouw!$D$40</f>
        <v>0</v>
      </c>
      <c r="AF877" s="79">
        <f>Ruimtestaat[[#This Row],[Prest. (m2 /jaar) weekend]]+Ruimtestaat[[#This Row],[Prest. (m2 /jaar) werkdagen]]</f>
        <v>380</v>
      </c>
      <c r="AG877" s="79">
        <f>Ruimtestaat[[#This Row],[uren / jaar weekend]]+Ruimtestaat[[#This Row],[uren / jaar werkdagen]]</f>
        <v>0</v>
      </c>
      <c r="AH877" s="80">
        <f>Ruimtestaat[[#This Row],[kosten / jaar weekend]]+Ruimtestaat[[#This Row],[kosten / jaar werkdagen]]</f>
        <v>0</v>
      </c>
    </row>
    <row r="878" spans="1:34" ht="15" customHeight="1">
      <c r="A878" s="256">
        <v>11</v>
      </c>
      <c r="B878" s="171" t="str">
        <f>VLOOKUP(Ruimtestaat[[#This Row],[Code]],Locaties[#All],2,FALSE)</f>
        <v>De Bouwsteen / Het Fundament</v>
      </c>
      <c r="C878" s="258" t="str">
        <f>VLOOKUP(Ruimtestaat[[#This Row],[Code]],Locaties[#All],4,FALSE)</f>
        <v>Anna Reynvaanweg 50</v>
      </c>
      <c r="D878" s="258" t="str">
        <f>VLOOKUP(Ruimtestaat[[#This Row],[Code]],Locaties[#All],5,FALSE)</f>
        <v>7555SG</v>
      </c>
      <c r="E878" s="258" t="str">
        <f>VLOOKUP(Ruimtestaat[[#This Row],[Code]],Locaties[#All],6,FALSE)</f>
        <v>Hengelo</v>
      </c>
      <c r="F878" s="257"/>
      <c r="G878" s="257" t="s">
        <v>564</v>
      </c>
      <c r="H878" s="171"/>
      <c r="I878" s="257" t="s">
        <v>557</v>
      </c>
      <c r="J878" s="259" t="s">
        <v>568</v>
      </c>
      <c r="K878" s="258">
        <v>6</v>
      </c>
      <c r="L878" s="260" t="str">
        <f>VLOOKUP(Ruimtestaat[[#This Row],[Ruimte code]],Ruimtegroepen[#All],2,FALSE)</f>
        <v>Gangen/hallen</v>
      </c>
      <c r="M878" s="258" t="s">
        <v>598</v>
      </c>
      <c r="N878" s="257" t="s">
        <v>132</v>
      </c>
      <c r="O878" s="261">
        <v>2.8</v>
      </c>
      <c r="P878" s="183"/>
      <c r="Q878" s="212" t="str">
        <f>VLOOKUP(Ruimtestaat[[#This Row],[Ruimte code]],Ruimtegroepen[#All],4,FALSE)</f>
        <v>V  (Verkeersruimte)</v>
      </c>
      <c r="R878" s="184"/>
      <c r="S878" s="185">
        <v>40</v>
      </c>
      <c r="T878" s="185" t="s">
        <v>2</v>
      </c>
      <c r="U878" s="185">
        <f>IF(S878&gt;0,IF(RIGHT(Ruimtestaat[[#This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8" s="185">
        <f>IF(U878&gt;0,VLOOKUP($K878,Ruimtegroepen[],3,FALSE)*VLOOKUP($M878,Vloersoorten[],3,FALSE)*VLOOKUP($T878,Frequenties[],3,FALSE)*VLOOKUP($A878,Locaties[],3,FALSE),0)</f>
        <v>0</v>
      </c>
      <c r="W878" s="185">
        <f>Ruimtestaat[[#This Row],[Uitvoeringen werkdagen]]*Ruimtestaat[[#This Row],[Oppervlak (netto)]]</f>
        <v>560</v>
      </c>
      <c r="X878" s="220">
        <f>IF(V878&gt;0,Ruimtestaat[[#This Row],[Prest. (m2 /jaar) werkdagen]]/Ruimtestaat[[#This Row],[Norm (m2/uur) werkdagen]],0)</f>
        <v>0</v>
      </c>
      <c r="Y878" s="221">
        <f>Ruimtestaat[[#This Row],[uren / jaar werkdagen]]*Tariefsopbouw!$D$38</f>
        <v>0</v>
      </c>
      <c r="Z878" s="33"/>
      <c r="AA878" s="33">
        <f>IF(Ruimtestaat[[#This Row],[Frequentie weekend]]&gt;0,VALUE(LEFT(Z878,1))*S878,0)</f>
        <v>0</v>
      </c>
      <c r="AB878" s="33">
        <f>IF($AA878&gt;0,VLOOKUP($K878,Ruimtegroepen[],3,FALSE)*VLOOKUP($M878,Vloersoorten[],3,FALSE)*VLOOKUP($Z878,Frequenties[],3,FALSE)*VLOOKUP(#REF!,Locaties[],3,FALSE),0)</f>
        <v>0</v>
      </c>
      <c r="AC878" s="33"/>
      <c r="AD878" s="33"/>
      <c r="AE878" s="33">
        <f>Ruimtestaat[[#This Row],[uren / jaar weekend]]*Tariefsopbouw!$D$40</f>
        <v>0</v>
      </c>
      <c r="AF878" s="79">
        <f>Ruimtestaat[[#This Row],[Prest. (m2 /jaar) weekend]]+Ruimtestaat[[#This Row],[Prest. (m2 /jaar) werkdagen]]</f>
        <v>560</v>
      </c>
      <c r="AG878" s="79">
        <f>Ruimtestaat[[#This Row],[uren / jaar weekend]]+Ruimtestaat[[#This Row],[uren / jaar werkdagen]]</f>
        <v>0</v>
      </c>
      <c r="AH878" s="80">
        <f>Ruimtestaat[[#This Row],[kosten / jaar weekend]]+Ruimtestaat[[#This Row],[kosten / jaar werkdagen]]</f>
        <v>0</v>
      </c>
    </row>
    <row r="879" spans="1:34" ht="15" customHeight="1">
      <c r="A879" s="256">
        <v>11</v>
      </c>
      <c r="B879" s="171" t="str">
        <f>VLOOKUP(Ruimtestaat[[#This Row],[Code]],Locaties[#All],2,FALSE)</f>
        <v>De Bouwsteen / Het Fundament</v>
      </c>
      <c r="C879" s="258" t="str">
        <f>VLOOKUP(Ruimtestaat[[#This Row],[Code]],Locaties[#All],4,FALSE)</f>
        <v>Anna Reynvaanweg 50</v>
      </c>
      <c r="D879" s="258" t="str">
        <f>VLOOKUP(Ruimtestaat[[#This Row],[Code]],Locaties[#All],5,FALSE)</f>
        <v>7555SG</v>
      </c>
      <c r="E879" s="258" t="str">
        <f>VLOOKUP(Ruimtestaat[[#This Row],[Code]],Locaties[#All],6,FALSE)</f>
        <v>Hengelo</v>
      </c>
      <c r="F879" s="257"/>
      <c r="G879" s="257" t="s">
        <v>564</v>
      </c>
      <c r="H879" s="171"/>
      <c r="I879" s="257" t="s">
        <v>558</v>
      </c>
      <c r="J879" s="259" t="s">
        <v>569</v>
      </c>
      <c r="K879" s="185">
        <v>5</v>
      </c>
      <c r="L879" s="260" t="str">
        <f>VLOOKUP(Ruimtestaat[[#This Row],[Ruimte code]],Ruimtegroepen[#All],2,FALSE)</f>
        <v>Sanitair</v>
      </c>
      <c r="M879" s="212" t="s">
        <v>111</v>
      </c>
      <c r="N879" s="257" t="s">
        <v>595</v>
      </c>
      <c r="O879" s="261">
        <v>1.4</v>
      </c>
      <c r="P879" s="183"/>
      <c r="Q879" s="212" t="str">
        <f>VLOOKUP(Ruimtestaat[[#This Row],[Ruimte code]],Ruimtegroepen[#All],4,FALSE)</f>
        <v>S  (Sanitair)</v>
      </c>
      <c r="R879" s="184"/>
      <c r="S879" s="185">
        <v>40</v>
      </c>
      <c r="T879" s="185" t="s">
        <v>2</v>
      </c>
      <c r="U879" s="185">
        <f>IF(S879&gt;0,IF(RIGHT(Ruimtestaat[[#This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9" s="185">
        <f>IF(U879&gt;0,VLOOKUP($K879,Ruimtegroepen[],3,FALSE)*VLOOKUP($M879,Vloersoorten[],3,FALSE)*VLOOKUP($T879,Frequenties[],3,FALSE)*VLOOKUP($A879,Locaties[],3,FALSE),0)</f>
        <v>0</v>
      </c>
      <c r="W879" s="185">
        <f>Ruimtestaat[[#This Row],[Uitvoeringen werkdagen]]*Ruimtestaat[[#This Row],[Oppervlak (netto)]]</f>
        <v>280</v>
      </c>
      <c r="X879" s="220">
        <f>IF(V879&gt;0,Ruimtestaat[[#This Row],[Prest. (m2 /jaar) werkdagen]]/Ruimtestaat[[#This Row],[Norm (m2/uur) werkdagen]],0)</f>
        <v>0</v>
      </c>
      <c r="Y879" s="221">
        <f>Ruimtestaat[[#This Row],[uren / jaar werkdagen]]*Tariefsopbouw!$D$38</f>
        <v>0</v>
      </c>
      <c r="Z879" s="33"/>
      <c r="AA879" s="33">
        <f>IF(Ruimtestaat[[#This Row],[Frequentie weekend]]&gt;0,VALUE(LEFT(Z879,1))*S879,0)</f>
        <v>0</v>
      </c>
      <c r="AB879" s="33">
        <f>IF($AA879&gt;0,VLOOKUP($K879,Ruimtegroepen[],3,FALSE)*VLOOKUP($M879,Vloersoorten[],3,FALSE)*VLOOKUP($Z879,Frequenties[],3,FALSE)*VLOOKUP(#REF!,Locaties[],3,FALSE),0)</f>
        <v>0</v>
      </c>
      <c r="AC879" s="33"/>
      <c r="AD879" s="33"/>
      <c r="AE879" s="33">
        <f>Ruimtestaat[[#This Row],[uren / jaar weekend]]*Tariefsopbouw!$D$40</f>
        <v>0</v>
      </c>
      <c r="AF879" s="79">
        <f>Ruimtestaat[[#This Row],[Prest. (m2 /jaar) weekend]]+Ruimtestaat[[#This Row],[Prest. (m2 /jaar) werkdagen]]</f>
        <v>280</v>
      </c>
      <c r="AG879" s="79">
        <f>Ruimtestaat[[#This Row],[uren / jaar weekend]]+Ruimtestaat[[#This Row],[uren / jaar werkdagen]]</f>
        <v>0</v>
      </c>
      <c r="AH879" s="80">
        <f>Ruimtestaat[[#This Row],[kosten / jaar weekend]]+Ruimtestaat[[#This Row],[kosten / jaar werkdagen]]</f>
        <v>0</v>
      </c>
    </row>
    <row r="880" spans="1:34" ht="15" customHeight="1">
      <c r="A880" s="256">
        <v>11</v>
      </c>
      <c r="B880" s="171" t="str">
        <f>VLOOKUP(Ruimtestaat[[#This Row],[Code]],Locaties[#All],2,FALSE)</f>
        <v>De Bouwsteen / Het Fundament</v>
      </c>
      <c r="C880" s="258" t="str">
        <f>VLOOKUP(Ruimtestaat[[#This Row],[Code]],Locaties[#All],4,FALSE)</f>
        <v>Anna Reynvaanweg 50</v>
      </c>
      <c r="D880" s="258" t="str">
        <f>VLOOKUP(Ruimtestaat[[#This Row],[Code]],Locaties[#All],5,FALSE)</f>
        <v>7555SG</v>
      </c>
      <c r="E880" s="258" t="str">
        <f>VLOOKUP(Ruimtestaat[[#This Row],[Code]],Locaties[#All],6,FALSE)</f>
        <v>Hengelo</v>
      </c>
      <c r="F880" s="257"/>
      <c r="G880" s="257" t="s">
        <v>564</v>
      </c>
      <c r="H880" s="171"/>
      <c r="I880" s="257" t="s">
        <v>559</v>
      </c>
      <c r="J880" s="259" t="s">
        <v>568</v>
      </c>
      <c r="K880" s="258">
        <v>6</v>
      </c>
      <c r="L880" s="260" t="str">
        <f>VLOOKUP(Ruimtestaat[[#This Row],[Ruimte code]],Ruimtegroepen[#All],2,FALSE)</f>
        <v>Gangen/hallen</v>
      </c>
      <c r="M880" s="258" t="s">
        <v>598</v>
      </c>
      <c r="N880" s="257" t="s">
        <v>132</v>
      </c>
      <c r="O880" s="261">
        <v>3.2</v>
      </c>
      <c r="P880" s="183"/>
      <c r="Q880" s="212" t="str">
        <f>VLOOKUP(Ruimtestaat[[#This Row],[Ruimte code]],Ruimtegroepen[#All],4,FALSE)</f>
        <v>V  (Verkeersruimte)</v>
      </c>
      <c r="R880" s="184"/>
      <c r="S880" s="185">
        <v>40</v>
      </c>
      <c r="T880" s="185" t="s">
        <v>2</v>
      </c>
      <c r="U880" s="185">
        <f>IF(S880&gt;0,IF(RIGHT(Ruimtestaat[[#This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0" s="185">
        <f>IF(U880&gt;0,VLOOKUP($K880,Ruimtegroepen[],3,FALSE)*VLOOKUP($M880,Vloersoorten[],3,FALSE)*VLOOKUP($T880,Frequenties[],3,FALSE)*VLOOKUP($A880,Locaties[],3,FALSE),0)</f>
        <v>0</v>
      </c>
      <c r="W880" s="185">
        <f>Ruimtestaat[[#This Row],[Uitvoeringen werkdagen]]*Ruimtestaat[[#This Row],[Oppervlak (netto)]]</f>
        <v>640</v>
      </c>
      <c r="X880" s="220">
        <f>IF(V880&gt;0,Ruimtestaat[[#This Row],[Prest. (m2 /jaar) werkdagen]]/Ruimtestaat[[#This Row],[Norm (m2/uur) werkdagen]],0)</f>
        <v>0</v>
      </c>
      <c r="Y880" s="221">
        <f>Ruimtestaat[[#This Row],[uren / jaar werkdagen]]*Tariefsopbouw!$D$38</f>
        <v>0</v>
      </c>
      <c r="Z880" s="33"/>
      <c r="AA880" s="33">
        <f>IF(Ruimtestaat[[#This Row],[Frequentie weekend]]&gt;0,VALUE(LEFT(Z880,1))*S880,0)</f>
        <v>0</v>
      </c>
      <c r="AB880" s="33">
        <f>IF($AA880&gt;0,VLOOKUP($K880,Ruimtegroepen[],3,FALSE)*VLOOKUP($M880,Vloersoorten[],3,FALSE)*VLOOKUP($Z880,Frequenties[],3,FALSE)*VLOOKUP(#REF!,Locaties[],3,FALSE),0)</f>
        <v>0</v>
      </c>
      <c r="AC880" s="33"/>
      <c r="AD880" s="33"/>
      <c r="AE880" s="33">
        <f>Ruimtestaat[[#This Row],[uren / jaar weekend]]*Tariefsopbouw!$D$40</f>
        <v>0</v>
      </c>
      <c r="AF880" s="79">
        <f>Ruimtestaat[[#This Row],[Prest. (m2 /jaar) weekend]]+Ruimtestaat[[#This Row],[Prest. (m2 /jaar) werkdagen]]</f>
        <v>640</v>
      </c>
      <c r="AG880" s="79">
        <f>Ruimtestaat[[#This Row],[uren / jaar weekend]]+Ruimtestaat[[#This Row],[uren / jaar werkdagen]]</f>
        <v>0</v>
      </c>
      <c r="AH880" s="80">
        <f>Ruimtestaat[[#This Row],[kosten / jaar weekend]]+Ruimtestaat[[#This Row],[kosten / jaar werkdagen]]</f>
        <v>0</v>
      </c>
    </row>
    <row r="881" spans="1:34" ht="15" customHeight="1">
      <c r="A881" s="256">
        <v>11</v>
      </c>
      <c r="B881" s="171" t="str">
        <f>VLOOKUP(Ruimtestaat[[#This Row],[Code]],Locaties[#All],2,FALSE)</f>
        <v>De Bouwsteen / Het Fundament</v>
      </c>
      <c r="C881" s="258" t="str">
        <f>VLOOKUP(Ruimtestaat[[#This Row],[Code]],Locaties[#All],4,FALSE)</f>
        <v>Anna Reynvaanweg 50</v>
      </c>
      <c r="D881" s="258" t="str">
        <f>VLOOKUP(Ruimtestaat[[#This Row],[Code]],Locaties[#All],5,FALSE)</f>
        <v>7555SG</v>
      </c>
      <c r="E881" s="258" t="str">
        <f>VLOOKUP(Ruimtestaat[[#This Row],[Code]],Locaties[#All],6,FALSE)</f>
        <v>Hengelo</v>
      </c>
      <c r="F881" s="257"/>
      <c r="G881" s="257" t="s">
        <v>564</v>
      </c>
      <c r="H881" s="171"/>
      <c r="I881" s="257" t="s">
        <v>560</v>
      </c>
      <c r="J881" s="259" t="s">
        <v>569</v>
      </c>
      <c r="K881" s="258">
        <v>5</v>
      </c>
      <c r="L881" s="260" t="str">
        <f>VLOOKUP(Ruimtestaat[[#This Row],[Ruimte code]],Ruimtegroepen[#All],2,FALSE)</f>
        <v>Sanitair</v>
      </c>
      <c r="M881" s="212" t="s">
        <v>111</v>
      </c>
      <c r="N881" s="257" t="s">
        <v>595</v>
      </c>
      <c r="O881" s="261">
        <v>1.6</v>
      </c>
      <c r="P881" s="183"/>
      <c r="Q881" s="212" t="str">
        <f>VLOOKUP(Ruimtestaat[[#This Row],[Ruimte code]],Ruimtegroepen[#All],4,FALSE)</f>
        <v>S  (Sanitair)</v>
      </c>
      <c r="R881" s="184"/>
      <c r="S881" s="185">
        <v>40</v>
      </c>
      <c r="T881" s="185" t="s">
        <v>2</v>
      </c>
      <c r="U881" s="185">
        <f>IF(S881&gt;0,IF(RIGHT(Ruimtestaat[[#This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1" s="185">
        <f>IF(U881&gt;0,VLOOKUP($K881,Ruimtegroepen[],3,FALSE)*VLOOKUP($M881,Vloersoorten[],3,FALSE)*VLOOKUP($T881,Frequenties[],3,FALSE)*VLOOKUP($A881,Locaties[],3,FALSE),0)</f>
        <v>0</v>
      </c>
      <c r="W881" s="185">
        <f>Ruimtestaat[[#This Row],[Uitvoeringen werkdagen]]*Ruimtestaat[[#This Row],[Oppervlak (netto)]]</f>
        <v>320</v>
      </c>
      <c r="X881" s="220">
        <f>IF(V881&gt;0,Ruimtestaat[[#This Row],[Prest. (m2 /jaar) werkdagen]]/Ruimtestaat[[#This Row],[Norm (m2/uur) werkdagen]],0)</f>
        <v>0</v>
      </c>
      <c r="Y881" s="221">
        <f>Ruimtestaat[[#This Row],[uren / jaar werkdagen]]*Tariefsopbouw!$D$38</f>
        <v>0</v>
      </c>
      <c r="Z881" s="33"/>
      <c r="AA881" s="33">
        <f>IF(Ruimtestaat[[#This Row],[Frequentie weekend]]&gt;0,VALUE(LEFT(Z881,1))*S881,0)</f>
        <v>0</v>
      </c>
      <c r="AB881" s="33">
        <f>IF($AA881&gt;0,VLOOKUP($K881,Ruimtegroepen[],3,FALSE)*VLOOKUP($M881,Vloersoorten[],3,FALSE)*VLOOKUP($Z881,Frequenties[],3,FALSE)*VLOOKUP(#REF!,Locaties[],3,FALSE),0)</f>
        <v>0</v>
      </c>
      <c r="AC881" s="33"/>
      <c r="AD881" s="33"/>
      <c r="AE881" s="33">
        <f>Ruimtestaat[[#This Row],[uren / jaar weekend]]*Tariefsopbouw!$D$40</f>
        <v>0</v>
      </c>
      <c r="AF881" s="79">
        <f>Ruimtestaat[[#This Row],[Prest. (m2 /jaar) weekend]]+Ruimtestaat[[#This Row],[Prest. (m2 /jaar) werkdagen]]</f>
        <v>320</v>
      </c>
      <c r="AG881" s="79">
        <f>Ruimtestaat[[#This Row],[uren / jaar weekend]]+Ruimtestaat[[#This Row],[uren / jaar werkdagen]]</f>
        <v>0</v>
      </c>
      <c r="AH881" s="80">
        <f>Ruimtestaat[[#This Row],[kosten / jaar weekend]]+Ruimtestaat[[#This Row],[kosten / jaar werkdagen]]</f>
        <v>0</v>
      </c>
    </row>
    <row r="882" spans="1:34" ht="15" customHeight="1">
      <c r="A882" s="256">
        <v>11</v>
      </c>
      <c r="B882" s="171" t="str">
        <f>VLOOKUP(Ruimtestaat[[#This Row],[Code]],Locaties[#All],2,FALSE)</f>
        <v>De Bouwsteen / Het Fundament</v>
      </c>
      <c r="C882" s="258" t="str">
        <f>VLOOKUP(Ruimtestaat[[#This Row],[Code]],Locaties[#All],4,FALSE)</f>
        <v>Anna Reynvaanweg 50</v>
      </c>
      <c r="D882" s="258" t="str">
        <f>VLOOKUP(Ruimtestaat[[#This Row],[Code]],Locaties[#All],5,FALSE)</f>
        <v>7555SG</v>
      </c>
      <c r="E882" s="258" t="str">
        <f>VLOOKUP(Ruimtestaat[[#This Row],[Code]],Locaties[#All],6,FALSE)</f>
        <v>Hengelo</v>
      </c>
      <c r="F882" s="257"/>
      <c r="G882" s="257" t="s">
        <v>564</v>
      </c>
      <c r="H882" s="171"/>
      <c r="I882" s="257" t="s">
        <v>561</v>
      </c>
      <c r="J882" s="259" t="s">
        <v>592</v>
      </c>
      <c r="K882" s="258">
        <v>14</v>
      </c>
      <c r="L882" s="260" t="str">
        <f>VLOOKUP(Ruimtestaat[[#This Row],[Ruimte code]],Ruimtegroepen[#All],2,FALSE)</f>
        <v>Praktijklokalen</v>
      </c>
      <c r="M882" s="185" t="s">
        <v>112</v>
      </c>
      <c r="N882" s="257" t="s">
        <v>596</v>
      </c>
      <c r="O882" s="261">
        <v>95.6</v>
      </c>
      <c r="P882" s="183"/>
      <c r="Q882" s="212" t="str">
        <f>VLOOKUP(Ruimtestaat[[#This Row],[Ruimte code]],Ruimtegroepen[#All],4,FALSE)</f>
        <v>L  (Lesruimte)</v>
      </c>
      <c r="R882" s="184"/>
      <c r="S882" s="185">
        <v>40</v>
      </c>
      <c r="T882" s="185" t="s">
        <v>15</v>
      </c>
      <c r="U882" s="185">
        <f>IF(S882&gt;0,IF(RIGHT(Ruimtestaat[[#This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82" s="185">
        <f>IF(U882&gt;0,VLOOKUP($K882,Ruimtegroepen[],3,FALSE)*VLOOKUP($M882,Vloersoorten[],3,FALSE)*VLOOKUP($T882,Frequenties[],3,FALSE)*VLOOKUP($A882,Locaties[],3,FALSE),0)</f>
        <v>0</v>
      </c>
      <c r="W882" s="185">
        <f>Ruimtestaat[[#This Row],[Uitvoeringen werkdagen]]*Ruimtestaat[[#This Row],[Oppervlak (netto)]]</f>
        <v>3824</v>
      </c>
      <c r="X882" s="220">
        <f>IF(V882&gt;0,Ruimtestaat[[#This Row],[Prest. (m2 /jaar) werkdagen]]/Ruimtestaat[[#This Row],[Norm (m2/uur) werkdagen]],0)</f>
        <v>0</v>
      </c>
      <c r="Y882" s="221">
        <f>Ruimtestaat[[#This Row],[uren / jaar werkdagen]]*Tariefsopbouw!$D$38</f>
        <v>0</v>
      </c>
      <c r="Z882" s="33"/>
      <c r="AA882" s="33">
        <f>IF(Ruimtestaat[[#This Row],[Frequentie weekend]]&gt;0,VALUE(LEFT(Z882,1))*S882,0)</f>
        <v>0</v>
      </c>
      <c r="AB882" s="33">
        <f>IF($AA882&gt;0,VLOOKUP($K882,Ruimtegroepen[],3,FALSE)*VLOOKUP($M882,Vloersoorten[],3,FALSE)*VLOOKUP($Z882,Frequenties[],3,FALSE)*VLOOKUP(#REF!,Locaties[],3,FALSE),0)</f>
        <v>0</v>
      </c>
      <c r="AC882" s="33"/>
      <c r="AD882" s="33"/>
      <c r="AE882" s="33">
        <f>Ruimtestaat[[#This Row],[uren / jaar weekend]]*Tariefsopbouw!$D$40</f>
        <v>0</v>
      </c>
      <c r="AF882" s="79">
        <f>Ruimtestaat[[#This Row],[Prest. (m2 /jaar) weekend]]+Ruimtestaat[[#This Row],[Prest. (m2 /jaar) werkdagen]]</f>
        <v>3824</v>
      </c>
      <c r="AG882" s="79">
        <f>Ruimtestaat[[#This Row],[uren / jaar weekend]]+Ruimtestaat[[#This Row],[uren / jaar werkdagen]]</f>
        <v>0</v>
      </c>
      <c r="AH882" s="80">
        <f>Ruimtestaat[[#This Row],[kosten / jaar weekend]]+Ruimtestaat[[#This Row],[kosten / jaar werkdagen]]</f>
        <v>0</v>
      </c>
    </row>
    <row r="883" spans="1:34" ht="15" customHeight="1">
      <c r="A883" s="256">
        <v>11</v>
      </c>
      <c r="B883" s="171" t="str">
        <f>VLOOKUP(Ruimtestaat[[#This Row],[Code]],Locaties[#All],2,FALSE)</f>
        <v>De Bouwsteen / Het Fundament</v>
      </c>
      <c r="C883" s="258" t="str">
        <f>VLOOKUP(Ruimtestaat[[#This Row],[Code]],Locaties[#All],4,FALSE)</f>
        <v>Anna Reynvaanweg 50</v>
      </c>
      <c r="D883" s="258" t="str">
        <f>VLOOKUP(Ruimtestaat[[#This Row],[Code]],Locaties[#All],5,FALSE)</f>
        <v>7555SG</v>
      </c>
      <c r="E883" s="258" t="str">
        <f>VLOOKUP(Ruimtestaat[[#This Row],[Code]],Locaties[#All],6,FALSE)</f>
        <v>Hengelo</v>
      </c>
      <c r="F883" s="257"/>
      <c r="G883" s="257" t="s">
        <v>564</v>
      </c>
      <c r="H883" s="171"/>
      <c r="I883" s="257" t="s">
        <v>562</v>
      </c>
      <c r="J883" s="259" t="s">
        <v>61</v>
      </c>
      <c r="K883" s="185">
        <v>3</v>
      </c>
      <c r="L883" s="260" t="str">
        <f>VLOOKUP(Ruimtestaat[[#This Row],[Ruimte code]],Ruimtegroepen[#All],2,FALSE)</f>
        <v>Reproruimte</v>
      </c>
      <c r="M883" s="258" t="s">
        <v>598</v>
      </c>
      <c r="N883" s="257" t="s">
        <v>132</v>
      </c>
      <c r="O883" s="261">
        <v>3.5</v>
      </c>
      <c r="P883" s="183"/>
      <c r="Q883" s="212" t="str">
        <f>VLOOKUP(Ruimtestaat[[#This Row],[Ruimte code]],Ruimtegroepen[#All],4,FALSE)</f>
        <v>V  (Verkeersruimte)</v>
      </c>
      <c r="R883" s="184"/>
      <c r="S883" s="185">
        <v>40</v>
      </c>
      <c r="T883" s="185" t="s">
        <v>15</v>
      </c>
      <c r="U883" s="185">
        <f>IF(S883&gt;0,IF(RIGHT(Ruimtestaat[[#This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83" s="185">
        <f>IF(U883&gt;0,VLOOKUP($K883,Ruimtegroepen[],3,FALSE)*VLOOKUP($M883,Vloersoorten[],3,FALSE)*VLOOKUP($T883,Frequenties[],3,FALSE)*VLOOKUP($A883,Locaties[],3,FALSE),0)</f>
        <v>0</v>
      </c>
      <c r="W883" s="185">
        <f>Ruimtestaat[[#This Row],[Uitvoeringen werkdagen]]*Ruimtestaat[[#This Row],[Oppervlak (netto)]]</f>
        <v>140</v>
      </c>
      <c r="X883" s="220">
        <f>IF(V883&gt;0,Ruimtestaat[[#This Row],[Prest. (m2 /jaar) werkdagen]]/Ruimtestaat[[#This Row],[Norm (m2/uur) werkdagen]],0)</f>
        <v>0</v>
      </c>
      <c r="Y883" s="221">
        <f>Ruimtestaat[[#This Row],[uren / jaar werkdagen]]*Tariefsopbouw!$D$38</f>
        <v>0</v>
      </c>
      <c r="Z883" s="33"/>
      <c r="AA883" s="33">
        <f>IF(Ruimtestaat[[#This Row],[Frequentie weekend]]&gt;0,VALUE(LEFT(Z883,1))*S883,0)</f>
        <v>0</v>
      </c>
      <c r="AB883" s="33">
        <f>IF($AA883&gt;0,VLOOKUP($K883,Ruimtegroepen[],3,FALSE)*VLOOKUP($M883,Vloersoorten[],3,FALSE)*VLOOKUP($Z883,Frequenties[],3,FALSE)*VLOOKUP(#REF!,Locaties[],3,FALSE),0)</f>
        <v>0</v>
      </c>
      <c r="AC883" s="33"/>
      <c r="AD883" s="33"/>
      <c r="AE883" s="33">
        <f>Ruimtestaat[[#This Row],[uren / jaar weekend]]*Tariefsopbouw!$D$40</f>
        <v>0</v>
      </c>
      <c r="AF883" s="79">
        <f>Ruimtestaat[[#This Row],[Prest. (m2 /jaar) weekend]]+Ruimtestaat[[#This Row],[Prest. (m2 /jaar) werkdagen]]</f>
        <v>140</v>
      </c>
      <c r="AG883" s="79">
        <f>Ruimtestaat[[#This Row],[uren / jaar weekend]]+Ruimtestaat[[#This Row],[uren / jaar werkdagen]]</f>
        <v>0</v>
      </c>
      <c r="AH883" s="80">
        <f>Ruimtestaat[[#This Row],[kosten / jaar weekend]]+Ruimtestaat[[#This Row],[kosten / jaar werkdagen]]</f>
        <v>0</v>
      </c>
    </row>
    <row r="884" spans="1:34" ht="15" customHeight="1">
      <c r="A884" s="256">
        <v>11</v>
      </c>
      <c r="B884" s="171" t="str">
        <f>VLOOKUP(Ruimtestaat[[#This Row],[Code]],Locaties[#All],2,FALSE)</f>
        <v>De Bouwsteen / Het Fundament</v>
      </c>
      <c r="C884" s="258" t="str">
        <f>VLOOKUP(Ruimtestaat[[#This Row],[Code]],Locaties[#All],4,FALSE)</f>
        <v>Anna Reynvaanweg 50</v>
      </c>
      <c r="D884" s="258" t="str">
        <f>VLOOKUP(Ruimtestaat[[#This Row],[Code]],Locaties[#All],5,FALSE)</f>
        <v>7555SG</v>
      </c>
      <c r="E884" s="258" t="str">
        <f>VLOOKUP(Ruimtestaat[[#This Row],[Code]],Locaties[#All],6,FALSE)</f>
        <v>Hengelo</v>
      </c>
      <c r="F884" s="257"/>
      <c r="G884" s="257" t="s">
        <v>563</v>
      </c>
      <c r="H884" s="171"/>
      <c r="I884" s="257"/>
      <c r="J884" s="259" t="s">
        <v>576</v>
      </c>
      <c r="K884" s="185">
        <v>16</v>
      </c>
      <c r="L884" s="260" t="str">
        <f>VLOOKUP(Ruimtestaat[[#This Row],[Ruimte code]],Ruimtegroepen[#All],2,FALSE)</f>
        <v>Leslokalen</v>
      </c>
      <c r="M884" s="212" t="s">
        <v>112</v>
      </c>
      <c r="N884" s="257" t="s">
        <v>129</v>
      </c>
      <c r="O884" s="261">
        <v>45.8</v>
      </c>
      <c r="P884" s="183"/>
      <c r="Q884" s="212" t="str">
        <f>VLOOKUP(Ruimtestaat[[#This Row],[Ruimte code]],Ruimtegroepen[#All],4,FALSE)</f>
        <v>L  (Lesruimte)</v>
      </c>
      <c r="R884" s="184"/>
      <c r="S884" s="185">
        <v>40</v>
      </c>
      <c r="T884" s="185" t="s">
        <v>2</v>
      </c>
      <c r="U884" s="185">
        <f>IF(S884&gt;0,IF(RIGHT(Ruimtestaat[[#This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4" s="185">
        <f>IF(U884&gt;0,VLOOKUP($K884,Ruimtegroepen[],3,FALSE)*VLOOKUP($M884,Vloersoorten[],3,FALSE)*VLOOKUP($T884,Frequenties[],3,FALSE)*VLOOKUP($A884,Locaties[],3,FALSE),0)</f>
        <v>0</v>
      </c>
      <c r="W884" s="185">
        <f>Ruimtestaat[[#This Row],[Uitvoeringen werkdagen]]*Ruimtestaat[[#This Row],[Oppervlak (netto)]]</f>
        <v>9160</v>
      </c>
      <c r="X884" s="220">
        <f>IF(V884&gt;0,Ruimtestaat[[#This Row],[Prest. (m2 /jaar) werkdagen]]/Ruimtestaat[[#This Row],[Norm (m2/uur) werkdagen]],0)</f>
        <v>0</v>
      </c>
      <c r="Y884" s="221">
        <f>Ruimtestaat[[#This Row],[uren / jaar werkdagen]]*Tariefsopbouw!$D$38</f>
        <v>0</v>
      </c>
      <c r="Z884" s="33"/>
      <c r="AA884" s="33">
        <f>IF(Ruimtestaat[[#This Row],[Frequentie weekend]]&gt;0,VALUE(LEFT(Z884,1))*S884,0)</f>
        <v>0</v>
      </c>
      <c r="AB884" s="33">
        <f>IF($AA884&gt;0,VLOOKUP($K884,Ruimtegroepen[],3,FALSE)*VLOOKUP($M884,Vloersoorten[],3,FALSE)*VLOOKUP($Z884,Frequenties[],3,FALSE)*VLOOKUP(#REF!,Locaties[],3,FALSE),0)</f>
        <v>0</v>
      </c>
      <c r="AC884" s="33"/>
      <c r="AD884" s="33"/>
      <c r="AE884" s="33">
        <f>Ruimtestaat[[#This Row],[uren / jaar weekend]]*Tariefsopbouw!$D$40</f>
        <v>0</v>
      </c>
      <c r="AF884" s="79">
        <f>Ruimtestaat[[#This Row],[Prest. (m2 /jaar) weekend]]+Ruimtestaat[[#This Row],[Prest. (m2 /jaar) werkdagen]]</f>
        <v>9160</v>
      </c>
      <c r="AG884" s="79">
        <f>Ruimtestaat[[#This Row],[uren / jaar weekend]]+Ruimtestaat[[#This Row],[uren / jaar werkdagen]]</f>
        <v>0</v>
      </c>
      <c r="AH884" s="80">
        <f>Ruimtestaat[[#This Row],[kosten / jaar weekend]]+Ruimtestaat[[#This Row],[kosten / jaar werkdagen]]</f>
        <v>0</v>
      </c>
    </row>
    <row r="885" spans="1:34" ht="15" customHeight="1">
      <c r="A885" s="256">
        <v>12</v>
      </c>
      <c r="B885" s="171" t="str">
        <f>VLOOKUP(Ruimtestaat[[#This Row],[Code]],Locaties[#All],2,FALSE)</f>
        <v>Onderwijscentrum Het Roessingh &amp; De Huifkar</v>
      </c>
      <c r="C885" s="258" t="str">
        <f>VLOOKUP(Ruimtestaat[[#This Row],[Code]],Locaties[#All],4,FALSE)</f>
        <v>Roessinghsbleekweg 35</v>
      </c>
      <c r="D885" s="258" t="str">
        <f>VLOOKUP(Ruimtestaat[[#This Row],[Code]],Locaties[#All],5,FALSE)</f>
        <v>7522 AH</v>
      </c>
      <c r="E885" s="258" t="str">
        <f>VLOOKUP(Ruimtestaat[[#This Row],[Code]],Locaties[#All],6,FALSE)</f>
        <v>Enschede</v>
      </c>
      <c r="F885" s="257"/>
      <c r="G885" s="257" t="s">
        <v>563</v>
      </c>
      <c r="H885" s="171"/>
      <c r="I885" s="257" t="s">
        <v>446</v>
      </c>
      <c r="J885" s="259" t="s">
        <v>576</v>
      </c>
      <c r="K885" s="258">
        <v>16</v>
      </c>
      <c r="L885" s="260" t="str">
        <f>VLOOKUP(Ruimtestaat[[#This Row],[Ruimte code]],Ruimtegroepen[#All],2,FALSE)</f>
        <v>Leslokalen</v>
      </c>
      <c r="M885" s="258" t="s">
        <v>598</v>
      </c>
      <c r="N885" s="257" t="s">
        <v>132</v>
      </c>
      <c r="O885" s="261">
        <v>57</v>
      </c>
      <c r="P885" s="183"/>
      <c r="Q885" s="212" t="str">
        <f>VLOOKUP(Ruimtestaat[[#This Row],[Ruimte code]],Ruimtegroepen[#All],4,FALSE)</f>
        <v>L  (Lesruimte)</v>
      </c>
      <c r="R885" s="184"/>
      <c r="S885" s="185">
        <v>40</v>
      </c>
      <c r="T885" s="185" t="s">
        <v>2</v>
      </c>
      <c r="U885" s="185">
        <f>IF(S885&gt;0,IF(RIGHT(Ruimtestaat[[#This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5" s="185">
        <f>IF(U885&gt;0,VLOOKUP($K885,Ruimtegroepen[],3,FALSE)*VLOOKUP($M885,Vloersoorten[],3,FALSE)*VLOOKUP($T885,Frequenties[],3,FALSE)*VLOOKUP($A885,Locaties[],3,FALSE),0)</f>
        <v>0</v>
      </c>
      <c r="W885" s="185">
        <f>Ruimtestaat[[#This Row],[Uitvoeringen werkdagen]]*Ruimtestaat[[#This Row],[Oppervlak (netto)]]</f>
        <v>11400</v>
      </c>
      <c r="X885" s="220">
        <f>IF(V885&gt;0,Ruimtestaat[[#This Row],[Prest. (m2 /jaar) werkdagen]]/Ruimtestaat[[#This Row],[Norm (m2/uur) werkdagen]],0)</f>
        <v>0</v>
      </c>
      <c r="Y885" s="221">
        <f>Ruimtestaat[[#This Row],[uren / jaar werkdagen]]*Tariefsopbouw!$D$38</f>
        <v>0</v>
      </c>
      <c r="Z885" s="33"/>
      <c r="AA885" s="33">
        <f>IF(Ruimtestaat[[#This Row],[Frequentie weekend]]&gt;0,VALUE(LEFT(Z885,1))*S885,0)</f>
        <v>0</v>
      </c>
      <c r="AB885" s="33">
        <f>IF($AA885&gt;0,VLOOKUP($K885,Ruimtegroepen[],3,FALSE)*VLOOKUP($M885,Vloersoorten[],3,FALSE)*VLOOKUP($Z885,Frequenties[],3,FALSE)*VLOOKUP(#REF!,Locaties[],3,FALSE),0)</f>
        <v>0</v>
      </c>
      <c r="AC885" s="33"/>
      <c r="AD885" s="33"/>
      <c r="AE885" s="33">
        <f>Ruimtestaat[[#This Row],[uren / jaar weekend]]*Tariefsopbouw!$D$40</f>
        <v>0</v>
      </c>
      <c r="AF885" s="79">
        <f>Ruimtestaat[[#This Row],[Prest. (m2 /jaar) weekend]]+Ruimtestaat[[#This Row],[Prest. (m2 /jaar) werkdagen]]</f>
        <v>11400</v>
      </c>
      <c r="AG885" s="79">
        <f>Ruimtestaat[[#This Row],[uren / jaar weekend]]+Ruimtestaat[[#This Row],[uren / jaar werkdagen]]</f>
        <v>0</v>
      </c>
      <c r="AH885" s="80">
        <f>Ruimtestaat[[#This Row],[kosten / jaar weekend]]+Ruimtestaat[[#This Row],[kosten / jaar werkdagen]]</f>
        <v>0</v>
      </c>
    </row>
    <row r="886" spans="1:34" ht="15" customHeight="1">
      <c r="A886" s="256">
        <v>12</v>
      </c>
      <c r="B886" s="171" t="str">
        <f>VLOOKUP(Ruimtestaat[[#This Row],[Code]],Locaties[#All],2,FALSE)</f>
        <v>Onderwijscentrum Het Roessingh &amp; De Huifkar</v>
      </c>
      <c r="C886" s="258" t="str">
        <f>VLOOKUP(Ruimtestaat[[#This Row],[Code]],Locaties[#All],4,FALSE)</f>
        <v>Roessinghsbleekweg 35</v>
      </c>
      <c r="D886" s="258" t="str">
        <f>VLOOKUP(Ruimtestaat[[#This Row],[Code]],Locaties[#All],5,FALSE)</f>
        <v>7522 AH</v>
      </c>
      <c r="E886" s="258" t="str">
        <f>VLOOKUP(Ruimtestaat[[#This Row],[Code]],Locaties[#All],6,FALSE)</f>
        <v>Enschede</v>
      </c>
      <c r="F886" s="257"/>
      <c r="G886" s="257" t="s">
        <v>563</v>
      </c>
      <c r="H886" s="171"/>
      <c r="I886" s="257" t="s">
        <v>447</v>
      </c>
      <c r="J886" s="259" t="s">
        <v>936</v>
      </c>
      <c r="K886" s="258">
        <v>16</v>
      </c>
      <c r="L886" s="260" t="str">
        <f>VLOOKUP(Ruimtestaat[[#This Row],[Ruimte code]],Ruimtegroepen[#All],2,FALSE)</f>
        <v>Leslokalen</v>
      </c>
      <c r="M886" s="258" t="s">
        <v>598</v>
      </c>
      <c r="N886" s="257" t="s">
        <v>132</v>
      </c>
      <c r="O886" s="261">
        <v>31</v>
      </c>
      <c r="P886" s="183"/>
      <c r="Q886" s="212" t="str">
        <f>VLOOKUP(Ruimtestaat[[#This Row],[Ruimte code]],Ruimtegroepen[#All],4,FALSE)</f>
        <v>L  (Lesruimte)</v>
      </c>
      <c r="R886" s="184"/>
      <c r="S886" s="185">
        <v>40</v>
      </c>
      <c r="T886" s="185" t="s">
        <v>2</v>
      </c>
      <c r="U886" s="185">
        <f>IF(S886&gt;0,IF(RIGHT(Ruimtestaat[[#This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6" s="185">
        <f>IF(U886&gt;0,VLOOKUP($K886,Ruimtegroepen[],3,FALSE)*VLOOKUP($M886,Vloersoorten[],3,FALSE)*VLOOKUP($T886,Frequenties[],3,FALSE)*VLOOKUP($A886,Locaties[],3,FALSE),0)</f>
        <v>0</v>
      </c>
      <c r="W886" s="185">
        <f>Ruimtestaat[[#This Row],[Uitvoeringen werkdagen]]*Ruimtestaat[[#This Row],[Oppervlak (netto)]]</f>
        <v>6200</v>
      </c>
      <c r="X886" s="220">
        <f>IF(V886&gt;0,Ruimtestaat[[#This Row],[Prest. (m2 /jaar) werkdagen]]/Ruimtestaat[[#This Row],[Norm (m2/uur) werkdagen]],0)</f>
        <v>0</v>
      </c>
      <c r="Y886" s="221">
        <f>Ruimtestaat[[#This Row],[uren / jaar werkdagen]]*Tariefsopbouw!$D$38</f>
        <v>0</v>
      </c>
      <c r="Z886" s="33"/>
      <c r="AA886" s="33">
        <f>IF(Ruimtestaat[[#This Row],[Frequentie weekend]]&gt;0,VALUE(LEFT(Z886,1))*S886,0)</f>
        <v>0</v>
      </c>
      <c r="AB886" s="33">
        <f>IF($AA886&gt;0,VLOOKUP($K886,Ruimtegroepen[],3,FALSE)*VLOOKUP($M886,Vloersoorten[],3,FALSE)*VLOOKUP($Z886,Frequenties[],3,FALSE)*VLOOKUP(#REF!,Locaties[],3,FALSE),0)</f>
        <v>0</v>
      </c>
      <c r="AC886" s="33"/>
      <c r="AD886" s="33"/>
      <c r="AE886" s="33">
        <f>Ruimtestaat[[#This Row],[uren / jaar weekend]]*Tariefsopbouw!$D$40</f>
        <v>0</v>
      </c>
      <c r="AF886" s="79">
        <f>Ruimtestaat[[#This Row],[Prest. (m2 /jaar) weekend]]+Ruimtestaat[[#This Row],[Prest. (m2 /jaar) werkdagen]]</f>
        <v>6200</v>
      </c>
      <c r="AG886" s="79">
        <f>Ruimtestaat[[#This Row],[uren / jaar weekend]]+Ruimtestaat[[#This Row],[uren / jaar werkdagen]]</f>
        <v>0</v>
      </c>
      <c r="AH886" s="80">
        <f>Ruimtestaat[[#This Row],[kosten / jaar weekend]]+Ruimtestaat[[#This Row],[kosten / jaar werkdagen]]</f>
        <v>0</v>
      </c>
    </row>
    <row r="887" spans="1:34" ht="15" customHeight="1">
      <c r="A887" s="256">
        <v>12</v>
      </c>
      <c r="B887" s="171" t="str">
        <f>VLOOKUP(Ruimtestaat[[#This Row],[Code]],Locaties[#All],2,FALSE)</f>
        <v>Onderwijscentrum Het Roessingh &amp; De Huifkar</v>
      </c>
      <c r="C887" s="258" t="str">
        <f>VLOOKUP(Ruimtestaat[[#This Row],[Code]],Locaties[#All],4,FALSE)</f>
        <v>Roessinghsbleekweg 35</v>
      </c>
      <c r="D887" s="258" t="str">
        <f>VLOOKUP(Ruimtestaat[[#This Row],[Code]],Locaties[#All],5,FALSE)</f>
        <v>7522 AH</v>
      </c>
      <c r="E887" s="258" t="str">
        <f>VLOOKUP(Ruimtestaat[[#This Row],[Code]],Locaties[#All],6,FALSE)</f>
        <v>Enschede</v>
      </c>
      <c r="F887" s="257"/>
      <c r="G887" s="257" t="s">
        <v>563</v>
      </c>
      <c r="H887" s="171"/>
      <c r="I887" s="257" t="s">
        <v>937</v>
      </c>
      <c r="J887" s="259" t="s">
        <v>574</v>
      </c>
      <c r="K887" s="258">
        <v>6</v>
      </c>
      <c r="L887" s="260" t="str">
        <f>VLOOKUP(Ruimtestaat[[#This Row],[Ruimte code]],Ruimtegroepen[#All],2,FALSE)</f>
        <v>Gangen/hallen</v>
      </c>
      <c r="M887" s="258" t="s">
        <v>598</v>
      </c>
      <c r="N887" s="257" t="s">
        <v>132</v>
      </c>
      <c r="O887" s="261">
        <v>8</v>
      </c>
      <c r="P887" s="183"/>
      <c r="Q887" s="212" t="str">
        <f>VLOOKUP(Ruimtestaat[[#This Row],[Ruimte code]],Ruimtegroepen[#All],4,FALSE)</f>
        <v>V  (Verkeersruimte)</v>
      </c>
      <c r="R887" s="184"/>
      <c r="S887" s="185">
        <v>40</v>
      </c>
      <c r="T887" s="185" t="s">
        <v>2</v>
      </c>
      <c r="U887" s="185">
        <f>IF(S887&gt;0,IF(RIGHT(Ruimtestaat[[#This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7" s="185">
        <f>IF(U887&gt;0,VLOOKUP($K887,Ruimtegroepen[],3,FALSE)*VLOOKUP($M887,Vloersoorten[],3,FALSE)*VLOOKUP($T887,Frequenties[],3,FALSE)*VLOOKUP($A887,Locaties[],3,FALSE),0)</f>
        <v>0</v>
      </c>
      <c r="W887" s="185">
        <f>Ruimtestaat[[#This Row],[Uitvoeringen werkdagen]]*Ruimtestaat[[#This Row],[Oppervlak (netto)]]</f>
        <v>1600</v>
      </c>
      <c r="X887" s="220">
        <f>IF(V887&gt;0,Ruimtestaat[[#This Row],[Prest. (m2 /jaar) werkdagen]]/Ruimtestaat[[#This Row],[Norm (m2/uur) werkdagen]],0)</f>
        <v>0</v>
      </c>
      <c r="Y887" s="221">
        <f>Ruimtestaat[[#This Row],[uren / jaar werkdagen]]*Tariefsopbouw!$D$38</f>
        <v>0</v>
      </c>
      <c r="Z887" s="33"/>
      <c r="AA887" s="33">
        <f>IF(Ruimtestaat[[#This Row],[Frequentie weekend]]&gt;0,VALUE(LEFT(Z887,1))*S887,0)</f>
        <v>0</v>
      </c>
      <c r="AB887" s="33">
        <f>IF($AA887&gt;0,VLOOKUP($K887,Ruimtegroepen[],3,FALSE)*VLOOKUP($M887,Vloersoorten[],3,FALSE)*VLOOKUP($Z887,Frequenties[],3,FALSE)*VLOOKUP(#REF!,Locaties[],3,FALSE),0)</f>
        <v>0</v>
      </c>
      <c r="AC887" s="33"/>
      <c r="AD887" s="33"/>
      <c r="AE887" s="33">
        <f>Ruimtestaat[[#This Row],[uren / jaar weekend]]*Tariefsopbouw!$D$40</f>
        <v>0</v>
      </c>
      <c r="AF887" s="79">
        <f>Ruimtestaat[[#This Row],[Prest. (m2 /jaar) weekend]]+Ruimtestaat[[#This Row],[Prest. (m2 /jaar) werkdagen]]</f>
        <v>1600</v>
      </c>
      <c r="AG887" s="79">
        <f>Ruimtestaat[[#This Row],[uren / jaar weekend]]+Ruimtestaat[[#This Row],[uren / jaar werkdagen]]</f>
        <v>0</v>
      </c>
      <c r="AH887" s="80">
        <f>Ruimtestaat[[#This Row],[kosten / jaar weekend]]+Ruimtestaat[[#This Row],[kosten / jaar werkdagen]]</f>
        <v>0</v>
      </c>
    </row>
    <row r="888" spans="1:34" ht="15" customHeight="1">
      <c r="A888" s="256">
        <v>12</v>
      </c>
      <c r="B888" s="171" t="str">
        <f>VLOOKUP(Ruimtestaat[[#This Row],[Code]],Locaties[#All],2,FALSE)</f>
        <v>Onderwijscentrum Het Roessingh &amp; De Huifkar</v>
      </c>
      <c r="C888" s="258" t="str">
        <f>VLOOKUP(Ruimtestaat[[#This Row],[Code]],Locaties[#All],4,FALSE)</f>
        <v>Roessinghsbleekweg 35</v>
      </c>
      <c r="D888" s="258" t="str">
        <f>VLOOKUP(Ruimtestaat[[#This Row],[Code]],Locaties[#All],5,FALSE)</f>
        <v>7522 AH</v>
      </c>
      <c r="E888" s="258" t="str">
        <f>VLOOKUP(Ruimtestaat[[#This Row],[Code]],Locaties[#All],6,FALSE)</f>
        <v>Enschede</v>
      </c>
      <c r="F888" s="257"/>
      <c r="G888" s="257" t="s">
        <v>563</v>
      </c>
      <c r="H888" s="171"/>
      <c r="I888" s="257" t="s">
        <v>448</v>
      </c>
      <c r="J888" s="259" t="s">
        <v>569</v>
      </c>
      <c r="K888" s="258">
        <v>5</v>
      </c>
      <c r="L888" s="260" t="str">
        <f>VLOOKUP(Ruimtestaat[[#This Row],[Ruimte code]],Ruimtegroepen[#All],2,FALSE)</f>
        <v>Sanitair</v>
      </c>
      <c r="M888" s="212" t="s">
        <v>111</v>
      </c>
      <c r="N888" s="257" t="s">
        <v>606</v>
      </c>
      <c r="O888" s="261">
        <v>9.1999999999999993</v>
      </c>
      <c r="P888" s="183"/>
      <c r="Q888" s="212" t="str">
        <f>VLOOKUP(Ruimtestaat[[#This Row],[Ruimte code]],Ruimtegroepen[#All],4,FALSE)</f>
        <v>S  (Sanitair)</v>
      </c>
      <c r="R888" s="184"/>
      <c r="S888" s="185">
        <v>40</v>
      </c>
      <c r="T888" s="185" t="s">
        <v>2</v>
      </c>
      <c r="U888" s="185">
        <f>IF(S888&gt;0,IF(RIGHT(Ruimtestaat[[#This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8" s="185">
        <f>IF(U888&gt;0,VLOOKUP($K888,Ruimtegroepen[],3,FALSE)*VLOOKUP($M888,Vloersoorten[],3,FALSE)*VLOOKUP($T888,Frequenties[],3,FALSE)*VLOOKUP($A888,Locaties[],3,FALSE),0)</f>
        <v>0</v>
      </c>
      <c r="W888" s="185">
        <f>Ruimtestaat[[#This Row],[Uitvoeringen werkdagen]]*Ruimtestaat[[#This Row],[Oppervlak (netto)]]</f>
        <v>1839.9999999999998</v>
      </c>
      <c r="X888" s="220">
        <f>IF(V888&gt;0,Ruimtestaat[[#This Row],[Prest. (m2 /jaar) werkdagen]]/Ruimtestaat[[#This Row],[Norm (m2/uur) werkdagen]],0)</f>
        <v>0</v>
      </c>
      <c r="Y888" s="221">
        <f>Ruimtestaat[[#This Row],[uren / jaar werkdagen]]*Tariefsopbouw!$D$38</f>
        <v>0</v>
      </c>
      <c r="Z888" s="33"/>
      <c r="AA888" s="33">
        <f>IF(Ruimtestaat[[#This Row],[Frequentie weekend]]&gt;0,VALUE(LEFT(Z888,1))*S888,0)</f>
        <v>0</v>
      </c>
      <c r="AB888" s="33">
        <f>IF($AA888&gt;0,VLOOKUP($K888,Ruimtegroepen[],3,FALSE)*VLOOKUP($M888,Vloersoorten[],3,FALSE)*VLOOKUP($Z888,Frequenties[],3,FALSE)*VLOOKUP(#REF!,Locaties[],3,FALSE),0)</f>
        <v>0</v>
      </c>
      <c r="AC888" s="33"/>
      <c r="AD888" s="33"/>
      <c r="AE888" s="33">
        <f>Ruimtestaat[[#This Row],[uren / jaar weekend]]*Tariefsopbouw!$D$40</f>
        <v>0</v>
      </c>
      <c r="AF888" s="79">
        <f>Ruimtestaat[[#This Row],[Prest. (m2 /jaar) weekend]]+Ruimtestaat[[#This Row],[Prest. (m2 /jaar) werkdagen]]</f>
        <v>1839.9999999999998</v>
      </c>
      <c r="AG888" s="79">
        <f>Ruimtestaat[[#This Row],[uren / jaar weekend]]+Ruimtestaat[[#This Row],[uren / jaar werkdagen]]</f>
        <v>0</v>
      </c>
      <c r="AH888" s="80">
        <f>Ruimtestaat[[#This Row],[kosten / jaar weekend]]+Ruimtestaat[[#This Row],[kosten / jaar werkdagen]]</f>
        <v>0</v>
      </c>
    </row>
    <row r="889" spans="1:34" ht="15" customHeight="1">
      <c r="A889" s="256">
        <v>12</v>
      </c>
      <c r="B889" s="171" t="str">
        <f>VLOOKUP(Ruimtestaat[[#This Row],[Code]],Locaties[#All],2,FALSE)</f>
        <v>Onderwijscentrum Het Roessingh &amp; De Huifkar</v>
      </c>
      <c r="C889" s="258" t="str">
        <f>VLOOKUP(Ruimtestaat[[#This Row],[Code]],Locaties[#All],4,FALSE)</f>
        <v>Roessinghsbleekweg 35</v>
      </c>
      <c r="D889" s="258" t="str">
        <f>VLOOKUP(Ruimtestaat[[#This Row],[Code]],Locaties[#All],5,FALSE)</f>
        <v>7522 AH</v>
      </c>
      <c r="E889" s="258" t="str">
        <f>VLOOKUP(Ruimtestaat[[#This Row],[Code]],Locaties[#All],6,FALSE)</f>
        <v>Enschede</v>
      </c>
      <c r="F889" s="257"/>
      <c r="G889" s="257" t="s">
        <v>563</v>
      </c>
      <c r="H889" s="171"/>
      <c r="I889" s="257" t="s">
        <v>449</v>
      </c>
      <c r="J889" s="259" t="s">
        <v>623</v>
      </c>
      <c r="K889" s="258">
        <v>20</v>
      </c>
      <c r="L889" s="260" t="str">
        <f>VLOOKUP(Ruimtestaat[[#This Row],[Ruimte code]],Ruimtegroepen[#All],2,FALSE)</f>
        <v>Niet in onderhoud</v>
      </c>
      <c r="M889" s="258"/>
      <c r="N889" s="257"/>
      <c r="O889" s="261"/>
      <c r="P889" s="183"/>
      <c r="Q889" s="212" t="str">
        <f>VLOOKUP(Ruimtestaat[[#This Row],[Ruimte code]],Ruimtegroepen[#All],4,FALSE)</f>
        <v>niet in onderhoud</v>
      </c>
      <c r="R889" s="184"/>
      <c r="S889" s="185"/>
      <c r="T889" s="185"/>
      <c r="U889" s="185">
        <f>IF(S889&gt;0,IF(RIGHT(Ruimtestaat[[#This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89" s="185">
        <f>IF(U889&gt;0,VLOOKUP($K889,Ruimtegroepen[],3,FALSE)*VLOOKUP($M889,Vloersoorten[],3,FALSE)*VLOOKUP($T889,Frequenties[],3,FALSE)*VLOOKUP($A889,Locaties[],3,FALSE),0)</f>
        <v>0</v>
      </c>
      <c r="W889" s="185">
        <f>Ruimtestaat[[#This Row],[Uitvoeringen werkdagen]]*Ruimtestaat[[#This Row],[Oppervlak (netto)]]</f>
        <v>0</v>
      </c>
      <c r="X889" s="220">
        <f>IF(V889&gt;0,Ruimtestaat[[#This Row],[Prest. (m2 /jaar) werkdagen]]/Ruimtestaat[[#This Row],[Norm (m2/uur) werkdagen]],0)</f>
        <v>0</v>
      </c>
      <c r="Y889" s="221">
        <f>Ruimtestaat[[#This Row],[uren / jaar werkdagen]]*Tariefsopbouw!$D$38</f>
        <v>0</v>
      </c>
      <c r="Z889" s="33"/>
      <c r="AA889" s="33">
        <f>IF(Ruimtestaat[[#This Row],[Frequentie weekend]]&gt;0,VALUE(LEFT(Z889,1))*S889,0)</f>
        <v>0</v>
      </c>
      <c r="AB889" s="33">
        <f>IF($AA889&gt;0,VLOOKUP($K889,Ruimtegroepen[],3,FALSE)*VLOOKUP($M889,Vloersoorten[],3,FALSE)*VLOOKUP($Z889,Frequenties[],3,FALSE)*VLOOKUP(#REF!,Locaties[],3,FALSE),0)</f>
        <v>0</v>
      </c>
      <c r="AC889" s="33"/>
      <c r="AD889" s="33"/>
      <c r="AE889" s="33">
        <f>Ruimtestaat[[#This Row],[uren / jaar weekend]]*Tariefsopbouw!$D$40</f>
        <v>0</v>
      </c>
      <c r="AF889" s="79">
        <f>Ruimtestaat[[#This Row],[Prest. (m2 /jaar) weekend]]+Ruimtestaat[[#This Row],[Prest. (m2 /jaar) werkdagen]]</f>
        <v>0</v>
      </c>
      <c r="AG889" s="79">
        <f>Ruimtestaat[[#This Row],[uren / jaar weekend]]+Ruimtestaat[[#This Row],[uren / jaar werkdagen]]</f>
        <v>0</v>
      </c>
      <c r="AH889" s="80">
        <f>Ruimtestaat[[#This Row],[kosten / jaar weekend]]+Ruimtestaat[[#This Row],[kosten / jaar werkdagen]]</f>
        <v>0</v>
      </c>
    </row>
    <row r="890" spans="1:34" ht="15" customHeight="1">
      <c r="A890" s="256">
        <v>12</v>
      </c>
      <c r="B890" s="171" t="str">
        <f>VLOOKUP(Ruimtestaat[[#This Row],[Code]],Locaties[#All],2,FALSE)</f>
        <v>Onderwijscentrum Het Roessingh &amp; De Huifkar</v>
      </c>
      <c r="C890" s="258" t="str">
        <f>VLOOKUP(Ruimtestaat[[#This Row],[Code]],Locaties[#All],4,FALSE)</f>
        <v>Roessinghsbleekweg 35</v>
      </c>
      <c r="D890" s="258" t="str">
        <f>VLOOKUP(Ruimtestaat[[#This Row],[Code]],Locaties[#All],5,FALSE)</f>
        <v>7522 AH</v>
      </c>
      <c r="E890" s="258" t="str">
        <f>VLOOKUP(Ruimtestaat[[#This Row],[Code]],Locaties[#All],6,FALSE)</f>
        <v>Enschede</v>
      </c>
      <c r="F890" s="257"/>
      <c r="G890" s="257" t="s">
        <v>563</v>
      </c>
      <c r="H890" s="171"/>
      <c r="I890" s="257" t="s">
        <v>450</v>
      </c>
      <c r="J890" s="259" t="s">
        <v>770</v>
      </c>
      <c r="K890" s="258">
        <v>5</v>
      </c>
      <c r="L890" s="260" t="str">
        <f>VLOOKUP(Ruimtestaat[[#This Row],[Ruimte code]],Ruimtegroepen[#All],2,FALSE)</f>
        <v>Sanitair</v>
      </c>
      <c r="M890" s="212" t="s">
        <v>111</v>
      </c>
      <c r="N890" s="257" t="s">
        <v>606</v>
      </c>
      <c r="O890" s="261">
        <v>23</v>
      </c>
      <c r="P890" s="183"/>
      <c r="Q890" s="212" t="str">
        <f>VLOOKUP(Ruimtestaat[[#This Row],[Ruimte code]],Ruimtegroepen[#All],4,FALSE)</f>
        <v>S  (Sanitair)</v>
      </c>
      <c r="R890" s="184"/>
      <c r="S890" s="185">
        <v>40</v>
      </c>
      <c r="T890" s="185" t="s">
        <v>2</v>
      </c>
      <c r="U890" s="185">
        <f>IF(S890&gt;0,IF(RIGHT(Ruimtestaat[[#This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0" s="185">
        <f>IF(U890&gt;0,VLOOKUP($K890,Ruimtegroepen[],3,FALSE)*VLOOKUP($M890,Vloersoorten[],3,FALSE)*VLOOKUP($T890,Frequenties[],3,FALSE)*VLOOKUP($A890,Locaties[],3,FALSE),0)</f>
        <v>0</v>
      </c>
      <c r="W890" s="185">
        <f>Ruimtestaat[[#This Row],[Uitvoeringen werkdagen]]*Ruimtestaat[[#This Row],[Oppervlak (netto)]]</f>
        <v>4600</v>
      </c>
      <c r="X890" s="220">
        <f>IF(V890&gt;0,Ruimtestaat[[#This Row],[Prest. (m2 /jaar) werkdagen]]/Ruimtestaat[[#This Row],[Norm (m2/uur) werkdagen]],0)</f>
        <v>0</v>
      </c>
      <c r="Y890" s="221">
        <f>Ruimtestaat[[#This Row],[uren / jaar werkdagen]]*Tariefsopbouw!$D$38</f>
        <v>0</v>
      </c>
      <c r="Z890" s="33"/>
      <c r="AA890" s="33">
        <f>IF(Ruimtestaat[[#This Row],[Frequentie weekend]]&gt;0,VALUE(LEFT(Z890,1))*S890,0)</f>
        <v>0</v>
      </c>
      <c r="AB890" s="33">
        <f>IF($AA890&gt;0,VLOOKUP($K890,Ruimtegroepen[],3,FALSE)*VLOOKUP($M890,Vloersoorten[],3,FALSE)*VLOOKUP($Z890,Frequenties[],3,FALSE)*VLOOKUP(#REF!,Locaties[],3,FALSE),0)</f>
        <v>0</v>
      </c>
      <c r="AC890" s="33"/>
      <c r="AD890" s="33"/>
      <c r="AE890" s="33">
        <f>Ruimtestaat[[#This Row],[uren / jaar weekend]]*Tariefsopbouw!$D$40</f>
        <v>0</v>
      </c>
      <c r="AF890" s="79">
        <f>Ruimtestaat[[#This Row],[Prest. (m2 /jaar) weekend]]+Ruimtestaat[[#This Row],[Prest. (m2 /jaar) werkdagen]]</f>
        <v>4600</v>
      </c>
      <c r="AG890" s="79">
        <f>Ruimtestaat[[#This Row],[uren / jaar weekend]]+Ruimtestaat[[#This Row],[uren / jaar werkdagen]]</f>
        <v>0</v>
      </c>
      <c r="AH890" s="80">
        <f>Ruimtestaat[[#This Row],[kosten / jaar weekend]]+Ruimtestaat[[#This Row],[kosten / jaar werkdagen]]</f>
        <v>0</v>
      </c>
    </row>
    <row r="891" spans="1:34" ht="15" customHeight="1">
      <c r="A891" s="256">
        <v>12</v>
      </c>
      <c r="B891" s="171" t="str">
        <f>VLOOKUP(Ruimtestaat[[#This Row],[Code]],Locaties[#All],2,FALSE)</f>
        <v>Onderwijscentrum Het Roessingh &amp; De Huifkar</v>
      </c>
      <c r="C891" s="258" t="str">
        <f>VLOOKUP(Ruimtestaat[[#This Row],[Code]],Locaties[#All],4,FALSE)</f>
        <v>Roessinghsbleekweg 35</v>
      </c>
      <c r="D891" s="258" t="str">
        <f>VLOOKUP(Ruimtestaat[[#This Row],[Code]],Locaties[#All],5,FALSE)</f>
        <v>7522 AH</v>
      </c>
      <c r="E891" s="258" t="str">
        <f>VLOOKUP(Ruimtestaat[[#This Row],[Code]],Locaties[#All],6,FALSE)</f>
        <v>Enschede</v>
      </c>
      <c r="F891" s="257"/>
      <c r="G891" s="257" t="s">
        <v>563</v>
      </c>
      <c r="H891" s="171"/>
      <c r="I891" s="257" t="s">
        <v>938</v>
      </c>
      <c r="J891" s="259" t="s">
        <v>569</v>
      </c>
      <c r="K891" s="171">
        <v>5</v>
      </c>
      <c r="L891" s="260" t="str">
        <f>VLOOKUP(Ruimtestaat[[#This Row],[Ruimte code]],Ruimtegroepen[#All],2,FALSE)</f>
        <v>Sanitair</v>
      </c>
      <c r="M891" s="212" t="s">
        <v>111</v>
      </c>
      <c r="N891" s="257" t="s">
        <v>606</v>
      </c>
      <c r="O891" s="261">
        <v>5</v>
      </c>
      <c r="P891" s="183"/>
      <c r="Q891" s="212" t="str">
        <f>VLOOKUP(Ruimtestaat[[#This Row],[Ruimte code]],Ruimtegroepen[#All],4,FALSE)</f>
        <v>S  (Sanitair)</v>
      </c>
      <c r="R891" s="184"/>
      <c r="S891" s="185">
        <v>40</v>
      </c>
      <c r="T891" s="185" t="s">
        <v>2</v>
      </c>
      <c r="U891" s="185">
        <f>IF(S891&gt;0,IF(RIGHT(Ruimtestaat[[#This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1" s="185">
        <f>IF(U891&gt;0,VLOOKUP($K891,Ruimtegroepen[],3,FALSE)*VLOOKUP($M891,Vloersoorten[],3,FALSE)*VLOOKUP($T891,Frequenties[],3,FALSE)*VLOOKUP($A891,Locaties[],3,FALSE),0)</f>
        <v>0</v>
      </c>
      <c r="W891" s="185">
        <f>Ruimtestaat[[#This Row],[Uitvoeringen werkdagen]]*Ruimtestaat[[#This Row],[Oppervlak (netto)]]</f>
        <v>1000</v>
      </c>
      <c r="X891" s="220">
        <f>IF(V891&gt;0,Ruimtestaat[[#This Row],[Prest. (m2 /jaar) werkdagen]]/Ruimtestaat[[#This Row],[Norm (m2/uur) werkdagen]],0)</f>
        <v>0</v>
      </c>
      <c r="Y891" s="221">
        <f>Ruimtestaat[[#This Row],[uren / jaar werkdagen]]*Tariefsopbouw!$D$38</f>
        <v>0</v>
      </c>
      <c r="Z891" s="33"/>
      <c r="AA891" s="33">
        <f>IF(Ruimtestaat[[#This Row],[Frequentie weekend]]&gt;0,VALUE(LEFT(Z891,1))*S891,0)</f>
        <v>0</v>
      </c>
      <c r="AB891" s="33">
        <f>IF($AA891&gt;0,VLOOKUP($K891,Ruimtegroepen[],3,FALSE)*VLOOKUP($M891,Vloersoorten[],3,FALSE)*VLOOKUP($Z891,Frequenties[],3,FALSE)*VLOOKUP(#REF!,Locaties[],3,FALSE),0)</f>
        <v>0</v>
      </c>
      <c r="AC891" s="33"/>
      <c r="AD891" s="33"/>
      <c r="AE891" s="33">
        <f>Ruimtestaat[[#This Row],[uren / jaar weekend]]*Tariefsopbouw!$D$40</f>
        <v>0</v>
      </c>
      <c r="AF891" s="79">
        <f>Ruimtestaat[[#This Row],[Prest. (m2 /jaar) weekend]]+Ruimtestaat[[#This Row],[Prest. (m2 /jaar) werkdagen]]</f>
        <v>1000</v>
      </c>
      <c r="AG891" s="79">
        <f>Ruimtestaat[[#This Row],[uren / jaar weekend]]+Ruimtestaat[[#This Row],[uren / jaar werkdagen]]</f>
        <v>0</v>
      </c>
      <c r="AH891" s="80">
        <f>Ruimtestaat[[#This Row],[kosten / jaar weekend]]+Ruimtestaat[[#This Row],[kosten / jaar werkdagen]]</f>
        <v>0</v>
      </c>
    </row>
    <row r="892" spans="1:34" ht="15" customHeight="1">
      <c r="A892" s="256">
        <v>12</v>
      </c>
      <c r="B892" s="171" t="str">
        <f>VLOOKUP(Ruimtestaat[[#This Row],[Code]],Locaties[#All],2,FALSE)</f>
        <v>Onderwijscentrum Het Roessingh &amp; De Huifkar</v>
      </c>
      <c r="C892" s="258" t="str">
        <f>VLOOKUP(Ruimtestaat[[#This Row],[Code]],Locaties[#All],4,FALSE)</f>
        <v>Roessinghsbleekweg 35</v>
      </c>
      <c r="D892" s="258" t="str">
        <f>VLOOKUP(Ruimtestaat[[#This Row],[Code]],Locaties[#All],5,FALSE)</f>
        <v>7522 AH</v>
      </c>
      <c r="E892" s="258" t="str">
        <f>VLOOKUP(Ruimtestaat[[#This Row],[Code]],Locaties[#All],6,FALSE)</f>
        <v>Enschede</v>
      </c>
      <c r="F892" s="257"/>
      <c r="G892" s="257" t="s">
        <v>563</v>
      </c>
      <c r="H892" s="171"/>
      <c r="I892" s="257" t="s">
        <v>451</v>
      </c>
      <c r="J892" s="259" t="s">
        <v>574</v>
      </c>
      <c r="K892" s="171">
        <v>20</v>
      </c>
      <c r="L892" s="260" t="str">
        <f>VLOOKUP(Ruimtestaat[[#This Row],[Ruimte code]],Ruimtegroepen[#All],2,FALSE)</f>
        <v>Niet in onderhoud</v>
      </c>
      <c r="M892" s="258"/>
      <c r="N892" s="257"/>
      <c r="O892" s="261"/>
      <c r="P892" s="183"/>
      <c r="Q892" s="212" t="str">
        <f>VLOOKUP(Ruimtestaat[[#This Row],[Ruimte code]],Ruimtegroepen[#All],4,FALSE)</f>
        <v>niet in onderhoud</v>
      </c>
      <c r="R892" s="184"/>
      <c r="S892" s="185"/>
      <c r="T892" s="185"/>
      <c r="U892" s="185">
        <f>IF(S892&gt;0,IF(RIGHT(Ruimtestaat[[#This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2" s="185">
        <f>IF(U892&gt;0,VLOOKUP($K892,Ruimtegroepen[],3,FALSE)*VLOOKUP($M892,Vloersoorten[],3,FALSE)*VLOOKUP($T892,Frequenties[],3,FALSE)*VLOOKUP($A892,Locaties[],3,FALSE),0)</f>
        <v>0</v>
      </c>
      <c r="W892" s="185">
        <f>Ruimtestaat[[#This Row],[Uitvoeringen werkdagen]]*Ruimtestaat[[#This Row],[Oppervlak (netto)]]</f>
        <v>0</v>
      </c>
      <c r="X892" s="220">
        <f>IF(V892&gt;0,Ruimtestaat[[#This Row],[Prest. (m2 /jaar) werkdagen]]/Ruimtestaat[[#This Row],[Norm (m2/uur) werkdagen]],0)</f>
        <v>0</v>
      </c>
      <c r="Y892" s="221">
        <f>Ruimtestaat[[#This Row],[uren / jaar werkdagen]]*Tariefsopbouw!$D$38</f>
        <v>0</v>
      </c>
      <c r="Z892" s="33"/>
      <c r="AA892" s="33">
        <f>IF(Ruimtestaat[[#This Row],[Frequentie weekend]]&gt;0,VALUE(LEFT(Z892,1))*S892,0)</f>
        <v>0</v>
      </c>
      <c r="AB892" s="33">
        <f>IF($AA892&gt;0,VLOOKUP($K892,Ruimtegroepen[],3,FALSE)*VLOOKUP($M892,Vloersoorten[],3,FALSE)*VLOOKUP($Z892,Frequenties[],3,FALSE)*VLOOKUP(#REF!,Locaties[],3,FALSE),0)</f>
        <v>0</v>
      </c>
      <c r="AC892" s="33"/>
      <c r="AD892" s="33"/>
      <c r="AE892" s="33">
        <f>Ruimtestaat[[#This Row],[uren / jaar weekend]]*Tariefsopbouw!$D$40</f>
        <v>0</v>
      </c>
      <c r="AF892" s="79">
        <f>Ruimtestaat[[#This Row],[Prest. (m2 /jaar) weekend]]+Ruimtestaat[[#This Row],[Prest. (m2 /jaar) werkdagen]]</f>
        <v>0</v>
      </c>
      <c r="AG892" s="79">
        <f>Ruimtestaat[[#This Row],[uren / jaar weekend]]+Ruimtestaat[[#This Row],[uren / jaar werkdagen]]</f>
        <v>0</v>
      </c>
      <c r="AH892" s="80">
        <f>Ruimtestaat[[#This Row],[kosten / jaar weekend]]+Ruimtestaat[[#This Row],[kosten / jaar werkdagen]]</f>
        <v>0</v>
      </c>
    </row>
    <row r="893" spans="1:34" ht="15" customHeight="1">
      <c r="A893" s="256">
        <v>12</v>
      </c>
      <c r="B893" s="171" t="str">
        <f>VLOOKUP(Ruimtestaat[[#This Row],[Code]],Locaties[#All],2,FALSE)</f>
        <v>Onderwijscentrum Het Roessingh &amp; De Huifkar</v>
      </c>
      <c r="C893" s="258" t="str">
        <f>VLOOKUP(Ruimtestaat[[#This Row],[Code]],Locaties[#All],4,FALSE)</f>
        <v>Roessinghsbleekweg 35</v>
      </c>
      <c r="D893" s="258" t="str">
        <f>VLOOKUP(Ruimtestaat[[#This Row],[Code]],Locaties[#All],5,FALSE)</f>
        <v>7522 AH</v>
      </c>
      <c r="E893" s="258" t="str">
        <f>VLOOKUP(Ruimtestaat[[#This Row],[Code]],Locaties[#All],6,FALSE)</f>
        <v>Enschede</v>
      </c>
      <c r="F893" s="257"/>
      <c r="G893" s="257" t="s">
        <v>563</v>
      </c>
      <c r="H893" s="171"/>
      <c r="I893" s="257" t="s">
        <v>452</v>
      </c>
      <c r="J893" s="259" t="s">
        <v>574</v>
      </c>
      <c r="K893" s="258">
        <v>20</v>
      </c>
      <c r="L893" s="260" t="str">
        <f>VLOOKUP(Ruimtestaat[[#This Row],[Ruimte code]],Ruimtegroepen[#All],2,FALSE)</f>
        <v>Niet in onderhoud</v>
      </c>
      <c r="M893" s="185"/>
      <c r="N893" s="257"/>
      <c r="O893" s="261"/>
      <c r="P893" s="183"/>
      <c r="Q893" s="212" t="str">
        <f>VLOOKUP(Ruimtestaat[[#This Row],[Ruimte code]],Ruimtegroepen[#All],4,FALSE)</f>
        <v>niet in onderhoud</v>
      </c>
      <c r="R893" s="184"/>
      <c r="S893" s="185"/>
      <c r="T893" s="185"/>
      <c r="U893" s="185">
        <f>IF(S893&gt;0,IF(RIGHT(Ruimtestaat[[#This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3" s="185">
        <f>IF(U893&gt;0,VLOOKUP($K893,Ruimtegroepen[],3,FALSE)*VLOOKUP($M893,Vloersoorten[],3,FALSE)*VLOOKUP($T893,Frequenties[],3,FALSE)*VLOOKUP($A893,Locaties[],3,FALSE),0)</f>
        <v>0</v>
      </c>
      <c r="W893" s="185">
        <f>Ruimtestaat[[#This Row],[Uitvoeringen werkdagen]]*Ruimtestaat[[#This Row],[Oppervlak (netto)]]</f>
        <v>0</v>
      </c>
      <c r="X893" s="220">
        <f>IF(V893&gt;0,Ruimtestaat[[#This Row],[Prest. (m2 /jaar) werkdagen]]/Ruimtestaat[[#This Row],[Norm (m2/uur) werkdagen]],0)</f>
        <v>0</v>
      </c>
      <c r="Y893" s="221">
        <f>Ruimtestaat[[#This Row],[uren / jaar werkdagen]]*Tariefsopbouw!$D$38</f>
        <v>0</v>
      </c>
      <c r="Z893" s="33"/>
      <c r="AA893" s="33">
        <f>IF(Ruimtestaat[[#This Row],[Frequentie weekend]]&gt;0,VALUE(LEFT(Z893,1))*S893,0)</f>
        <v>0</v>
      </c>
      <c r="AB893" s="33">
        <f>IF($AA893&gt;0,VLOOKUP($K893,Ruimtegroepen[],3,FALSE)*VLOOKUP($M893,Vloersoorten[],3,FALSE)*VLOOKUP($Z893,Frequenties[],3,FALSE)*VLOOKUP(#REF!,Locaties[],3,FALSE),0)</f>
        <v>0</v>
      </c>
      <c r="AC893" s="33"/>
      <c r="AD893" s="33"/>
      <c r="AE893" s="33">
        <f>Ruimtestaat[[#This Row],[uren / jaar weekend]]*Tariefsopbouw!$D$40</f>
        <v>0</v>
      </c>
      <c r="AF893" s="79">
        <f>Ruimtestaat[[#This Row],[Prest. (m2 /jaar) weekend]]+Ruimtestaat[[#This Row],[Prest. (m2 /jaar) werkdagen]]</f>
        <v>0</v>
      </c>
      <c r="AG893" s="79">
        <f>Ruimtestaat[[#This Row],[uren / jaar weekend]]+Ruimtestaat[[#This Row],[uren / jaar werkdagen]]</f>
        <v>0</v>
      </c>
      <c r="AH893" s="80">
        <f>Ruimtestaat[[#This Row],[kosten / jaar weekend]]+Ruimtestaat[[#This Row],[kosten / jaar werkdagen]]</f>
        <v>0</v>
      </c>
    </row>
    <row r="894" spans="1:34" ht="15" customHeight="1">
      <c r="A894" s="256">
        <v>12</v>
      </c>
      <c r="B894" s="171" t="str">
        <f>VLOOKUP(Ruimtestaat[[#This Row],[Code]],Locaties[#All],2,FALSE)</f>
        <v>Onderwijscentrum Het Roessingh &amp; De Huifkar</v>
      </c>
      <c r="C894" s="258" t="str">
        <f>VLOOKUP(Ruimtestaat[[#This Row],[Code]],Locaties[#All],4,FALSE)</f>
        <v>Roessinghsbleekweg 35</v>
      </c>
      <c r="D894" s="258" t="str">
        <f>VLOOKUP(Ruimtestaat[[#This Row],[Code]],Locaties[#All],5,FALSE)</f>
        <v>7522 AH</v>
      </c>
      <c r="E894" s="258" t="str">
        <f>VLOOKUP(Ruimtestaat[[#This Row],[Code]],Locaties[#All],6,FALSE)</f>
        <v>Enschede</v>
      </c>
      <c r="F894" s="257"/>
      <c r="G894" s="257" t="s">
        <v>563</v>
      </c>
      <c r="H894" s="171"/>
      <c r="I894" s="257" t="s">
        <v>453</v>
      </c>
      <c r="J894" s="259" t="s">
        <v>586</v>
      </c>
      <c r="K894" s="258">
        <v>20</v>
      </c>
      <c r="L894" s="260" t="str">
        <f>VLOOKUP(Ruimtestaat[[#This Row],[Ruimte code]],Ruimtegroepen[#All],2,FALSE)</f>
        <v>Niet in onderhoud</v>
      </c>
      <c r="M894" s="185"/>
      <c r="N894" s="257"/>
      <c r="O894" s="261"/>
      <c r="P894" s="183"/>
      <c r="Q894" s="212" t="str">
        <f>VLOOKUP(Ruimtestaat[[#This Row],[Ruimte code]],Ruimtegroepen[#All],4,FALSE)</f>
        <v>niet in onderhoud</v>
      </c>
      <c r="R894" s="184"/>
      <c r="S894" s="185"/>
      <c r="T894" s="185"/>
      <c r="U894" s="185">
        <f>IF(S894&gt;0,IF(RIGHT(Ruimtestaat[[#This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4" s="185">
        <f>IF(U894&gt;0,VLOOKUP($K894,Ruimtegroepen[],3,FALSE)*VLOOKUP($M894,Vloersoorten[],3,FALSE)*VLOOKUP($T894,Frequenties[],3,FALSE)*VLOOKUP($A894,Locaties[],3,FALSE),0)</f>
        <v>0</v>
      </c>
      <c r="W894" s="185">
        <f>Ruimtestaat[[#This Row],[Uitvoeringen werkdagen]]*Ruimtestaat[[#This Row],[Oppervlak (netto)]]</f>
        <v>0</v>
      </c>
      <c r="X894" s="220">
        <f>IF(V894&gt;0,Ruimtestaat[[#This Row],[Prest. (m2 /jaar) werkdagen]]/Ruimtestaat[[#This Row],[Norm (m2/uur) werkdagen]],0)</f>
        <v>0</v>
      </c>
      <c r="Y894" s="221">
        <f>Ruimtestaat[[#This Row],[uren / jaar werkdagen]]*Tariefsopbouw!$D$38</f>
        <v>0</v>
      </c>
      <c r="Z894" s="33"/>
      <c r="AA894" s="33">
        <f>IF(Ruimtestaat[[#This Row],[Frequentie weekend]]&gt;0,VALUE(LEFT(Z894,1))*S894,0)</f>
        <v>0</v>
      </c>
      <c r="AB894" s="33">
        <f>IF($AA894&gt;0,VLOOKUP($K894,Ruimtegroepen[],3,FALSE)*VLOOKUP($M894,Vloersoorten[],3,FALSE)*VLOOKUP($Z894,Frequenties[],3,FALSE)*VLOOKUP(#REF!,Locaties[],3,FALSE),0)</f>
        <v>0</v>
      </c>
      <c r="AC894" s="33"/>
      <c r="AD894" s="33"/>
      <c r="AE894" s="33">
        <f>Ruimtestaat[[#This Row],[uren / jaar weekend]]*Tariefsopbouw!$D$40</f>
        <v>0</v>
      </c>
      <c r="AF894" s="79">
        <f>Ruimtestaat[[#This Row],[Prest. (m2 /jaar) weekend]]+Ruimtestaat[[#This Row],[Prest. (m2 /jaar) werkdagen]]</f>
        <v>0</v>
      </c>
      <c r="AG894" s="79">
        <f>Ruimtestaat[[#This Row],[uren / jaar weekend]]+Ruimtestaat[[#This Row],[uren / jaar werkdagen]]</f>
        <v>0</v>
      </c>
      <c r="AH894" s="80">
        <f>Ruimtestaat[[#This Row],[kosten / jaar weekend]]+Ruimtestaat[[#This Row],[kosten / jaar werkdagen]]</f>
        <v>0</v>
      </c>
    </row>
    <row r="895" spans="1:34" ht="15" customHeight="1">
      <c r="A895" s="256">
        <v>12</v>
      </c>
      <c r="B895" s="171" t="str">
        <f>VLOOKUP(Ruimtestaat[[#This Row],[Code]],Locaties[#All],2,FALSE)</f>
        <v>Onderwijscentrum Het Roessingh &amp; De Huifkar</v>
      </c>
      <c r="C895" s="258" t="str">
        <f>VLOOKUP(Ruimtestaat[[#This Row],[Code]],Locaties[#All],4,FALSE)</f>
        <v>Roessinghsbleekweg 35</v>
      </c>
      <c r="D895" s="258" t="str">
        <f>VLOOKUP(Ruimtestaat[[#This Row],[Code]],Locaties[#All],5,FALSE)</f>
        <v>7522 AH</v>
      </c>
      <c r="E895" s="258" t="str">
        <f>VLOOKUP(Ruimtestaat[[#This Row],[Code]],Locaties[#All],6,FALSE)</f>
        <v>Enschede</v>
      </c>
      <c r="F895" s="257"/>
      <c r="G895" s="257" t="s">
        <v>563</v>
      </c>
      <c r="H895" s="171"/>
      <c r="I895" s="257" t="s">
        <v>454</v>
      </c>
      <c r="J895" s="259" t="s">
        <v>623</v>
      </c>
      <c r="K895" s="258">
        <v>20</v>
      </c>
      <c r="L895" s="260" t="str">
        <f>VLOOKUP(Ruimtestaat[[#This Row],[Ruimte code]],Ruimtegroepen[#All],2,FALSE)</f>
        <v>Niet in onderhoud</v>
      </c>
      <c r="M895" s="258"/>
      <c r="N895" s="257"/>
      <c r="O895" s="261"/>
      <c r="P895" s="183"/>
      <c r="Q895" s="212" t="str">
        <f>VLOOKUP(Ruimtestaat[[#This Row],[Ruimte code]],Ruimtegroepen[#All],4,FALSE)</f>
        <v>niet in onderhoud</v>
      </c>
      <c r="R895" s="184"/>
      <c r="S895" s="185"/>
      <c r="T895" s="185"/>
      <c r="U895" s="185">
        <f>IF(S895&gt;0,IF(RIGHT(Ruimtestaat[[#This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5" s="185">
        <f>IF(U895&gt;0,VLOOKUP($K895,Ruimtegroepen[],3,FALSE)*VLOOKUP($M895,Vloersoorten[],3,FALSE)*VLOOKUP($T895,Frequenties[],3,FALSE)*VLOOKUP($A895,Locaties[],3,FALSE),0)</f>
        <v>0</v>
      </c>
      <c r="W895" s="185">
        <f>Ruimtestaat[[#This Row],[Uitvoeringen werkdagen]]*Ruimtestaat[[#This Row],[Oppervlak (netto)]]</f>
        <v>0</v>
      </c>
      <c r="X895" s="220">
        <f>IF(V895&gt;0,Ruimtestaat[[#This Row],[Prest. (m2 /jaar) werkdagen]]/Ruimtestaat[[#This Row],[Norm (m2/uur) werkdagen]],0)</f>
        <v>0</v>
      </c>
      <c r="Y895" s="221">
        <f>Ruimtestaat[[#This Row],[uren / jaar werkdagen]]*Tariefsopbouw!$D$38</f>
        <v>0</v>
      </c>
      <c r="Z895" s="33"/>
      <c r="AA895" s="33">
        <f>IF(Ruimtestaat[[#This Row],[Frequentie weekend]]&gt;0,VALUE(LEFT(Z895,1))*S895,0)</f>
        <v>0</v>
      </c>
      <c r="AB895" s="33">
        <f>IF($AA895&gt;0,VLOOKUP($K895,Ruimtegroepen[],3,FALSE)*VLOOKUP($M895,Vloersoorten[],3,FALSE)*VLOOKUP($Z895,Frequenties[],3,FALSE)*VLOOKUP(#REF!,Locaties[],3,FALSE),0)</f>
        <v>0</v>
      </c>
      <c r="AC895" s="33"/>
      <c r="AD895" s="33"/>
      <c r="AE895" s="33">
        <f>Ruimtestaat[[#This Row],[uren / jaar weekend]]*Tariefsopbouw!$D$40</f>
        <v>0</v>
      </c>
      <c r="AF895" s="79">
        <f>Ruimtestaat[[#This Row],[Prest. (m2 /jaar) weekend]]+Ruimtestaat[[#This Row],[Prest. (m2 /jaar) werkdagen]]</f>
        <v>0</v>
      </c>
      <c r="AG895" s="79">
        <f>Ruimtestaat[[#This Row],[uren / jaar weekend]]+Ruimtestaat[[#This Row],[uren / jaar werkdagen]]</f>
        <v>0</v>
      </c>
      <c r="AH895" s="80">
        <f>Ruimtestaat[[#This Row],[kosten / jaar weekend]]+Ruimtestaat[[#This Row],[kosten / jaar werkdagen]]</f>
        <v>0</v>
      </c>
    </row>
    <row r="896" spans="1:34" ht="15" customHeight="1">
      <c r="A896" s="256">
        <v>12</v>
      </c>
      <c r="B896" s="171" t="str">
        <f>VLOOKUP(Ruimtestaat[[#This Row],[Code]],Locaties[#All],2,FALSE)</f>
        <v>Onderwijscentrum Het Roessingh &amp; De Huifkar</v>
      </c>
      <c r="C896" s="258" t="str">
        <f>VLOOKUP(Ruimtestaat[[#This Row],[Code]],Locaties[#All],4,FALSE)</f>
        <v>Roessinghsbleekweg 35</v>
      </c>
      <c r="D896" s="258" t="str">
        <f>VLOOKUP(Ruimtestaat[[#This Row],[Code]],Locaties[#All],5,FALSE)</f>
        <v>7522 AH</v>
      </c>
      <c r="E896" s="258" t="str">
        <f>VLOOKUP(Ruimtestaat[[#This Row],[Code]],Locaties[#All],6,FALSE)</f>
        <v>Enschede</v>
      </c>
      <c r="F896" s="257"/>
      <c r="G896" s="257" t="s">
        <v>563</v>
      </c>
      <c r="H896" s="171"/>
      <c r="I896" s="257" t="s">
        <v>455</v>
      </c>
      <c r="J896" s="259" t="s">
        <v>586</v>
      </c>
      <c r="K896" s="171">
        <v>20</v>
      </c>
      <c r="L896" s="260" t="str">
        <f>VLOOKUP(Ruimtestaat[[#This Row],[Ruimte code]],Ruimtegroepen[#All],2,FALSE)</f>
        <v>Niet in onderhoud</v>
      </c>
      <c r="M896" s="258"/>
      <c r="N896" s="257"/>
      <c r="O896" s="261"/>
      <c r="P896" s="183"/>
      <c r="Q896" s="212" t="str">
        <f>VLOOKUP(Ruimtestaat[[#This Row],[Ruimte code]],Ruimtegroepen[#All],4,FALSE)</f>
        <v>niet in onderhoud</v>
      </c>
      <c r="R896" s="184"/>
      <c r="S896" s="185"/>
      <c r="T896" s="185"/>
      <c r="U896" s="185">
        <f>IF(S896&gt;0,IF(RIGHT(Ruimtestaat[[#This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6" s="185">
        <f>IF(U896&gt;0,VLOOKUP($K896,Ruimtegroepen[],3,FALSE)*VLOOKUP($M896,Vloersoorten[],3,FALSE)*VLOOKUP($T896,Frequenties[],3,FALSE)*VLOOKUP($A896,Locaties[],3,FALSE),0)</f>
        <v>0</v>
      </c>
      <c r="W896" s="185">
        <f>Ruimtestaat[[#This Row],[Uitvoeringen werkdagen]]*Ruimtestaat[[#This Row],[Oppervlak (netto)]]</f>
        <v>0</v>
      </c>
      <c r="X896" s="220">
        <f>IF(V896&gt;0,Ruimtestaat[[#This Row],[Prest. (m2 /jaar) werkdagen]]/Ruimtestaat[[#This Row],[Norm (m2/uur) werkdagen]],0)</f>
        <v>0</v>
      </c>
      <c r="Y896" s="221">
        <f>Ruimtestaat[[#This Row],[uren / jaar werkdagen]]*Tariefsopbouw!$D$38</f>
        <v>0</v>
      </c>
      <c r="Z896" s="33"/>
      <c r="AA896" s="33">
        <f>IF(Ruimtestaat[[#This Row],[Frequentie weekend]]&gt;0,VALUE(LEFT(Z896,1))*S896,0)</f>
        <v>0</v>
      </c>
      <c r="AB896" s="33">
        <f>IF($AA896&gt;0,VLOOKUP($K896,Ruimtegroepen[],3,FALSE)*VLOOKUP($M896,Vloersoorten[],3,FALSE)*VLOOKUP($Z896,Frequenties[],3,FALSE)*VLOOKUP(#REF!,Locaties[],3,FALSE),0)</f>
        <v>0</v>
      </c>
      <c r="AC896" s="33"/>
      <c r="AD896" s="33"/>
      <c r="AE896" s="33">
        <f>Ruimtestaat[[#This Row],[uren / jaar weekend]]*Tariefsopbouw!$D$40</f>
        <v>0</v>
      </c>
      <c r="AF896" s="79">
        <f>Ruimtestaat[[#This Row],[Prest. (m2 /jaar) weekend]]+Ruimtestaat[[#This Row],[Prest. (m2 /jaar) werkdagen]]</f>
        <v>0</v>
      </c>
      <c r="AG896" s="79">
        <f>Ruimtestaat[[#This Row],[uren / jaar weekend]]+Ruimtestaat[[#This Row],[uren / jaar werkdagen]]</f>
        <v>0</v>
      </c>
      <c r="AH896" s="80">
        <f>Ruimtestaat[[#This Row],[kosten / jaar weekend]]+Ruimtestaat[[#This Row],[kosten / jaar werkdagen]]</f>
        <v>0</v>
      </c>
    </row>
    <row r="897" spans="1:34" ht="15" customHeight="1">
      <c r="A897" s="256">
        <v>12</v>
      </c>
      <c r="B897" s="171" t="str">
        <f>VLOOKUP(Ruimtestaat[[#This Row],[Code]],Locaties[#All],2,FALSE)</f>
        <v>Onderwijscentrum Het Roessingh &amp; De Huifkar</v>
      </c>
      <c r="C897" s="258" t="str">
        <f>VLOOKUP(Ruimtestaat[[#This Row],[Code]],Locaties[#All],4,FALSE)</f>
        <v>Roessinghsbleekweg 35</v>
      </c>
      <c r="D897" s="258" t="str">
        <f>VLOOKUP(Ruimtestaat[[#This Row],[Code]],Locaties[#All],5,FALSE)</f>
        <v>7522 AH</v>
      </c>
      <c r="E897" s="258" t="str">
        <f>VLOOKUP(Ruimtestaat[[#This Row],[Code]],Locaties[#All],6,FALSE)</f>
        <v>Enschede</v>
      </c>
      <c r="F897" s="257"/>
      <c r="G897" s="257" t="s">
        <v>563</v>
      </c>
      <c r="H897" s="171"/>
      <c r="I897" s="257" t="s">
        <v>466</v>
      </c>
      <c r="J897" s="259" t="s">
        <v>576</v>
      </c>
      <c r="K897" s="258">
        <v>16</v>
      </c>
      <c r="L897" s="260" t="str">
        <f>VLOOKUP(Ruimtestaat[[#This Row],[Ruimte code]],Ruimtegroepen[#All],2,FALSE)</f>
        <v>Leslokalen</v>
      </c>
      <c r="M897" s="258" t="s">
        <v>598</v>
      </c>
      <c r="N897" s="257" t="s">
        <v>132</v>
      </c>
      <c r="O897" s="261">
        <v>57</v>
      </c>
      <c r="P897" s="183"/>
      <c r="Q897" s="212" t="str">
        <f>VLOOKUP(Ruimtestaat[[#This Row],[Ruimte code]],Ruimtegroepen[#All],4,FALSE)</f>
        <v>L  (Lesruimte)</v>
      </c>
      <c r="R897" s="184"/>
      <c r="S897" s="185">
        <v>40</v>
      </c>
      <c r="T897" s="185" t="s">
        <v>2</v>
      </c>
      <c r="U897" s="185">
        <f>IF(S897&gt;0,IF(RIGHT(Ruimtestaat[[#This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7" s="185">
        <f>IF(U897&gt;0,VLOOKUP($K897,Ruimtegroepen[],3,FALSE)*VLOOKUP($M897,Vloersoorten[],3,FALSE)*VLOOKUP($T897,Frequenties[],3,FALSE)*VLOOKUP($A897,Locaties[],3,FALSE),0)</f>
        <v>0</v>
      </c>
      <c r="W897" s="185">
        <f>Ruimtestaat[[#This Row],[Uitvoeringen werkdagen]]*Ruimtestaat[[#This Row],[Oppervlak (netto)]]</f>
        <v>11400</v>
      </c>
      <c r="X897" s="220">
        <f>IF(V897&gt;0,Ruimtestaat[[#This Row],[Prest. (m2 /jaar) werkdagen]]/Ruimtestaat[[#This Row],[Norm (m2/uur) werkdagen]],0)</f>
        <v>0</v>
      </c>
      <c r="Y897" s="221">
        <f>Ruimtestaat[[#This Row],[uren / jaar werkdagen]]*Tariefsopbouw!$D$38</f>
        <v>0</v>
      </c>
      <c r="Z897" s="33"/>
      <c r="AA897" s="33">
        <f>IF(Ruimtestaat[[#This Row],[Frequentie weekend]]&gt;0,VALUE(LEFT(Z897,1))*S897,0)</f>
        <v>0</v>
      </c>
      <c r="AB897" s="33">
        <f>IF($AA897&gt;0,VLOOKUP($K897,Ruimtegroepen[],3,FALSE)*VLOOKUP($M897,Vloersoorten[],3,FALSE)*VLOOKUP($Z897,Frequenties[],3,FALSE)*VLOOKUP(#REF!,Locaties[],3,FALSE),0)</f>
        <v>0</v>
      </c>
      <c r="AC897" s="33"/>
      <c r="AD897" s="33"/>
      <c r="AE897" s="33">
        <f>Ruimtestaat[[#This Row],[uren / jaar weekend]]*Tariefsopbouw!$D$40</f>
        <v>0</v>
      </c>
      <c r="AF897" s="79">
        <f>Ruimtestaat[[#This Row],[Prest. (m2 /jaar) weekend]]+Ruimtestaat[[#This Row],[Prest. (m2 /jaar) werkdagen]]</f>
        <v>11400</v>
      </c>
      <c r="AG897" s="79">
        <f>Ruimtestaat[[#This Row],[uren / jaar weekend]]+Ruimtestaat[[#This Row],[uren / jaar werkdagen]]</f>
        <v>0</v>
      </c>
      <c r="AH897" s="80">
        <f>Ruimtestaat[[#This Row],[kosten / jaar weekend]]+Ruimtestaat[[#This Row],[kosten / jaar werkdagen]]</f>
        <v>0</v>
      </c>
    </row>
    <row r="898" spans="1:34" ht="15" customHeight="1">
      <c r="A898" s="256">
        <v>12</v>
      </c>
      <c r="B898" s="171" t="str">
        <f>VLOOKUP(Ruimtestaat[[#This Row],[Code]],Locaties[#All],2,FALSE)</f>
        <v>Onderwijscentrum Het Roessingh &amp; De Huifkar</v>
      </c>
      <c r="C898" s="258" t="str">
        <f>VLOOKUP(Ruimtestaat[[#This Row],[Code]],Locaties[#All],4,FALSE)</f>
        <v>Roessinghsbleekweg 35</v>
      </c>
      <c r="D898" s="258" t="str">
        <f>VLOOKUP(Ruimtestaat[[#This Row],[Code]],Locaties[#All],5,FALSE)</f>
        <v>7522 AH</v>
      </c>
      <c r="E898" s="258" t="str">
        <f>VLOOKUP(Ruimtestaat[[#This Row],[Code]],Locaties[#All],6,FALSE)</f>
        <v>Enschede</v>
      </c>
      <c r="F898" s="257"/>
      <c r="G898" s="257" t="s">
        <v>563</v>
      </c>
      <c r="H898" s="171"/>
      <c r="I898" s="257" t="s">
        <v>467</v>
      </c>
      <c r="J898" s="259" t="s">
        <v>936</v>
      </c>
      <c r="K898" s="224">
        <v>16</v>
      </c>
      <c r="L898" s="260" t="str">
        <f>VLOOKUP(Ruimtestaat[[#This Row],[Ruimte code]],Ruimtegroepen[#All],2,FALSE)</f>
        <v>Leslokalen</v>
      </c>
      <c r="M898" s="258" t="s">
        <v>598</v>
      </c>
      <c r="N898" s="257" t="s">
        <v>132</v>
      </c>
      <c r="O898" s="261">
        <v>31</v>
      </c>
      <c r="P898" s="183"/>
      <c r="Q898" s="212" t="str">
        <f>VLOOKUP(Ruimtestaat[[#This Row],[Ruimte code]],Ruimtegroepen[#All],4,FALSE)</f>
        <v>L  (Lesruimte)</v>
      </c>
      <c r="R898" s="184"/>
      <c r="S898" s="185">
        <v>40</v>
      </c>
      <c r="T898" s="185" t="s">
        <v>2</v>
      </c>
      <c r="U898" s="185">
        <f>IF(S898&gt;0,IF(RIGHT(Ruimtestaat[[#This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8" s="185">
        <f>IF(U898&gt;0,VLOOKUP($K898,Ruimtegroepen[],3,FALSE)*VLOOKUP($M898,Vloersoorten[],3,FALSE)*VLOOKUP($T898,Frequenties[],3,FALSE)*VLOOKUP($A898,Locaties[],3,FALSE),0)</f>
        <v>0</v>
      </c>
      <c r="W898" s="185">
        <f>Ruimtestaat[[#This Row],[Uitvoeringen werkdagen]]*Ruimtestaat[[#This Row],[Oppervlak (netto)]]</f>
        <v>6200</v>
      </c>
      <c r="X898" s="220">
        <f>IF(V898&gt;0,Ruimtestaat[[#This Row],[Prest. (m2 /jaar) werkdagen]]/Ruimtestaat[[#This Row],[Norm (m2/uur) werkdagen]],0)</f>
        <v>0</v>
      </c>
      <c r="Y898" s="221">
        <f>Ruimtestaat[[#This Row],[uren / jaar werkdagen]]*Tariefsopbouw!$D$38</f>
        <v>0</v>
      </c>
      <c r="Z898" s="33"/>
      <c r="AA898" s="33">
        <f>IF(Ruimtestaat[[#This Row],[Frequentie weekend]]&gt;0,VALUE(LEFT(Z898,1))*S898,0)</f>
        <v>0</v>
      </c>
      <c r="AB898" s="33">
        <f>IF($AA898&gt;0,VLOOKUP($K898,Ruimtegroepen[],3,FALSE)*VLOOKUP($M898,Vloersoorten[],3,FALSE)*VLOOKUP($Z898,Frequenties[],3,FALSE)*VLOOKUP(#REF!,Locaties[],3,FALSE),0)</f>
        <v>0</v>
      </c>
      <c r="AC898" s="33"/>
      <c r="AD898" s="33"/>
      <c r="AE898" s="33">
        <f>Ruimtestaat[[#This Row],[uren / jaar weekend]]*Tariefsopbouw!$D$40</f>
        <v>0</v>
      </c>
      <c r="AF898" s="79">
        <f>Ruimtestaat[[#This Row],[Prest. (m2 /jaar) weekend]]+Ruimtestaat[[#This Row],[Prest. (m2 /jaar) werkdagen]]</f>
        <v>6200</v>
      </c>
      <c r="AG898" s="79">
        <f>Ruimtestaat[[#This Row],[uren / jaar weekend]]+Ruimtestaat[[#This Row],[uren / jaar werkdagen]]</f>
        <v>0</v>
      </c>
      <c r="AH898" s="80">
        <f>Ruimtestaat[[#This Row],[kosten / jaar weekend]]+Ruimtestaat[[#This Row],[kosten / jaar werkdagen]]</f>
        <v>0</v>
      </c>
    </row>
    <row r="899" spans="1:34" ht="15" customHeight="1">
      <c r="A899" s="256">
        <v>12</v>
      </c>
      <c r="B899" s="171" t="str">
        <f>VLOOKUP(Ruimtestaat[[#This Row],[Code]],Locaties[#All],2,FALSE)</f>
        <v>Onderwijscentrum Het Roessingh &amp; De Huifkar</v>
      </c>
      <c r="C899" s="258" t="str">
        <f>VLOOKUP(Ruimtestaat[[#This Row],[Code]],Locaties[#All],4,FALSE)</f>
        <v>Roessinghsbleekweg 35</v>
      </c>
      <c r="D899" s="258" t="str">
        <f>VLOOKUP(Ruimtestaat[[#This Row],[Code]],Locaties[#All],5,FALSE)</f>
        <v>7522 AH</v>
      </c>
      <c r="E899" s="258" t="str">
        <f>VLOOKUP(Ruimtestaat[[#This Row],[Code]],Locaties[#All],6,FALSE)</f>
        <v>Enschede</v>
      </c>
      <c r="F899" s="257"/>
      <c r="G899" s="257" t="s">
        <v>563</v>
      </c>
      <c r="H899" s="171"/>
      <c r="I899" s="257" t="s">
        <v>939</v>
      </c>
      <c r="J899" s="259" t="s">
        <v>574</v>
      </c>
      <c r="K899" s="171">
        <v>6</v>
      </c>
      <c r="L899" s="260" t="str">
        <f>VLOOKUP(Ruimtestaat[[#This Row],[Ruimte code]],Ruimtegroepen[#All],2,FALSE)</f>
        <v>Gangen/hallen</v>
      </c>
      <c r="M899" s="258" t="s">
        <v>598</v>
      </c>
      <c r="N899" s="257" t="s">
        <v>132</v>
      </c>
      <c r="O899" s="261">
        <v>8</v>
      </c>
      <c r="P899" s="183"/>
      <c r="Q899" s="212" t="str">
        <f>VLOOKUP(Ruimtestaat[[#This Row],[Ruimte code]],Ruimtegroepen[#All],4,FALSE)</f>
        <v>V  (Verkeersruimte)</v>
      </c>
      <c r="R899" s="184"/>
      <c r="S899" s="185">
        <v>40</v>
      </c>
      <c r="T899" s="185" t="s">
        <v>2</v>
      </c>
      <c r="U899" s="185">
        <f>IF(S899&gt;0,IF(RIGHT(Ruimtestaat[[#This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9" s="185">
        <f>IF(U899&gt;0,VLOOKUP($K899,Ruimtegroepen[],3,FALSE)*VLOOKUP($M899,Vloersoorten[],3,FALSE)*VLOOKUP($T899,Frequenties[],3,FALSE)*VLOOKUP($A899,Locaties[],3,FALSE),0)</f>
        <v>0</v>
      </c>
      <c r="W899" s="185">
        <f>Ruimtestaat[[#This Row],[Uitvoeringen werkdagen]]*Ruimtestaat[[#This Row],[Oppervlak (netto)]]</f>
        <v>1600</v>
      </c>
      <c r="X899" s="220">
        <f>IF(V899&gt;0,Ruimtestaat[[#This Row],[Prest. (m2 /jaar) werkdagen]]/Ruimtestaat[[#This Row],[Norm (m2/uur) werkdagen]],0)</f>
        <v>0</v>
      </c>
      <c r="Y899" s="221">
        <f>Ruimtestaat[[#This Row],[uren / jaar werkdagen]]*Tariefsopbouw!$D$38</f>
        <v>0</v>
      </c>
      <c r="Z899" s="33"/>
      <c r="AA899" s="33">
        <f>IF(Ruimtestaat[[#This Row],[Frequentie weekend]]&gt;0,VALUE(LEFT(Z899,1))*S899,0)</f>
        <v>0</v>
      </c>
      <c r="AB899" s="33">
        <f>IF($AA899&gt;0,VLOOKUP($K899,Ruimtegroepen[],3,FALSE)*VLOOKUP($M899,Vloersoorten[],3,FALSE)*VLOOKUP($Z899,Frequenties[],3,FALSE)*VLOOKUP(#REF!,Locaties[],3,FALSE),0)</f>
        <v>0</v>
      </c>
      <c r="AC899" s="33"/>
      <c r="AD899" s="33"/>
      <c r="AE899" s="33">
        <f>Ruimtestaat[[#This Row],[uren / jaar weekend]]*Tariefsopbouw!$D$40</f>
        <v>0</v>
      </c>
      <c r="AF899" s="79">
        <f>Ruimtestaat[[#This Row],[Prest. (m2 /jaar) weekend]]+Ruimtestaat[[#This Row],[Prest. (m2 /jaar) werkdagen]]</f>
        <v>1600</v>
      </c>
      <c r="AG899" s="79">
        <f>Ruimtestaat[[#This Row],[uren / jaar weekend]]+Ruimtestaat[[#This Row],[uren / jaar werkdagen]]</f>
        <v>0</v>
      </c>
      <c r="AH899" s="80">
        <f>Ruimtestaat[[#This Row],[kosten / jaar weekend]]+Ruimtestaat[[#This Row],[kosten / jaar werkdagen]]</f>
        <v>0</v>
      </c>
    </row>
    <row r="900" spans="1:34" ht="15" customHeight="1">
      <c r="A900" s="256">
        <v>12</v>
      </c>
      <c r="B900" s="171" t="str">
        <f>VLOOKUP(Ruimtestaat[[#This Row],[Code]],Locaties[#All],2,FALSE)</f>
        <v>Onderwijscentrum Het Roessingh &amp; De Huifkar</v>
      </c>
      <c r="C900" s="258" t="str">
        <f>VLOOKUP(Ruimtestaat[[#This Row],[Code]],Locaties[#All],4,FALSE)</f>
        <v>Roessinghsbleekweg 35</v>
      </c>
      <c r="D900" s="258" t="str">
        <f>VLOOKUP(Ruimtestaat[[#This Row],[Code]],Locaties[#All],5,FALSE)</f>
        <v>7522 AH</v>
      </c>
      <c r="E900" s="258" t="str">
        <f>VLOOKUP(Ruimtestaat[[#This Row],[Code]],Locaties[#All],6,FALSE)</f>
        <v>Enschede</v>
      </c>
      <c r="F900" s="257"/>
      <c r="G900" s="257" t="s">
        <v>563</v>
      </c>
      <c r="H900" s="171"/>
      <c r="I900" s="257" t="s">
        <v>468</v>
      </c>
      <c r="J900" s="259" t="s">
        <v>569</v>
      </c>
      <c r="K900" s="258">
        <v>5</v>
      </c>
      <c r="L900" s="260" t="str">
        <f>VLOOKUP(Ruimtestaat[[#This Row],[Ruimte code]],Ruimtegroepen[#All],2,FALSE)</f>
        <v>Sanitair</v>
      </c>
      <c r="M900" s="212" t="s">
        <v>111</v>
      </c>
      <c r="N900" s="257" t="s">
        <v>606</v>
      </c>
      <c r="O900" s="261">
        <v>9.1999999999999993</v>
      </c>
      <c r="P900" s="183"/>
      <c r="Q900" s="212" t="str">
        <f>VLOOKUP(Ruimtestaat[[#This Row],[Ruimte code]],Ruimtegroepen[#All],4,FALSE)</f>
        <v>S  (Sanitair)</v>
      </c>
      <c r="R900" s="184"/>
      <c r="S900" s="185">
        <v>40</v>
      </c>
      <c r="T900" s="185" t="s">
        <v>2</v>
      </c>
      <c r="U900" s="185">
        <f>IF(S900&gt;0,IF(RIGHT(Ruimtestaat[[#This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0" s="185">
        <f>IF(U900&gt;0,VLOOKUP($K900,Ruimtegroepen[],3,FALSE)*VLOOKUP($M900,Vloersoorten[],3,FALSE)*VLOOKUP($T900,Frequenties[],3,FALSE)*VLOOKUP($A900,Locaties[],3,FALSE),0)</f>
        <v>0</v>
      </c>
      <c r="W900" s="185">
        <f>Ruimtestaat[[#This Row],[Uitvoeringen werkdagen]]*Ruimtestaat[[#This Row],[Oppervlak (netto)]]</f>
        <v>1839.9999999999998</v>
      </c>
      <c r="X900" s="220">
        <f>IF(V900&gt;0,Ruimtestaat[[#This Row],[Prest. (m2 /jaar) werkdagen]]/Ruimtestaat[[#This Row],[Norm (m2/uur) werkdagen]],0)</f>
        <v>0</v>
      </c>
      <c r="Y900" s="221">
        <f>Ruimtestaat[[#This Row],[uren / jaar werkdagen]]*Tariefsopbouw!$D$38</f>
        <v>0</v>
      </c>
      <c r="Z900" s="33"/>
      <c r="AA900" s="33">
        <f>IF(Ruimtestaat[[#This Row],[Frequentie weekend]]&gt;0,VALUE(LEFT(Z900,1))*S900,0)</f>
        <v>0</v>
      </c>
      <c r="AB900" s="33">
        <f>IF($AA900&gt;0,VLOOKUP($K900,Ruimtegroepen[],3,FALSE)*VLOOKUP($M900,Vloersoorten[],3,FALSE)*VLOOKUP($Z900,Frequenties[],3,FALSE)*VLOOKUP(#REF!,Locaties[],3,FALSE),0)</f>
        <v>0</v>
      </c>
      <c r="AC900" s="33"/>
      <c r="AD900" s="33"/>
      <c r="AE900" s="33">
        <f>Ruimtestaat[[#This Row],[uren / jaar weekend]]*Tariefsopbouw!$D$40</f>
        <v>0</v>
      </c>
      <c r="AF900" s="79">
        <f>Ruimtestaat[[#This Row],[Prest. (m2 /jaar) weekend]]+Ruimtestaat[[#This Row],[Prest. (m2 /jaar) werkdagen]]</f>
        <v>1839.9999999999998</v>
      </c>
      <c r="AG900" s="79">
        <f>Ruimtestaat[[#This Row],[uren / jaar weekend]]+Ruimtestaat[[#This Row],[uren / jaar werkdagen]]</f>
        <v>0</v>
      </c>
      <c r="AH900" s="80">
        <f>Ruimtestaat[[#This Row],[kosten / jaar weekend]]+Ruimtestaat[[#This Row],[kosten / jaar werkdagen]]</f>
        <v>0</v>
      </c>
    </row>
    <row r="901" spans="1:34" ht="15" customHeight="1">
      <c r="A901" s="256">
        <v>12</v>
      </c>
      <c r="B901" s="171" t="str">
        <f>VLOOKUP(Ruimtestaat[[#This Row],[Code]],Locaties[#All],2,FALSE)</f>
        <v>Onderwijscentrum Het Roessingh &amp; De Huifkar</v>
      </c>
      <c r="C901" s="258" t="str">
        <f>VLOOKUP(Ruimtestaat[[#This Row],[Code]],Locaties[#All],4,FALSE)</f>
        <v>Roessinghsbleekweg 35</v>
      </c>
      <c r="D901" s="258" t="str">
        <f>VLOOKUP(Ruimtestaat[[#This Row],[Code]],Locaties[#All],5,FALSE)</f>
        <v>7522 AH</v>
      </c>
      <c r="E901" s="258" t="str">
        <f>VLOOKUP(Ruimtestaat[[#This Row],[Code]],Locaties[#All],6,FALSE)</f>
        <v>Enschede</v>
      </c>
      <c r="F901" s="257"/>
      <c r="G901" s="257" t="s">
        <v>563</v>
      </c>
      <c r="H901" s="171"/>
      <c r="I901" s="257" t="s">
        <v>469</v>
      </c>
      <c r="J901" s="259" t="s">
        <v>619</v>
      </c>
      <c r="K901" s="171">
        <v>20</v>
      </c>
      <c r="L901" s="260" t="str">
        <f>VLOOKUP(Ruimtestaat[[#This Row],[Ruimte code]],Ruimtegroepen[#All],2,FALSE)</f>
        <v>Niet in onderhoud</v>
      </c>
      <c r="M901" s="212" t="s">
        <v>111</v>
      </c>
      <c r="N901" s="257" t="s">
        <v>605</v>
      </c>
      <c r="O901" s="261"/>
      <c r="P901" s="183">
        <v>14</v>
      </c>
      <c r="Q901" s="212" t="str">
        <f>VLOOKUP(Ruimtestaat[[#This Row],[Ruimte code]],Ruimtegroepen[#All],4,FALSE)</f>
        <v>niet in onderhoud</v>
      </c>
      <c r="R901" s="184"/>
      <c r="S901" s="185"/>
      <c r="T901" s="185"/>
      <c r="U901" s="185">
        <f>IF(S901&gt;0,IF(RIGHT(Ruimtestaat[[#This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01" s="185">
        <f>IF(U901&gt;0,VLOOKUP($K901,Ruimtegroepen[],3,FALSE)*VLOOKUP($M901,Vloersoorten[],3,FALSE)*VLOOKUP($T901,Frequenties[],3,FALSE)*VLOOKUP($A901,Locaties[],3,FALSE),0)</f>
        <v>0</v>
      </c>
      <c r="W901" s="185">
        <f>Ruimtestaat[[#This Row],[Uitvoeringen werkdagen]]*Ruimtestaat[[#This Row],[Oppervlak (netto)]]</f>
        <v>0</v>
      </c>
      <c r="X901" s="220">
        <f>IF(V901&gt;0,Ruimtestaat[[#This Row],[Prest. (m2 /jaar) werkdagen]]/Ruimtestaat[[#This Row],[Norm (m2/uur) werkdagen]],0)</f>
        <v>0</v>
      </c>
      <c r="Y901" s="221">
        <f>Ruimtestaat[[#This Row],[uren / jaar werkdagen]]*Tariefsopbouw!$D$38</f>
        <v>0</v>
      </c>
      <c r="Z901" s="33"/>
      <c r="AA901" s="33">
        <f>IF(Ruimtestaat[[#This Row],[Frequentie weekend]]&gt;0,VALUE(LEFT(Z901,1))*S901,0)</f>
        <v>0</v>
      </c>
      <c r="AB901" s="33">
        <f>IF($AA901&gt;0,VLOOKUP($K901,Ruimtegroepen[],3,FALSE)*VLOOKUP($M901,Vloersoorten[],3,FALSE)*VLOOKUP($Z901,Frequenties[],3,FALSE)*VLOOKUP(#REF!,Locaties[],3,FALSE),0)</f>
        <v>0</v>
      </c>
      <c r="AC901" s="33"/>
      <c r="AD901" s="33"/>
      <c r="AE901" s="33">
        <f>Ruimtestaat[[#This Row],[uren / jaar weekend]]*Tariefsopbouw!$D$40</f>
        <v>0</v>
      </c>
      <c r="AF901" s="79">
        <f>Ruimtestaat[[#This Row],[Prest. (m2 /jaar) weekend]]+Ruimtestaat[[#This Row],[Prest. (m2 /jaar) werkdagen]]</f>
        <v>0</v>
      </c>
      <c r="AG901" s="79">
        <f>Ruimtestaat[[#This Row],[uren / jaar weekend]]+Ruimtestaat[[#This Row],[uren / jaar werkdagen]]</f>
        <v>0</v>
      </c>
      <c r="AH901" s="80">
        <f>Ruimtestaat[[#This Row],[kosten / jaar weekend]]+Ruimtestaat[[#This Row],[kosten / jaar werkdagen]]</f>
        <v>0</v>
      </c>
    </row>
    <row r="902" spans="1:34" ht="15" customHeight="1">
      <c r="A902" s="256">
        <v>12</v>
      </c>
      <c r="B902" s="171" t="str">
        <f>VLOOKUP(Ruimtestaat[[#This Row],[Code]],Locaties[#All],2,FALSE)</f>
        <v>Onderwijscentrum Het Roessingh &amp; De Huifkar</v>
      </c>
      <c r="C902" s="258" t="str">
        <f>VLOOKUP(Ruimtestaat[[#This Row],[Code]],Locaties[#All],4,FALSE)</f>
        <v>Roessinghsbleekweg 35</v>
      </c>
      <c r="D902" s="258" t="str">
        <f>VLOOKUP(Ruimtestaat[[#This Row],[Code]],Locaties[#All],5,FALSE)</f>
        <v>7522 AH</v>
      </c>
      <c r="E902" s="258" t="str">
        <f>VLOOKUP(Ruimtestaat[[#This Row],[Code]],Locaties[#All],6,FALSE)</f>
        <v>Enschede</v>
      </c>
      <c r="F902" s="257"/>
      <c r="G902" s="257" t="s">
        <v>563</v>
      </c>
      <c r="H902" s="171"/>
      <c r="I902" s="257" t="s">
        <v>470</v>
      </c>
      <c r="J902" s="259" t="s">
        <v>569</v>
      </c>
      <c r="K902" s="258">
        <v>5</v>
      </c>
      <c r="L902" s="260" t="str">
        <f>VLOOKUP(Ruimtestaat[[#This Row],[Ruimte code]],Ruimtegroepen[#All],2,FALSE)</f>
        <v>Sanitair</v>
      </c>
      <c r="M902" s="212" t="s">
        <v>111</v>
      </c>
      <c r="N902" s="257" t="s">
        <v>606</v>
      </c>
      <c r="O902" s="261">
        <v>18</v>
      </c>
      <c r="P902" s="183"/>
      <c r="Q902" s="212" t="str">
        <f>VLOOKUP(Ruimtestaat[[#This Row],[Ruimte code]],Ruimtegroepen[#All],4,FALSE)</f>
        <v>S  (Sanitair)</v>
      </c>
      <c r="R902" s="184"/>
      <c r="S902" s="185">
        <v>40</v>
      </c>
      <c r="T902" s="185" t="s">
        <v>2</v>
      </c>
      <c r="U902" s="185">
        <f>IF(S902&gt;0,IF(RIGHT(Ruimtestaat[[#This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2" s="185">
        <f>IF(U902&gt;0,VLOOKUP($K902,Ruimtegroepen[],3,FALSE)*VLOOKUP($M902,Vloersoorten[],3,FALSE)*VLOOKUP($T902,Frequenties[],3,FALSE)*VLOOKUP($A902,Locaties[],3,FALSE),0)</f>
        <v>0</v>
      </c>
      <c r="W902" s="185">
        <f>Ruimtestaat[[#This Row],[Uitvoeringen werkdagen]]*Ruimtestaat[[#This Row],[Oppervlak (netto)]]</f>
        <v>3600</v>
      </c>
      <c r="X902" s="220">
        <f>IF(V902&gt;0,Ruimtestaat[[#This Row],[Prest. (m2 /jaar) werkdagen]]/Ruimtestaat[[#This Row],[Norm (m2/uur) werkdagen]],0)</f>
        <v>0</v>
      </c>
      <c r="Y902" s="221">
        <f>Ruimtestaat[[#This Row],[uren / jaar werkdagen]]*Tariefsopbouw!$D$38</f>
        <v>0</v>
      </c>
      <c r="Z902" s="33"/>
      <c r="AA902" s="33">
        <f>IF(Ruimtestaat[[#This Row],[Frequentie weekend]]&gt;0,VALUE(LEFT(Z902,1))*S902,0)</f>
        <v>0</v>
      </c>
      <c r="AB902" s="33">
        <f>IF($AA902&gt;0,VLOOKUP($K902,Ruimtegroepen[],3,FALSE)*VLOOKUP($M902,Vloersoorten[],3,FALSE)*VLOOKUP($Z902,Frequenties[],3,FALSE)*VLOOKUP(#REF!,Locaties[],3,FALSE),0)</f>
        <v>0</v>
      </c>
      <c r="AC902" s="33"/>
      <c r="AD902" s="33"/>
      <c r="AE902" s="33">
        <f>Ruimtestaat[[#This Row],[uren / jaar weekend]]*Tariefsopbouw!$D$40</f>
        <v>0</v>
      </c>
      <c r="AF902" s="79">
        <f>Ruimtestaat[[#This Row],[Prest. (m2 /jaar) weekend]]+Ruimtestaat[[#This Row],[Prest. (m2 /jaar) werkdagen]]</f>
        <v>3600</v>
      </c>
      <c r="AG902" s="79">
        <f>Ruimtestaat[[#This Row],[uren / jaar weekend]]+Ruimtestaat[[#This Row],[uren / jaar werkdagen]]</f>
        <v>0</v>
      </c>
      <c r="AH902" s="80">
        <f>Ruimtestaat[[#This Row],[kosten / jaar weekend]]+Ruimtestaat[[#This Row],[kosten / jaar werkdagen]]</f>
        <v>0</v>
      </c>
    </row>
    <row r="903" spans="1:34" ht="15" customHeight="1">
      <c r="A903" s="256">
        <v>12</v>
      </c>
      <c r="B903" s="171" t="str">
        <f>VLOOKUP(Ruimtestaat[[#This Row],[Code]],Locaties[#All],2,FALSE)</f>
        <v>Onderwijscentrum Het Roessingh &amp; De Huifkar</v>
      </c>
      <c r="C903" s="258" t="str">
        <f>VLOOKUP(Ruimtestaat[[#This Row],[Code]],Locaties[#All],4,FALSE)</f>
        <v>Roessinghsbleekweg 35</v>
      </c>
      <c r="D903" s="258" t="str">
        <f>VLOOKUP(Ruimtestaat[[#This Row],[Code]],Locaties[#All],5,FALSE)</f>
        <v>7522 AH</v>
      </c>
      <c r="E903" s="258" t="str">
        <f>VLOOKUP(Ruimtestaat[[#This Row],[Code]],Locaties[#All],6,FALSE)</f>
        <v>Enschede</v>
      </c>
      <c r="F903" s="257"/>
      <c r="G903" s="257" t="s">
        <v>563</v>
      </c>
      <c r="H903" s="171"/>
      <c r="I903" s="257" t="s">
        <v>471</v>
      </c>
      <c r="J903" s="259" t="s">
        <v>586</v>
      </c>
      <c r="K903" s="171">
        <v>20</v>
      </c>
      <c r="L903" s="260" t="str">
        <f>VLOOKUP(Ruimtestaat[[#This Row],[Ruimte code]],Ruimtegroepen[#All],2,FALSE)</f>
        <v>Niet in onderhoud</v>
      </c>
      <c r="M903" s="258"/>
      <c r="N903" s="257"/>
      <c r="O903" s="261"/>
      <c r="P903" s="183"/>
      <c r="Q903" s="212" t="str">
        <f>VLOOKUP(Ruimtestaat[[#This Row],[Ruimte code]],Ruimtegroepen[#All],4,FALSE)</f>
        <v>niet in onderhoud</v>
      </c>
      <c r="R903" s="184"/>
      <c r="S903" s="185"/>
      <c r="T903" s="185"/>
      <c r="U903" s="185">
        <f>IF(S903&gt;0,IF(RIGHT(Ruimtestaat[[#This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03" s="185">
        <f>IF(U903&gt;0,VLOOKUP($K903,Ruimtegroepen[],3,FALSE)*VLOOKUP($M903,Vloersoorten[],3,FALSE)*VLOOKUP($T903,Frequenties[],3,FALSE)*VLOOKUP($A903,Locaties[],3,FALSE),0)</f>
        <v>0</v>
      </c>
      <c r="W903" s="185">
        <f>Ruimtestaat[[#This Row],[Uitvoeringen werkdagen]]*Ruimtestaat[[#This Row],[Oppervlak (netto)]]</f>
        <v>0</v>
      </c>
      <c r="X903" s="220">
        <f>IF(V903&gt;0,Ruimtestaat[[#This Row],[Prest. (m2 /jaar) werkdagen]]/Ruimtestaat[[#This Row],[Norm (m2/uur) werkdagen]],0)</f>
        <v>0</v>
      </c>
      <c r="Y903" s="221">
        <f>Ruimtestaat[[#This Row],[uren / jaar werkdagen]]*Tariefsopbouw!$D$38</f>
        <v>0</v>
      </c>
      <c r="Z903" s="33"/>
      <c r="AA903" s="33">
        <f>IF(Ruimtestaat[[#This Row],[Frequentie weekend]]&gt;0,VALUE(LEFT(Z903,1))*S903,0)</f>
        <v>0</v>
      </c>
      <c r="AB903" s="33">
        <f>IF($AA903&gt;0,VLOOKUP($K903,Ruimtegroepen[],3,FALSE)*VLOOKUP($M903,Vloersoorten[],3,FALSE)*VLOOKUP($Z903,Frequenties[],3,FALSE)*VLOOKUP(#REF!,Locaties[],3,FALSE),0)</f>
        <v>0</v>
      </c>
      <c r="AC903" s="33"/>
      <c r="AD903" s="33"/>
      <c r="AE903" s="33">
        <f>Ruimtestaat[[#This Row],[uren / jaar weekend]]*Tariefsopbouw!$D$40</f>
        <v>0</v>
      </c>
      <c r="AF903" s="79">
        <f>Ruimtestaat[[#This Row],[Prest. (m2 /jaar) weekend]]+Ruimtestaat[[#This Row],[Prest. (m2 /jaar) werkdagen]]</f>
        <v>0</v>
      </c>
      <c r="AG903" s="79">
        <f>Ruimtestaat[[#This Row],[uren / jaar weekend]]+Ruimtestaat[[#This Row],[uren / jaar werkdagen]]</f>
        <v>0</v>
      </c>
      <c r="AH903" s="80">
        <f>Ruimtestaat[[#This Row],[kosten / jaar weekend]]+Ruimtestaat[[#This Row],[kosten / jaar werkdagen]]</f>
        <v>0</v>
      </c>
    </row>
    <row r="904" spans="1:34" ht="15" customHeight="1">
      <c r="A904" s="256">
        <v>12</v>
      </c>
      <c r="B904" s="171" t="str">
        <f>VLOOKUP(Ruimtestaat[[#This Row],[Code]],Locaties[#All],2,FALSE)</f>
        <v>Onderwijscentrum Het Roessingh &amp; De Huifkar</v>
      </c>
      <c r="C904" s="258" t="str">
        <f>VLOOKUP(Ruimtestaat[[#This Row],[Code]],Locaties[#All],4,FALSE)</f>
        <v>Roessinghsbleekweg 35</v>
      </c>
      <c r="D904" s="258" t="str">
        <f>VLOOKUP(Ruimtestaat[[#This Row],[Code]],Locaties[#All],5,FALSE)</f>
        <v>7522 AH</v>
      </c>
      <c r="E904" s="258" t="str">
        <f>VLOOKUP(Ruimtestaat[[#This Row],[Code]],Locaties[#All],6,FALSE)</f>
        <v>Enschede</v>
      </c>
      <c r="F904" s="257"/>
      <c r="G904" s="257" t="s">
        <v>563</v>
      </c>
      <c r="H904" s="171"/>
      <c r="I904" s="257" t="s">
        <v>472</v>
      </c>
      <c r="J904" s="259" t="s">
        <v>574</v>
      </c>
      <c r="K904" s="258">
        <v>6</v>
      </c>
      <c r="L904" s="260" t="str">
        <f>VLOOKUP(Ruimtestaat[[#This Row],[Ruimte code]],Ruimtegroepen[#All],2,FALSE)</f>
        <v>Gangen/hallen</v>
      </c>
      <c r="M904" s="258" t="s">
        <v>110</v>
      </c>
      <c r="N904" s="257" t="s">
        <v>132</v>
      </c>
      <c r="O904" s="261">
        <v>100</v>
      </c>
      <c r="P904" s="183"/>
      <c r="Q904" s="212" t="str">
        <f>VLOOKUP(Ruimtestaat[[#This Row],[Ruimte code]],Ruimtegroepen[#All],4,FALSE)</f>
        <v>V  (Verkeersruimte)</v>
      </c>
      <c r="R904" s="184"/>
      <c r="S904" s="185">
        <v>40</v>
      </c>
      <c r="T904" s="185" t="s">
        <v>2</v>
      </c>
      <c r="U904" s="185">
        <f>IF(S904&gt;0,IF(RIGHT(Ruimtestaat[[#This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4" s="185">
        <f>IF(U904&gt;0,VLOOKUP($K904,Ruimtegroepen[],3,FALSE)*VLOOKUP($M904,Vloersoorten[],3,FALSE)*VLOOKUP($T904,Frequenties[],3,FALSE)*VLOOKUP($A904,Locaties[],3,FALSE),0)</f>
        <v>0</v>
      </c>
      <c r="W904" s="185">
        <f>Ruimtestaat[[#This Row],[Uitvoeringen werkdagen]]*Ruimtestaat[[#This Row],[Oppervlak (netto)]]</f>
        <v>20000</v>
      </c>
      <c r="X904" s="220">
        <f>IF(V904&gt;0,Ruimtestaat[[#This Row],[Prest. (m2 /jaar) werkdagen]]/Ruimtestaat[[#This Row],[Norm (m2/uur) werkdagen]],0)</f>
        <v>0</v>
      </c>
      <c r="Y904" s="221">
        <f>Ruimtestaat[[#This Row],[uren / jaar werkdagen]]*Tariefsopbouw!$D$38</f>
        <v>0</v>
      </c>
      <c r="Z904" s="33"/>
      <c r="AA904" s="33">
        <f>IF(Ruimtestaat[[#This Row],[Frequentie weekend]]&gt;0,VALUE(LEFT(Z904,1))*S904,0)</f>
        <v>0</v>
      </c>
      <c r="AB904" s="33">
        <f>IF($AA904&gt;0,VLOOKUP($K904,Ruimtegroepen[],3,FALSE)*VLOOKUP($M904,Vloersoorten[],3,FALSE)*VLOOKUP($Z904,Frequenties[],3,FALSE)*VLOOKUP(#REF!,Locaties[],3,FALSE),0)</f>
        <v>0</v>
      </c>
      <c r="AC904" s="33"/>
      <c r="AD904" s="33"/>
      <c r="AE904" s="33">
        <f>Ruimtestaat[[#This Row],[uren / jaar weekend]]*Tariefsopbouw!$D$40</f>
        <v>0</v>
      </c>
      <c r="AF904" s="79">
        <f>Ruimtestaat[[#This Row],[Prest. (m2 /jaar) weekend]]+Ruimtestaat[[#This Row],[Prest. (m2 /jaar) werkdagen]]</f>
        <v>20000</v>
      </c>
      <c r="AG904" s="79">
        <f>Ruimtestaat[[#This Row],[uren / jaar weekend]]+Ruimtestaat[[#This Row],[uren / jaar werkdagen]]</f>
        <v>0</v>
      </c>
      <c r="AH904" s="80">
        <f>Ruimtestaat[[#This Row],[kosten / jaar weekend]]+Ruimtestaat[[#This Row],[kosten / jaar werkdagen]]</f>
        <v>0</v>
      </c>
    </row>
    <row r="905" spans="1:34" ht="15" customHeight="1">
      <c r="A905" s="256">
        <v>12</v>
      </c>
      <c r="B905" s="171" t="str">
        <f>VLOOKUP(Ruimtestaat[[#This Row],[Code]],Locaties[#All],2,FALSE)</f>
        <v>Onderwijscentrum Het Roessingh &amp; De Huifkar</v>
      </c>
      <c r="C905" s="258" t="str">
        <f>VLOOKUP(Ruimtestaat[[#This Row],[Code]],Locaties[#All],4,FALSE)</f>
        <v>Roessinghsbleekweg 35</v>
      </c>
      <c r="D905" s="258" t="str">
        <f>VLOOKUP(Ruimtestaat[[#This Row],[Code]],Locaties[#All],5,FALSE)</f>
        <v>7522 AH</v>
      </c>
      <c r="E905" s="258" t="str">
        <f>VLOOKUP(Ruimtestaat[[#This Row],[Code]],Locaties[#All],6,FALSE)</f>
        <v>Enschede</v>
      </c>
      <c r="F905" s="257"/>
      <c r="G905" s="257" t="s">
        <v>563</v>
      </c>
      <c r="H905" s="171"/>
      <c r="I905" s="257" t="s">
        <v>486</v>
      </c>
      <c r="J905" s="259" t="s">
        <v>576</v>
      </c>
      <c r="K905" s="258">
        <v>16</v>
      </c>
      <c r="L905" s="260" t="str">
        <f>VLOOKUP(Ruimtestaat[[#This Row],[Ruimte code]],Ruimtegroepen[#All],2,FALSE)</f>
        <v>Leslokalen</v>
      </c>
      <c r="M905" s="258" t="s">
        <v>598</v>
      </c>
      <c r="N905" s="257" t="s">
        <v>132</v>
      </c>
      <c r="O905" s="261">
        <v>57</v>
      </c>
      <c r="P905" s="183"/>
      <c r="Q905" s="212" t="str">
        <f>VLOOKUP(Ruimtestaat[[#This Row],[Ruimte code]],Ruimtegroepen[#All],4,FALSE)</f>
        <v>L  (Lesruimte)</v>
      </c>
      <c r="R905" s="184"/>
      <c r="S905" s="185">
        <v>40</v>
      </c>
      <c r="T905" s="185" t="s">
        <v>2</v>
      </c>
      <c r="U905" s="185">
        <f>IF(S905&gt;0,IF(RIGHT(Ruimtestaat[[#This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5" s="185">
        <f>IF(U905&gt;0,VLOOKUP($K905,Ruimtegroepen[],3,FALSE)*VLOOKUP($M905,Vloersoorten[],3,FALSE)*VLOOKUP($T905,Frequenties[],3,FALSE)*VLOOKUP($A905,Locaties[],3,FALSE),0)</f>
        <v>0</v>
      </c>
      <c r="W905" s="185">
        <f>Ruimtestaat[[#This Row],[Uitvoeringen werkdagen]]*Ruimtestaat[[#This Row],[Oppervlak (netto)]]</f>
        <v>11400</v>
      </c>
      <c r="X905" s="220">
        <f>IF(V905&gt;0,Ruimtestaat[[#This Row],[Prest. (m2 /jaar) werkdagen]]/Ruimtestaat[[#This Row],[Norm (m2/uur) werkdagen]],0)</f>
        <v>0</v>
      </c>
      <c r="Y905" s="221">
        <f>Ruimtestaat[[#This Row],[uren / jaar werkdagen]]*Tariefsopbouw!$D$38</f>
        <v>0</v>
      </c>
      <c r="Z905" s="33"/>
      <c r="AA905" s="33">
        <f>IF(Ruimtestaat[[#This Row],[Frequentie weekend]]&gt;0,VALUE(LEFT(Z905,1))*S905,0)</f>
        <v>0</v>
      </c>
      <c r="AB905" s="33">
        <f>IF($AA905&gt;0,VLOOKUP($K905,Ruimtegroepen[],3,FALSE)*VLOOKUP($M905,Vloersoorten[],3,FALSE)*VLOOKUP($Z905,Frequenties[],3,FALSE)*VLOOKUP(#REF!,Locaties[],3,FALSE),0)</f>
        <v>0</v>
      </c>
      <c r="AC905" s="33"/>
      <c r="AD905" s="33"/>
      <c r="AE905" s="33">
        <f>Ruimtestaat[[#This Row],[uren / jaar weekend]]*Tariefsopbouw!$D$40</f>
        <v>0</v>
      </c>
      <c r="AF905" s="79">
        <f>Ruimtestaat[[#This Row],[Prest. (m2 /jaar) weekend]]+Ruimtestaat[[#This Row],[Prest. (m2 /jaar) werkdagen]]</f>
        <v>11400</v>
      </c>
      <c r="AG905" s="79">
        <f>Ruimtestaat[[#This Row],[uren / jaar weekend]]+Ruimtestaat[[#This Row],[uren / jaar werkdagen]]</f>
        <v>0</v>
      </c>
      <c r="AH905" s="80">
        <f>Ruimtestaat[[#This Row],[kosten / jaar weekend]]+Ruimtestaat[[#This Row],[kosten / jaar werkdagen]]</f>
        <v>0</v>
      </c>
    </row>
    <row r="906" spans="1:34" ht="15" customHeight="1">
      <c r="A906" s="256">
        <v>12</v>
      </c>
      <c r="B906" s="171" t="str">
        <f>VLOOKUP(Ruimtestaat[[#This Row],[Code]],Locaties[#All],2,FALSE)</f>
        <v>Onderwijscentrum Het Roessingh &amp; De Huifkar</v>
      </c>
      <c r="C906" s="258" t="str">
        <f>VLOOKUP(Ruimtestaat[[#This Row],[Code]],Locaties[#All],4,FALSE)</f>
        <v>Roessinghsbleekweg 35</v>
      </c>
      <c r="D906" s="258" t="str">
        <f>VLOOKUP(Ruimtestaat[[#This Row],[Code]],Locaties[#All],5,FALSE)</f>
        <v>7522 AH</v>
      </c>
      <c r="E906" s="258" t="str">
        <f>VLOOKUP(Ruimtestaat[[#This Row],[Code]],Locaties[#All],6,FALSE)</f>
        <v>Enschede</v>
      </c>
      <c r="F906" s="257"/>
      <c r="G906" s="257" t="s">
        <v>563</v>
      </c>
      <c r="H906" s="171"/>
      <c r="I906" s="257" t="s">
        <v>487</v>
      </c>
      <c r="J906" s="259" t="s">
        <v>936</v>
      </c>
      <c r="K906" s="171">
        <v>16</v>
      </c>
      <c r="L906" s="260" t="str">
        <f>VLOOKUP(Ruimtestaat[[#This Row],[Ruimte code]],Ruimtegroepen[#All],2,FALSE)</f>
        <v>Leslokalen</v>
      </c>
      <c r="M906" s="185" t="s">
        <v>598</v>
      </c>
      <c r="N906" s="257" t="s">
        <v>132</v>
      </c>
      <c r="O906" s="261">
        <v>31</v>
      </c>
      <c r="P906" s="183"/>
      <c r="Q906" s="212" t="str">
        <f>VLOOKUP(Ruimtestaat[[#This Row],[Ruimte code]],Ruimtegroepen[#All],4,FALSE)</f>
        <v>L  (Lesruimte)</v>
      </c>
      <c r="R906" s="184"/>
      <c r="S906" s="185">
        <v>40</v>
      </c>
      <c r="T906" s="185" t="s">
        <v>2</v>
      </c>
      <c r="U906" s="185">
        <f>IF(S906&gt;0,IF(RIGHT(Ruimtestaat[[#This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6" s="185">
        <f>IF(U906&gt;0,VLOOKUP($K906,Ruimtegroepen[],3,FALSE)*VLOOKUP($M906,Vloersoorten[],3,FALSE)*VLOOKUP($T906,Frequenties[],3,FALSE)*VLOOKUP($A906,Locaties[],3,FALSE),0)</f>
        <v>0</v>
      </c>
      <c r="W906" s="185">
        <f>Ruimtestaat[[#This Row],[Uitvoeringen werkdagen]]*Ruimtestaat[[#This Row],[Oppervlak (netto)]]</f>
        <v>6200</v>
      </c>
      <c r="X906" s="220">
        <f>IF(V906&gt;0,Ruimtestaat[[#This Row],[Prest. (m2 /jaar) werkdagen]]/Ruimtestaat[[#This Row],[Norm (m2/uur) werkdagen]],0)</f>
        <v>0</v>
      </c>
      <c r="Y906" s="221">
        <f>Ruimtestaat[[#This Row],[uren / jaar werkdagen]]*Tariefsopbouw!$D$38</f>
        <v>0</v>
      </c>
      <c r="Z906" s="33"/>
      <c r="AA906" s="33">
        <f>IF(Ruimtestaat[[#This Row],[Frequentie weekend]]&gt;0,VALUE(LEFT(Z906,1))*S906,0)</f>
        <v>0</v>
      </c>
      <c r="AB906" s="33">
        <f>IF($AA906&gt;0,VLOOKUP($K906,Ruimtegroepen[],3,FALSE)*VLOOKUP($M906,Vloersoorten[],3,FALSE)*VLOOKUP($Z906,Frequenties[],3,FALSE)*VLOOKUP(#REF!,Locaties[],3,FALSE),0)</f>
        <v>0</v>
      </c>
      <c r="AC906" s="33"/>
      <c r="AD906" s="33"/>
      <c r="AE906" s="33">
        <f>Ruimtestaat[[#This Row],[uren / jaar weekend]]*Tariefsopbouw!$D$40</f>
        <v>0</v>
      </c>
      <c r="AF906" s="79">
        <f>Ruimtestaat[[#This Row],[Prest. (m2 /jaar) weekend]]+Ruimtestaat[[#This Row],[Prest. (m2 /jaar) werkdagen]]</f>
        <v>6200</v>
      </c>
      <c r="AG906" s="79">
        <f>Ruimtestaat[[#This Row],[uren / jaar weekend]]+Ruimtestaat[[#This Row],[uren / jaar werkdagen]]</f>
        <v>0</v>
      </c>
      <c r="AH906" s="80">
        <f>Ruimtestaat[[#This Row],[kosten / jaar weekend]]+Ruimtestaat[[#This Row],[kosten / jaar werkdagen]]</f>
        <v>0</v>
      </c>
    </row>
    <row r="907" spans="1:34" ht="15" customHeight="1">
      <c r="A907" s="256">
        <v>12</v>
      </c>
      <c r="B907" s="171" t="str">
        <f>VLOOKUP(Ruimtestaat[[#This Row],[Code]],Locaties[#All],2,FALSE)</f>
        <v>Onderwijscentrum Het Roessingh &amp; De Huifkar</v>
      </c>
      <c r="C907" s="258" t="str">
        <f>VLOOKUP(Ruimtestaat[[#This Row],[Code]],Locaties[#All],4,FALSE)</f>
        <v>Roessinghsbleekweg 35</v>
      </c>
      <c r="D907" s="258" t="str">
        <f>VLOOKUP(Ruimtestaat[[#This Row],[Code]],Locaties[#All],5,FALSE)</f>
        <v>7522 AH</v>
      </c>
      <c r="E907" s="258" t="str">
        <f>VLOOKUP(Ruimtestaat[[#This Row],[Code]],Locaties[#All],6,FALSE)</f>
        <v>Enschede</v>
      </c>
      <c r="F907" s="257"/>
      <c r="G907" s="257" t="s">
        <v>563</v>
      </c>
      <c r="H907" s="171"/>
      <c r="I907" s="257" t="s">
        <v>940</v>
      </c>
      <c r="J907" s="259" t="s">
        <v>574</v>
      </c>
      <c r="K907" s="258">
        <v>6</v>
      </c>
      <c r="L907" s="260" t="str">
        <f>VLOOKUP(Ruimtestaat[[#This Row],[Ruimte code]],Ruimtegroepen[#All],2,FALSE)</f>
        <v>Gangen/hallen</v>
      </c>
      <c r="M907" s="258" t="s">
        <v>598</v>
      </c>
      <c r="N907" s="257" t="s">
        <v>132</v>
      </c>
      <c r="O907" s="261">
        <v>8</v>
      </c>
      <c r="P907" s="183"/>
      <c r="Q907" s="212" t="str">
        <f>VLOOKUP(Ruimtestaat[[#This Row],[Ruimte code]],Ruimtegroepen[#All],4,FALSE)</f>
        <v>V  (Verkeersruimte)</v>
      </c>
      <c r="R907" s="184"/>
      <c r="S907" s="185">
        <v>40</v>
      </c>
      <c r="T907" s="185" t="s">
        <v>2</v>
      </c>
      <c r="U907" s="185">
        <f>IF(S907&gt;0,IF(RIGHT(Ruimtestaat[[#This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7" s="185">
        <f>IF(U907&gt;0,VLOOKUP($K907,Ruimtegroepen[],3,FALSE)*VLOOKUP($M907,Vloersoorten[],3,FALSE)*VLOOKUP($T907,Frequenties[],3,FALSE)*VLOOKUP($A907,Locaties[],3,FALSE),0)</f>
        <v>0</v>
      </c>
      <c r="W907" s="185">
        <f>Ruimtestaat[[#This Row],[Uitvoeringen werkdagen]]*Ruimtestaat[[#This Row],[Oppervlak (netto)]]</f>
        <v>1600</v>
      </c>
      <c r="X907" s="220">
        <f>IF(V907&gt;0,Ruimtestaat[[#This Row],[Prest. (m2 /jaar) werkdagen]]/Ruimtestaat[[#This Row],[Norm (m2/uur) werkdagen]],0)</f>
        <v>0</v>
      </c>
      <c r="Y907" s="221">
        <f>Ruimtestaat[[#This Row],[uren / jaar werkdagen]]*Tariefsopbouw!$D$38</f>
        <v>0</v>
      </c>
      <c r="Z907" s="33"/>
      <c r="AA907" s="33">
        <f>IF(Ruimtestaat[[#This Row],[Frequentie weekend]]&gt;0,VALUE(LEFT(Z907,1))*S907,0)</f>
        <v>0</v>
      </c>
      <c r="AB907" s="33">
        <f>IF($AA907&gt;0,VLOOKUP($K907,Ruimtegroepen[],3,FALSE)*VLOOKUP($M907,Vloersoorten[],3,FALSE)*VLOOKUP($Z907,Frequenties[],3,FALSE)*VLOOKUP(#REF!,Locaties[],3,FALSE),0)</f>
        <v>0</v>
      </c>
      <c r="AC907" s="33"/>
      <c r="AD907" s="33"/>
      <c r="AE907" s="33">
        <f>Ruimtestaat[[#This Row],[uren / jaar weekend]]*Tariefsopbouw!$D$40</f>
        <v>0</v>
      </c>
      <c r="AF907" s="79">
        <f>Ruimtestaat[[#This Row],[Prest. (m2 /jaar) weekend]]+Ruimtestaat[[#This Row],[Prest. (m2 /jaar) werkdagen]]</f>
        <v>1600</v>
      </c>
      <c r="AG907" s="79">
        <f>Ruimtestaat[[#This Row],[uren / jaar weekend]]+Ruimtestaat[[#This Row],[uren / jaar werkdagen]]</f>
        <v>0</v>
      </c>
      <c r="AH907" s="80">
        <f>Ruimtestaat[[#This Row],[kosten / jaar weekend]]+Ruimtestaat[[#This Row],[kosten / jaar werkdagen]]</f>
        <v>0</v>
      </c>
    </row>
    <row r="908" spans="1:34" ht="15" customHeight="1">
      <c r="A908" s="256">
        <v>12</v>
      </c>
      <c r="B908" s="171" t="str">
        <f>VLOOKUP(Ruimtestaat[[#This Row],[Code]],Locaties[#All],2,FALSE)</f>
        <v>Onderwijscentrum Het Roessingh &amp; De Huifkar</v>
      </c>
      <c r="C908" s="258" t="str">
        <f>VLOOKUP(Ruimtestaat[[#This Row],[Code]],Locaties[#All],4,FALSE)</f>
        <v>Roessinghsbleekweg 35</v>
      </c>
      <c r="D908" s="258" t="str">
        <f>VLOOKUP(Ruimtestaat[[#This Row],[Code]],Locaties[#All],5,FALSE)</f>
        <v>7522 AH</v>
      </c>
      <c r="E908" s="258" t="str">
        <f>VLOOKUP(Ruimtestaat[[#This Row],[Code]],Locaties[#All],6,FALSE)</f>
        <v>Enschede</v>
      </c>
      <c r="F908" s="257"/>
      <c r="G908" s="257" t="s">
        <v>563</v>
      </c>
      <c r="H908" s="171"/>
      <c r="I908" s="257" t="s">
        <v>488</v>
      </c>
      <c r="J908" s="259" t="s">
        <v>941</v>
      </c>
      <c r="K908" s="171">
        <v>16</v>
      </c>
      <c r="L908" s="260" t="str">
        <f>VLOOKUP(Ruimtestaat[[#This Row],[Ruimte code]],Ruimtegroepen[#All],2,FALSE)</f>
        <v>Leslokalen</v>
      </c>
      <c r="M908" s="185" t="s">
        <v>598</v>
      </c>
      <c r="N908" s="257" t="s">
        <v>132</v>
      </c>
      <c r="O908" s="261">
        <v>9.1999999999999993</v>
      </c>
      <c r="P908" s="183"/>
      <c r="Q908" s="212" t="str">
        <f>VLOOKUP(Ruimtestaat[[#This Row],[Ruimte code]],Ruimtegroepen[#All],4,FALSE)</f>
        <v>L  (Lesruimte)</v>
      </c>
      <c r="R908" s="184"/>
      <c r="S908" s="185">
        <v>40</v>
      </c>
      <c r="T908" s="185" t="s">
        <v>2</v>
      </c>
      <c r="U908" s="185">
        <f>IF(S908&gt;0,IF(RIGHT(Ruimtestaat[[#This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8" s="185">
        <f>IF(U908&gt;0,VLOOKUP($K908,Ruimtegroepen[],3,FALSE)*VLOOKUP($M908,Vloersoorten[],3,FALSE)*VLOOKUP($T908,Frequenties[],3,FALSE)*VLOOKUP($A908,Locaties[],3,FALSE),0)</f>
        <v>0</v>
      </c>
      <c r="W908" s="185">
        <f>Ruimtestaat[[#This Row],[Uitvoeringen werkdagen]]*Ruimtestaat[[#This Row],[Oppervlak (netto)]]</f>
        <v>1839.9999999999998</v>
      </c>
      <c r="X908" s="220">
        <f>IF(V908&gt;0,Ruimtestaat[[#This Row],[Prest. (m2 /jaar) werkdagen]]/Ruimtestaat[[#This Row],[Norm (m2/uur) werkdagen]],0)</f>
        <v>0</v>
      </c>
      <c r="Y908" s="221">
        <f>Ruimtestaat[[#This Row],[uren / jaar werkdagen]]*Tariefsopbouw!$D$38</f>
        <v>0</v>
      </c>
      <c r="Z908" s="33"/>
      <c r="AA908" s="33">
        <f>IF(Ruimtestaat[[#This Row],[Frequentie weekend]]&gt;0,VALUE(LEFT(Z908,1))*S908,0)</f>
        <v>0</v>
      </c>
      <c r="AB908" s="33">
        <f>IF($AA908&gt;0,VLOOKUP($K908,Ruimtegroepen[],3,FALSE)*VLOOKUP($M908,Vloersoorten[],3,FALSE)*VLOOKUP($Z908,Frequenties[],3,FALSE)*VLOOKUP(#REF!,Locaties[],3,FALSE),0)</f>
        <v>0</v>
      </c>
      <c r="AC908" s="33"/>
      <c r="AD908" s="33"/>
      <c r="AE908" s="33">
        <f>Ruimtestaat[[#This Row],[uren / jaar weekend]]*Tariefsopbouw!$D$40</f>
        <v>0</v>
      </c>
      <c r="AF908" s="79">
        <f>Ruimtestaat[[#This Row],[Prest. (m2 /jaar) weekend]]+Ruimtestaat[[#This Row],[Prest. (m2 /jaar) werkdagen]]</f>
        <v>1839.9999999999998</v>
      </c>
      <c r="AG908" s="79">
        <f>Ruimtestaat[[#This Row],[uren / jaar weekend]]+Ruimtestaat[[#This Row],[uren / jaar werkdagen]]</f>
        <v>0</v>
      </c>
      <c r="AH908" s="80">
        <f>Ruimtestaat[[#This Row],[kosten / jaar weekend]]+Ruimtestaat[[#This Row],[kosten / jaar werkdagen]]</f>
        <v>0</v>
      </c>
    </row>
    <row r="909" spans="1:34" ht="15" customHeight="1">
      <c r="A909" s="256">
        <v>12</v>
      </c>
      <c r="B909" s="171" t="str">
        <f>VLOOKUP(Ruimtestaat[[#This Row],[Code]],Locaties[#All],2,FALSE)</f>
        <v>Onderwijscentrum Het Roessingh &amp; De Huifkar</v>
      </c>
      <c r="C909" s="258" t="str">
        <f>VLOOKUP(Ruimtestaat[[#This Row],[Code]],Locaties[#All],4,FALSE)</f>
        <v>Roessinghsbleekweg 35</v>
      </c>
      <c r="D909" s="258" t="str">
        <f>VLOOKUP(Ruimtestaat[[#This Row],[Code]],Locaties[#All],5,FALSE)</f>
        <v>7522 AH</v>
      </c>
      <c r="E909" s="258" t="str">
        <f>VLOOKUP(Ruimtestaat[[#This Row],[Code]],Locaties[#All],6,FALSE)</f>
        <v>Enschede</v>
      </c>
      <c r="F909" s="257"/>
      <c r="G909" s="257" t="s">
        <v>563</v>
      </c>
      <c r="H909" s="171"/>
      <c r="I909" s="257" t="s">
        <v>489</v>
      </c>
      <c r="J909" s="259" t="s">
        <v>623</v>
      </c>
      <c r="K909" s="171">
        <v>20</v>
      </c>
      <c r="L909" s="260" t="str">
        <f>VLOOKUP(Ruimtestaat[[#This Row],[Ruimte code]],Ruimtegroepen[#All],2,FALSE)</f>
        <v>Niet in onderhoud</v>
      </c>
      <c r="M909" s="185"/>
      <c r="N909" s="257"/>
      <c r="O909" s="261"/>
      <c r="P909" s="183"/>
      <c r="Q909" s="212" t="str">
        <f>VLOOKUP(Ruimtestaat[[#This Row],[Ruimte code]],Ruimtegroepen[#All],4,FALSE)</f>
        <v>niet in onderhoud</v>
      </c>
      <c r="R909" s="184"/>
      <c r="S909" s="185"/>
      <c r="T909" s="185"/>
      <c r="U909" s="185">
        <f>IF(S909&gt;0,IF(RIGHT(Ruimtestaat[[#This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09" s="185">
        <f>IF(U909&gt;0,VLOOKUP($K909,Ruimtegroepen[],3,FALSE)*VLOOKUP($M909,Vloersoorten[],3,FALSE)*VLOOKUP($T909,Frequenties[],3,FALSE)*VLOOKUP($A909,Locaties[],3,FALSE),0)</f>
        <v>0</v>
      </c>
      <c r="W909" s="185">
        <f>Ruimtestaat[[#This Row],[Uitvoeringen werkdagen]]*Ruimtestaat[[#This Row],[Oppervlak (netto)]]</f>
        <v>0</v>
      </c>
      <c r="X909" s="220">
        <f>IF(V909&gt;0,Ruimtestaat[[#This Row],[Prest. (m2 /jaar) werkdagen]]/Ruimtestaat[[#This Row],[Norm (m2/uur) werkdagen]],0)</f>
        <v>0</v>
      </c>
      <c r="Y909" s="221">
        <f>Ruimtestaat[[#This Row],[uren / jaar werkdagen]]*Tariefsopbouw!$D$38</f>
        <v>0</v>
      </c>
      <c r="Z909" s="33"/>
      <c r="AA909" s="33">
        <f>IF(Ruimtestaat[[#This Row],[Frequentie weekend]]&gt;0,VALUE(LEFT(Z909,1))*S909,0)</f>
        <v>0</v>
      </c>
      <c r="AB909" s="33">
        <f>IF($AA909&gt;0,VLOOKUP($K909,Ruimtegroepen[],3,FALSE)*VLOOKUP($M909,Vloersoorten[],3,FALSE)*VLOOKUP($Z909,Frequenties[],3,FALSE)*VLOOKUP(#REF!,Locaties[],3,FALSE),0)</f>
        <v>0</v>
      </c>
      <c r="AC909" s="33"/>
      <c r="AD909" s="33"/>
      <c r="AE909" s="33">
        <f>Ruimtestaat[[#This Row],[uren / jaar weekend]]*Tariefsopbouw!$D$40</f>
        <v>0</v>
      </c>
      <c r="AF909" s="79">
        <f>Ruimtestaat[[#This Row],[Prest. (m2 /jaar) weekend]]+Ruimtestaat[[#This Row],[Prest. (m2 /jaar) werkdagen]]</f>
        <v>0</v>
      </c>
      <c r="AG909" s="79">
        <f>Ruimtestaat[[#This Row],[uren / jaar weekend]]+Ruimtestaat[[#This Row],[uren / jaar werkdagen]]</f>
        <v>0</v>
      </c>
      <c r="AH909" s="80">
        <f>Ruimtestaat[[#This Row],[kosten / jaar weekend]]+Ruimtestaat[[#This Row],[kosten / jaar werkdagen]]</f>
        <v>0</v>
      </c>
    </row>
    <row r="910" spans="1:34" ht="15" customHeight="1">
      <c r="A910" s="256">
        <v>12</v>
      </c>
      <c r="B910" s="171" t="str">
        <f>VLOOKUP(Ruimtestaat[[#This Row],[Code]],Locaties[#All],2,FALSE)</f>
        <v>Onderwijscentrum Het Roessingh &amp; De Huifkar</v>
      </c>
      <c r="C910" s="258" t="str">
        <f>VLOOKUP(Ruimtestaat[[#This Row],[Code]],Locaties[#All],4,FALSE)</f>
        <v>Roessinghsbleekweg 35</v>
      </c>
      <c r="D910" s="258" t="str">
        <f>VLOOKUP(Ruimtestaat[[#This Row],[Code]],Locaties[#All],5,FALSE)</f>
        <v>7522 AH</v>
      </c>
      <c r="E910" s="258" t="str">
        <f>VLOOKUP(Ruimtestaat[[#This Row],[Code]],Locaties[#All],6,FALSE)</f>
        <v>Enschede</v>
      </c>
      <c r="F910" s="257"/>
      <c r="G910" s="257" t="s">
        <v>563</v>
      </c>
      <c r="H910" s="171"/>
      <c r="I910" s="257" t="s">
        <v>490</v>
      </c>
      <c r="J910" s="259" t="s">
        <v>770</v>
      </c>
      <c r="K910" s="258">
        <v>5</v>
      </c>
      <c r="L910" s="260" t="str">
        <f>VLOOKUP(Ruimtestaat[[#This Row],[Ruimte code]],Ruimtegroepen[#All],2,FALSE)</f>
        <v>Sanitair</v>
      </c>
      <c r="M910" s="212" t="s">
        <v>111</v>
      </c>
      <c r="N910" s="257" t="s">
        <v>606</v>
      </c>
      <c r="O910" s="261">
        <v>18</v>
      </c>
      <c r="P910" s="183"/>
      <c r="Q910" s="212" t="str">
        <f>VLOOKUP(Ruimtestaat[[#This Row],[Ruimte code]],Ruimtegroepen[#All],4,FALSE)</f>
        <v>S  (Sanitair)</v>
      </c>
      <c r="R910" s="184"/>
      <c r="S910" s="185">
        <v>40</v>
      </c>
      <c r="T910" s="185" t="s">
        <v>2</v>
      </c>
      <c r="U910" s="185">
        <f>IF(S910&gt;0,IF(RIGHT(Ruimtestaat[[#This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0" s="185">
        <f>IF(U910&gt;0,VLOOKUP($K910,Ruimtegroepen[],3,FALSE)*VLOOKUP($M910,Vloersoorten[],3,FALSE)*VLOOKUP($T910,Frequenties[],3,FALSE)*VLOOKUP($A910,Locaties[],3,FALSE),0)</f>
        <v>0</v>
      </c>
      <c r="W910" s="185">
        <f>Ruimtestaat[[#This Row],[Uitvoeringen werkdagen]]*Ruimtestaat[[#This Row],[Oppervlak (netto)]]</f>
        <v>3600</v>
      </c>
      <c r="X910" s="220">
        <f>IF(V910&gt;0,Ruimtestaat[[#This Row],[Prest. (m2 /jaar) werkdagen]]/Ruimtestaat[[#This Row],[Norm (m2/uur) werkdagen]],0)</f>
        <v>0</v>
      </c>
      <c r="Y910" s="221">
        <f>Ruimtestaat[[#This Row],[uren / jaar werkdagen]]*Tariefsopbouw!$D$38</f>
        <v>0</v>
      </c>
      <c r="Z910" s="33"/>
      <c r="AA910" s="33">
        <f>IF(Ruimtestaat[[#This Row],[Frequentie weekend]]&gt;0,VALUE(LEFT(Z910,1))*S910,0)</f>
        <v>0</v>
      </c>
      <c r="AB910" s="33">
        <f>IF($AA910&gt;0,VLOOKUP($K910,Ruimtegroepen[],3,FALSE)*VLOOKUP($M910,Vloersoorten[],3,FALSE)*VLOOKUP($Z910,Frequenties[],3,FALSE)*VLOOKUP(#REF!,Locaties[],3,FALSE),0)</f>
        <v>0</v>
      </c>
      <c r="AC910" s="33"/>
      <c r="AD910" s="33"/>
      <c r="AE910" s="33">
        <f>Ruimtestaat[[#This Row],[uren / jaar weekend]]*Tariefsopbouw!$D$40</f>
        <v>0</v>
      </c>
      <c r="AF910" s="79">
        <f>Ruimtestaat[[#This Row],[Prest. (m2 /jaar) weekend]]+Ruimtestaat[[#This Row],[Prest. (m2 /jaar) werkdagen]]</f>
        <v>3600</v>
      </c>
      <c r="AG910" s="79">
        <f>Ruimtestaat[[#This Row],[uren / jaar weekend]]+Ruimtestaat[[#This Row],[uren / jaar werkdagen]]</f>
        <v>0</v>
      </c>
      <c r="AH910" s="80">
        <f>Ruimtestaat[[#This Row],[kosten / jaar weekend]]+Ruimtestaat[[#This Row],[kosten / jaar werkdagen]]</f>
        <v>0</v>
      </c>
    </row>
    <row r="911" spans="1:34" ht="15" customHeight="1">
      <c r="A911" s="256">
        <v>12</v>
      </c>
      <c r="B911" s="171" t="str">
        <f>VLOOKUP(Ruimtestaat[[#This Row],[Code]],Locaties[#All],2,FALSE)</f>
        <v>Onderwijscentrum Het Roessingh &amp; De Huifkar</v>
      </c>
      <c r="C911" s="258" t="str">
        <f>VLOOKUP(Ruimtestaat[[#This Row],[Code]],Locaties[#All],4,FALSE)</f>
        <v>Roessinghsbleekweg 35</v>
      </c>
      <c r="D911" s="258" t="str">
        <f>VLOOKUP(Ruimtestaat[[#This Row],[Code]],Locaties[#All],5,FALSE)</f>
        <v>7522 AH</v>
      </c>
      <c r="E911" s="258" t="str">
        <f>VLOOKUP(Ruimtestaat[[#This Row],[Code]],Locaties[#All],6,FALSE)</f>
        <v>Enschede</v>
      </c>
      <c r="F911" s="257"/>
      <c r="G911" s="257" t="s">
        <v>563</v>
      </c>
      <c r="H911" s="171"/>
      <c r="I911" s="257" t="s">
        <v>942</v>
      </c>
      <c r="J911" s="259" t="s">
        <v>569</v>
      </c>
      <c r="K911" s="171">
        <v>5</v>
      </c>
      <c r="L911" s="260" t="str">
        <f>VLOOKUP(Ruimtestaat[[#This Row],[Ruimte code]],Ruimtegroepen[#All],2,FALSE)</f>
        <v>Sanitair</v>
      </c>
      <c r="M911" s="212" t="s">
        <v>111</v>
      </c>
      <c r="N911" s="257" t="s">
        <v>606</v>
      </c>
      <c r="O911" s="261">
        <v>5</v>
      </c>
      <c r="P911" s="183"/>
      <c r="Q911" s="212" t="str">
        <f>VLOOKUP(Ruimtestaat[[#This Row],[Ruimte code]],Ruimtegroepen[#All],4,FALSE)</f>
        <v>S  (Sanitair)</v>
      </c>
      <c r="R911" s="184"/>
      <c r="S911" s="185">
        <v>40</v>
      </c>
      <c r="T911" s="185" t="s">
        <v>2</v>
      </c>
      <c r="U911" s="185">
        <f>IF(S911&gt;0,IF(RIGHT(Ruimtestaat[[#This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1" s="185">
        <f>IF(U911&gt;0,VLOOKUP($K911,Ruimtegroepen[],3,FALSE)*VLOOKUP($M911,Vloersoorten[],3,FALSE)*VLOOKUP($T911,Frequenties[],3,FALSE)*VLOOKUP($A911,Locaties[],3,FALSE),0)</f>
        <v>0</v>
      </c>
      <c r="W911" s="185">
        <f>Ruimtestaat[[#This Row],[Uitvoeringen werkdagen]]*Ruimtestaat[[#This Row],[Oppervlak (netto)]]</f>
        <v>1000</v>
      </c>
      <c r="X911" s="220">
        <f>IF(V911&gt;0,Ruimtestaat[[#This Row],[Prest. (m2 /jaar) werkdagen]]/Ruimtestaat[[#This Row],[Norm (m2/uur) werkdagen]],0)</f>
        <v>0</v>
      </c>
      <c r="Y911" s="221">
        <f>Ruimtestaat[[#This Row],[uren / jaar werkdagen]]*Tariefsopbouw!$D$38</f>
        <v>0</v>
      </c>
      <c r="Z911" s="33"/>
      <c r="AA911" s="33">
        <f>IF(Ruimtestaat[[#This Row],[Frequentie weekend]]&gt;0,VALUE(LEFT(Z911,1))*S911,0)</f>
        <v>0</v>
      </c>
      <c r="AB911" s="33">
        <f>IF($AA911&gt;0,VLOOKUP($K911,Ruimtegroepen[],3,FALSE)*VLOOKUP($M911,Vloersoorten[],3,FALSE)*VLOOKUP($Z911,Frequenties[],3,FALSE)*VLOOKUP(#REF!,Locaties[],3,FALSE),0)</f>
        <v>0</v>
      </c>
      <c r="AC911" s="33"/>
      <c r="AD911" s="33"/>
      <c r="AE911" s="33">
        <f>Ruimtestaat[[#This Row],[uren / jaar weekend]]*Tariefsopbouw!$D$40</f>
        <v>0</v>
      </c>
      <c r="AF911" s="79">
        <f>Ruimtestaat[[#This Row],[Prest. (m2 /jaar) weekend]]+Ruimtestaat[[#This Row],[Prest. (m2 /jaar) werkdagen]]</f>
        <v>1000</v>
      </c>
      <c r="AG911" s="79">
        <f>Ruimtestaat[[#This Row],[uren / jaar weekend]]+Ruimtestaat[[#This Row],[uren / jaar werkdagen]]</f>
        <v>0</v>
      </c>
      <c r="AH911" s="80">
        <f>Ruimtestaat[[#This Row],[kosten / jaar weekend]]+Ruimtestaat[[#This Row],[kosten / jaar werkdagen]]</f>
        <v>0</v>
      </c>
    </row>
    <row r="912" spans="1:34" ht="15" customHeight="1">
      <c r="A912" s="256">
        <v>12</v>
      </c>
      <c r="B912" s="171" t="str">
        <f>VLOOKUP(Ruimtestaat[[#This Row],[Code]],Locaties[#All],2,FALSE)</f>
        <v>Onderwijscentrum Het Roessingh &amp; De Huifkar</v>
      </c>
      <c r="C912" s="258" t="str">
        <f>VLOOKUP(Ruimtestaat[[#This Row],[Code]],Locaties[#All],4,FALSE)</f>
        <v>Roessinghsbleekweg 35</v>
      </c>
      <c r="D912" s="258" t="str">
        <f>VLOOKUP(Ruimtestaat[[#This Row],[Code]],Locaties[#All],5,FALSE)</f>
        <v>7522 AH</v>
      </c>
      <c r="E912" s="258" t="str">
        <f>VLOOKUP(Ruimtestaat[[#This Row],[Code]],Locaties[#All],6,FALSE)</f>
        <v>Enschede</v>
      </c>
      <c r="F912" s="257"/>
      <c r="G912" s="257" t="s">
        <v>563</v>
      </c>
      <c r="H912" s="171"/>
      <c r="I912" s="257" t="s">
        <v>943</v>
      </c>
      <c r="J912" s="259" t="s">
        <v>569</v>
      </c>
      <c r="K912" s="171">
        <v>5</v>
      </c>
      <c r="L912" s="260" t="str">
        <f>VLOOKUP(Ruimtestaat[[#This Row],[Ruimte code]],Ruimtegroepen[#All],2,FALSE)</f>
        <v>Sanitair</v>
      </c>
      <c r="M912" s="212" t="s">
        <v>111</v>
      </c>
      <c r="N912" s="257" t="s">
        <v>606</v>
      </c>
      <c r="O912" s="261">
        <v>5</v>
      </c>
      <c r="P912" s="183"/>
      <c r="Q912" s="212" t="str">
        <f>VLOOKUP(Ruimtestaat[[#This Row],[Ruimte code]],Ruimtegroepen[#All],4,FALSE)</f>
        <v>S  (Sanitair)</v>
      </c>
      <c r="R912" s="184"/>
      <c r="S912" s="185">
        <v>40</v>
      </c>
      <c r="T912" s="185" t="s">
        <v>2</v>
      </c>
      <c r="U912" s="185">
        <f>IF(S912&gt;0,IF(RIGHT(Ruimtestaat[[#This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2" s="185">
        <f>IF(U912&gt;0,VLOOKUP($K912,Ruimtegroepen[],3,FALSE)*VLOOKUP($M912,Vloersoorten[],3,FALSE)*VLOOKUP($T912,Frequenties[],3,FALSE)*VLOOKUP($A912,Locaties[],3,FALSE),0)</f>
        <v>0</v>
      </c>
      <c r="W912" s="185">
        <f>Ruimtestaat[[#This Row],[Uitvoeringen werkdagen]]*Ruimtestaat[[#This Row],[Oppervlak (netto)]]</f>
        <v>1000</v>
      </c>
      <c r="X912" s="220">
        <f>IF(V912&gt;0,Ruimtestaat[[#This Row],[Prest. (m2 /jaar) werkdagen]]/Ruimtestaat[[#This Row],[Norm (m2/uur) werkdagen]],0)</f>
        <v>0</v>
      </c>
      <c r="Y912" s="221">
        <f>Ruimtestaat[[#This Row],[uren / jaar werkdagen]]*Tariefsopbouw!$D$38</f>
        <v>0</v>
      </c>
      <c r="Z912" s="33"/>
      <c r="AA912" s="33">
        <f>IF(Ruimtestaat[[#This Row],[Frequentie weekend]]&gt;0,VALUE(LEFT(Z912,1))*S912,0)</f>
        <v>0</v>
      </c>
      <c r="AB912" s="33">
        <f>IF($AA912&gt;0,VLOOKUP($K912,Ruimtegroepen[],3,FALSE)*VLOOKUP($M912,Vloersoorten[],3,FALSE)*VLOOKUP($Z912,Frequenties[],3,FALSE)*VLOOKUP(#REF!,Locaties[],3,FALSE),0)</f>
        <v>0</v>
      </c>
      <c r="AC912" s="33"/>
      <c r="AD912" s="33"/>
      <c r="AE912" s="33">
        <f>Ruimtestaat[[#This Row],[uren / jaar weekend]]*Tariefsopbouw!$D$40</f>
        <v>0</v>
      </c>
      <c r="AF912" s="79">
        <f>Ruimtestaat[[#This Row],[Prest. (m2 /jaar) weekend]]+Ruimtestaat[[#This Row],[Prest. (m2 /jaar) werkdagen]]</f>
        <v>1000</v>
      </c>
      <c r="AG912" s="79">
        <f>Ruimtestaat[[#This Row],[uren / jaar weekend]]+Ruimtestaat[[#This Row],[uren / jaar werkdagen]]</f>
        <v>0</v>
      </c>
      <c r="AH912" s="80">
        <f>Ruimtestaat[[#This Row],[kosten / jaar weekend]]+Ruimtestaat[[#This Row],[kosten / jaar werkdagen]]</f>
        <v>0</v>
      </c>
    </row>
    <row r="913" spans="1:34" ht="15" customHeight="1">
      <c r="A913" s="256">
        <v>12</v>
      </c>
      <c r="B913" s="171" t="str">
        <f>VLOOKUP(Ruimtestaat[[#This Row],[Code]],Locaties[#All],2,FALSE)</f>
        <v>Onderwijscentrum Het Roessingh &amp; De Huifkar</v>
      </c>
      <c r="C913" s="258" t="str">
        <f>VLOOKUP(Ruimtestaat[[#This Row],[Code]],Locaties[#All],4,FALSE)</f>
        <v>Roessinghsbleekweg 35</v>
      </c>
      <c r="D913" s="258" t="str">
        <f>VLOOKUP(Ruimtestaat[[#This Row],[Code]],Locaties[#All],5,FALSE)</f>
        <v>7522 AH</v>
      </c>
      <c r="E913" s="258" t="str">
        <f>VLOOKUP(Ruimtestaat[[#This Row],[Code]],Locaties[#All],6,FALSE)</f>
        <v>Enschede</v>
      </c>
      <c r="F913" s="257"/>
      <c r="G913" s="257" t="s">
        <v>563</v>
      </c>
      <c r="H913" s="171"/>
      <c r="I913" s="257" t="s">
        <v>491</v>
      </c>
      <c r="J913" s="259" t="s">
        <v>586</v>
      </c>
      <c r="K913" s="171">
        <v>20</v>
      </c>
      <c r="L913" s="260" t="str">
        <f>VLOOKUP(Ruimtestaat[[#This Row],[Ruimte code]],Ruimtegroepen[#All],2,FALSE)</f>
        <v>Niet in onderhoud</v>
      </c>
      <c r="M913" s="185"/>
      <c r="N913" s="257"/>
      <c r="O913" s="261"/>
      <c r="P913" s="183"/>
      <c r="Q913" s="212" t="str">
        <f>VLOOKUP(Ruimtestaat[[#This Row],[Ruimte code]],Ruimtegroepen[#All],4,FALSE)</f>
        <v>niet in onderhoud</v>
      </c>
      <c r="R913" s="184"/>
      <c r="S913" s="185"/>
      <c r="T913" s="185"/>
      <c r="U913" s="185">
        <f>IF(S913&gt;0,IF(RIGHT(Ruimtestaat[[#This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13" s="185">
        <f>IF(U913&gt;0,VLOOKUP($K913,Ruimtegroepen[],3,FALSE)*VLOOKUP($M913,Vloersoorten[],3,FALSE)*VLOOKUP($T913,Frequenties[],3,FALSE)*VLOOKUP($A913,Locaties[],3,FALSE),0)</f>
        <v>0</v>
      </c>
      <c r="W913" s="185">
        <f>Ruimtestaat[[#This Row],[Uitvoeringen werkdagen]]*Ruimtestaat[[#This Row],[Oppervlak (netto)]]</f>
        <v>0</v>
      </c>
      <c r="X913" s="220">
        <f>IF(V913&gt;0,Ruimtestaat[[#This Row],[Prest. (m2 /jaar) werkdagen]]/Ruimtestaat[[#This Row],[Norm (m2/uur) werkdagen]],0)</f>
        <v>0</v>
      </c>
      <c r="Y913" s="221">
        <f>Ruimtestaat[[#This Row],[uren / jaar werkdagen]]*Tariefsopbouw!$D$38</f>
        <v>0</v>
      </c>
      <c r="Z913" s="33"/>
      <c r="AA913" s="33">
        <f>IF(Ruimtestaat[[#This Row],[Frequentie weekend]]&gt;0,VALUE(LEFT(Z913,1))*S913,0)</f>
        <v>0</v>
      </c>
      <c r="AB913" s="33">
        <f>IF($AA913&gt;0,VLOOKUP($K913,Ruimtegroepen[],3,FALSE)*VLOOKUP($M913,Vloersoorten[],3,FALSE)*VLOOKUP($Z913,Frequenties[],3,FALSE)*VLOOKUP(#REF!,Locaties[],3,FALSE),0)</f>
        <v>0</v>
      </c>
      <c r="AC913" s="33"/>
      <c r="AD913" s="33"/>
      <c r="AE913" s="33">
        <f>Ruimtestaat[[#This Row],[uren / jaar weekend]]*Tariefsopbouw!$D$40</f>
        <v>0</v>
      </c>
      <c r="AF913" s="79">
        <f>Ruimtestaat[[#This Row],[Prest. (m2 /jaar) weekend]]+Ruimtestaat[[#This Row],[Prest. (m2 /jaar) werkdagen]]</f>
        <v>0</v>
      </c>
      <c r="AG913" s="79">
        <f>Ruimtestaat[[#This Row],[uren / jaar weekend]]+Ruimtestaat[[#This Row],[uren / jaar werkdagen]]</f>
        <v>0</v>
      </c>
      <c r="AH913" s="80">
        <f>Ruimtestaat[[#This Row],[kosten / jaar weekend]]+Ruimtestaat[[#This Row],[kosten / jaar werkdagen]]</f>
        <v>0</v>
      </c>
    </row>
    <row r="914" spans="1:34" ht="15" customHeight="1">
      <c r="A914" s="256">
        <v>12</v>
      </c>
      <c r="B914" s="171" t="str">
        <f>VLOOKUP(Ruimtestaat[[#This Row],[Code]],Locaties[#All],2,FALSE)</f>
        <v>Onderwijscentrum Het Roessingh &amp; De Huifkar</v>
      </c>
      <c r="C914" s="258" t="str">
        <f>VLOOKUP(Ruimtestaat[[#This Row],[Code]],Locaties[#All],4,FALSE)</f>
        <v>Roessinghsbleekweg 35</v>
      </c>
      <c r="D914" s="258" t="str">
        <f>VLOOKUP(Ruimtestaat[[#This Row],[Code]],Locaties[#All],5,FALSE)</f>
        <v>7522 AH</v>
      </c>
      <c r="E914" s="258" t="str">
        <f>VLOOKUP(Ruimtestaat[[#This Row],[Code]],Locaties[#All],6,FALSE)</f>
        <v>Enschede</v>
      </c>
      <c r="F914" s="257"/>
      <c r="G914" s="257" t="s">
        <v>563</v>
      </c>
      <c r="H914" s="171"/>
      <c r="I914" s="257" t="s">
        <v>492</v>
      </c>
      <c r="J914" s="259" t="s">
        <v>586</v>
      </c>
      <c r="K914" s="258">
        <v>20</v>
      </c>
      <c r="L914" s="260" t="str">
        <f>VLOOKUP(Ruimtestaat[[#This Row],[Ruimte code]],Ruimtegroepen[#All],2,FALSE)</f>
        <v>Niet in onderhoud</v>
      </c>
      <c r="M914" s="258"/>
      <c r="N914" s="257"/>
      <c r="O914" s="261"/>
      <c r="P914" s="183"/>
      <c r="Q914" s="212" t="str">
        <f>VLOOKUP(Ruimtestaat[[#This Row],[Ruimte code]],Ruimtegroepen[#All],4,FALSE)</f>
        <v>niet in onderhoud</v>
      </c>
      <c r="R914" s="184"/>
      <c r="S914" s="185"/>
      <c r="T914" s="185"/>
      <c r="U914" s="185">
        <f>IF(S914&gt;0,IF(RIGHT(Ruimtestaat[[#This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14" s="185">
        <f>IF(U914&gt;0,VLOOKUP($K914,Ruimtegroepen[],3,FALSE)*VLOOKUP($M914,Vloersoorten[],3,FALSE)*VLOOKUP($T914,Frequenties[],3,FALSE)*VLOOKUP($A914,Locaties[],3,FALSE),0)</f>
        <v>0</v>
      </c>
      <c r="W914" s="185">
        <f>Ruimtestaat[[#This Row],[Uitvoeringen werkdagen]]*Ruimtestaat[[#This Row],[Oppervlak (netto)]]</f>
        <v>0</v>
      </c>
      <c r="X914" s="220">
        <f>IF(V914&gt;0,Ruimtestaat[[#This Row],[Prest. (m2 /jaar) werkdagen]]/Ruimtestaat[[#This Row],[Norm (m2/uur) werkdagen]],0)</f>
        <v>0</v>
      </c>
      <c r="Y914" s="221">
        <f>Ruimtestaat[[#This Row],[uren / jaar werkdagen]]*Tariefsopbouw!$D$38</f>
        <v>0</v>
      </c>
      <c r="Z914" s="33"/>
      <c r="AA914" s="33">
        <f>IF(Ruimtestaat[[#This Row],[Frequentie weekend]]&gt;0,VALUE(LEFT(Z914,1))*S914,0)</f>
        <v>0</v>
      </c>
      <c r="AB914" s="33">
        <f>IF($AA914&gt;0,VLOOKUP($K914,Ruimtegroepen[],3,FALSE)*VLOOKUP($M914,Vloersoorten[],3,FALSE)*VLOOKUP($Z914,Frequenties[],3,FALSE)*VLOOKUP(#REF!,Locaties[],3,FALSE),0)</f>
        <v>0</v>
      </c>
      <c r="AC914" s="33"/>
      <c r="AD914" s="33"/>
      <c r="AE914" s="33">
        <f>Ruimtestaat[[#This Row],[uren / jaar weekend]]*Tariefsopbouw!$D$40</f>
        <v>0</v>
      </c>
      <c r="AF914" s="79">
        <f>Ruimtestaat[[#This Row],[Prest. (m2 /jaar) weekend]]+Ruimtestaat[[#This Row],[Prest. (m2 /jaar) werkdagen]]</f>
        <v>0</v>
      </c>
      <c r="AG914" s="79">
        <f>Ruimtestaat[[#This Row],[uren / jaar weekend]]+Ruimtestaat[[#This Row],[uren / jaar werkdagen]]</f>
        <v>0</v>
      </c>
      <c r="AH914" s="80">
        <f>Ruimtestaat[[#This Row],[kosten / jaar weekend]]+Ruimtestaat[[#This Row],[kosten / jaar werkdagen]]</f>
        <v>0</v>
      </c>
    </row>
    <row r="915" spans="1:34" ht="15" customHeight="1">
      <c r="A915" s="256">
        <v>12</v>
      </c>
      <c r="B915" s="171" t="str">
        <f>VLOOKUP(Ruimtestaat[[#This Row],[Code]],Locaties[#All],2,FALSE)</f>
        <v>Onderwijscentrum Het Roessingh &amp; De Huifkar</v>
      </c>
      <c r="C915" s="258" t="str">
        <f>VLOOKUP(Ruimtestaat[[#This Row],[Code]],Locaties[#All],4,FALSE)</f>
        <v>Roessinghsbleekweg 35</v>
      </c>
      <c r="D915" s="258" t="str">
        <f>VLOOKUP(Ruimtestaat[[#This Row],[Code]],Locaties[#All],5,FALSE)</f>
        <v>7522 AH</v>
      </c>
      <c r="E915" s="258" t="str">
        <f>VLOOKUP(Ruimtestaat[[#This Row],[Code]],Locaties[#All],6,FALSE)</f>
        <v>Enschede</v>
      </c>
      <c r="F915" s="257"/>
      <c r="G915" s="257" t="s">
        <v>563</v>
      </c>
      <c r="H915" s="171"/>
      <c r="I915" s="257" t="s">
        <v>493</v>
      </c>
      <c r="J915" s="259" t="s">
        <v>574</v>
      </c>
      <c r="K915" s="171">
        <v>6</v>
      </c>
      <c r="L915" s="260" t="str">
        <f>VLOOKUP(Ruimtestaat[[#This Row],[Ruimte code]],Ruimtegroepen[#All],2,FALSE)</f>
        <v>Gangen/hallen</v>
      </c>
      <c r="M915" s="185" t="s">
        <v>598</v>
      </c>
      <c r="N915" s="257" t="s">
        <v>132</v>
      </c>
      <c r="O915" s="261">
        <v>5.5</v>
      </c>
      <c r="P915" s="183"/>
      <c r="Q915" s="212" t="str">
        <f>VLOOKUP(Ruimtestaat[[#This Row],[Ruimte code]],Ruimtegroepen[#All],4,FALSE)</f>
        <v>V  (Verkeersruimte)</v>
      </c>
      <c r="R915" s="184"/>
      <c r="S915" s="185">
        <v>40</v>
      </c>
      <c r="T915" s="185" t="s">
        <v>2</v>
      </c>
      <c r="U915" s="185">
        <f>IF(S915&gt;0,IF(RIGHT(Ruimtestaat[[#This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5" s="185">
        <f>IF(U915&gt;0,VLOOKUP($K915,Ruimtegroepen[],3,FALSE)*VLOOKUP($M915,Vloersoorten[],3,FALSE)*VLOOKUP($T915,Frequenties[],3,FALSE)*VLOOKUP($A915,Locaties[],3,FALSE),0)</f>
        <v>0</v>
      </c>
      <c r="W915" s="185">
        <f>Ruimtestaat[[#This Row],[Uitvoeringen werkdagen]]*Ruimtestaat[[#This Row],[Oppervlak (netto)]]</f>
        <v>1100</v>
      </c>
      <c r="X915" s="220">
        <f>IF(V915&gt;0,Ruimtestaat[[#This Row],[Prest. (m2 /jaar) werkdagen]]/Ruimtestaat[[#This Row],[Norm (m2/uur) werkdagen]],0)</f>
        <v>0</v>
      </c>
      <c r="Y915" s="221">
        <f>Ruimtestaat[[#This Row],[uren / jaar werkdagen]]*Tariefsopbouw!$D$38</f>
        <v>0</v>
      </c>
      <c r="Z915" s="33"/>
      <c r="AA915" s="33">
        <f>IF(Ruimtestaat[[#This Row],[Frequentie weekend]]&gt;0,VALUE(LEFT(Z915,1))*S915,0)</f>
        <v>0</v>
      </c>
      <c r="AB915" s="33">
        <f>IF($AA915&gt;0,VLOOKUP($K915,Ruimtegroepen[],3,FALSE)*VLOOKUP($M915,Vloersoorten[],3,FALSE)*VLOOKUP($Z915,Frequenties[],3,FALSE)*VLOOKUP(#REF!,Locaties[],3,FALSE),0)</f>
        <v>0</v>
      </c>
      <c r="AC915" s="33"/>
      <c r="AD915" s="33"/>
      <c r="AE915" s="33">
        <f>Ruimtestaat[[#This Row],[uren / jaar weekend]]*Tariefsopbouw!$D$40</f>
        <v>0</v>
      </c>
      <c r="AF915" s="79">
        <f>Ruimtestaat[[#This Row],[Prest. (m2 /jaar) weekend]]+Ruimtestaat[[#This Row],[Prest. (m2 /jaar) werkdagen]]</f>
        <v>1100</v>
      </c>
      <c r="AG915" s="79">
        <f>Ruimtestaat[[#This Row],[uren / jaar weekend]]+Ruimtestaat[[#This Row],[uren / jaar werkdagen]]</f>
        <v>0</v>
      </c>
      <c r="AH915" s="80">
        <f>Ruimtestaat[[#This Row],[kosten / jaar weekend]]+Ruimtestaat[[#This Row],[kosten / jaar werkdagen]]</f>
        <v>0</v>
      </c>
    </row>
    <row r="916" spans="1:34" ht="15" customHeight="1">
      <c r="A916" s="256">
        <v>12</v>
      </c>
      <c r="B916" s="171" t="str">
        <f>VLOOKUP(Ruimtestaat[[#This Row],[Code]],Locaties[#All],2,FALSE)</f>
        <v>Onderwijscentrum Het Roessingh &amp; De Huifkar</v>
      </c>
      <c r="C916" s="258" t="str">
        <f>VLOOKUP(Ruimtestaat[[#This Row],[Code]],Locaties[#All],4,FALSE)</f>
        <v>Roessinghsbleekweg 35</v>
      </c>
      <c r="D916" s="258" t="str">
        <f>VLOOKUP(Ruimtestaat[[#This Row],[Code]],Locaties[#All],5,FALSE)</f>
        <v>7522 AH</v>
      </c>
      <c r="E916" s="258" t="str">
        <f>VLOOKUP(Ruimtestaat[[#This Row],[Code]],Locaties[#All],6,FALSE)</f>
        <v>Enschede</v>
      </c>
      <c r="F916" s="257"/>
      <c r="G916" s="257" t="s">
        <v>563</v>
      </c>
      <c r="H916" s="171"/>
      <c r="I916" s="257" t="s">
        <v>494</v>
      </c>
      <c r="J916" s="259" t="s">
        <v>571</v>
      </c>
      <c r="K916" s="171">
        <v>2</v>
      </c>
      <c r="L916" s="260" t="str">
        <f>VLOOKUP(Ruimtestaat[[#This Row],[Ruimte code]],Ruimtegroepen[#All],2,FALSE)</f>
        <v>Kantoren</v>
      </c>
      <c r="M916" s="185" t="s">
        <v>597</v>
      </c>
      <c r="N916" s="257" t="s">
        <v>38</v>
      </c>
      <c r="O916" s="261">
        <v>18</v>
      </c>
      <c r="P916" s="183"/>
      <c r="Q916" s="212" t="str">
        <f>VLOOKUP(Ruimtestaat[[#This Row],[Ruimte code]],Ruimtegroepen[#All],4,FALSE)</f>
        <v>B  (Bureauruimte)</v>
      </c>
      <c r="R916" s="184"/>
      <c r="S916" s="185">
        <v>40</v>
      </c>
      <c r="T916" s="185" t="s">
        <v>2</v>
      </c>
      <c r="U916" s="185">
        <f>IF(S916&gt;0,IF(RIGHT(Ruimtestaat[[#This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6" s="185">
        <f>IF(U916&gt;0,VLOOKUP($K916,Ruimtegroepen[],3,FALSE)*VLOOKUP($M916,Vloersoorten[],3,FALSE)*VLOOKUP($T916,Frequenties[],3,FALSE)*VLOOKUP($A916,Locaties[],3,FALSE),0)</f>
        <v>0</v>
      </c>
      <c r="W916" s="185">
        <f>Ruimtestaat[[#This Row],[Uitvoeringen werkdagen]]*Ruimtestaat[[#This Row],[Oppervlak (netto)]]</f>
        <v>3600</v>
      </c>
      <c r="X916" s="220">
        <f>IF(V916&gt;0,Ruimtestaat[[#This Row],[Prest. (m2 /jaar) werkdagen]]/Ruimtestaat[[#This Row],[Norm (m2/uur) werkdagen]],0)</f>
        <v>0</v>
      </c>
      <c r="Y916" s="221">
        <f>Ruimtestaat[[#This Row],[uren / jaar werkdagen]]*Tariefsopbouw!$D$38</f>
        <v>0</v>
      </c>
      <c r="Z916" s="33"/>
      <c r="AA916" s="33">
        <f>IF(Ruimtestaat[[#This Row],[Frequentie weekend]]&gt;0,VALUE(LEFT(Z916,1))*S916,0)</f>
        <v>0</v>
      </c>
      <c r="AB916" s="33">
        <f>IF($AA916&gt;0,VLOOKUP($K916,Ruimtegroepen[],3,FALSE)*VLOOKUP($M916,Vloersoorten[],3,FALSE)*VLOOKUP($Z916,Frequenties[],3,FALSE)*VLOOKUP(#REF!,Locaties[],3,FALSE),0)</f>
        <v>0</v>
      </c>
      <c r="AC916" s="33"/>
      <c r="AD916" s="33"/>
      <c r="AE916" s="33">
        <f>Ruimtestaat[[#This Row],[uren / jaar weekend]]*Tariefsopbouw!$D$40</f>
        <v>0</v>
      </c>
      <c r="AF916" s="79">
        <f>Ruimtestaat[[#This Row],[Prest. (m2 /jaar) weekend]]+Ruimtestaat[[#This Row],[Prest. (m2 /jaar) werkdagen]]</f>
        <v>3600</v>
      </c>
      <c r="AG916" s="79">
        <f>Ruimtestaat[[#This Row],[uren / jaar weekend]]+Ruimtestaat[[#This Row],[uren / jaar werkdagen]]</f>
        <v>0</v>
      </c>
      <c r="AH916" s="80">
        <f>Ruimtestaat[[#This Row],[kosten / jaar weekend]]+Ruimtestaat[[#This Row],[kosten / jaar werkdagen]]</f>
        <v>0</v>
      </c>
    </row>
    <row r="917" spans="1:34" ht="15" customHeight="1">
      <c r="A917" s="256">
        <v>12</v>
      </c>
      <c r="B917" s="171" t="str">
        <f>VLOOKUP(Ruimtestaat[[#This Row],[Code]],Locaties[#All],2,FALSE)</f>
        <v>Onderwijscentrum Het Roessingh &amp; De Huifkar</v>
      </c>
      <c r="C917" s="258" t="str">
        <f>VLOOKUP(Ruimtestaat[[#This Row],[Code]],Locaties[#All],4,FALSE)</f>
        <v>Roessinghsbleekweg 35</v>
      </c>
      <c r="D917" s="258" t="str">
        <f>VLOOKUP(Ruimtestaat[[#This Row],[Code]],Locaties[#All],5,FALSE)</f>
        <v>7522 AH</v>
      </c>
      <c r="E917" s="258" t="str">
        <f>VLOOKUP(Ruimtestaat[[#This Row],[Code]],Locaties[#All],6,FALSE)</f>
        <v>Enschede</v>
      </c>
      <c r="F917" s="257"/>
      <c r="G917" s="257" t="s">
        <v>563</v>
      </c>
      <c r="H917" s="171"/>
      <c r="I917" s="257" t="s">
        <v>506</v>
      </c>
      <c r="J917" s="259" t="s">
        <v>576</v>
      </c>
      <c r="K917" s="258">
        <v>16</v>
      </c>
      <c r="L917" s="260" t="str">
        <f>VLOOKUP(Ruimtestaat[[#This Row],[Ruimte code]],Ruimtegroepen[#All],2,FALSE)</f>
        <v>Leslokalen</v>
      </c>
      <c r="M917" s="185" t="s">
        <v>598</v>
      </c>
      <c r="N917" s="257" t="s">
        <v>132</v>
      </c>
      <c r="O917" s="261">
        <v>57</v>
      </c>
      <c r="P917" s="183"/>
      <c r="Q917" s="212" t="str">
        <f>VLOOKUP(Ruimtestaat[[#This Row],[Ruimte code]],Ruimtegroepen[#All],4,FALSE)</f>
        <v>L  (Lesruimte)</v>
      </c>
      <c r="R917" s="184"/>
      <c r="S917" s="185">
        <v>40</v>
      </c>
      <c r="T917" s="185" t="s">
        <v>2</v>
      </c>
      <c r="U917" s="185">
        <f>IF(S917&gt;0,IF(RIGHT(Ruimtestaat[[#This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7" s="185">
        <f>IF(U917&gt;0,VLOOKUP($K917,Ruimtegroepen[],3,FALSE)*VLOOKUP($M917,Vloersoorten[],3,FALSE)*VLOOKUP($T917,Frequenties[],3,FALSE)*VLOOKUP($A917,Locaties[],3,FALSE),0)</f>
        <v>0</v>
      </c>
      <c r="W917" s="185">
        <f>Ruimtestaat[[#This Row],[Uitvoeringen werkdagen]]*Ruimtestaat[[#This Row],[Oppervlak (netto)]]</f>
        <v>11400</v>
      </c>
      <c r="X917" s="220">
        <f>IF(V917&gt;0,Ruimtestaat[[#This Row],[Prest. (m2 /jaar) werkdagen]]/Ruimtestaat[[#This Row],[Norm (m2/uur) werkdagen]],0)</f>
        <v>0</v>
      </c>
      <c r="Y917" s="221">
        <f>Ruimtestaat[[#This Row],[uren / jaar werkdagen]]*Tariefsopbouw!$D$38</f>
        <v>0</v>
      </c>
      <c r="Z917" s="33"/>
      <c r="AA917" s="33">
        <f>IF(Ruimtestaat[[#This Row],[Frequentie weekend]]&gt;0,VALUE(LEFT(Z917,1))*S917,0)</f>
        <v>0</v>
      </c>
      <c r="AB917" s="33">
        <f>IF($AA917&gt;0,VLOOKUP($K917,Ruimtegroepen[],3,FALSE)*VLOOKUP($M917,Vloersoorten[],3,FALSE)*VLOOKUP($Z917,Frequenties[],3,FALSE)*VLOOKUP(#REF!,Locaties[],3,FALSE),0)</f>
        <v>0</v>
      </c>
      <c r="AC917" s="33"/>
      <c r="AD917" s="33"/>
      <c r="AE917" s="33">
        <f>Ruimtestaat[[#This Row],[uren / jaar weekend]]*Tariefsopbouw!$D$40</f>
        <v>0</v>
      </c>
      <c r="AF917" s="79">
        <f>Ruimtestaat[[#This Row],[Prest. (m2 /jaar) weekend]]+Ruimtestaat[[#This Row],[Prest. (m2 /jaar) werkdagen]]</f>
        <v>11400</v>
      </c>
      <c r="AG917" s="79">
        <f>Ruimtestaat[[#This Row],[uren / jaar weekend]]+Ruimtestaat[[#This Row],[uren / jaar werkdagen]]</f>
        <v>0</v>
      </c>
      <c r="AH917" s="80">
        <f>Ruimtestaat[[#This Row],[kosten / jaar weekend]]+Ruimtestaat[[#This Row],[kosten / jaar werkdagen]]</f>
        <v>0</v>
      </c>
    </row>
    <row r="918" spans="1:34" ht="15" customHeight="1">
      <c r="A918" s="256">
        <v>12</v>
      </c>
      <c r="B918" s="171" t="str">
        <f>VLOOKUP(Ruimtestaat[[#This Row],[Code]],Locaties[#All],2,FALSE)</f>
        <v>Onderwijscentrum Het Roessingh &amp; De Huifkar</v>
      </c>
      <c r="C918" s="258" t="str">
        <f>VLOOKUP(Ruimtestaat[[#This Row],[Code]],Locaties[#All],4,FALSE)</f>
        <v>Roessinghsbleekweg 35</v>
      </c>
      <c r="D918" s="258" t="str">
        <f>VLOOKUP(Ruimtestaat[[#This Row],[Code]],Locaties[#All],5,FALSE)</f>
        <v>7522 AH</v>
      </c>
      <c r="E918" s="258" t="str">
        <f>VLOOKUP(Ruimtestaat[[#This Row],[Code]],Locaties[#All],6,FALSE)</f>
        <v>Enschede</v>
      </c>
      <c r="F918" s="257"/>
      <c r="G918" s="257" t="s">
        <v>563</v>
      </c>
      <c r="H918" s="171"/>
      <c r="I918" s="257" t="s">
        <v>507</v>
      </c>
      <c r="J918" s="259" t="s">
        <v>936</v>
      </c>
      <c r="K918" s="171">
        <v>16</v>
      </c>
      <c r="L918" s="260" t="str">
        <f>VLOOKUP(Ruimtestaat[[#This Row],[Ruimte code]],Ruimtegroepen[#All],2,FALSE)</f>
        <v>Leslokalen</v>
      </c>
      <c r="M918" s="185" t="s">
        <v>598</v>
      </c>
      <c r="N918" s="257" t="s">
        <v>132</v>
      </c>
      <c r="O918" s="261">
        <v>35</v>
      </c>
      <c r="P918" s="183"/>
      <c r="Q918" s="212" t="str">
        <f>VLOOKUP(Ruimtestaat[[#This Row],[Ruimte code]],Ruimtegroepen[#All],4,FALSE)</f>
        <v>L  (Lesruimte)</v>
      </c>
      <c r="R918" s="184"/>
      <c r="S918" s="185">
        <v>40</v>
      </c>
      <c r="T918" s="185" t="s">
        <v>2</v>
      </c>
      <c r="U918" s="185">
        <f>IF(S918&gt;0,IF(RIGHT(Ruimtestaat[[#This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8" s="185">
        <f>IF(U918&gt;0,VLOOKUP($K918,Ruimtegroepen[],3,FALSE)*VLOOKUP($M918,Vloersoorten[],3,FALSE)*VLOOKUP($T918,Frequenties[],3,FALSE)*VLOOKUP($A918,Locaties[],3,FALSE),0)</f>
        <v>0</v>
      </c>
      <c r="W918" s="185">
        <f>Ruimtestaat[[#This Row],[Uitvoeringen werkdagen]]*Ruimtestaat[[#This Row],[Oppervlak (netto)]]</f>
        <v>7000</v>
      </c>
      <c r="X918" s="220">
        <f>IF(V918&gt;0,Ruimtestaat[[#This Row],[Prest. (m2 /jaar) werkdagen]]/Ruimtestaat[[#This Row],[Norm (m2/uur) werkdagen]],0)</f>
        <v>0</v>
      </c>
      <c r="Y918" s="221">
        <f>Ruimtestaat[[#This Row],[uren / jaar werkdagen]]*Tariefsopbouw!$D$38</f>
        <v>0</v>
      </c>
      <c r="Z918" s="33"/>
      <c r="AA918" s="33">
        <f>IF(Ruimtestaat[[#This Row],[Frequentie weekend]]&gt;0,VALUE(LEFT(Z918,1))*S918,0)</f>
        <v>0</v>
      </c>
      <c r="AB918" s="33">
        <f>IF($AA918&gt;0,VLOOKUP($K918,Ruimtegroepen[],3,FALSE)*VLOOKUP($M918,Vloersoorten[],3,FALSE)*VLOOKUP($Z918,Frequenties[],3,FALSE)*VLOOKUP(#REF!,Locaties[],3,FALSE),0)</f>
        <v>0</v>
      </c>
      <c r="AC918" s="33"/>
      <c r="AD918" s="33"/>
      <c r="AE918" s="33">
        <f>Ruimtestaat[[#This Row],[uren / jaar weekend]]*Tariefsopbouw!$D$40</f>
        <v>0</v>
      </c>
      <c r="AF918" s="79">
        <f>Ruimtestaat[[#This Row],[Prest. (m2 /jaar) weekend]]+Ruimtestaat[[#This Row],[Prest. (m2 /jaar) werkdagen]]</f>
        <v>7000</v>
      </c>
      <c r="AG918" s="79">
        <f>Ruimtestaat[[#This Row],[uren / jaar weekend]]+Ruimtestaat[[#This Row],[uren / jaar werkdagen]]</f>
        <v>0</v>
      </c>
      <c r="AH918" s="80">
        <f>Ruimtestaat[[#This Row],[kosten / jaar weekend]]+Ruimtestaat[[#This Row],[kosten / jaar werkdagen]]</f>
        <v>0</v>
      </c>
    </row>
    <row r="919" spans="1:34" ht="15" customHeight="1">
      <c r="A919" s="256">
        <v>12</v>
      </c>
      <c r="B919" s="171" t="str">
        <f>VLOOKUP(Ruimtestaat[[#This Row],[Code]],Locaties[#All],2,FALSE)</f>
        <v>Onderwijscentrum Het Roessingh &amp; De Huifkar</v>
      </c>
      <c r="C919" s="258" t="str">
        <f>VLOOKUP(Ruimtestaat[[#This Row],[Code]],Locaties[#All],4,FALSE)</f>
        <v>Roessinghsbleekweg 35</v>
      </c>
      <c r="D919" s="258" t="str">
        <f>VLOOKUP(Ruimtestaat[[#This Row],[Code]],Locaties[#All],5,FALSE)</f>
        <v>7522 AH</v>
      </c>
      <c r="E919" s="258" t="str">
        <f>VLOOKUP(Ruimtestaat[[#This Row],[Code]],Locaties[#All],6,FALSE)</f>
        <v>Enschede</v>
      </c>
      <c r="F919" s="257"/>
      <c r="G919" s="257" t="s">
        <v>563</v>
      </c>
      <c r="H919" s="171"/>
      <c r="I919" s="257" t="s">
        <v>944</v>
      </c>
      <c r="J919" s="259" t="s">
        <v>574</v>
      </c>
      <c r="K919" s="258">
        <v>6</v>
      </c>
      <c r="L919" s="260" t="str">
        <f>VLOOKUP(Ruimtestaat[[#This Row],[Ruimte code]],Ruimtegroepen[#All],2,FALSE)</f>
        <v>Gangen/hallen</v>
      </c>
      <c r="M919" s="185" t="s">
        <v>598</v>
      </c>
      <c r="N919" s="257" t="s">
        <v>132</v>
      </c>
      <c r="O919" s="261">
        <v>8</v>
      </c>
      <c r="P919" s="183"/>
      <c r="Q919" s="212" t="str">
        <f>VLOOKUP(Ruimtestaat[[#This Row],[Ruimte code]],Ruimtegroepen[#All],4,FALSE)</f>
        <v>V  (Verkeersruimte)</v>
      </c>
      <c r="R919" s="184"/>
      <c r="S919" s="185">
        <v>40</v>
      </c>
      <c r="T919" s="185" t="s">
        <v>2</v>
      </c>
      <c r="U919" s="185">
        <f>IF(S919&gt;0,IF(RIGHT(Ruimtestaat[[#This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9" s="185">
        <f>IF(U919&gt;0,VLOOKUP($K919,Ruimtegroepen[],3,FALSE)*VLOOKUP($M919,Vloersoorten[],3,FALSE)*VLOOKUP($T919,Frequenties[],3,FALSE)*VLOOKUP($A919,Locaties[],3,FALSE),0)</f>
        <v>0</v>
      </c>
      <c r="W919" s="185">
        <f>Ruimtestaat[[#This Row],[Uitvoeringen werkdagen]]*Ruimtestaat[[#This Row],[Oppervlak (netto)]]</f>
        <v>1600</v>
      </c>
      <c r="X919" s="220">
        <f>IF(V919&gt;0,Ruimtestaat[[#This Row],[Prest. (m2 /jaar) werkdagen]]/Ruimtestaat[[#This Row],[Norm (m2/uur) werkdagen]],0)</f>
        <v>0</v>
      </c>
      <c r="Y919" s="221">
        <f>Ruimtestaat[[#This Row],[uren / jaar werkdagen]]*Tariefsopbouw!$D$38</f>
        <v>0</v>
      </c>
      <c r="Z919" s="33"/>
      <c r="AA919" s="33">
        <f>IF(Ruimtestaat[[#This Row],[Frequentie weekend]]&gt;0,VALUE(LEFT(Z919,1))*S919,0)</f>
        <v>0</v>
      </c>
      <c r="AB919" s="33">
        <f>IF($AA919&gt;0,VLOOKUP($K919,Ruimtegroepen[],3,FALSE)*VLOOKUP($M919,Vloersoorten[],3,FALSE)*VLOOKUP($Z919,Frequenties[],3,FALSE)*VLOOKUP(#REF!,Locaties[],3,FALSE),0)</f>
        <v>0</v>
      </c>
      <c r="AC919" s="33"/>
      <c r="AD919" s="33"/>
      <c r="AE919" s="33">
        <f>Ruimtestaat[[#This Row],[uren / jaar weekend]]*Tariefsopbouw!$D$40</f>
        <v>0</v>
      </c>
      <c r="AF919" s="79">
        <f>Ruimtestaat[[#This Row],[Prest. (m2 /jaar) weekend]]+Ruimtestaat[[#This Row],[Prest. (m2 /jaar) werkdagen]]</f>
        <v>1600</v>
      </c>
      <c r="AG919" s="79">
        <f>Ruimtestaat[[#This Row],[uren / jaar weekend]]+Ruimtestaat[[#This Row],[uren / jaar werkdagen]]</f>
        <v>0</v>
      </c>
      <c r="AH919" s="80">
        <f>Ruimtestaat[[#This Row],[kosten / jaar weekend]]+Ruimtestaat[[#This Row],[kosten / jaar werkdagen]]</f>
        <v>0</v>
      </c>
    </row>
    <row r="920" spans="1:34" ht="15" customHeight="1">
      <c r="A920" s="256">
        <v>12</v>
      </c>
      <c r="B920" s="171" t="str">
        <f>VLOOKUP(Ruimtestaat[[#This Row],[Code]],Locaties[#All],2,FALSE)</f>
        <v>Onderwijscentrum Het Roessingh &amp; De Huifkar</v>
      </c>
      <c r="C920" s="258" t="str">
        <f>VLOOKUP(Ruimtestaat[[#This Row],[Code]],Locaties[#All],4,FALSE)</f>
        <v>Roessinghsbleekweg 35</v>
      </c>
      <c r="D920" s="258" t="str">
        <f>VLOOKUP(Ruimtestaat[[#This Row],[Code]],Locaties[#All],5,FALSE)</f>
        <v>7522 AH</v>
      </c>
      <c r="E920" s="258" t="str">
        <f>VLOOKUP(Ruimtestaat[[#This Row],[Code]],Locaties[#All],6,FALSE)</f>
        <v>Enschede</v>
      </c>
      <c r="F920" s="257"/>
      <c r="G920" s="257" t="s">
        <v>563</v>
      </c>
      <c r="H920" s="171"/>
      <c r="I920" s="257" t="s">
        <v>508</v>
      </c>
      <c r="J920" s="259" t="s">
        <v>569</v>
      </c>
      <c r="K920" s="258">
        <v>5</v>
      </c>
      <c r="L920" s="260" t="str">
        <f>VLOOKUP(Ruimtestaat[[#This Row],[Ruimte code]],Ruimtegroepen[#All],2,FALSE)</f>
        <v>Sanitair</v>
      </c>
      <c r="M920" s="212" t="s">
        <v>111</v>
      </c>
      <c r="N920" s="257" t="s">
        <v>606</v>
      </c>
      <c r="O920" s="261">
        <v>9.1999999999999993</v>
      </c>
      <c r="P920" s="183"/>
      <c r="Q920" s="212" t="str">
        <f>VLOOKUP(Ruimtestaat[[#This Row],[Ruimte code]],Ruimtegroepen[#All],4,FALSE)</f>
        <v>S  (Sanitair)</v>
      </c>
      <c r="R920" s="184"/>
      <c r="S920" s="185">
        <v>40</v>
      </c>
      <c r="T920" s="185" t="s">
        <v>2</v>
      </c>
      <c r="U920" s="185">
        <f>IF(S920&gt;0,IF(RIGHT(Ruimtestaat[[#This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0" s="185">
        <f>IF(U920&gt;0,VLOOKUP($K920,Ruimtegroepen[],3,FALSE)*VLOOKUP($M920,Vloersoorten[],3,FALSE)*VLOOKUP($T920,Frequenties[],3,FALSE)*VLOOKUP($A920,Locaties[],3,FALSE),0)</f>
        <v>0</v>
      </c>
      <c r="W920" s="185">
        <f>Ruimtestaat[[#This Row],[Uitvoeringen werkdagen]]*Ruimtestaat[[#This Row],[Oppervlak (netto)]]</f>
        <v>1839.9999999999998</v>
      </c>
      <c r="X920" s="220">
        <f>IF(V920&gt;0,Ruimtestaat[[#This Row],[Prest. (m2 /jaar) werkdagen]]/Ruimtestaat[[#This Row],[Norm (m2/uur) werkdagen]],0)</f>
        <v>0</v>
      </c>
      <c r="Y920" s="221">
        <f>Ruimtestaat[[#This Row],[uren / jaar werkdagen]]*Tariefsopbouw!$D$38</f>
        <v>0</v>
      </c>
      <c r="Z920" s="33"/>
      <c r="AA920" s="33">
        <f>IF(Ruimtestaat[[#This Row],[Frequentie weekend]]&gt;0,VALUE(LEFT(Z920,1))*S920,0)</f>
        <v>0</v>
      </c>
      <c r="AB920" s="33">
        <f>IF($AA920&gt;0,VLOOKUP($K920,Ruimtegroepen[],3,FALSE)*VLOOKUP($M920,Vloersoorten[],3,FALSE)*VLOOKUP($Z920,Frequenties[],3,FALSE)*VLOOKUP(#REF!,Locaties[],3,FALSE),0)</f>
        <v>0</v>
      </c>
      <c r="AC920" s="33"/>
      <c r="AD920" s="33"/>
      <c r="AE920" s="33">
        <f>Ruimtestaat[[#This Row],[uren / jaar weekend]]*Tariefsopbouw!$D$40</f>
        <v>0</v>
      </c>
      <c r="AF920" s="79">
        <f>Ruimtestaat[[#This Row],[Prest. (m2 /jaar) weekend]]+Ruimtestaat[[#This Row],[Prest. (m2 /jaar) werkdagen]]</f>
        <v>1839.9999999999998</v>
      </c>
      <c r="AG920" s="79">
        <f>Ruimtestaat[[#This Row],[uren / jaar weekend]]+Ruimtestaat[[#This Row],[uren / jaar werkdagen]]</f>
        <v>0</v>
      </c>
      <c r="AH920" s="80">
        <f>Ruimtestaat[[#This Row],[kosten / jaar weekend]]+Ruimtestaat[[#This Row],[kosten / jaar werkdagen]]</f>
        <v>0</v>
      </c>
    </row>
    <row r="921" spans="1:34" ht="15" customHeight="1">
      <c r="A921" s="256">
        <v>12</v>
      </c>
      <c r="B921" s="171" t="str">
        <f>VLOOKUP(Ruimtestaat[[#This Row],[Code]],Locaties[#All],2,FALSE)</f>
        <v>Onderwijscentrum Het Roessingh &amp; De Huifkar</v>
      </c>
      <c r="C921" s="258" t="str">
        <f>VLOOKUP(Ruimtestaat[[#This Row],[Code]],Locaties[#All],4,FALSE)</f>
        <v>Roessinghsbleekweg 35</v>
      </c>
      <c r="D921" s="258" t="str">
        <f>VLOOKUP(Ruimtestaat[[#This Row],[Code]],Locaties[#All],5,FALSE)</f>
        <v>7522 AH</v>
      </c>
      <c r="E921" s="258" t="str">
        <f>VLOOKUP(Ruimtestaat[[#This Row],[Code]],Locaties[#All],6,FALSE)</f>
        <v>Enschede</v>
      </c>
      <c r="F921" s="257"/>
      <c r="G921" s="257" t="s">
        <v>563</v>
      </c>
      <c r="H921" s="171"/>
      <c r="I921" s="257" t="s">
        <v>509</v>
      </c>
      <c r="J921" s="259" t="s">
        <v>735</v>
      </c>
      <c r="K921" s="185">
        <v>9</v>
      </c>
      <c r="L921" s="260" t="str">
        <f>VLOOKUP(Ruimtestaat[[#This Row],[Ruimte code]],Ruimtegroepen[#All],2,FALSE)</f>
        <v>Time-out ruimte</v>
      </c>
      <c r="M921" s="258" t="s">
        <v>597</v>
      </c>
      <c r="N921" s="257" t="s">
        <v>38</v>
      </c>
      <c r="O921" s="261">
        <v>25</v>
      </c>
      <c r="P921" s="183"/>
      <c r="Q921" s="212" t="str">
        <f>VLOOKUP(Ruimtestaat[[#This Row],[Ruimte code]],Ruimtegroepen[#All],4,FALSE)</f>
        <v>V  (Verkeersruimte)</v>
      </c>
      <c r="R921" s="184"/>
      <c r="S921" s="185">
        <v>40</v>
      </c>
      <c r="T921" s="185" t="s">
        <v>2</v>
      </c>
      <c r="U921" s="185">
        <f>IF(S921&gt;0,IF(RIGHT(Ruimtestaat[[#This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1" s="185">
        <f>IF(U921&gt;0,VLOOKUP($K921,Ruimtegroepen[],3,FALSE)*VLOOKUP($M921,Vloersoorten[],3,FALSE)*VLOOKUP($T921,Frequenties[],3,FALSE)*VLOOKUP($A921,Locaties[],3,FALSE),0)</f>
        <v>0</v>
      </c>
      <c r="W921" s="185">
        <f>Ruimtestaat[[#This Row],[Uitvoeringen werkdagen]]*Ruimtestaat[[#This Row],[Oppervlak (netto)]]</f>
        <v>5000</v>
      </c>
      <c r="X921" s="220">
        <f>IF(V921&gt;0,Ruimtestaat[[#This Row],[Prest. (m2 /jaar) werkdagen]]/Ruimtestaat[[#This Row],[Norm (m2/uur) werkdagen]],0)</f>
        <v>0</v>
      </c>
      <c r="Y921" s="221">
        <f>Ruimtestaat[[#This Row],[uren / jaar werkdagen]]*Tariefsopbouw!$D$38</f>
        <v>0</v>
      </c>
      <c r="Z921" s="33"/>
      <c r="AA921" s="33">
        <f>IF(Ruimtestaat[[#This Row],[Frequentie weekend]]&gt;0,VALUE(LEFT(Z921,1))*S921,0)</f>
        <v>0</v>
      </c>
      <c r="AB921" s="33">
        <f>IF($AA921&gt;0,VLOOKUP($K921,Ruimtegroepen[],3,FALSE)*VLOOKUP($M921,Vloersoorten[],3,FALSE)*VLOOKUP($Z921,Frequenties[],3,FALSE)*VLOOKUP(#REF!,Locaties[],3,FALSE),0)</f>
        <v>0</v>
      </c>
      <c r="AC921" s="33"/>
      <c r="AD921" s="33"/>
      <c r="AE921" s="33">
        <f>Ruimtestaat[[#This Row],[uren / jaar weekend]]*Tariefsopbouw!$D$40</f>
        <v>0</v>
      </c>
      <c r="AF921" s="79">
        <f>Ruimtestaat[[#This Row],[Prest. (m2 /jaar) weekend]]+Ruimtestaat[[#This Row],[Prest. (m2 /jaar) werkdagen]]</f>
        <v>5000</v>
      </c>
      <c r="AG921" s="79">
        <f>Ruimtestaat[[#This Row],[uren / jaar weekend]]+Ruimtestaat[[#This Row],[uren / jaar werkdagen]]</f>
        <v>0</v>
      </c>
      <c r="AH921" s="80">
        <f>Ruimtestaat[[#This Row],[kosten / jaar weekend]]+Ruimtestaat[[#This Row],[kosten / jaar werkdagen]]</f>
        <v>0</v>
      </c>
    </row>
    <row r="922" spans="1:34" ht="15" customHeight="1">
      <c r="A922" s="256">
        <v>12</v>
      </c>
      <c r="B922" s="171" t="str">
        <f>VLOOKUP(Ruimtestaat[[#This Row],[Code]],Locaties[#All],2,FALSE)</f>
        <v>Onderwijscentrum Het Roessingh &amp; De Huifkar</v>
      </c>
      <c r="C922" s="258" t="str">
        <f>VLOOKUP(Ruimtestaat[[#This Row],[Code]],Locaties[#All],4,FALSE)</f>
        <v>Roessinghsbleekweg 35</v>
      </c>
      <c r="D922" s="258" t="str">
        <f>VLOOKUP(Ruimtestaat[[#This Row],[Code]],Locaties[#All],5,FALSE)</f>
        <v>7522 AH</v>
      </c>
      <c r="E922" s="258" t="str">
        <f>VLOOKUP(Ruimtestaat[[#This Row],[Code]],Locaties[#All],6,FALSE)</f>
        <v>Enschede</v>
      </c>
      <c r="F922" s="257"/>
      <c r="G922" s="257" t="s">
        <v>563</v>
      </c>
      <c r="H922" s="171"/>
      <c r="I922" s="257" t="s">
        <v>510</v>
      </c>
      <c r="J922" s="259" t="s">
        <v>585</v>
      </c>
      <c r="K922" s="171">
        <v>20</v>
      </c>
      <c r="L922" s="260" t="str">
        <f>VLOOKUP(Ruimtestaat[[#This Row],[Ruimte code]],Ruimtegroepen[#All],2,FALSE)</f>
        <v>Niet in onderhoud</v>
      </c>
      <c r="M922" s="258" t="s">
        <v>597</v>
      </c>
      <c r="N922" s="257" t="s">
        <v>38</v>
      </c>
      <c r="O922" s="261"/>
      <c r="P922" s="183">
        <v>9</v>
      </c>
      <c r="Q922" s="212" t="str">
        <f>VLOOKUP(Ruimtestaat[[#This Row],[Ruimte code]],Ruimtegroepen[#All],4,FALSE)</f>
        <v>niet in onderhoud</v>
      </c>
      <c r="R922" s="184"/>
      <c r="S922" s="185"/>
      <c r="T922" s="185"/>
      <c r="U922" s="185">
        <f>IF(S922&gt;0,IF(RIGHT(Ruimtestaat[[#This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22" s="185">
        <f>IF(U922&gt;0,VLOOKUP($K922,Ruimtegroepen[],3,FALSE)*VLOOKUP($M922,Vloersoorten[],3,FALSE)*VLOOKUP($T922,Frequenties[],3,FALSE)*VLOOKUP($A922,Locaties[],3,FALSE),0)</f>
        <v>0</v>
      </c>
      <c r="W922" s="185">
        <f>Ruimtestaat[[#This Row],[Uitvoeringen werkdagen]]*Ruimtestaat[[#This Row],[Oppervlak (netto)]]</f>
        <v>0</v>
      </c>
      <c r="X922" s="220">
        <f>IF(V922&gt;0,Ruimtestaat[[#This Row],[Prest. (m2 /jaar) werkdagen]]/Ruimtestaat[[#This Row],[Norm (m2/uur) werkdagen]],0)</f>
        <v>0</v>
      </c>
      <c r="Y922" s="221">
        <f>Ruimtestaat[[#This Row],[uren / jaar werkdagen]]*Tariefsopbouw!$D$38</f>
        <v>0</v>
      </c>
      <c r="Z922" s="33"/>
      <c r="AA922" s="33">
        <f>IF(Ruimtestaat[[#This Row],[Frequentie weekend]]&gt;0,VALUE(LEFT(Z922,1))*S922,0)</f>
        <v>0</v>
      </c>
      <c r="AB922" s="33">
        <f>IF($AA922&gt;0,VLOOKUP($K922,Ruimtegroepen[],3,FALSE)*VLOOKUP($M922,Vloersoorten[],3,FALSE)*VLOOKUP($Z922,Frequenties[],3,FALSE)*VLOOKUP(#REF!,Locaties[],3,FALSE),0)</f>
        <v>0</v>
      </c>
      <c r="AC922" s="33"/>
      <c r="AD922" s="33"/>
      <c r="AE922" s="33">
        <f>Ruimtestaat[[#This Row],[uren / jaar weekend]]*Tariefsopbouw!$D$40</f>
        <v>0</v>
      </c>
      <c r="AF922" s="79">
        <f>Ruimtestaat[[#This Row],[Prest. (m2 /jaar) weekend]]+Ruimtestaat[[#This Row],[Prest. (m2 /jaar) werkdagen]]</f>
        <v>0</v>
      </c>
      <c r="AG922" s="79">
        <f>Ruimtestaat[[#This Row],[uren / jaar weekend]]+Ruimtestaat[[#This Row],[uren / jaar werkdagen]]</f>
        <v>0</v>
      </c>
      <c r="AH922" s="80">
        <f>Ruimtestaat[[#This Row],[kosten / jaar weekend]]+Ruimtestaat[[#This Row],[kosten / jaar werkdagen]]</f>
        <v>0</v>
      </c>
    </row>
    <row r="923" spans="1:34" ht="15" customHeight="1">
      <c r="A923" s="256">
        <v>12</v>
      </c>
      <c r="B923" s="171" t="str">
        <f>VLOOKUP(Ruimtestaat[[#This Row],[Code]],Locaties[#All],2,FALSE)</f>
        <v>Onderwijscentrum Het Roessingh &amp; De Huifkar</v>
      </c>
      <c r="C923" s="258" t="str">
        <f>VLOOKUP(Ruimtestaat[[#This Row],[Code]],Locaties[#All],4,FALSE)</f>
        <v>Roessinghsbleekweg 35</v>
      </c>
      <c r="D923" s="258" t="str">
        <f>VLOOKUP(Ruimtestaat[[#This Row],[Code]],Locaties[#All],5,FALSE)</f>
        <v>7522 AH</v>
      </c>
      <c r="E923" s="258" t="str">
        <f>VLOOKUP(Ruimtestaat[[#This Row],[Code]],Locaties[#All],6,FALSE)</f>
        <v>Enschede</v>
      </c>
      <c r="F923" s="257"/>
      <c r="G923" s="257" t="s">
        <v>563</v>
      </c>
      <c r="H923" s="171"/>
      <c r="I923" s="257" t="s">
        <v>945</v>
      </c>
      <c r="J923" s="259" t="s">
        <v>574</v>
      </c>
      <c r="K923" s="171">
        <v>6</v>
      </c>
      <c r="L923" s="260" t="str">
        <f>VLOOKUP(Ruimtestaat[[#This Row],[Ruimte code]],Ruimtegroepen[#All],2,FALSE)</f>
        <v>Gangen/hallen</v>
      </c>
      <c r="M923" s="258" t="s">
        <v>598</v>
      </c>
      <c r="N923" s="257" t="s">
        <v>132</v>
      </c>
      <c r="O923" s="261">
        <v>35.5</v>
      </c>
      <c r="P923" s="183"/>
      <c r="Q923" s="212" t="str">
        <f>VLOOKUP(Ruimtestaat[[#This Row],[Ruimte code]],Ruimtegroepen[#All],4,FALSE)</f>
        <v>V  (Verkeersruimte)</v>
      </c>
      <c r="R923" s="184"/>
      <c r="S923" s="185">
        <v>40</v>
      </c>
      <c r="T923" s="185" t="s">
        <v>2</v>
      </c>
      <c r="U923" s="185">
        <f>IF(S923&gt;0,IF(RIGHT(Ruimtestaat[[#This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3" s="185">
        <f>IF(U923&gt;0,VLOOKUP($K923,Ruimtegroepen[],3,FALSE)*VLOOKUP($M923,Vloersoorten[],3,FALSE)*VLOOKUP($T923,Frequenties[],3,FALSE)*VLOOKUP($A923,Locaties[],3,FALSE),0)</f>
        <v>0</v>
      </c>
      <c r="W923" s="185">
        <f>Ruimtestaat[[#This Row],[Uitvoeringen werkdagen]]*Ruimtestaat[[#This Row],[Oppervlak (netto)]]</f>
        <v>7100</v>
      </c>
      <c r="X923" s="220">
        <f>IF(V923&gt;0,Ruimtestaat[[#This Row],[Prest. (m2 /jaar) werkdagen]]/Ruimtestaat[[#This Row],[Norm (m2/uur) werkdagen]],0)</f>
        <v>0</v>
      </c>
      <c r="Y923" s="221">
        <f>Ruimtestaat[[#This Row],[uren / jaar werkdagen]]*Tariefsopbouw!$D$38</f>
        <v>0</v>
      </c>
      <c r="Z923" s="33"/>
      <c r="AA923" s="33">
        <f>IF(Ruimtestaat[[#This Row],[Frequentie weekend]]&gt;0,VALUE(LEFT(Z923,1))*S923,0)</f>
        <v>0</v>
      </c>
      <c r="AB923" s="33">
        <f>IF($AA923&gt;0,VLOOKUP($K923,Ruimtegroepen[],3,FALSE)*VLOOKUP($M923,Vloersoorten[],3,FALSE)*VLOOKUP($Z923,Frequenties[],3,FALSE)*VLOOKUP(#REF!,Locaties[],3,FALSE),0)</f>
        <v>0</v>
      </c>
      <c r="AC923" s="33"/>
      <c r="AD923" s="33"/>
      <c r="AE923" s="33">
        <f>Ruimtestaat[[#This Row],[uren / jaar weekend]]*Tariefsopbouw!$D$40</f>
        <v>0</v>
      </c>
      <c r="AF923" s="79">
        <f>Ruimtestaat[[#This Row],[Prest. (m2 /jaar) weekend]]+Ruimtestaat[[#This Row],[Prest. (m2 /jaar) werkdagen]]</f>
        <v>7100</v>
      </c>
      <c r="AG923" s="79">
        <f>Ruimtestaat[[#This Row],[uren / jaar weekend]]+Ruimtestaat[[#This Row],[uren / jaar werkdagen]]</f>
        <v>0</v>
      </c>
      <c r="AH923" s="80">
        <f>Ruimtestaat[[#This Row],[kosten / jaar weekend]]+Ruimtestaat[[#This Row],[kosten / jaar werkdagen]]</f>
        <v>0</v>
      </c>
    </row>
    <row r="924" spans="1:34" ht="15" customHeight="1">
      <c r="A924" s="256">
        <v>12</v>
      </c>
      <c r="B924" s="171" t="str">
        <f>VLOOKUP(Ruimtestaat[[#This Row],[Code]],Locaties[#All],2,FALSE)</f>
        <v>Onderwijscentrum Het Roessingh &amp; De Huifkar</v>
      </c>
      <c r="C924" s="258" t="str">
        <f>VLOOKUP(Ruimtestaat[[#This Row],[Code]],Locaties[#All],4,FALSE)</f>
        <v>Roessinghsbleekweg 35</v>
      </c>
      <c r="D924" s="258" t="str">
        <f>VLOOKUP(Ruimtestaat[[#This Row],[Code]],Locaties[#All],5,FALSE)</f>
        <v>7522 AH</v>
      </c>
      <c r="E924" s="258" t="str">
        <f>VLOOKUP(Ruimtestaat[[#This Row],[Code]],Locaties[#All],6,FALSE)</f>
        <v>Enschede</v>
      </c>
      <c r="F924" s="257"/>
      <c r="G924" s="257" t="s">
        <v>563</v>
      </c>
      <c r="H924" s="171"/>
      <c r="I924" s="257" t="s">
        <v>511</v>
      </c>
      <c r="J924" s="259" t="s">
        <v>946</v>
      </c>
      <c r="K924" s="171">
        <v>6</v>
      </c>
      <c r="L924" s="260" t="str">
        <f>VLOOKUP(Ruimtestaat[[#This Row],[Ruimte code]],Ruimtegroepen[#All],2,FALSE)</f>
        <v>Gangen/hallen</v>
      </c>
      <c r="M924" s="212" t="s">
        <v>597</v>
      </c>
      <c r="N924" s="257" t="s">
        <v>38</v>
      </c>
      <c r="O924" s="261">
        <v>70</v>
      </c>
      <c r="P924" s="183"/>
      <c r="Q924" s="212" t="str">
        <f>VLOOKUP(Ruimtestaat[[#This Row],[Ruimte code]],Ruimtegroepen[#All],4,FALSE)</f>
        <v>V  (Verkeersruimte)</v>
      </c>
      <c r="R924" s="184"/>
      <c r="S924" s="185">
        <v>40</v>
      </c>
      <c r="T924" s="185" t="s">
        <v>15</v>
      </c>
      <c r="U924" s="185">
        <f>IF(S924&gt;0,IF(RIGHT(Ruimtestaat[[#This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924" s="185">
        <f>IF(U924&gt;0,VLOOKUP($K924,Ruimtegroepen[],3,FALSE)*VLOOKUP($M924,Vloersoorten[],3,FALSE)*VLOOKUP($T924,Frequenties[],3,FALSE)*VLOOKUP($A924,Locaties[],3,FALSE),0)</f>
        <v>0</v>
      </c>
      <c r="W924" s="185">
        <f>Ruimtestaat[[#This Row],[Uitvoeringen werkdagen]]*Ruimtestaat[[#This Row],[Oppervlak (netto)]]</f>
        <v>2800</v>
      </c>
      <c r="X924" s="220">
        <f>IF(V924&gt;0,Ruimtestaat[[#This Row],[Prest. (m2 /jaar) werkdagen]]/Ruimtestaat[[#This Row],[Norm (m2/uur) werkdagen]],0)</f>
        <v>0</v>
      </c>
      <c r="Y924" s="221">
        <f>Ruimtestaat[[#This Row],[uren / jaar werkdagen]]*Tariefsopbouw!$D$38</f>
        <v>0</v>
      </c>
      <c r="Z924" s="33"/>
      <c r="AA924" s="33">
        <f>IF(Ruimtestaat[[#This Row],[Frequentie weekend]]&gt;0,VALUE(LEFT(Z924,1))*S924,0)</f>
        <v>0</v>
      </c>
      <c r="AB924" s="33">
        <f>IF($AA924&gt;0,VLOOKUP($K924,Ruimtegroepen[],3,FALSE)*VLOOKUP($M924,Vloersoorten[],3,FALSE)*VLOOKUP($Z924,Frequenties[],3,FALSE)*VLOOKUP(#REF!,Locaties[],3,FALSE),0)</f>
        <v>0</v>
      </c>
      <c r="AC924" s="33"/>
      <c r="AD924" s="33"/>
      <c r="AE924" s="33">
        <f>Ruimtestaat[[#This Row],[uren / jaar weekend]]*Tariefsopbouw!$D$40</f>
        <v>0</v>
      </c>
      <c r="AF924" s="79">
        <f>Ruimtestaat[[#This Row],[Prest. (m2 /jaar) weekend]]+Ruimtestaat[[#This Row],[Prest. (m2 /jaar) werkdagen]]</f>
        <v>2800</v>
      </c>
      <c r="AG924" s="79">
        <f>Ruimtestaat[[#This Row],[uren / jaar weekend]]+Ruimtestaat[[#This Row],[uren / jaar werkdagen]]</f>
        <v>0</v>
      </c>
      <c r="AH924" s="80">
        <f>Ruimtestaat[[#This Row],[kosten / jaar weekend]]+Ruimtestaat[[#This Row],[kosten / jaar werkdagen]]</f>
        <v>0</v>
      </c>
    </row>
    <row r="925" spans="1:34" ht="15" customHeight="1">
      <c r="A925" s="256">
        <v>12</v>
      </c>
      <c r="B925" s="171" t="str">
        <f>VLOOKUP(Ruimtestaat[[#This Row],[Code]],Locaties[#All],2,FALSE)</f>
        <v>Onderwijscentrum Het Roessingh &amp; De Huifkar</v>
      </c>
      <c r="C925" s="258" t="str">
        <f>VLOOKUP(Ruimtestaat[[#This Row],[Code]],Locaties[#All],4,FALSE)</f>
        <v>Roessinghsbleekweg 35</v>
      </c>
      <c r="D925" s="258" t="str">
        <f>VLOOKUP(Ruimtestaat[[#This Row],[Code]],Locaties[#All],5,FALSE)</f>
        <v>7522 AH</v>
      </c>
      <c r="E925" s="258" t="str">
        <f>VLOOKUP(Ruimtestaat[[#This Row],[Code]],Locaties[#All],6,FALSE)</f>
        <v>Enschede</v>
      </c>
      <c r="F925" s="257"/>
      <c r="G925" s="257" t="s">
        <v>563</v>
      </c>
      <c r="H925" s="171"/>
      <c r="I925" s="257" t="s">
        <v>947</v>
      </c>
      <c r="J925" s="259" t="s">
        <v>586</v>
      </c>
      <c r="K925" s="258">
        <v>20</v>
      </c>
      <c r="L925" s="260" t="str">
        <f>VLOOKUP(Ruimtestaat[[#This Row],[Ruimte code]],Ruimtegroepen[#All],2,FALSE)</f>
        <v>Niet in onderhoud</v>
      </c>
      <c r="M925" s="258"/>
      <c r="N925" s="257"/>
      <c r="O925" s="261"/>
      <c r="P925" s="183"/>
      <c r="Q925" s="212" t="str">
        <f>VLOOKUP(Ruimtestaat[[#This Row],[Ruimte code]],Ruimtegroepen[#All],4,FALSE)</f>
        <v>niet in onderhoud</v>
      </c>
      <c r="R925" s="184"/>
      <c r="S925" s="185"/>
      <c r="T925" s="185"/>
      <c r="U925" s="185">
        <f>IF(S925&gt;0,IF(RIGHT(Ruimtestaat[[#This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25" s="185">
        <f>IF(U925&gt;0,VLOOKUP($K925,Ruimtegroepen[],3,FALSE)*VLOOKUP($M925,Vloersoorten[],3,FALSE)*VLOOKUP($T925,Frequenties[],3,FALSE)*VLOOKUP($A925,Locaties[],3,FALSE),0)</f>
        <v>0</v>
      </c>
      <c r="W925" s="185">
        <f>Ruimtestaat[[#This Row],[Uitvoeringen werkdagen]]*Ruimtestaat[[#This Row],[Oppervlak (netto)]]</f>
        <v>0</v>
      </c>
      <c r="X925" s="220">
        <f>IF(V925&gt;0,Ruimtestaat[[#This Row],[Prest. (m2 /jaar) werkdagen]]/Ruimtestaat[[#This Row],[Norm (m2/uur) werkdagen]],0)</f>
        <v>0</v>
      </c>
      <c r="Y925" s="221">
        <f>Ruimtestaat[[#This Row],[uren / jaar werkdagen]]*Tariefsopbouw!$D$38</f>
        <v>0</v>
      </c>
      <c r="Z925" s="33"/>
      <c r="AA925" s="33">
        <f>IF(Ruimtestaat[[#This Row],[Frequentie weekend]]&gt;0,VALUE(LEFT(Z925,1))*S925,0)</f>
        <v>0</v>
      </c>
      <c r="AB925" s="33">
        <f>IF($AA925&gt;0,VLOOKUP($K925,Ruimtegroepen[],3,FALSE)*VLOOKUP($M925,Vloersoorten[],3,FALSE)*VLOOKUP($Z925,Frequenties[],3,FALSE)*VLOOKUP(#REF!,Locaties[],3,FALSE),0)</f>
        <v>0</v>
      </c>
      <c r="AC925" s="33"/>
      <c r="AD925" s="33"/>
      <c r="AE925" s="33">
        <f>Ruimtestaat[[#This Row],[uren / jaar weekend]]*Tariefsopbouw!$D$40</f>
        <v>0</v>
      </c>
      <c r="AF925" s="79">
        <f>Ruimtestaat[[#This Row],[Prest. (m2 /jaar) weekend]]+Ruimtestaat[[#This Row],[Prest. (m2 /jaar) werkdagen]]</f>
        <v>0</v>
      </c>
      <c r="AG925" s="79">
        <f>Ruimtestaat[[#This Row],[uren / jaar weekend]]+Ruimtestaat[[#This Row],[uren / jaar werkdagen]]</f>
        <v>0</v>
      </c>
      <c r="AH925" s="80">
        <f>Ruimtestaat[[#This Row],[kosten / jaar weekend]]+Ruimtestaat[[#This Row],[kosten / jaar werkdagen]]</f>
        <v>0</v>
      </c>
    </row>
    <row r="926" spans="1:34" ht="15" customHeight="1">
      <c r="A926" s="256">
        <v>12</v>
      </c>
      <c r="B926" s="171" t="str">
        <f>VLOOKUP(Ruimtestaat[[#This Row],[Code]],Locaties[#All],2,FALSE)</f>
        <v>Onderwijscentrum Het Roessingh &amp; De Huifkar</v>
      </c>
      <c r="C926" s="258" t="str">
        <f>VLOOKUP(Ruimtestaat[[#This Row],[Code]],Locaties[#All],4,FALSE)</f>
        <v>Roessinghsbleekweg 35</v>
      </c>
      <c r="D926" s="258" t="str">
        <f>VLOOKUP(Ruimtestaat[[#This Row],[Code]],Locaties[#All],5,FALSE)</f>
        <v>7522 AH</v>
      </c>
      <c r="E926" s="258" t="str">
        <f>VLOOKUP(Ruimtestaat[[#This Row],[Code]],Locaties[#All],6,FALSE)</f>
        <v>Enschede</v>
      </c>
      <c r="F926" s="257"/>
      <c r="G926" s="257" t="s">
        <v>563</v>
      </c>
      <c r="H926" s="171"/>
      <c r="I926" s="257" t="s">
        <v>948</v>
      </c>
      <c r="J926" s="259" t="s">
        <v>571</v>
      </c>
      <c r="K926" s="171">
        <v>2</v>
      </c>
      <c r="L926" s="260" t="str">
        <f>VLOOKUP(Ruimtestaat[[#This Row],[Ruimte code]],Ruimtegroepen[#All],2,FALSE)</f>
        <v>Kantoren</v>
      </c>
      <c r="M926" s="212" t="s">
        <v>597</v>
      </c>
      <c r="N926" s="257" t="s">
        <v>38</v>
      </c>
      <c r="O926" s="261">
        <v>6</v>
      </c>
      <c r="P926" s="183"/>
      <c r="Q926" s="212" t="str">
        <f>VLOOKUP(Ruimtestaat[[#This Row],[Ruimte code]],Ruimtegroepen[#All],4,FALSE)</f>
        <v>B  (Bureauruimte)</v>
      </c>
      <c r="R926" s="184"/>
      <c r="S926" s="185">
        <v>40</v>
      </c>
      <c r="T926" s="185" t="s">
        <v>18</v>
      </c>
      <c r="U926" s="185">
        <f>IF(S926&gt;0,IF(RIGHT(Ruimtestaat[[#This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926" s="185">
        <f>IF(U926&gt;0,VLOOKUP($K926,Ruimtegroepen[],3,FALSE)*VLOOKUP($M926,Vloersoorten[],3,FALSE)*VLOOKUP($T926,Frequenties[],3,FALSE)*VLOOKUP($A926,Locaties[],3,FALSE),0)</f>
        <v>0</v>
      </c>
      <c r="W926" s="185">
        <f>Ruimtestaat[[#This Row],[Uitvoeringen werkdagen]]*Ruimtestaat[[#This Row],[Oppervlak (netto)]]</f>
        <v>720</v>
      </c>
      <c r="X926" s="220">
        <f>IF(V926&gt;0,Ruimtestaat[[#This Row],[Prest. (m2 /jaar) werkdagen]]/Ruimtestaat[[#This Row],[Norm (m2/uur) werkdagen]],0)</f>
        <v>0</v>
      </c>
      <c r="Y926" s="221">
        <f>Ruimtestaat[[#This Row],[uren / jaar werkdagen]]*Tariefsopbouw!$D$38</f>
        <v>0</v>
      </c>
      <c r="Z926" s="33"/>
      <c r="AA926" s="33">
        <f>IF(Ruimtestaat[[#This Row],[Frequentie weekend]]&gt;0,VALUE(LEFT(Z926,1))*S926,0)</f>
        <v>0</v>
      </c>
      <c r="AB926" s="33">
        <f>IF($AA926&gt;0,VLOOKUP($K926,Ruimtegroepen[],3,FALSE)*VLOOKUP($M926,Vloersoorten[],3,FALSE)*VLOOKUP($Z926,Frequenties[],3,FALSE)*VLOOKUP(#REF!,Locaties[],3,FALSE),0)</f>
        <v>0</v>
      </c>
      <c r="AC926" s="33"/>
      <c r="AD926" s="33"/>
      <c r="AE926" s="33">
        <f>Ruimtestaat[[#This Row],[uren / jaar weekend]]*Tariefsopbouw!$D$40</f>
        <v>0</v>
      </c>
      <c r="AF926" s="79">
        <f>Ruimtestaat[[#This Row],[Prest. (m2 /jaar) weekend]]+Ruimtestaat[[#This Row],[Prest. (m2 /jaar) werkdagen]]</f>
        <v>720</v>
      </c>
      <c r="AG926" s="79">
        <f>Ruimtestaat[[#This Row],[uren / jaar weekend]]+Ruimtestaat[[#This Row],[uren / jaar werkdagen]]</f>
        <v>0</v>
      </c>
      <c r="AH926" s="80">
        <f>Ruimtestaat[[#This Row],[kosten / jaar weekend]]+Ruimtestaat[[#This Row],[kosten / jaar werkdagen]]</f>
        <v>0</v>
      </c>
    </row>
    <row r="927" spans="1:34" ht="15" customHeight="1">
      <c r="A927" s="256">
        <v>12</v>
      </c>
      <c r="B927" s="171" t="str">
        <f>VLOOKUP(Ruimtestaat[[#This Row],[Code]],Locaties[#All],2,FALSE)</f>
        <v>Onderwijscentrum Het Roessingh &amp; De Huifkar</v>
      </c>
      <c r="C927" s="258" t="str">
        <f>VLOOKUP(Ruimtestaat[[#This Row],[Code]],Locaties[#All],4,FALSE)</f>
        <v>Roessinghsbleekweg 35</v>
      </c>
      <c r="D927" s="258" t="str">
        <f>VLOOKUP(Ruimtestaat[[#This Row],[Code]],Locaties[#All],5,FALSE)</f>
        <v>7522 AH</v>
      </c>
      <c r="E927" s="258" t="str">
        <f>VLOOKUP(Ruimtestaat[[#This Row],[Code]],Locaties[#All],6,FALSE)</f>
        <v>Enschede</v>
      </c>
      <c r="F927" s="257"/>
      <c r="G927" s="257" t="s">
        <v>563</v>
      </c>
      <c r="H927" s="171"/>
      <c r="I927" s="257" t="s">
        <v>949</v>
      </c>
      <c r="J927" s="259" t="s">
        <v>576</v>
      </c>
      <c r="K927" s="258">
        <v>16</v>
      </c>
      <c r="L927" s="260" t="str">
        <f>VLOOKUP(Ruimtestaat[[#This Row],[Ruimte code]],Ruimtegroepen[#All],2,FALSE)</f>
        <v>Leslokalen</v>
      </c>
      <c r="M927" s="258" t="s">
        <v>598</v>
      </c>
      <c r="N927" s="257" t="s">
        <v>132</v>
      </c>
      <c r="O927" s="261">
        <v>57</v>
      </c>
      <c r="P927" s="183"/>
      <c r="Q927" s="212" t="str">
        <f>VLOOKUP(Ruimtestaat[[#This Row],[Ruimte code]],Ruimtegroepen[#All],4,FALSE)</f>
        <v>L  (Lesruimte)</v>
      </c>
      <c r="R927" s="184"/>
      <c r="S927" s="185">
        <v>40</v>
      </c>
      <c r="T927" s="185" t="s">
        <v>2</v>
      </c>
      <c r="U927" s="185">
        <f>IF(S927&gt;0,IF(RIGHT(Ruimtestaat[[#This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7" s="185">
        <f>IF(U927&gt;0,VLOOKUP($K927,Ruimtegroepen[],3,FALSE)*VLOOKUP($M927,Vloersoorten[],3,FALSE)*VLOOKUP($T927,Frequenties[],3,FALSE)*VLOOKUP($A927,Locaties[],3,FALSE),0)</f>
        <v>0</v>
      </c>
      <c r="W927" s="185">
        <f>Ruimtestaat[[#This Row],[Uitvoeringen werkdagen]]*Ruimtestaat[[#This Row],[Oppervlak (netto)]]</f>
        <v>11400</v>
      </c>
      <c r="X927" s="220">
        <f>IF(V927&gt;0,Ruimtestaat[[#This Row],[Prest. (m2 /jaar) werkdagen]]/Ruimtestaat[[#This Row],[Norm (m2/uur) werkdagen]],0)</f>
        <v>0</v>
      </c>
      <c r="Y927" s="221">
        <f>Ruimtestaat[[#This Row],[uren / jaar werkdagen]]*Tariefsopbouw!$D$38</f>
        <v>0</v>
      </c>
      <c r="Z927" s="33"/>
      <c r="AA927" s="33">
        <f>IF(Ruimtestaat[[#This Row],[Frequentie weekend]]&gt;0,VALUE(LEFT(Z927,1))*S927,0)</f>
        <v>0</v>
      </c>
      <c r="AB927" s="33">
        <f>IF($AA927&gt;0,VLOOKUP($K927,Ruimtegroepen[],3,FALSE)*VLOOKUP($M927,Vloersoorten[],3,FALSE)*VLOOKUP($Z927,Frequenties[],3,FALSE)*VLOOKUP(#REF!,Locaties[],3,FALSE),0)</f>
        <v>0</v>
      </c>
      <c r="AC927" s="33"/>
      <c r="AD927" s="33"/>
      <c r="AE927" s="33">
        <f>Ruimtestaat[[#This Row],[uren / jaar weekend]]*Tariefsopbouw!$D$40</f>
        <v>0</v>
      </c>
      <c r="AF927" s="79">
        <f>Ruimtestaat[[#This Row],[Prest. (m2 /jaar) weekend]]+Ruimtestaat[[#This Row],[Prest. (m2 /jaar) werkdagen]]</f>
        <v>11400</v>
      </c>
      <c r="AG927" s="79">
        <f>Ruimtestaat[[#This Row],[uren / jaar weekend]]+Ruimtestaat[[#This Row],[uren / jaar werkdagen]]</f>
        <v>0</v>
      </c>
      <c r="AH927" s="80">
        <f>Ruimtestaat[[#This Row],[kosten / jaar weekend]]+Ruimtestaat[[#This Row],[kosten / jaar werkdagen]]</f>
        <v>0</v>
      </c>
    </row>
    <row r="928" spans="1:34" ht="15" customHeight="1">
      <c r="A928" s="256">
        <v>12</v>
      </c>
      <c r="B928" s="171" t="str">
        <f>VLOOKUP(Ruimtestaat[[#This Row],[Code]],Locaties[#All],2,FALSE)</f>
        <v>Onderwijscentrum Het Roessingh &amp; De Huifkar</v>
      </c>
      <c r="C928" s="258" t="str">
        <f>VLOOKUP(Ruimtestaat[[#This Row],[Code]],Locaties[#All],4,FALSE)</f>
        <v>Roessinghsbleekweg 35</v>
      </c>
      <c r="D928" s="258" t="str">
        <f>VLOOKUP(Ruimtestaat[[#This Row],[Code]],Locaties[#All],5,FALSE)</f>
        <v>7522 AH</v>
      </c>
      <c r="E928" s="258" t="str">
        <f>VLOOKUP(Ruimtestaat[[#This Row],[Code]],Locaties[#All],6,FALSE)</f>
        <v>Enschede</v>
      </c>
      <c r="F928" s="257"/>
      <c r="G928" s="257" t="s">
        <v>563</v>
      </c>
      <c r="H928" s="171"/>
      <c r="I928" s="257" t="s">
        <v>950</v>
      </c>
      <c r="J928" s="259" t="s">
        <v>936</v>
      </c>
      <c r="K928" s="171">
        <v>16</v>
      </c>
      <c r="L928" s="260" t="str">
        <f>VLOOKUP(Ruimtestaat[[#This Row],[Ruimte code]],Ruimtegroepen[#All],2,FALSE)</f>
        <v>Leslokalen</v>
      </c>
      <c r="M928" s="258" t="s">
        <v>598</v>
      </c>
      <c r="N928" s="257" t="s">
        <v>132</v>
      </c>
      <c r="O928" s="261">
        <v>12</v>
      </c>
      <c r="P928" s="183"/>
      <c r="Q928" s="212" t="str">
        <f>VLOOKUP(Ruimtestaat[[#This Row],[Ruimte code]],Ruimtegroepen[#All],4,FALSE)</f>
        <v>L  (Lesruimte)</v>
      </c>
      <c r="R928" s="184"/>
      <c r="S928" s="185">
        <v>40</v>
      </c>
      <c r="T928" s="185" t="s">
        <v>2</v>
      </c>
      <c r="U928" s="185">
        <f>IF(S928&gt;0,IF(RIGHT(Ruimtestaat[[#This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8" s="185">
        <f>IF(U928&gt;0,VLOOKUP($K928,Ruimtegroepen[],3,FALSE)*VLOOKUP($M928,Vloersoorten[],3,FALSE)*VLOOKUP($T928,Frequenties[],3,FALSE)*VLOOKUP($A928,Locaties[],3,FALSE),0)</f>
        <v>0</v>
      </c>
      <c r="W928" s="185">
        <f>Ruimtestaat[[#This Row],[Uitvoeringen werkdagen]]*Ruimtestaat[[#This Row],[Oppervlak (netto)]]</f>
        <v>2400</v>
      </c>
      <c r="X928" s="220">
        <f>IF(V928&gt;0,Ruimtestaat[[#This Row],[Prest. (m2 /jaar) werkdagen]]/Ruimtestaat[[#This Row],[Norm (m2/uur) werkdagen]],0)</f>
        <v>0</v>
      </c>
      <c r="Y928" s="221">
        <f>Ruimtestaat[[#This Row],[uren / jaar werkdagen]]*Tariefsopbouw!$D$38</f>
        <v>0</v>
      </c>
      <c r="Z928" s="33"/>
      <c r="AA928" s="33">
        <f>IF(Ruimtestaat[[#This Row],[Frequentie weekend]]&gt;0,VALUE(LEFT(Z928,1))*S928,0)</f>
        <v>0</v>
      </c>
      <c r="AB928" s="33">
        <f>IF($AA928&gt;0,VLOOKUP($K928,Ruimtegroepen[],3,FALSE)*VLOOKUP($M928,Vloersoorten[],3,FALSE)*VLOOKUP($Z928,Frequenties[],3,FALSE)*VLOOKUP(#REF!,Locaties[],3,FALSE),0)</f>
        <v>0</v>
      </c>
      <c r="AC928" s="33"/>
      <c r="AD928" s="33"/>
      <c r="AE928" s="33">
        <f>Ruimtestaat[[#This Row],[uren / jaar weekend]]*Tariefsopbouw!$D$40</f>
        <v>0</v>
      </c>
      <c r="AF928" s="79">
        <f>Ruimtestaat[[#This Row],[Prest. (m2 /jaar) weekend]]+Ruimtestaat[[#This Row],[Prest. (m2 /jaar) werkdagen]]</f>
        <v>2400</v>
      </c>
      <c r="AG928" s="79">
        <f>Ruimtestaat[[#This Row],[uren / jaar weekend]]+Ruimtestaat[[#This Row],[uren / jaar werkdagen]]</f>
        <v>0</v>
      </c>
      <c r="AH928" s="80">
        <f>Ruimtestaat[[#This Row],[kosten / jaar weekend]]+Ruimtestaat[[#This Row],[kosten / jaar werkdagen]]</f>
        <v>0</v>
      </c>
    </row>
    <row r="929" spans="1:34" ht="15" customHeight="1">
      <c r="A929" s="256">
        <v>12</v>
      </c>
      <c r="B929" s="171" t="str">
        <f>VLOOKUP(Ruimtestaat[[#This Row],[Code]],Locaties[#All],2,FALSE)</f>
        <v>Onderwijscentrum Het Roessingh &amp; De Huifkar</v>
      </c>
      <c r="C929" s="258" t="str">
        <f>VLOOKUP(Ruimtestaat[[#This Row],[Code]],Locaties[#All],4,FALSE)</f>
        <v>Roessinghsbleekweg 35</v>
      </c>
      <c r="D929" s="258" t="str">
        <f>VLOOKUP(Ruimtestaat[[#This Row],[Code]],Locaties[#All],5,FALSE)</f>
        <v>7522 AH</v>
      </c>
      <c r="E929" s="258" t="str">
        <f>VLOOKUP(Ruimtestaat[[#This Row],[Code]],Locaties[#All],6,FALSE)</f>
        <v>Enschede</v>
      </c>
      <c r="F929" s="257"/>
      <c r="G929" s="257" t="s">
        <v>563</v>
      </c>
      <c r="H929" s="171"/>
      <c r="I929" s="257" t="s">
        <v>951</v>
      </c>
      <c r="J929" s="259" t="s">
        <v>569</v>
      </c>
      <c r="K929" s="258">
        <v>5</v>
      </c>
      <c r="L929" s="260" t="str">
        <f>VLOOKUP(Ruimtestaat[[#This Row],[Ruimte code]],Ruimtegroepen[#All],2,FALSE)</f>
        <v>Sanitair</v>
      </c>
      <c r="M929" s="212" t="s">
        <v>111</v>
      </c>
      <c r="N929" s="257" t="s">
        <v>606</v>
      </c>
      <c r="O929" s="261">
        <v>9.1999999999999993</v>
      </c>
      <c r="P929" s="183"/>
      <c r="Q929" s="212" t="str">
        <f>VLOOKUP(Ruimtestaat[[#This Row],[Ruimte code]],Ruimtegroepen[#All],4,FALSE)</f>
        <v>S  (Sanitair)</v>
      </c>
      <c r="R929" s="184"/>
      <c r="S929" s="185">
        <v>40</v>
      </c>
      <c r="T929" s="185" t="s">
        <v>2</v>
      </c>
      <c r="U929" s="185">
        <f>IF(S929&gt;0,IF(RIGHT(Ruimtestaat[[#This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9" s="185">
        <f>IF(U929&gt;0,VLOOKUP($K929,Ruimtegroepen[],3,FALSE)*VLOOKUP($M929,Vloersoorten[],3,FALSE)*VLOOKUP($T929,Frequenties[],3,FALSE)*VLOOKUP($A929,Locaties[],3,FALSE),0)</f>
        <v>0</v>
      </c>
      <c r="W929" s="185">
        <f>Ruimtestaat[[#This Row],[Uitvoeringen werkdagen]]*Ruimtestaat[[#This Row],[Oppervlak (netto)]]</f>
        <v>1839.9999999999998</v>
      </c>
      <c r="X929" s="220">
        <f>IF(V929&gt;0,Ruimtestaat[[#This Row],[Prest. (m2 /jaar) werkdagen]]/Ruimtestaat[[#This Row],[Norm (m2/uur) werkdagen]],0)</f>
        <v>0</v>
      </c>
      <c r="Y929" s="221">
        <f>Ruimtestaat[[#This Row],[uren / jaar werkdagen]]*Tariefsopbouw!$D$38</f>
        <v>0</v>
      </c>
      <c r="Z929" s="33"/>
      <c r="AA929" s="33">
        <f>IF(Ruimtestaat[[#This Row],[Frequentie weekend]]&gt;0,VALUE(LEFT(Z929,1))*S929,0)</f>
        <v>0</v>
      </c>
      <c r="AB929" s="33">
        <f>IF($AA929&gt;0,VLOOKUP($K929,Ruimtegroepen[],3,FALSE)*VLOOKUP($M929,Vloersoorten[],3,FALSE)*VLOOKUP($Z929,Frequenties[],3,FALSE)*VLOOKUP(#REF!,Locaties[],3,FALSE),0)</f>
        <v>0</v>
      </c>
      <c r="AC929" s="33"/>
      <c r="AD929" s="33"/>
      <c r="AE929" s="33">
        <f>Ruimtestaat[[#This Row],[uren / jaar weekend]]*Tariefsopbouw!$D$40</f>
        <v>0</v>
      </c>
      <c r="AF929" s="79">
        <f>Ruimtestaat[[#This Row],[Prest. (m2 /jaar) weekend]]+Ruimtestaat[[#This Row],[Prest. (m2 /jaar) werkdagen]]</f>
        <v>1839.9999999999998</v>
      </c>
      <c r="AG929" s="79">
        <f>Ruimtestaat[[#This Row],[uren / jaar weekend]]+Ruimtestaat[[#This Row],[uren / jaar werkdagen]]</f>
        <v>0</v>
      </c>
      <c r="AH929" s="80">
        <f>Ruimtestaat[[#This Row],[kosten / jaar weekend]]+Ruimtestaat[[#This Row],[kosten / jaar werkdagen]]</f>
        <v>0</v>
      </c>
    </row>
    <row r="930" spans="1:34" ht="15" customHeight="1">
      <c r="A930" s="256">
        <v>12</v>
      </c>
      <c r="B930" s="171" t="str">
        <f>VLOOKUP(Ruimtestaat[[#This Row],[Code]],Locaties[#All],2,FALSE)</f>
        <v>Onderwijscentrum Het Roessingh &amp; De Huifkar</v>
      </c>
      <c r="C930" s="258" t="str">
        <f>VLOOKUP(Ruimtestaat[[#This Row],[Code]],Locaties[#All],4,FALSE)</f>
        <v>Roessinghsbleekweg 35</v>
      </c>
      <c r="D930" s="258" t="str">
        <f>VLOOKUP(Ruimtestaat[[#This Row],[Code]],Locaties[#All],5,FALSE)</f>
        <v>7522 AH</v>
      </c>
      <c r="E930" s="258" t="str">
        <f>VLOOKUP(Ruimtestaat[[#This Row],[Code]],Locaties[#All],6,FALSE)</f>
        <v>Enschede</v>
      </c>
      <c r="F930" s="257"/>
      <c r="G930" s="257" t="s">
        <v>563</v>
      </c>
      <c r="H930" s="171"/>
      <c r="I930" s="257" t="s">
        <v>952</v>
      </c>
      <c r="J930" s="259" t="s">
        <v>587</v>
      </c>
      <c r="K930" s="258">
        <v>6</v>
      </c>
      <c r="L930" s="260" t="str">
        <f>VLOOKUP(Ruimtestaat[[#This Row],[Ruimte code]],Ruimtegroepen[#All],2,FALSE)</f>
        <v>Gangen/hallen</v>
      </c>
      <c r="M930" s="258" t="s">
        <v>598</v>
      </c>
      <c r="N930" s="257" t="s">
        <v>132</v>
      </c>
      <c r="O930" s="261">
        <v>30</v>
      </c>
      <c r="P930" s="183"/>
      <c r="Q930" s="212" t="str">
        <f>VLOOKUP(Ruimtestaat[[#This Row],[Ruimte code]],Ruimtegroepen[#All],4,FALSE)</f>
        <v>V  (Verkeersruimte)</v>
      </c>
      <c r="R930" s="184"/>
      <c r="S930" s="185">
        <v>40</v>
      </c>
      <c r="T930" s="185" t="s">
        <v>2</v>
      </c>
      <c r="U930" s="185">
        <f>IF(S930&gt;0,IF(RIGHT(Ruimtestaat[[#This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0" s="185">
        <f>IF(U930&gt;0,VLOOKUP($K930,Ruimtegroepen[],3,FALSE)*VLOOKUP($M930,Vloersoorten[],3,FALSE)*VLOOKUP($T930,Frequenties[],3,FALSE)*VLOOKUP($A930,Locaties[],3,FALSE),0)</f>
        <v>0</v>
      </c>
      <c r="W930" s="185">
        <f>Ruimtestaat[[#This Row],[Uitvoeringen werkdagen]]*Ruimtestaat[[#This Row],[Oppervlak (netto)]]</f>
        <v>6000</v>
      </c>
      <c r="X930" s="220">
        <f>IF(V930&gt;0,Ruimtestaat[[#This Row],[Prest. (m2 /jaar) werkdagen]]/Ruimtestaat[[#This Row],[Norm (m2/uur) werkdagen]],0)</f>
        <v>0</v>
      </c>
      <c r="Y930" s="221">
        <f>Ruimtestaat[[#This Row],[uren / jaar werkdagen]]*Tariefsopbouw!$D$38</f>
        <v>0</v>
      </c>
      <c r="Z930" s="33"/>
      <c r="AA930" s="33">
        <f>IF(Ruimtestaat[[#This Row],[Frequentie weekend]]&gt;0,VALUE(LEFT(Z930,1))*S930,0)</f>
        <v>0</v>
      </c>
      <c r="AB930" s="33">
        <f>IF($AA930&gt;0,VLOOKUP($K930,Ruimtegroepen[],3,FALSE)*VLOOKUP($M930,Vloersoorten[],3,FALSE)*VLOOKUP($Z930,Frequenties[],3,FALSE)*VLOOKUP(#REF!,Locaties[],3,FALSE),0)</f>
        <v>0</v>
      </c>
      <c r="AC930" s="33"/>
      <c r="AD930" s="33"/>
      <c r="AE930" s="33">
        <f>Ruimtestaat[[#This Row],[uren / jaar weekend]]*Tariefsopbouw!$D$40</f>
        <v>0</v>
      </c>
      <c r="AF930" s="79">
        <f>Ruimtestaat[[#This Row],[Prest. (m2 /jaar) weekend]]+Ruimtestaat[[#This Row],[Prest. (m2 /jaar) werkdagen]]</f>
        <v>6000</v>
      </c>
      <c r="AG930" s="79">
        <f>Ruimtestaat[[#This Row],[uren / jaar weekend]]+Ruimtestaat[[#This Row],[uren / jaar werkdagen]]</f>
        <v>0</v>
      </c>
      <c r="AH930" s="80">
        <f>Ruimtestaat[[#This Row],[kosten / jaar weekend]]+Ruimtestaat[[#This Row],[kosten / jaar werkdagen]]</f>
        <v>0</v>
      </c>
    </row>
    <row r="931" spans="1:34" ht="15" customHeight="1">
      <c r="A931" s="256">
        <v>12</v>
      </c>
      <c r="B931" s="171" t="str">
        <f>VLOOKUP(Ruimtestaat[[#This Row],[Code]],Locaties[#All],2,FALSE)</f>
        <v>Onderwijscentrum Het Roessingh &amp; De Huifkar</v>
      </c>
      <c r="C931" s="258" t="str">
        <f>VLOOKUP(Ruimtestaat[[#This Row],[Code]],Locaties[#All],4,FALSE)</f>
        <v>Roessinghsbleekweg 35</v>
      </c>
      <c r="D931" s="258" t="str">
        <f>VLOOKUP(Ruimtestaat[[#This Row],[Code]],Locaties[#All],5,FALSE)</f>
        <v>7522 AH</v>
      </c>
      <c r="E931" s="258" t="str">
        <f>VLOOKUP(Ruimtestaat[[#This Row],[Code]],Locaties[#All],6,FALSE)</f>
        <v>Enschede</v>
      </c>
      <c r="F931" s="257"/>
      <c r="G931" s="257" t="s">
        <v>563</v>
      </c>
      <c r="H931" s="171"/>
      <c r="I931" s="257" t="s">
        <v>953</v>
      </c>
      <c r="J931" s="259" t="s">
        <v>574</v>
      </c>
      <c r="K931" s="171">
        <v>6</v>
      </c>
      <c r="L931" s="260" t="str">
        <f>VLOOKUP(Ruimtestaat[[#This Row],[Ruimte code]],Ruimtegroepen[#All],2,FALSE)</f>
        <v>Gangen/hallen</v>
      </c>
      <c r="M931" s="258" t="s">
        <v>598</v>
      </c>
      <c r="N931" s="257" t="s">
        <v>132</v>
      </c>
      <c r="O931" s="261">
        <v>8</v>
      </c>
      <c r="P931" s="183"/>
      <c r="Q931" s="212" t="str">
        <f>VLOOKUP(Ruimtestaat[[#This Row],[Ruimte code]],Ruimtegroepen[#All],4,FALSE)</f>
        <v>V  (Verkeersruimte)</v>
      </c>
      <c r="R931" s="184"/>
      <c r="S931" s="185">
        <v>40</v>
      </c>
      <c r="T931" s="185" t="s">
        <v>2</v>
      </c>
      <c r="U931" s="185">
        <f>IF(S931&gt;0,IF(RIGHT(Ruimtestaat[[#This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1" s="185">
        <f>IF(U931&gt;0,VLOOKUP($K931,Ruimtegroepen[],3,FALSE)*VLOOKUP($M931,Vloersoorten[],3,FALSE)*VLOOKUP($T931,Frequenties[],3,FALSE)*VLOOKUP($A931,Locaties[],3,FALSE),0)</f>
        <v>0</v>
      </c>
      <c r="W931" s="185">
        <f>Ruimtestaat[[#This Row],[Uitvoeringen werkdagen]]*Ruimtestaat[[#This Row],[Oppervlak (netto)]]</f>
        <v>1600</v>
      </c>
      <c r="X931" s="220">
        <f>IF(V931&gt;0,Ruimtestaat[[#This Row],[Prest. (m2 /jaar) werkdagen]]/Ruimtestaat[[#This Row],[Norm (m2/uur) werkdagen]],0)</f>
        <v>0</v>
      </c>
      <c r="Y931" s="221">
        <f>Ruimtestaat[[#This Row],[uren / jaar werkdagen]]*Tariefsopbouw!$D$38</f>
        <v>0</v>
      </c>
      <c r="Z931" s="33"/>
      <c r="AA931" s="33">
        <f>IF(Ruimtestaat[[#This Row],[Frequentie weekend]]&gt;0,VALUE(LEFT(Z931,1))*S931,0)</f>
        <v>0</v>
      </c>
      <c r="AB931" s="33">
        <f>IF($AA931&gt;0,VLOOKUP($K931,Ruimtegroepen[],3,FALSE)*VLOOKUP($M931,Vloersoorten[],3,FALSE)*VLOOKUP($Z931,Frequenties[],3,FALSE)*VLOOKUP(#REF!,Locaties[],3,FALSE),0)</f>
        <v>0</v>
      </c>
      <c r="AC931" s="33"/>
      <c r="AD931" s="33"/>
      <c r="AE931" s="33">
        <f>Ruimtestaat[[#This Row],[uren / jaar weekend]]*Tariefsopbouw!$D$40</f>
        <v>0</v>
      </c>
      <c r="AF931" s="79">
        <f>Ruimtestaat[[#This Row],[Prest. (m2 /jaar) weekend]]+Ruimtestaat[[#This Row],[Prest. (m2 /jaar) werkdagen]]</f>
        <v>1600</v>
      </c>
      <c r="AG931" s="79">
        <f>Ruimtestaat[[#This Row],[uren / jaar weekend]]+Ruimtestaat[[#This Row],[uren / jaar werkdagen]]</f>
        <v>0</v>
      </c>
      <c r="AH931" s="80">
        <f>Ruimtestaat[[#This Row],[kosten / jaar weekend]]+Ruimtestaat[[#This Row],[kosten / jaar werkdagen]]</f>
        <v>0</v>
      </c>
    </row>
    <row r="932" spans="1:34" ht="15" customHeight="1">
      <c r="A932" s="256">
        <v>12</v>
      </c>
      <c r="B932" s="171" t="str">
        <f>VLOOKUP(Ruimtestaat[[#This Row],[Code]],Locaties[#All],2,FALSE)</f>
        <v>Onderwijscentrum Het Roessingh &amp; De Huifkar</v>
      </c>
      <c r="C932" s="258" t="str">
        <f>VLOOKUP(Ruimtestaat[[#This Row],[Code]],Locaties[#All],4,FALSE)</f>
        <v>Roessinghsbleekweg 35</v>
      </c>
      <c r="D932" s="258" t="str">
        <f>VLOOKUP(Ruimtestaat[[#This Row],[Code]],Locaties[#All],5,FALSE)</f>
        <v>7522 AH</v>
      </c>
      <c r="E932" s="258" t="str">
        <f>VLOOKUP(Ruimtestaat[[#This Row],[Code]],Locaties[#All],6,FALSE)</f>
        <v>Enschede</v>
      </c>
      <c r="F932" s="257"/>
      <c r="G932" s="257" t="s">
        <v>563</v>
      </c>
      <c r="H932" s="171"/>
      <c r="I932" s="257" t="s">
        <v>954</v>
      </c>
      <c r="J932" s="259" t="s">
        <v>569</v>
      </c>
      <c r="K932" s="258">
        <v>5</v>
      </c>
      <c r="L932" s="260" t="str">
        <f>VLOOKUP(Ruimtestaat[[#This Row],[Ruimte code]],Ruimtegroepen[#All],2,FALSE)</f>
        <v>Sanitair</v>
      </c>
      <c r="M932" s="212" t="s">
        <v>111</v>
      </c>
      <c r="N932" s="257" t="s">
        <v>606</v>
      </c>
      <c r="O932" s="261">
        <v>10</v>
      </c>
      <c r="P932" s="183"/>
      <c r="Q932" s="212" t="str">
        <f>VLOOKUP(Ruimtestaat[[#This Row],[Ruimte code]],Ruimtegroepen[#All],4,FALSE)</f>
        <v>S  (Sanitair)</v>
      </c>
      <c r="R932" s="184"/>
      <c r="S932" s="185">
        <v>40</v>
      </c>
      <c r="T932" s="185" t="s">
        <v>2</v>
      </c>
      <c r="U932" s="185">
        <f>IF(S932&gt;0,IF(RIGHT(Ruimtestaat[[#This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2" s="185">
        <f>IF(U932&gt;0,VLOOKUP($K932,Ruimtegroepen[],3,FALSE)*VLOOKUP($M932,Vloersoorten[],3,FALSE)*VLOOKUP($T932,Frequenties[],3,FALSE)*VLOOKUP($A932,Locaties[],3,FALSE),0)</f>
        <v>0</v>
      </c>
      <c r="W932" s="185">
        <f>Ruimtestaat[[#This Row],[Uitvoeringen werkdagen]]*Ruimtestaat[[#This Row],[Oppervlak (netto)]]</f>
        <v>2000</v>
      </c>
      <c r="X932" s="220">
        <f>IF(V932&gt;0,Ruimtestaat[[#This Row],[Prest. (m2 /jaar) werkdagen]]/Ruimtestaat[[#This Row],[Norm (m2/uur) werkdagen]],0)</f>
        <v>0</v>
      </c>
      <c r="Y932" s="221">
        <f>Ruimtestaat[[#This Row],[uren / jaar werkdagen]]*Tariefsopbouw!$D$38</f>
        <v>0</v>
      </c>
      <c r="Z932" s="33"/>
      <c r="AA932" s="33">
        <f>IF(Ruimtestaat[[#This Row],[Frequentie weekend]]&gt;0,VALUE(LEFT(Z932,1))*S932,0)</f>
        <v>0</v>
      </c>
      <c r="AB932" s="33">
        <f>IF($AA932&gt;0,VLOOKUP($K932,Ruimtegroepen[],3,FALSE)*VLOOKUP($M932,Vloersoorten[],3,FALSE)*VLOOKUP($Z932,Frequenties[],3,FALSE)*VLOOKUP(#REF!,Locaties[],3,FALSE),0)</f>
        <v>0</v>
      </c>
      <c r="AC932" s="33"/>
      <c r="AD932" s="33"/>
      <c r="AE932" s="33">
        <f>Ruimtestaat[[#This Row],[uren / jaar weekend]]*Tariefsopbouw!$D$40</f>
        <v>0</v>
      </c>
      <c r="AF932" s="79">
        <f>Ruimtestaat[[#This Row],[Prest. (m2 /jaar) weekend]]+Ruimtestaat[[#This Row],[Prest. (m2 /jaar) werkdagen]]</f>
        <v>2000</v>
      </c>
      <c r="AG932" s="79">
        <f>Ruimtestaat[[#This Row],[uren / jaar weekend]]+Ruimtestaat[[#This Row],[uren / jaar werkdagen]]</f>
        <v>0</v>
      </c>
      <c r="AH932" s="80">
        <f>Ruimtestaat[[#This Row],[kosten / jaar weekend]]+Ruimtestaat[[#This Row],[kosten / jaar werkdagen]]</f>
        <v>0</v>
      </c>
    </row>
    <row r="933" spans="1:34" ht="15" customHeight="1">
      <c r="A933" s="256">
        <v>12</v>
      </c>
      <c r="B933" s="171" t="str">
        <f>VLOOKUP(Ruimtestaat[[#This Row],[Code]],Locaties[#All],2,FALSE)</f>
        <v>Onderwijscentrum Het Roessingh &amp; De Huifkar</v>
      </c>
      <c r="C933" s="258" t="str">
        <f>VLOOKUP(Ruimtestaat[[#This Row],[Code]],Locaties[#All],4,FALSE)</f>
        <v>Roessinghsbleekweg 35</v>
      </c>
      <c r="D933" s="258" t="str">
        <f>VLOOKUP(Ruimtestaat[[#This Row],[Code]],Locaties[#All],5,FALSE)</f>
        <v>7522 AH</v>
      </c>
      <c r="E933" s="258" t="str">
        <f>VLOOKUP(Ruimtestaat[[#This Row],[Code]],Locaties[#All],6,FALSE)</f>
        <v>Enschede</v>
      </c>
      <c r="F933" s="257"/>
      <c r="G933" s="257" t="s">
        <v>563</v>
      </c>
      <c r="H933" s="171"/>
      <c r="I933" s="257" t="s">
        <v>955</v>
      </c>
      <c r="J933" s="259" t="s">
        <v>569</v>
      </c>
      <c r="K933" s="171">
        <v>5</v>
      </c>
      <c r="L933" s="260" t="str">
        <f>VLOOKUP(Ruimtestaat[[#This Row],[Ruimte code]],Ruimtegroepen[#All],2,FALSE)</f>
        <v>Sanitair</v>
      </c>
      <c r="M933" s="212" t="s">
        <v>111</v>
      </c>
      <c r="N933" s="257" t="s">
        <v>606</v>
      </c>
      <c r="O933" s="261">
        <v>10</v>
      </c>
      <c r="P933" s="183"/>
      <c r="Q933" s="212" t="str">
        <f>VLOOKUP(Ruimtestaat[[#This Row],[Ruimte code]],Ruimtegroepen[#All],4,FALSE)</f>
        <v>S  (Sanitair)</v>
      </c>
      <c r="R933" s="184"/>
      <c r="S933" s="185">
        <v>40</v>
      </c>
      <c r="T933" s="185" t="s">
        <v>2</v>
      </c>
      <c r="U933" s="185">
        <f>IF(S933&gt;0,IF(RIGHT(Ruimtestaat[[#This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3" s="185">
        <f>IF(U933&gt;0,VLOOKUP($K933,Ruimtegroepen[],3,FALSE)*VLOOKUP($M933,Vloersoorten[],3,FALSE)*VLOOKUP($T933,Frequenties[],3,FALSE)*VLOOKUP($A933,Locaties[],3,FALSE),0)</f>
        <v>0</v>
      </c>
      <c r="W933" s="185">
        <f>Ruimtestaat[[#This Row],[Uitvoeringen werkdagen]]*Ruimtestaat[[#This Row],[Oppervlak (netto)]]</f>
        <v>2000</v>
      </c>
      <c r="X933" s="220">
        <f>IF(V933&gt;0,Ruimtestaat[[#This Row],[Prest. (m2 /jaar) werkdagen]]/Ruimtestaat[[#This Row],[Norm (m2/uur) werkdagen]],0)</f>
        <v>0</v>
      </c>
      <c r="Y933" s="221">
        <f>Ruimtestaat[[#This Row],[uren / jaar werkdagen]]*Tariefsopbouw!$D$38</f>
        <v>0</v>
      </c>
      <c r="Z933" s="33"/>
      <c r="AA933" s="33">
        <f>IF(Ruimtestaat[[#This Row],[Frequentie weekend]]&gt;0,VALUE(LEFT(Z933,1))*S933,0)</f>
        <v>0</v>
      </c>
      <c r="AB933" s="33">
        <f>IF($AA933&gt;0,VLOOKUP($K933,Ruimtegroepen[],3,FALSE)*VLOOKUP($M933,Vloersoorten[],3,FALSE)*VLOOKUP($Z933,Frequenties[],3,FALSE)*VLOOKUP(#REF!,Locaties[],3,FALSE),0)</f>
        <v>0</v>
      </c>
      <c r="AC933" s="33"/>
      <c r="AD933" s="33"/>
      <c r="AE933" s="33">
        <f>Ruimtestaat[[#This Row],[uren / jaar weekend]]*Tariefsopbouw!$D$40</f>
        <v>0</v>
      </c>
      <c r="AF933" s="79">
        <f>Ruimtestaat[[#This Row],[Prest. (m2 /jaar) weekend]]+Ruimtestaat[[#This Row],[Prest. (m2 /jaar) werkdagen]]</f>
        <v>2000</v>
      </c>
      <c r="AG933" s="79">
        <f>Ruimtestaat[[#This Row],[uren / jaar weekend]]+Ruimtestaat[[#This Row],[uren / jaar werkdagen]]</f>
        <v>0</v>
      </c>
      <c r="AH933" s="80">
        <f>Ruimtestaat[[#This Row],[kosten / jaar weekend]]+Ruimtestaat[[#This Row],[kosten / jaar werkdagen]]</f>
        <v>0</v>
      </c>
    </row>
    <row r="934" spans="1:34" ht="15" customHeight="1">
      <c r="A934" s="256">
        <v>12</v>
      </c>
      <c r="B934" s="171" t="str">
        <f>VLOOKUP(Ruimtestaat[[#This Row],[Code]],Locaties[#All],2,FALSE)</f>
        <v>Onderwijscentrum Het Roessingh &amp; De Huifkar</v>
      </c>
      <c r="C934" s="212" t="str">
        <f>VLOOKUP(Ruimtestaat[[#This Row],[Code]],Locaties[#All],4,FALSE)</f>
        <v>Roessinghsbleekweg 35</v>
      </c>
      <c r="D934" s="212" t="str">
        <f>VLOOKUP(Ruimtestaat[[#This Row],[Code]],Locaties[#All],5,FALSE)</f>
        <v>7522 AH</v>
      </c>
      <c r="E934" s="212" t="str">
        <f>VLOOKUP(Ruimtestaat[[#This Row],[Code]],Locaties[#All],6,FALSE)</f>
        <v>Enschede</v>
      </c>
      <c r="F934" s="171"/>
      <c r="G934" s="171" t="s">
        <v>563</v>
      </c>
      <c r="H934" s="171"/>
      <c r="I934" s="171" t="s">
        <v>956</v>
      </c>
      <c r="J934" s="213" t="s">
        <v>587</v>
      </c>
      <c r="K934" s="171">
        <v>6</v>
      </c>
      <c r="L934" s="223" t="str">
        <f>VLOOKUP(Ruimtestaat[[#This Row],[Ruimte code]],Ruimtegroepen[#All],2,FALSE)</f>
        <v>Gangen/hallen</v>
      </c>
      <c r="M934" s="185" t="s">
        <v>598</v>
      </c>
      <c r="N934" s="171" t="s">
        <v>132</v>
      </c>
      <c r="O934" s="172">
        <v>232</v>
      </c>
      <c r="P934" s="183"/>
      <c r="Q934" s="212" t="str">
        <f>VLOOKUP(Ruimtestaat[[#This Row],[Ruimte code]],Ruimtegroepen[#All],4,FALSE)</f>
        <v>V  (Verkeersruimte)</v>
      </c>
      <c r="R934" s="184"/>
      <c r="S934" s="185">
        <v>40</v>
      </c>
      <c r="T934" s="185" t="s">
        <v>2</v>
      </c>
      <c r="U934" s="185">
        <f>IF(S934&gt;0,IF(RIGHT(Ruimtestaat[[#This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4" s="185">
        <f>IF(U934&gt;0,VLOOKUP($K934,Ruimtegroepen[],3,FALSE)*VLOOKUP($M934,Vloersoorten[],3,FALSE)*VLOOKUP($T934,Frequenties[],3,FALSE)*VLOOKUP($A934,Locaties[],3,FALSE),0)</f>
        <v>0</v>
      </c>
      <c r="W934" s="185">
        <f>Ruimtestaat[[#This Row],[Uitvoeringen werkdagen]]*Ruimtestaat[[#This Row],[Oppervlak (netto)]]</f>
        <v>46400</v>
      </c>
      <c r="X934" s="220">
        <f>IF(V934&gt;0,Ruimtestaat[[#This Row],[Prest. (m2 /jaar) werkdagen]]/Ruimtestaat[[#This Row],[Norm (m2/uur) werkdagen]],0)</f>
        <v>0</v>
      </c>
      <c r="Y934" s="221">
        <f>Ruimtestaat[[#This Row],[uren / jaar werkdagen]]*Tariefsopbouw!$D$38</f>
        <v>0</v>
      </c>
      <c r="Z934" s="33"/>
      <c r="AA934" s="33">
        <f>IF(Ruimtestaat[[#This Row],[Frequentie weekend]]&gt;0,VALUE(LEFT(Z934,1))*S934,0)</f>
        <v>0</v>
      </c>
      <c r="AB934" s="33">
        <f>IF($AA934&gt;0,VLOOKUP($K934,Ruimtegroepen[],3,FALSE)*VLOOKUP($M934,Vloersoorten[],3,FALSE)*VLOOKUP($Z934,Frequenties[],3,FALSE)*VLOOKUP(#REF!,Locaties[],3,FALSE),0)</f>
        <v>0</v>
      </c>
      <c r="AC934" s="33"/>
      <c r="AD934" s="33"/>
      <c r="AE934" s="33">
        <f>Ruimtestaat[[#This Row],[uren / jaar weekend]]*Tariefsopbouw!$D$40</f>
        <v>0</v>
      </c>
      <c r="AF934" s="79">
        <f>Ruimtestaat[[#This Row],[Prest. (m2 /jaar) weekend]]+Ruimtestaat[[#This Row],[Prest. (m2 /jaar) werkdagen]]</f>
        <v>46400</v>
      </c>
      <c r="AG934" s="79">
        <f>Ruimtestaat[[#This Row],[uren / jaar weekend]]+Ruimtestaat[[#This Row],[uren / jaar werkdagen]]</f>
        <v>0</v>
      </c>
      <c r="AH934" s="80">
        <f>Ruimtestaat[[#This Row],[kosten / jaar weekend]]+Ruimtestaat[[#This Row],[kosten / jaar werkdagen]]</f>
        <v>0</v>
      </c>
    </row>
    <row r="935" spans="1:34" ht="15" customHeight="1">
      <c r="A935" s="256">
        <v>12</v>
      </c>
      <c r="B935" s="171" t="str">
        <f>VLOOKUP(Ruimtestaat[[#This Row],[Code]],Locaties[#All],2,FALSE)</f>
        <v>Onderwijscentrum Het Roessingh &amp; De Huifkar</v>
      </c>
      <c r="C935" s="212" t="str">
        <f>VLOOKUP(Ruimtestaat[[#This Row],[Code]],Locaties[#All],4,FALSE)</f>
        <v>Roessinghsbleekweg 35</v>
      </c>
      <c r="D935" s="212" t="str">
        <f>VLOOKUP(Ruimtestaat[[#This Row],[Code]],Locaties[#All],5,FALSE)</f>
        <v>7522 AH</v>
      </c>
      <c r="E935" s="212" t="str">
        <f>VLOOKUP(Ruimtestaat[[#This Row],[Code]],Locaties[#All],6,FALSE)</f>
        <v>Enschede</v>
      </c>
      <c r="F935" s="171"/>
      <c r="G935" s="171" t="s">
        <v>563</v>
      </c>
      <c r="H935" s="171"/>
      <c r="I935" s="171" t="s">
        <v>957</v>
      </c>
      <c r="J935" s="213" t="s">
        <v>264</v>
      </c>
      <c r="K935" s="171">
        <v>10</v>
      </c>
      <c r="L935" s="223" t="str">
        <f>VLOOKUP(Ruimtestaat[[#This Row],[Ruimte code]],Ruimtegroepen[#All],2,FALSE)</f>
        <v>Trappenhuizen/lift</v>
      </c>
      <c r="M935" s="185" t="s">
        <v>598</v>
      </c>
      <c r="N935" s="171" t="s">
        <v>132</v>
      </c>
      <c r="O935" s="172">
        <v>6</v>
      </c>
      <c r="P935" s="172"/>
      <c r="Q935" s="212" t="str">
        <f>VLOOKUP(Ruimtestaat[[#This Row],[Ruimte code]],Ruimtegroepen[#All],4,FALSE)</f>
        <v>V  (Verkeersruimte)</v>
      </c>
      <c r="R935" s="184"/>
      <c r="S935" s="185">
        <v>40</v>
      </c>
      <c r="T935" s="185" t="s">
        <v>2</v>
      </c>
      <c r="U935" s="185">
        <f>IF(S935&gt;0,IF(RIGHT(Ruimtestaat[[#This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5" s="185">
        <f>IF(U935&gt;0,VLOOKUP($K935,Ruimtegroepen[],3,FALSE)*VLOOKUP($M935,Vloersoorten[],3,FALSE)*VLOOKUP($T935,Frequenties[],3,FALSE)*VLOOKUP($A935,Locaties[],3,FALSE),0)</f>
        <v>0</v>
      </c>
      <c r="W935" s="185">
        <f>Ruimtestaat[[#This Row],[Uitvoeringen werkdagen]]*Ruimtestaat[[#This Row],[Oppervlak (netto)]]</f>
        <v>1200</v>
      </c>
      <c r="X935" s="220">
        <f>IF(V935&gt;0,Ruimtestaat[[#This Row],[Prest. (m2 /jaar) werkdagen]]/Ruimtestaat[[#This Row],[Norm (m2/uur) werkdagen]],0)</f>
        <v>0</v>
      </c>
      <c r="Y935" s="221">
        <f>Ruimtestaat[[#This Row],[uren / jaar werkdagen]]*Tariefsopbouw!$D$38</f>
        <v>0</v>
      </c>
      <c r="Z935" s="33"/>
      <c r="AA935" s="33">
        <f>IF(Ruimtestaat[[#This Row],[Frequentie weekend]]&gt;0,VALUE(LEFT(Z935,1))*S935,0)</f>
        <v>0</v>
      </c>
      <c r="AB935" s="33">
        <f>IF($AA935&gt;0,VLOOKUP($K935,Ruimtegroepen[],3,FALSE)*VLOOKUP($M935,Vloersoorten[],3,FALSE)*VLOOKUP($Z935,Frequenties[],3,FALSE)*VLOOKUP(#REF!,Locaties[],3,FALSE),0)</f>
        <v>0</v>
      </c>
      <c r="AC935" s="33"/>
      <c r="AD935" s="33"/>
      <c r="AE935" s="33">
        <f>Ruimtestaat[[#This Row],[uren / jaar weekend]]*Tariefsopbouw!$D$40</f>
        <v>0</v>
      </c>
      <c r="AF935" s="79">
        <f>Ruimtestaat[[#This Row],[Prest. (m2 /jaar) weekend]]+Ruimtestaat[[#This Row],[Prest. (m2 /jaar) werkdagen]]</f>
        <v>1200</v>
      </c>
      <c r="AG935" s="79">
        <f>Ruimtestaat[[#This Row],[uren / jaar weekend]]+Ruimtestaat[[#This Row],[uren / jaar werkdagen]]</f>
        <v>0</v>
      </c>
      <c r="AH935" s="80">
        <f>Ruimtestaat[[#This Row],[kosten / jaar weekend]]+Ruimtestaat[[#This Row],[kosten / jaar werkdagen]]</f>
        <v>0</v>
      </c>
    </row>
    <row r="936" spans="1:34" ht="15" customHeight="1">
      <c r="A936" s="256">
        <v>12</v>
      </c>
      <c r="B936" s="171" t="str">
        <f>VLOOKUP(Ruimtestaat[[#This Row],[Code]],Locaties[#All],2,FALSE)</f>
        <v>Onderwijscentrum Het Roessingh &amp; De Huifkar</v>
      </c>
      <c r="C936" s="212" t="str">
        <f>VLOOKUP(Ruimtestaat[[#This Row],[Code]],Locaties[#All],4,FALSE)</f>
        <v>Roessinghsbleekweg 35</v>
      </c>
      <c r="D936" s="212" t="str">
        <f>VLOOKUP(Ruimtestaat[[#This Row],[Code]],Locaties[#All],5,FALSE)</f>
        <v>7522 AH</v>
      </c>
      <c r="E936" s="212" t="str">
        <f>VLOOKUP(Ruimtestaat[[#This Row],[Code]],Locaties[#All],6,FALSE)</f>
        <v>Enschede</v>
      </c>
      <c r="F936" s="171"/>
      <c r="G936" s="171" t="s">
        <v>563</v>
      </c>
      <c r="H936" s="171"/>
      <c r="I936" s="171" t="s">
        <v>958</v>
      </c>
      <c r="J936" s="213" t="s">
        <v>264</v>
      </c>
      <c r="K936" s="185">
        <v>10</v>
      </c>
      <c r="L936" s="223" t="str">
        <f>VLOOKUP(Ruimtestaat[[#This Row],[Ruimte code]],Ruimtegroepen[#All],2,FALSE)</f>
        <v>Trappenhuizen/lift</v>
      </c>
      <c r="M936" s="185" t="s">
        <v>598</v>
      </c>
      <c r="N936" s="171" t="s">
        <v>132</v>
      </c>
      <c r="O936" s="172">
        <v>6</v>
      </c>
      <c r="P936" s="183"/>
      <c r="Q936" s="212" t="str">
        <f>VLOOKUP(Ruimtestaat[[#This Row],[Ruimte code]],Ruimtegroepen[#All],4,FALSE)</f>
        <v>V  (Verkeersruimte)</v>
      </c>
      <c r="R936" s="184"/>
      <c r="S936" s="185">
        <v>40</v>
      </c>
      <c r="T936" s="185" t="s">
        <v>2</v>
      </c>
      <c r="U936" s="185">
        <f>IF(S936&gt;0,IF(RIGHT(Ruimtestaat[[#This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6" s="185">
        <f>IF(U936&gt;0,VLOOKUP($K936,Ruimtegroepen[],3,FALSE)*VLOOKUP($M936,Vloersoorten[],3,FALSE)*VLOOKUP($T936,Frequenties[],3,FALSE)*VLOOKUP($A936,Locaties[],3,FALSE),0)</f>
        <v>0</v>
      </c>
      <c r="W936" s="185">
        <f>Ruimtestaat[[#This Row],[Uitvoeringen werkdagen]]*Ruimtestaat[[#This Row],[Oppervlak (netto)]]</f>
        <v>1200</v>
      </c>
      <c r="X936" s="220">
        <f>IF(V936&gt;0,Ruimtestaat[[#This Row],[Prest. (m2 /jaar) werkdagen]]/Ruimtestaat[[#This Row],[Norm (m2/uur) werkdagen]],0)</f>
        <v>0</v>
      </c>
      <c r="Y936" s="221">
        <f>Ruimtestaat[[#This Row],[uren / jaar werkdagen]]*Tariefsopbouw!$D$38</f>
        <v>0</v>
      </c>
      <c r="Z936" s="33"/>
      <c r="AA936" s="33">
        <f>IF(Ruimtestaat[[#This Row],[Frequentie weekend]]&gt;0,VALUE(LEFT(Z936,1))*S936,0)</f>
        <v>0</v>
      </c>
      <c r="AB936" s="33">
        <f>IF($AA936&gt;0,VLOOKUP($K936,Ruimtegroepen[],3,FALSE)*VLOOKUP($M936,Vloersoorten[],3,FALSE)*VLOOKUP($Z936,Frequenties[],3,FALSE)*VLOOKUP(#REF!,Locaties[],3,FALSE),0)</f>
        <v>0</v>
      </c>
      <c r="AC936" s="33"/>
      <c r="AD936" s="33"/>
      <c r="AE936" s="33">
        <f>Ruimtestaat[[#This Row],[uren / jaar weekend]]*Tariefsopbouw!$D$40</f>
        <v>0</v>
      </c>
      <c r="AF936" s="79">
        <f>Ruimtestaat[[#This Row],[Prest. (m2 /jaar) weekend]]+Ruimtestaat[[#This Row],[Prest. (m2 /jaar) werkdagen]]</f>
        <v>1200</v>
      </c>
      <c r="AG936" s="79">
        <f>Ruimtestaat[[#This Row],[uren / jaar weekend]]+Ruimtestaat[[#This Row],[uren / jaar werkdagen]]</f>
        <v>0</v>
      </c>
      <c r="AH936" s="80">
        <f>Ruimtestaat[[#This Row],[kosten / jaar weekend]]+Ruimtestaat[[#This Row],[kosten / jaar werkdagen]]</f>
        <v>0</v>
      </c>
    </row>
    <row r="937" spans="1:34" ht="15" customHeight="1">
      <c r="A937" s="256">
        <v>12</v>
      </c>
      <c r="B937" s="171" t="str">
        <f>VLOOKUP(Ruimtestaat[[#This Row],[Code]],Locaties[#All],2,FALSE)</f>
        <v>Onderwijscentrum Het Roessingh &amp; De Huifkar</v>
      </c>
      <c r="C937" s="212" t="str">
        <f>VLOOKUP(Ruimtestaat[[#This Row],[Code]],Locaties[#All],4,FALSE)</f>
        <v>Roessinghsbleekweg 35</v>
      </c>
      <c r="D937" s="212" t="str">
        <f>VLOOKUP(Ruimtestaat[[#This Row],[Code]],Locaties[#All],5,FALSE)</f>
        <v>7522 AH</v>
      </c>
      <c r="E937" s="212" t="str">
        <f>VLOOKUP(Ruimtestaat[[#This Row],[Code]],Locaties[#All],6,FALSE)</f>
        <v>Enschede</v>
      </c>
      <c r="F937" s="171"/>
      <c r="G937" s="171" t="s">
        <v>563</v>
      </c>
      <c r="H937" s="171"/>
      <c r="I937" s="171" t="s">
        <v>959</v>
      </c>
      <c r="J937" s="213" t="s">
        <v>40</v>
      </c>
      <c r="K937" s="171">
        <v>7</v>
      </c>
      <c r="L937" s="223" t="str">
        <f>VLOOKUP(Ruimtestaat[[#This Row],[Ruimte code]],Ruimtegroepen[#All],2,FALSE)</f>
        <v>Entree</v>
      </c>
      <c r="M937" s="212" t="s">
        <v>111</v>
      </c>
      <c r="N937" s="171" t="s">
        <v>605</v>
      </c>
      <c r="O937" s="172">
        <v>55</v>
      </c>
      <c r="P937" s="183"/>
      <c r="Q937" s="212" t="str">
        <f>VLOOKUP(Ruimtestaat[[#This Row],[Ruimte code]],Ruimtegroepen[#All],4,FALSE)</f>
        <v>V  (Verkeersruimte)</v>
      </c>
      <c r="R937" s="184"/>
      <c r="S937" s="185">
        <v>40</v>
      </c>
      <c r="T937" s="185" t="s">
        <v>2</v>
      </c>
      <c r="U937" s="185">
        <f>IF(S937&gt;0,IF(RIGHT(Ruimtestaat[[#This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7" s="185">
        <f>IF(U937&gt;0,VLOOKUP($K937,Ruimtegroepen[],3,FALSE)*VLOOKUP($M937,Vloersoorten[],3,FALSE)*VLOOKUP($T937,Frequenties[],3,FALSE)*VLOOKUP($A937,Locaties[],3,FALSE),0)</f>
        <v>0</v>
      </c>
      <c r="W937" s="185">
        <f>Ruimtestaat[[#This Row],[Uitvoeringen werkdagen]]*Ruimtestaat[[#This Row],[Oppervlak (netto)]]</f>
        <v>11000</v>
      </c>
      <c r="X937" s="220">
        <f>IF(V937&gt;0,Ruimtestaat[[#This Row],[Prest. (m2 /jaar) werkdagen]]/Ruimtestaat[[#This Row],[Norm (m2/uur) werkdagen]],0)</f>
        <v>0</v>
      </c>
      <c r="Y937" s="221">
        <f>Ruimtestaat[[#This Row],[uren / jaar werkdagen]]*Tariefsopbouw!$D$38</f>
        <v>0</v>
      </c>
      <c r="Z937" s="33"/>
      <c r="AA937" s="33">
        <f>IF(Ruimtestaat[[#This Row],[Frequentie weekend]]&gt;0,VALUE(LEFT(Z937,1))*S937,0)</f>
        <v>0</v>
      </c>
      <c r="AB937" s="33">
        <f>IF($AA937&gt;0,VLOOKUP($K937,Ruimtegroepen[],3,FALSE)*VLOOKUP($M937,Vloersoorten[],3,FALSE)*VLOOKUP($Z937,Frequenties[],3,FALSE)*VLOOKUP(#REF!,Locaties[],3,FALSE),0)</f>
        <v>0</v>
      </c>
      <c r="AC937" s="33"/>
      <c r="AD937" s="33"/>
      <c r="AE937" s="33">
        <f>Ruimtestaat[[#This Row],[uren / jaar weekend]]*Tariefsopbouw!$D$40</f>
        <v>0</v>
      </c>
      <c r="AF937" s="79">
        <f>Ruimtestaat[[#This Row],[Prest. (m2 /jaar) weekend]]+Ruimtestaat[[#This Row],[Prest. (m2 /jaar) werkdagen]]</f>
        <v>11000</v>
      </c>
      <c r="AG937" s="79">
        <f>Ruimtestaat[[#This Row],[uren / jaar weekend]]+Ruimtestaat[[#This Row],[uren / jaar werkdagen]]</f>
        <v>0</v>
      </c>
      <c r="AH937" s="80">
        <f>Ruimtestaat[[#This Row],[kosten / jaar weekend]]+Ruimtestaat[[#This Row],[kosten / jaar werkdagen]]</f>
        <v>0</v>
      </c>
    </row>
    <row r="938" spans="1:34" ht="15" customHeight="1">
      <c r="A938" s="256">
        <v>12</v>
      </c>
      <c r="B938" s="171" t="str">
        <f>VLOOKUP(Ruimtestaat[[#This Row],[Code]],Locaties[#All],2,FALSE)</f>
        <v>Onderwijscentrum Het Roessingh &amp; De Huifkar</v>
      </c>
      <c r="C938" s="212" t="str">
        <f>VLOOKUP(Ruimtestaat[[#This Row],[Code]],Locaties[#All],4,FALSE)</f>
        <v>Roessinghsbleekweg 35</v>
      </c>
      <c r="D938" s="212" t="str">
        <f>VLOOKUP(Ruimtestaat[[#This Row],[Code]],Locaties[#All],5,FALSE)</f>
        <v>7522 AH</v>
      </c>
      <c r="E938" s="212" t="str">
        <f>VLOOKUP(Ruimtestaat[[#This Row],[Code]],Locaties[#All],6,FALSE)</f>
        <v>Enschede</v>
      </c>
      <c r="F938" s="171"/>
      <c r="G938" s="171" t="s">
        <v>563</v>
      </c>
      <c r="H938" s="171"/>
      <c r="I938" s="171" t="s">
        <v>960</v>
      </c>
      <c r="J938" s="213" t="s">
        <v>810</v>
      </c>
      <c r="K938" s="212">
        <v>10</v>
      </c>
      <c r="L938" s="223" t="str">
        <f>VLOOKUP(Ruimtestaat[[#This Row],[Ruimte code]],Ruimtegroepen[#All],2,FALSE)</f>
        <v>Trappenhuizen/lift</v>
      </c>
      <c r="M938" s="212" t="s">
        <v>112</v>
      </c>
      <c r="N938" s="171" t="s">
        <v>776</v>
      </c>
      <c r="O938" s="172">
        <v>20</v>
      </c>
      <c r="P938" s="183"/>
      <c r="Q938" s="212" t="str">
        <f>VLOOKUP(Ruimtestaat[[#This Row],[Ruimte code]],Ruimtegroepen[#All],4,FALSE)</f>
        <v>V  (Verkeersruimte)</v>
      </c>
      <c r="R938" s="184"/>
      <c r="S938" s="185">
        <v>40</v>
      </c>
      <c r="T938" s="185" t="s">
        <v>2</v>
      </c>
      <c r="U938" s="185">
        <f>IF(S938&gt;0,IF(RIGHT(Ruimtestaat[[#This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8" s="185">
        <f>IF(U938&gt;0,VLOOKUP($K938,Ruimtegroepen[],3,FALSE)*VLOOKUP($M938,Vloersoorten[],3,FALSE)*VLOOKUP($T938,Frequenties[],3,FALSE)*VLOOKUP($A938,Locaties[],3,FALSE),0)</f>
        <v>0</v>
      </c>
      <c r="W938" s="185">
        <f>Ruimtestaat[[#This Row],[Uitvoeringen werkdagen]]*Ruimtestaat[[#This Row],[Oppervlak (netto)]]</f>
        <v>4000</v>
      </c>
      <c r="X938" s="220">
        <f>IF(V938&gt;0,Ruimtestaat[[#This Row],[Prest. (m2 /jaar) werkdagen]]/Ruimtestaat[[#This Row],[Norm (m2/uur) werkdagen]],0)</f>
        <v>0</v>
      </c>
      <c r="Y938" s="221">
        <f>Ruimtestaat[[#This Row],[uren / jaar werkdagen]]*Tariefsopbouw!$D$38</f>
        <v>0</v>
      </c>
      <c r="Z938" s="33"/>
      <c r="AA938" s="33">
        <f>IF(Ruimtestaat[[#This Row],[Frequentie weekend]]&gt;0,VALUE(LEFT(Z938,1))*S938,0)</f>
        <v>0</v>
      </c>
      <c r="AB938" s="33">
        <f>IF($AA938&gt;0,VLOOKUP($K938,Ruimtegroepen[],3,FALSE)*VLOOKUP($M938,Vloersoorten[],3,FALSE)*VLOOKUP($Z938,Frequenties[],3,FALSE)*VLOOKUP(#REF!,Locaties[],3,FALSE),0)</f>
        <v>0</v>
      </c>
      <c r="AC938" s="33"/>
      <c r="AD938" s="33"/>
      <c r="AE938" s="33">
        <f>Ruimtestaat[[#This Row],[uren / jaar weekend]]*Tariefsopbouw!$D$40</f>
        <v>0</v>
      </c>
      <c r="AF938" s="79">
        <f>Ruimtestaat[[#This Row],[Prest. (m2 /jaar) weekend]]+Ruimtestaat[[#This Row],[Prest. (m2 /jaar) werkdagen]]</f>
        <v>4000</v>
      </c>
      <c r="AG938" s="79">
        <f>Ruimtestaat[[#This Row],[uren / jaar weekend]]+Ruimtestaat[[#This Row],[uren / jaar werkdagen]]</f>
        <v>0</v>
      </c>
      <c r="AH938" s="80">
        <f>Ruimtestaat[[#This Row],[kosten / jaar weekend]]+Ruimtestaat[[#This Row],[kosten / jaar werkdagen]]</f>
        <v>0</v>
      </c>
    </row>
    <row r="939" spans="1:34" ht="15" customHeight="1">
      <c r="A939" s="256">
        <v>12</v>
      </c>
      <c r="B939" s="171" t="str">
        <f>VLOOKUP(Ruimtestaat[[#This Row],[Code]],Locaties[#All],2,FALSE)</f>
        <v>Onderwijscentrum Het Roessingh &amp; De Huifkar</v>
      </c>
      <c r="C939" s="212" t="str">
        <f>VLOOKUP(Ruimtestaat[[#This Row],[Code]],Locaties[#All],4,FALSE)</f>
        <v>Roessinghsbleekweg 35</v>
      </c>
      <c r="D939" s="212" t="str">
        <f>VLOOKUP(Ruimtestaat[[#This Row],[Code]],Locaties[#All],5,FALSE)</f>
        <v>7522 AH</v>
      </c>
      <c r="E939" s="212" t="str">
        <f>VLOOKUP(Ruimtestaat[[#This Row],[Code]],Locaties[#All],6,FALSE)</f>
        <v>Enschede</v>
      </c>
      <c r="F939" s="171"/>
      <c r="G939" s="171" t="s">
        <v>563</v>
      </c>
      <c r="H939" s="171"/>
      <c r="I939" s="171" t="s">
        <v>961</v>
      </c>
      <c r="J939" s="213" t="s">
        <v>586</v>
      </c>
      <c r="K939" s="171">
        <v>20</v>
      </c>
      <c r="L939" s="223" t="str">
        <f>VLOOKUP(Ruimtestaat[[#This Row],[Ruimte code]],Ruimtegroepen[#All],2,FALSE)</f>
        <v>Niet in onderhoud</v>
      </c>
      <c r="M939" s="185"/>
      <c r="N939" s="171"/>
      <c r="O939" s="172"/>
      <c r="P939" s="183"/>
      <c r="Q939" s="212" t="str">
        <f>VLOOKUP(Ruimtestaat[[#This Row],[Ruimte code]],Ruimtegroepen[#All],4,FALSE)</f>
        <v>niet in onderhoud</v>
      </c>
      <c r="R939" s="184"/>
      <c r="S939" s="185"/>
      <c r="T939" s="185"/>
      <c r="U939" s="185">
        <f>IF(S939&gt;0,IF(RIGHT(Ruimtestaat[[#This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39" s="185">
        <f>IF(U939&gt;0,VLOOKUP($K939,Ruimtegroepen[],3,FALSE)*VLOOKUP($M939,Vloersoorten[],3,FALSE)*VLOOKUP($T939,Frequenties[],3,FALSE)*VLOOKUP($A939,Locaties[],3,FALSE),0)</f>
        <v>0</v>
      </c>
      <c r="W939" s="185">
        <f>Ruimtestaat[[#This Row],[Uitvoeringen werkdagen]]*Ruimtestaat[[#This Row],[Oppervlak (netto)]]</f>
        <v>0</v>
      </c>
      <c r="X939" s="220">
        <f>IF(V939&gt;0,Ruimtestaat[[#This Row],[Prest. (m2 /jaar) werkdagen]]/Ruimtestaat[[#This Row],[Norm (m2/uur) werkdagen]],0)</f>
        <v>0</v>
      </c>
      <c r="Y939" s="221">
        <f>Ruimtestaat[[#This Row],[uren / jaar werkdagen]]*Tariefsopbouw!$D$38</f>
        <v>0</v>
      </c>
      <c r="Z939" s="33"/>
      <c r="AA939" s="33">
        <f>IF(Ruimtestaat[[#This Row],[Frequentie weekend]]&gt;0,VALUE(LEFT(Z939,1))*S939,0)</f>
        <v>0</v>
      </c>
      <c r="AB939" s="33">
        <f>IF($AA939&gt;0,VLOOKUP($K939,Ruimtegroepen[],3,FALSE)*VLOOKUP($M939,Vloersoorten[],3,FALSE)*VLOOKUP($Z939,Frequenties[],3,FALSE)*VLOOKUP(#REF!,Locaties[],3,FALSE),0)</f>
        <v>0</v>
      </c>
      <c r="AC939" s="33"/>
      <c r="AD939" s="33"/>
      <c r="AE939" s="33">
        <f>Ruimtestaat[[#This Row],[uren / jaar weekend]]*Tariefsopbouw!$D$40</f>
        <v>0</v>
      </c>
      <c r="AF939" s="79">
        <f>Ruimtestaat[[#This Row],[Prest. (m2 /jaar) weekend]]+Ruimtestaat[[#This Row],[Prest. (m2 /jaar) werkdagen]]</f>
        <v>0</v>
      </c>
      <c r="AG939" s="79">
        <f>Ruimtestaat[[#This Row],[uren / jaar weekend]]+Ruimtestaat[[#This Row],[uren / jaar werkdagen]]</f>
        <v>0</v>
      </c>
      <c r="AH939" s="80">
        <f>Ruimtestaat[[#This Row],[kosten / jaar weekend]]+Ruimtestaat[[#This Row],[kosten / jaar werkdagen]]</f>
        <v>0</v>
      </c>
    </row>
    <row r="940" spans="1:34" ht="15" customHeight="1">
      <c r="A940" s="256">
        <v>12</v>
      </c>
      <c r="B940" s="171" t="str">
        <f>VLOOKUP(Ruimtestaat[[#This Row],[Code]],Locaties[#All],2,FALSE)</f>
        <v>Onderwijscentrum Het Roessingh &amp; De Huifkar</v>
      </c>
      <c r="C940" s="212" t="str">
        <f>VLOOKUP(Ruimtestaat[[#This Row],[Code]],Locaties[#All],4,FALSE)</f>
        <v>Roessinghsbleekweg 35</v>
      </c>
      <c r="D940" s="212" t="str">
        <f>VLOOKUP(Ruimtestaat[[#This Row],[Code]],Locaties[#All],5,FALSE)</f>
        <v>7522 AH</v>
      </c>
      <c r="E940" s="212" t="str">
        <f>VLOOKUP(Ruimtestaat[[#This Row],[Code]],Locaties[#All],6,FALSE)</f>
        <v>Enschede</v>
      </c>
      <c r="F940" s="171"/>
      <c r="G940" s="171" t="s">
        <v>563</v>
      </c>
      <c r="H940" s="171"/>
      <c r="I940" s="171" t="s">
        <v>962</v>
      </c>
      <c r="J940" s="213" t="s">
        <v>719</v>
      </c>
      <c r="K940" s="171">
        <v>8</v>
      </c>
      <c r="L940" s="223" t="str">
        <f>VLOOKUP(Ruimtestaat[[#This Row],[Ruimte code]],Ruimtegroepen[#All],2,FALSE)</f>
        <v>Receptie</v>
      </c>
      <c r="M940" s="185" t="s">
        <v>597</v>
      </c>
      <c r="N940" s="171" t="s">
        <v>38</v>
      </c>
      <c r="O940" s="172">
        <v>13</v>
      </c>
      <c r="P940" s="183"/>
      <c r="Q940" s="212" t="str">
        <f>VLOOKUP(Ruimtestaat[[#This Row],[Ruimte code]],Ruimtegroepen[#All],4,FALSE)</f>
        <v>B  (Bureauruimte)</v>
      </c>
      <c r="R940" s="184"/>
      <c r="S940" s="185">
        <v>40</v>
      </c>
      <c r="T940" s="185" t="s">
        <v>2</v>
      </c>
      <c r="U940" s="185">
        <f>IF(S940&gt;0,IF(RIGHT(Ruimtestaat[[#This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0" s="185">
        <f>IF(U940&gt;0,VLOOKUP($K940,Ruimtegroepen[],3,FALSE)*VLOOKUP($M940,Vloersoorten[],3,FALSE)*VLOOKUP($T940,Frequenties[],3,FALSE)*VLOOKUP($A940,Locaties[],3,FALSE),0)</f>
        <v>0</v>
      </c>
      <c r="W940" s="185">
        <f>Ruimtestaat[[#This Row],[Uitvoeringen werkdagen]]*Ruimtestaat[[#This Row],[Oppervlak (netto)]]</f>
        <v>2600</v>
      </c>
      <c r="X940" s="220">
        <f>IF(V940&gt;0,Ruimtestaat[[#This Row],[Prest. (m2 /jaar) werkdagen]]/Ruimtestaat[[#This Row],[Norm (m2/uur) werkdagen]],0)</f>
        <v>0</v>
      </c>
      <c r="Y940" s="221">
        <f>Ruimtestaat[[#This Row],[uren / jaar werkdagen]]*Tariefsopbouw!$D$38</f>
        <v>0</v>
      </c>
      <c r="Z940" s="33"/>
      <c r="AA940" s="33">
        <f>IF(Ruimtestaat[[#This Row],[Frequentie weekend]]&gt;0,VALUE(LEFT(Z940,1))*S940,0)</f>
        <v>0</v>
      </c>
      <c r="AB940" s="33">
        <f>IF($AA940&gt;0,VLOOKUP($K940,Ruimtegroepen[],3,FALSE)*VLOOKUP($M940,Vloersoorten[],3,FALSE)*VLOOKUP($Z940,Frequenties[],3,FALSE)*VLOOKUP(#REF!,Locaties[],3,FALSE),0)</f>
        <v>0</v>
      </c>
      <c r="AC940" s="33"/>
      <c r="AD940" s="33"/>
      <c r="AE940" s="33">
        <f>Ruimtestaat[[#This Row],[uren / jaar weekend]]*Tariefsopbouw!$D$40</f>
        <v>0</v>
      </c>
      <c r="AF940" s="79">
        <f>Ruimtestaat[[#This Row],[Prest. (m2 /jaar) weekend]]+Ruimtestaat[[#This Row],[Prest. (m2 /jaar) werkdagen]]</f>
        <v>2600</v>
      </c>
      <c r="AG940" s="79">
        <f>Ruimtestaat[[#This Row],[uren / jaar weekend]]+Ruimtestaat[[#This Row],[uren / jaar werkdagen]]</f>
        <v>0</v>
      </c>
      <c r="AH940" s="80">
        <f>Ruimtestaat[[#This Row],[kosten / jaar weekend]]+Ruimtestaat[[#This Row],[kosten / jaar werkdagen]]</f>
        <v>0</v>
      </c>
    </row>
    <row r="941" spans="1:34" ht="15" customHeight="1">
      <c r="A941" s="256">
        <v>12</v>
      </c>
      <c r="B941" s="171" t="str">
        <f>VLOOKUP(Ruimtestaat[[#This Row],[Code]],Locaties[#All],2,FALSE)</f>
        <v>Onderwijscentrum Het Roessingh &amp; De Huifkar</v>
      </c>
      <c r="C941" s="258" t="str">
        <f>VLOOKUP(Ruimtestaat[[#This Row],[Code]],Locaties[#All],4,FALSE)</f>
        <v>Roessinghsbleekweg 35</v>
      </c>
      <c r="D941" s="258" t="str">
        <f>VLOOKUP(Ruimtestaat[[#This Row],[Code]],Locaties[#All],5,FALSE)</f>
        <v>7522 AH</v>
      </c>
      <c r="E941" s="258" t="str">
        <f>VLOOKUP(Ruimtestaat[[#This Row],[Code]],Locaties[#All],6,FALSE)</f>
        <v>Enschede</v>
      </c>
      <c r="F941" s="257"/>
      <c r="G941" s="257" t="s">
        <v>563</v>
      </c>
      <c r="H941" s="171"/>
      <c r="I941" s="257" t="s">
        <v>963</v>
      </c>
      <c r="J941" s="259" t="s">
        <v>964</v>
      </c>
      <c r="K941" s="258">
        <v>6</v>
      </c>
      <c r="L941" s="260" t="str">
        <f>VLOOKUP(Ruimtestaat[[#This Row],[Ruimte code]],Ruimtegroepen[#All],2,FALSE)</f>
        <v>Gangen/hallen</v>
      </c>
      <c r="M941" s="212" t="s">
        <v>111</v>
      </c>
      <c r="N941" s="257" t="s">
        <v>605</v>
      </c>
      <c r="O941" s="261">
        <v>17</v>
      </c>
      <c r="P941" s="183"/>
      <c r="Q941" s="212" t="str">
        <f>VLOOKUP(Ruimtestaat[[#This Row],[Ruimte code]],Ruimtegroepen[#All],4,FALSE)</f>
        <v>V  (Verkeersruimte)</v>
      </c>
      <c r="R941" s="184"/>
      <c r="S941" s="185">
        <v>40</v>
      </c>
      <c r="T941" s="185" t="s">
        <v>2</v>
      </c>
      <c r="U941" s="185">
        <f>IF(S941&gt;0,IF(RIGHT(Ruimtestaat[[#This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1" s="185">
        <f>IF(U941&gt;0,VLOOKUP($K941,Ruimtegroepen[],3,FALSE)*VLOOKUP($M941,Vloersoorten[],3,FALSE)*VLOOKUP($T941,Frequenties[],3,FALSE)*VLOOKUP($A941,Locaties[],3,FALSE),0)</f>
        <v>0</v>
      </c>
      <c r="W941" s="185">
        <f>Ruimtestaat[[#This Row],[Uitvoeringen werkdagen]]*Ruimtestaat[[#This Row],[Oppervlak (netto)]]</f>
        <v>3400</v>
      </c>
      <c r="X941" s="220">
        <f>IF(V941&gt;0,Ruimtestaat[[#This Row],[Prest. (m2 /jaar) werkdagen]]/Ruimtestaat[[#This Row],[Norm (m2/uur) werkdagen]],0)</f>
        <v>0</v>
      </c>
      <c r="Y941" s="221">
        <f>Ruimtestaat[[#This Row],[uren / jaar werkdagen]]*Tariefsopbouw!$D$38</f>
        <v>0</v>
      </c>
      <c r="Z941" s="33"/>
      <c r="AA941" s="33">
        <f>IF(Ruimtestaat[[#This Row],[Frequentie weekend]]&gt;0,VALUE(LEFT(Z941,1))*S941,0)</f>
        <v>0</v>
      </c>
      <c r="AB941" s="33">
        <f>IF($AA941&gt;0,VLOOKUP($K941,Ruimtegroepen[],3,FALSE)*VLOOKUP($M941,Vloersoorten[],3,FALSE)*VLOOKUP($Z941,Frequenties[],3,FALSE)*VLOOKUP(#REF!,Locaties[],3,FALSE),0)</f>
        <v>0</v>
      </c>
      <c r="AC941" s="33"/>
      <c r="AD941" s="33"/>
      <c r="AE941" s="33">
        <f>Ruimtestaat[[#This Row],[uren / jaar weekend]]*Tariefsopbouw!$D$40</f>
        <v>0</v>
      </c>
      <c r="AF941" s="79">
        <f>Ruimtestaat[[#This Row],[Prest. (m2 /jaar) weekend]]+Ruimtestaat[[#This Row],[Prest. (m2 /jaar) werkdagen]]</f>
        <v>3400</v>
      </c>
      <c r="AG941" s="79">
        <f>Ruimtestaat[[#This Row],[uren / jaar weekend]]+Ruimtestaat[[#This Row],[uren / jaar werkdagen]]</f>
        <v>0</v>
      </c>
      <c r="AH941" s="80">
        <f>Ruimtestaat[[#This Row],[kosten / jaar weekend]]+Ruimtestaat[[#This Row],[kosten / jaar werkdagen]]</f>
        <v>0</v>
      </c>
    </row>
    <row r="942" spans="1:34" ht="15" customHeight="1">
      <c r="A942" s="256">
        <v>12</v>
      </c>
      <c r="B942" s="171" t="str">
        <f>VLOOKUP(Ruimtestaat[[#This Row],[Code]],Locaties[#All],2,FALSE)</f>
        <v>Onderwijscentrum Het Roessingh &amp; De Huifkar</v>
      </c>
      <c r="C942" s="258" t="str">
        <f>VLOOKUP(Ruimtestaat[[#This Row],[Code]],Locaties[#All],4,FALSE)</f>
        <v>Roessinghsbleekweg 35</v>
      </c>
      <c r="D942" s="258" t="str">
        <f>VLOOKUP(Ruimtestaat[[#This Row],[Code]],Locaties[#All],5,FALSE)</f>
        <v>7522 AH</v>
      </c>
      <c r="E942" s="258" t="str">
        <f>VLOOKUP(Ruimtestaat[[#This Row],[Code]],Locaties[#All],6,FALSE)</f>
        <v>Enschede</v>
      </c>
      <c r="F942" s="257"/>
      <c r="G942" s="257" t="s">
        <v>563</v>
      </c>
      <c r="H942" s="171"/>
      <c r="I942" s="257" t="s">
        <v>965</v>
      </c>
      <c r="J942" s="259" t="s">
        <v>40</v>
      </c>
      <c r="K942" s="258">
        <v>7</v>
      </c>
      <c r="L942" s="260" t="str">
        <f>VLOOKUP(Ruimtestaat[[#This Row],[Ruimte code]],Ruimtegroepen[#All],2,FALSE)</f>
        <v>Entree</v>
      </c>
      <c r="M942" s="212" t="s">
        <v>597</v>
      </c>
      <c r="N942" s="257" t="s">
        <v>38</v>
      </c>
      <c r="O942" s="261">
        <v>16</v>
      </c>
      <c r="P942" s="183"/>
      <c r="Q942" s="212" t="str">
        <f>VLOOKUP(Ruimtestaat[[#This Row],[Ruimte code]],Ruimtegroepen[#All],4,FALSE)</f>
        <v>V  (Verkeersruimte)</v>
      </c>
      <c r="R942" s="184"/>
      <c r="S942" s="185">
        <v>40</v>
      </c>
      <c r="T942" s="185" t="s">
        <v>2</v>
      </c>
      <c r="U942" s="185">
        <f>IF(S942&gt;0,IF(RIGHT(Ruimtestaat[[#This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2" s="185">
        <f>IF(U942&gt;0,VLOOKUP($K942,Ruimtegroepen[],3,FALSE)*VLOOKUP($M942,Vloersoorten[],3,FALSE)*VLOOKUP($T942,Frequenties[],3,FALSE)*VLOOKUP($A942,Locaties[],3,FALSE),0)</f>
        <v>0</v>
      </c>
      <c r="W942" s="185">
        <f>Ruimtestaat[[#This Row],[Uitvoeringen werkdagen]]*Ruimtestaat[[#This Row],[Oppervlak (netto)]]</f>
        <v>3200</v>
      </c>
      <c r="X942" s="220">
        <f>IF(V942&gt;0,Ruimtestaat[[#This Row],[Prest. (m2 /jaar) werkdagen]]/Ruimtestaat[[#This Row],[Norm (m2/uur) werkdagen]],0)</f>
        <v>0</v>
      </c>
      <c r="Y942" s="221">
        <f>Ruimtestaat[[#This Row],[uren / jaar werkdagen]]*Tariefsopbouw!$D$38</f>
        <v>0</v>
      </c>
      <c r="Z942" s="33"/>
      <c r="AA942" s="33">
        <f>IF(Ruimtestaat[[#This Row],[Frequentie weekend]]&gt;0,VALUE(LEFT(Z942,1))*S942,0)</f>
        <v>0</v>
      </c>
      <c r="AB942" s="33">
        <f>IF($AA942&gt;0,VLOOKUP($K942,Ruimtegroepen[],3,FALSE)*VLOOKUP($M942,Vloersoorten[],3,FALSE)*VLOOKUP($Z942,Frequenties[],3,FALSE)*VLOOKUP(#REF!,Locaties[],3,FALSE),0)</f>
        <v>0</v>
      </c>
      <c r="AC942" s="33"/>
      <c r="AD942" s="33"/>
      <c r="AE942" s="33">
        <f>Ruimtestaat[[#This Row],[uren / jaar weekend]]*Tariefsopbouw!$D$40</f>
        <v>0</v>
      </c>
      <c r="AF942" s="79">
        <f>Ruimtestaat[[#This Row],[Prest. (m2 /jaar) weekend]]+Ruimtestaat[[#This Row],[Prest. (m2 /jaar) werkdagen]]</f>
        <v>3200</v>
      </c>
      <c r="AG942" s="79">
        <f>Ruimtestaat[[#This Row],[uren / jaar weekend]]+Ruimtestaat[[#This Row],[uren / jaar werkdagen]]</f>
        <v>0</v>
      </c>
      <c r="AH942" s="80">
        <f>Ruimtestaat[[#This Row],[kosten / jaar weekend]]+Ruimtestaat[[#This Row],[kosten / jaar werkdagen]]</f>
        <v>0</v>
      </c>
    </row>
    <row r="943" spans="1:34" ht="15" customHeight="1">
      <c r="A943" s="256">
        <v>12</v>
      </c>
      <c r="B943" s="171" t="str">
        <f>VLOOKUP(Ruimtestaat[[#This Row],[Code]],Locaties[#All],2,FALSE)</f>
        <v>Onderwijscentrum Het Roessingh &amp; De Huifkar</v>
      </c>
      <c r="C943" s="258" t="str">
        <f>VLOOKUP(Ruimtestaat[[#This Row],[Code]],Locaties[#All],4,FALSE)</f>
        <v>Roessinghsbleekweg 35</v>
      </c>
      <c r="D943" s="258" t="str">
        <f>VLOOKUP(Ruimtestaat[[#This Row],[Code]],Locaties[#All],5,FALSE)</f>
        <v>7522 AH</v>
      </c>
      <c r="E943" s="258" t="str">
        <f>VLOOKUP(Ruimtestaat[[#This Row],[Code]],Locaties[#All],6,FALSE)</f>
        <v>Enschede</v>
      </c>
      <c r="F943" s="257"/>
      <c r="G943" s="257" t="s">
        <v>563</v>
      </c>
      <c r="H943" s="171"/>
      <c r="I943" s="257" t="s">
        <v>966</v>
      </c>
      <c r="J943" s="259" t="s">
        <v>576</v>
      </c>
      <c r="K943" s="171">
        <v>16</v>
      </c>
      <c r="L943" s="260" t="str">
        <f>VLOOKUP(Ruimtestaat[[#This Row],[Ruimte code]],Ruimtegroepen[#All],2,FALSE)</f>
        <v>Leslokalen</v>
      </c>
      <c r="M943" s="185" t="s">
        <v>598</v>
      </c>
      <c r="N943" s="257" t="s">
        <v>132</v>
      </c>
      <c r="O943" s="261">
        <v>57</v>
      </c>
      <c r="P943" s="183"/>
      <c r="Q943" s="212" t="str">
        <f>VLOOKUP(Ruimtestaat[[#This Row],[Ruimte code]],Ruimtegroepen[#All],4,FALSE)</f>
        <v>L  (Lesruimte)</v>
      </c>
      <c r="R943" s="184"/>
      <c r="S943" s="185">
        <v>40</v>
      </c>
      <c r="T943" s="185" t="s">
        <v>2</v>
      </c>
      <c r="U943" s="185">
        <f>IF(S943&gt;0,IF(RIGHT(Ruimtestaat[[#This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3" s="185">
        <f>IF(U943&gt;0,VLOOKUP($K943,Ruimtegroepen[],3,FALSE)*VLOOKUP($M943,Vloersoorten[],3,FALSE)*VLOOKUP($T943,Frequenties[],3,FALSE)*VLOOKUP($A943,Locaties[],3,FALSE),0)</f>
        <v>0</v>
      </c>
      <c r="W943" s="185">
        <f>Ruimtestaat[[#This Row],[Uitvoeringen werkdagen]]*Ruimtestaat[[#This Row],[Oppervlak (netto)]]</f>
        <v>11400</v>
      </c>
      <c r="X943" s="220">
        <f>IF(V943&gt;0,Ruimtestaat[[#This Row],[Prest. (m2 /jaar) werkdagen]]/Ruimtestaat[[#This Row],[Norm (m2/uur) werkdagen]],0)</f>
        <v>0</v>
      </c>
      <c r="Y943" s="221">
        <f>Ruimtestaat[[#This Row],[uren / jaar werkdagen]]*Tariefsopbouw!$D$38</f>
        <v>0</v>
      </c>
      <c r="Z943" s="33"/>
      <c r="AA943" s="33">
        <f>IF(Ruimtestaat[[#This Row],[Frequentie weekend]]&gt;0,VALUE(LEFT(Z943,1))*S943,0)</f>
        <v>0</v>
      </c>
      <c r="AB943" s="33">
        <f>IF($AA943&gt;0,VLOOKUP($K943,Ruimtegroepen[],3,FALSE)*VLOOKUP($M943,Vloersoorten[],3,FALSE)*VLOOKUP($Z943,Frequenties[],3,FALSE)*VLOOKUP(#REF!,Locaties[],3,FALSE),0)</f>
        <v>0</v>
      </c>
      <c r="AC943" s="33"/>
      <c r="AD943" s="33"/>
      <c r="AE943" s="33">
        <f>Ruimtestaat[[#This Row],[uren / jaar weekend]]*Tariefsopbouw!$D$40</f>
        <v>0</v>
      </c>
      <c r="AF943" s="79">
        <f>Ruimtestaat[[#This Row],[Prest. (m2 /jaar) weekend]]+Ruimtestaat[[#This Row],[Prest. (m2 /jaar) werkdagen]]</f>
        <v>11400</v>
      </c>
      <c r="AG943" s="79">
        <f>Ruimtestaat[[#This Row],[uren / jaar weekend]]+Ruimtestaat[[#This Row],[uren / jaar werkdagen]]</f>
        <v>0</v>
      </c>
      <c r="AH943" s="80">
        <f>Ruimtestaat[[#This Row],[kosten / jaar weekend]]+Ruimtestaat[[#This Row],[kosten / jaar werkdagen]]</f>
        <v>0</v>
      </c>
    </row>
    <row r="944" spans="1:34" ht="15" customHeight="1">
      <c r="A944" s="256">
        <v>12</v>
      </c>
      <c r="B944" s="171" t="str">
        <f>VLOOKUP(Ruimtestaat[[#This Row],[Code]],Locaties[#All],2,FALSE)</f>
        <v>Onderwijscentrum Het Roessingh &amp; De Huifkar</v>
      </c>
      <c r="C944" s="258" t="str">
        <f>VLOOKUP(Ruimtestaat[[#This Row],[Code]],Locaties[#All],4,FALSE)</f>
        <v>Roessinghsbleekweg 35</v>
      </c>
      <c r="D944" s="258" t="str">
        <f>VLOOKUP(Ruimtestaat[[#This Row],[Code]],Locaties[#All],5,FALSE)</f>
        <v>7522 AH</v>
      </c>
      <c r="E944" s="258" t="str">
        <f>VLOOKUP(Ruimtestaat[[#This Row],[Code]],Locaties[#All],6,FALSE)</f>
        <v>Enschede</v>
      </c>
      <c r="F944" s="257"/>
      <c r="G944" s="257" t="s">
        <v>563</v>
      </c>
      <c r="H944" s="171"/>
      <c r="I944" s="257" t="s">
        <v>967</v>
      </c>
      <c r="J944" s="259" t="s">
        <v>936</v>
      </c>
      <c r="K944" s="171">
        <v>16</v>
      </c>
      <c r="L944" s="260" t="str">
        <f>VLOOKUP(Ruimtestaat[[#This Row],[Ruimte code]],Ruimtegroepen[#All],2,FALSE)</f>
        <v>Leslokalen</v>
      </c>
      <c r="M944" s="185" t="s">
        <v>598</v>
      </c>
      <c r="N944" s="257" t="s">
        <v>132</v>
      </c>
      <c r="O944" s="261">
        <v>31</v>
      </c>
      <c r="P944" s="183"/>
      <c r="Q944" s="212" t="str">
        <f>VLOOKUP(Ruimtestaat[[#This Row],[Ruimte code]],Ruimtegroepen[#All],4,FALSE)</f>
        <v>L  (Lesruimte)</v>
      </c>
      <c r="R944" s="184"/>
      <c r="S944" s="185">
        <v>40</v>
      </c>
      <c r="T944" s="185" t="s">
        <v>2</v>
      </c>
      <c r="U944" s="185">
        <f>IF(S944&gt;0,IF(RIGHT(Ruimtestaat[[#This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4" s="185">
        <f>IF(U944&gt;0,VLOOKUP($K944,Ruimtegroepen[],3,FALSE)*VLOOKUP($M944,Vloersoorten[],3,FALSE)*VLOOKUP($T944,Frequenties[],3,FALSE)*VLOOKUP($A944,Locaties[],3,FALSE),0)</f>
        <v>0</v>
      </c>
      <c r="W944" s="185">
        <f>Ruimtestaat[[#This Row],[Uitvoeringen werkdagen]]*Ruimtestaat[[#This Row],[Oppervlak (netto)]]</f>
        <v>6200</v>
      </c>
      <c r="X944" s="220">
        <f>IF(V944&gt;0,Ruimtestaat[[#This Row],[Prest. (m2 /jaar) werkdagen]]/Ruimtestaat[[#This Row],[Norm (m2/uur) werkdagen]],0)</f>
        <v>0</v>
      </c>
      <c r="Y944" s="221">
        <f>Ruimtestaat[[#This Row],[uren / jaar werkdagen]]*Tariefsopbouw!$D$38</f>
        <v>0</v>
      </c>
      <c r="Z944" s="33"/>
      <c r="AA944" s="33">
        <f>IF(Ruimtestaat[[#This Row],[Frequentie weekend]]&gt;0,VALUE(LEFT(Z944,1))*S944,0)</f>
        <v>0</v>
      </c>
      <c r="AB944" s="33">
        <f>IF($AA944&gt;0,VLOOKUP($K944,Ruimtegroepen[],3,FALSE)*VLOOKUP($M944,Vloersoorten[],3,FALSE)*VLOOKUP($Z944,Frequenties[],3,FALSE)*VLOOKUP(#REF!,Locaties[],3,FALSE),0)</f>
        <v>0</v>
      </c>
      <c r="AC944" s="33"/>
      <c r="AD944" s="33"/>
      <c r="AE944" s="33">
        <f>Ruimtestaat[[#This Row],[uren / jaar weekend]]*Tariefsopbouw!$D$40</f>
        <v>0</v>
      </c>
      <c r="AF944" s="79">
        <f>Ruimtestaat[[#This Row],[Prest. (m2 /jaar) weekend]]+Ruimtestaat[[#This Row],[Prest. (m2 /jaar) werkdagen]]</f>
        <v>6200</v>
      </c>
      <c r="AG944" s="79">
        <f>Ruimtestaat[[#This Row],[uren / jaar weekend]]+Ruimtestaat[[#This Row],[uren / jaar werkdagen]]</f>
        <v>0</v>
      </c>
      <c r="AH944" s="80">
        <f>Ruimtestaat[[#This Row],[kosten / jaar weekend]]+Ruimtestaat[[#This Row],[kosten / jaar werkdagen]]</f>
        <v>0</v>
      </c>
    </row>
    <row r="945" spans="1:34" ht="15" customHeight="1">
      <c r="A945" s="256">
        <v>12</v>
      </c>
      <c r="B945" s="171" t="str">
        <f>VLOOKUP(Ruimtestaat[[#This Row],[Code]],Locaties[#All],2,FALSE)</f>
        <v>Onderwijscentrum Het Roessingh &amp; De Huifkar</v>
      </c>
      <c r="C945" s="258" t="str">
        <f>VLOOKUP(Ruimtestaat[[#This Row],[Code]],Locaties[#All],4,FALSE)</f>
        <v>Roessinghsbleekweg 35</v>
      </c>
      <c r="D945" s="258" t="str">
        <f>VLOOKUP(Ruimtestaat[[#This Row],[Code]],Locaties[#All],5,FALSE)</f>
        <v>7522 AH</v>
      </c>
      <c r="E945" s="258" t="str">
        <f>VLOOKUP(Ruimtestaat[[#This Row],[Code]],Locaties[#All],6,FALSE)</f>
        <v>Enschede</v>
      </c>
      <c r="F945" s="257"/>
      <c r="G945" s="257" t="s">
        <v>563</v>
      </c>
      <c r="H945" s="171"/>
      <c r="I945" s="257" t="s">
        <v>968</v>
      </c>
      <c r="J945" s="259" t="s">
        <v>574</v>
      </c>
      <c r="K945" s="258">
        <v>6</v>
      </c>
      <c r="L945" s="260" t="str">
        <f>VLOOKUP(Ruimtestaat[[#This Row],[Ruimte code]],Ruimtegroepen[#All],2,FALSE)</f>
        <v>Gangen/hallen</v>
      </c>
      <c r="M945" s="185" t="s">
        <v>598</v>
      </c>
      <c r="N945" s="257" t="s">
        <v>132</v>
      </c>
      <c r="O945" s="261">
        <v>8</v>
      </c>
      <c r="P945" s="183"/>
      <c r="Q945" s="212" t="str">
        <f>VLOOKUP(Ruimtestaat[[#This Row],[Ruimte code]],Ruimtegroepen[#All],4,FALSE)</f>
        <v>V  (Verkeersruimte)</v>
      </c>
      <c r="R945" s="184"/>
      <c r="S945" s="185">
        <v>40</v>
      </c>
      <c r="T945" s="185" t="s">
        <v>2</v>
      </c>
      <c r="U945" s="185">
        <f>IF(S945&gt;0,IF(RIGHT(Ruimtestaat[[#This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5" s="185">
        <f>IF(U945&gt;0,VLOOKUP($K945,Ruimtegroepen[],3,FALSE)*VLOOKUP($M945,Vloersoorten[],3,FALSE)*VLOOKUP($T945,Frequenties[],3,FALSE)*VLOOKUP($A945,Locaties[],3,FALSE),0)</f>
        <v>0</v>
      </c>
      <c r="W945" s="185">
        <f>Ruimtestaat[[#This Row],[Uitvoeringen werkdagen]]*Ruimtestaat[[#This Row],[Oppervlak (netto)]]</f>
        <v>1600</v>
      </c>
      <c r="X945" s="220">
        <f>IF(V945&gt;0,Ruimtestaat[[#This Row],[Prest. (m2 /jaar) werkdagen]]/Ruimtestaat[[#This Row],[Norm (m2/uur) werkdagen]],0)</f>
        <v>0</v>
      </c>
      <c r="Y945" s="221">
        <f>Ruimtestaat[[#This Row],[uren / jaar werkdagen]]*Tariefsopbouw!$D$38</f>
        <v>0</v>
      </c>
      <c r="Z945" s="33"/>
      <c r="AA945" s="33">
        <f>IF(Ruimtestaat[[#This Row],[Frequentie weekend]]&gt;0,VALUE(LEFT(Z945,1))*S945,0)</f>
        <v>0</v>
      </c>
      <c r="AB945" s="33">
        <f>IF($AA945&gt;0,VLOOKUP($K945,Ruimtegroepen[],3,FALSE)*VLOOKUP($M945,Vloersoorten[],3,FALSE)*VLOOKUP($Z945,Frequenties[],3,FALSE)*VLOOKUP(#REF!,Locaties[],3,FALSE),0)</f>
        <v>0</v>
      </c>
      <c r="AC945" s="33"/>
      <c r="AD945" s="33"/>
      <c r="AE945" s="33">
        <f>Ruimtestaat[[#This Row],[uren / jaar weekend]]*Tariefsopbouw!$D$40</f>
        <v>0</v>
      </c>
      <c r="AF945" s="79">
        <f>Ruimtestaat[[#This Row],[Prest. (m2 /jaar) weekend]]+Ruimtestaat[[#This Row],[Prest. (m2 /jaar) werkdagen]]</f>
        <v>1600</v>
      </c>
      <c r="AG945" s="79">
        <f>Ruimtestaat[[#This Row],[uren / jaar weekend]]+Ruimtestaat[[#This Row],[uren / jaar werkdagen]]</f>
        <v>0</v>
      </c>
      <c r="AH945" s="80">
        <f>Ruimtestaat[[#This Row],[kosten / jaar weekend]]+Ruimtestaat[[#This Row],[kosten / jaar werkdagen]]</f>
        <v>0</v>
      </c>
    </row>
    <row r="946" spans="1:34" ht="15" customHeight="1">
      <c r="A946" s="256">
        <v>12</v>
      </c>
      <c r="B946" s="171" t="str">
        <f>VLOOKUP(Ruimtestaat[[#This Row],[Code]],Locaties[#All],2,FALSE)</f>
        <v>Onderwijscentrum Het Roessingh &amp; De Huifkar</v>
      </c>
      <c r="C946" s="258" t="str">
        <f>VLOOKUP(Ruimtestaat[[#This Row],[Code]],Locaties[#All],4,FALSE)</f>
        <v>Roessinghsbleekweg 35</v>
      </c>
      <c r="D946" s="258" t="str">
        <f>VLOOKUP(Ruimtestaat[[#This Row],[Code]],Locaties[#All],5,FALSE)</f>
        <v>7522 AH</v>
      </c>
      <c r="E946" s="258" t="str">
        <f>VLOOKUP(Ruimtestaat[[#This Row],[Code]],Locaties[#All],6,FALSE)</f>
        <v>Enschede</v>
      </c>
      <c r="F946" s="257"/>
      <c r="G946" s="257" t="s">
        <v>563</v>
      </c>
      <c r="H946" s="171"/>
      <c r="I946" s="257" t="s">
        <v>969</v>
      </c>
      <c r="J946" s="259" t="s">
        <v>941</v>
      </c>
      <c r="K946" s="258">
        <v>16</v>
      </c>
      <c r="L946" s="260" t="str">
        <f>VLOOKUP(Ruimtestaat[[#This Row],[Ruimte code]],Ruimtegroepen[#All],2,FALSE)</f>
        <v>Leslokalen</v>
      </c>
      <c r="M946" s="185" t="s">
        <v>598</v>
      </c>
      <c r="N946" s="257" t="s">
        <v>132</v>
      </c>
      <c r="O946" s="261">
        <v>9.1999999999999993</v>
      </c>
      <c r="P946" s="183"/>
      <c r="Q946" s="212" t="str">
        <f>VLOOKUP(Ruimtestaat[[#This Row],[Ruimte code]],Ruimtegroepen[#All],4,FALSE)</f>
        <v>L  (Lesruimte)</v>
      </c>
      <c r="R946" s="184"/>
      <c r="S946" s="185">
        <v>40</v>
      </c>
      <c r="T946" s="185" t="s">
        <v>2</v>
      </c>
      <c r="U946" s="185">
        <f>IF(S946&gt;0,IF(RIGHT(Ruimtestaat[[#This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6" s="185">
        <f>IF(U946&gt;0,VLOOKUP($K946,Ruimtegroepen[],3,FALSE)*VLOOKUP($M946,Vloersoorten[],3,FALSE)*VLOOKUP($T946,Frequenties[],3,FALSE)*VLOOKUP($A946,Locaties[],3,FALSE),0)</f>
        <v>0</v>
      </c>
      <c r="W946" s="185">
        <f>Ruimtestaat[[#This Row],[Uitvoeringen werkdagen]]*Ruimtestaat[[#This Row],[Oppervlak (netto)]]</f>
        <v>1839.9999999999998</v>
      </c>
      <c r="X946" s="220">
        <f>IF(V946&gt;0,Ruimtestaat[[#This Row],[Prest. (m2 /jaar) werkdagen]]/Ruimtestaat[[#This Row],[Norm (m2/uur) werkdagen]],0)</f>
        <v>0</v>
      </c>
      <c r="Y946" s="221">
        <f>Ruimtestaat[[#This Row],[uren / jaar werkdagen]]*Tariefsopbouw!$D$38</f>
        <v>0</v>
      </c>
      <c r="Z946" s="33"/>
      <c r="AA946" s="33">
        <f>IF(Ruimtestaat[[#This Row],[Frequentie weekend]]&gt;0,VALUE(LEFT(Z946,1))*S946,0)</f>
        <v>0</v>
      </c>
      <c r="AB946" s="33">
        <f>IF($AA946&gt;0,VLOOKUP($K946,Ruimtegroepen[],3,FALSE)*VLOOKUP($M946,Vloersoorten[],3,FALSE)*VLOOKUP($Z946,Frequenties[],3,FALSE)*VLOOKUP(#REF!,Locaties[],3,FALSE),0)</f>
        <v>0</v>
      </c>
      <c r="AC946" s="33"/>
      <c r="AD946" s="33"/>
      <c r="AE946" s="33">
        <f>Ruimtestaat[[#This Row],[uren / jaar weekend]]*Tariefsopbouw!$D$40</f>
        <v>0</v>
      </c>
      <c r="AF946" s="79">
        <f>Ruimtestaat[[#This Row],[Prest. (m2 /jaar) weekend]]+Ruimtestaat[[#This Row],[Prest. (m2 /jaar) werkdagen]]</f>
        <v>1839.9999999999998</v>
      </c>
      <c r="AG946" s="79">
        <f>Ruimtestaat[[#This Row],[uren / jaar weekend]]+Ruimtestaat[[#This Row],[uren / jaar werkdagen]]</f>
        <v>0</v>
      </c>
      <c r="AH946" s="80">
        <f>Ruimtestaat[[#This Row],[kosten / jaar weekend]]+Ruimtestaat[[#This Row],[kosten / jaar werkdagen]]</f>
        <v>0</v>
      </c>
    </row>
    <row r="947" spans="1:34" ht="15" customHeight="1">
      <c r="A947" s="256">
        <v>12</v>
      </c>
      <c r="B947" s="171" t="str">
        <f>VLOOKUP(Ruimtestaat[[#This Row],[Code]],Locaties[#All],2,FALSE)</f>
        <v>Onderwijscentrum Het Roessingh &amp; De Huifkar</v>
      </c>
      <c r="C947" s="258" t="str">
        <f>VLOOKUP(Ruimtestaat[[#This Row],[Code]],Locaties[#All],4,FALSE)</f>
        <v>Roessinghsbleekweg 35</v>
      </c>
      <c r="D947" s="258" t="str">
        <f>VLOOKUP(Ruimtestaat[[#This Row],[Code]],Locaties[#All],5,FALSE)</f>
        <v>7522 AH</v>
      </c>
      <c r="E947" s="258" t="str">
        <f>VLOOKUP(Ruimtestaat[[#This Row],[Code]],Locaties[#All],6,FALSE)</f>
        <v>Enschede</v>
      </c>
      <c r="F947" s="257"/>
      <c r="G947" s="257" t="s">
        <v>563</v>
      </c>
      <c r="H947" s="171"/>
      <c r="I947" s="257" t="s">
        <v>970</v>
      </c>
      <c r="J947" s="259" t="s">
        <v>623</v>
      </c>
      <c r="K947" s="171">
        <v>20</v>
      </c>
      <c r="L947" s="260" t="str">
        <f>VLOOKUP(Ruimtestaat[[#This Row],[Ruimte code]],Ruimtegroepen[#All],2,FALSE)</f>
        <v>Niet in onderhoud</v>
      </c>
      <c r="M947" s="258"/>
      <c r="N947" s="257"/>
      <c r="O947" s="261"/>
      <c r="P947" s="183"/>
      <c r="Q947" s="212" t="str">
        <f>VLOOKUP(Ruimtestaat[[#This Row],[Ruimte code]],Ruimtegroepen[#All],4,FALSE)</f>
        <v>niet in onderhoud</v>
      </c>
      <c r="R947" s="184"/>
      <c r="S947" s="185"/>
      <c r="T947" s="185"/>
      <c r="U947" s="185">
        <f>IF(S947&gt;0,IF(RIGHT(Ruimtestaat[[#This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47" s="185">
        <f>IF(U947&gt;0,VLOOKUP($K947,Ruimtegroepen[],3,FALSE)*VLOOKUP($M947,Vloersoorten[],3,FALSE)*VLOOKUP($T947,Frequenties[],3,FALSE)*VLOOKUP($A947,Locaties[],3,FALSE),0)</f>
        <v>0</v>
      </c>
      <c r="W947" s="185">
        <f>Ruimtestaat[[#This Row],[Uitvoeringen werkdagen]]*Ruimtestaat[[#This Row],[Oppervlak (netto)]]</f>
        <v>0</v>
      </c>
      <c r="X947" s="220">
        <f>IF(V947&gt;0,Ruimtestaat[[#This Row],[Prest. (m2 /jaar) werkdagen]]/Ruimtestaat[[#This Row],[Norm (m2/uur) werkdagen]],0)</f>
        <v>0</v>
      </c>
      <c r="Y947" s="221">
        <f>Ruimtestaat[[#This Row],[uren / jaar werkdagen]]*Tariefsopbouw!$D$38</f>
        <v>0</v>
      </c>
      <c r="Z947" s="33"/>
      <c r="AA947" s="33">
        <f>IF(Ruimtestaat[[#This Row],[Frequentie weekend]]&gt;0,VALUE(LEFT(Z947,1))*S947,0)</f>
        <v>0</v>
      </c>
      <c r="AB947" s="33">
        <f>IF($AA947&gt;0,VLOOKUP($K947,Ruimtegroepen[],3,FALSE)*VLOOKUP($M947,Vloersoorten[],3,FALSE)*VLOOKUP($Z947,Frequenties[],3,FALSE)*VLOOKUP(#REF!,Locaties[],3,FALSE),0)</f>
        <v>0</v>
      </c>
      <c r="AC947" s="33"/>
      <c r="AD947" s="33"/>
      <c r="AE947" s="33">
        <f>Ruimtestaat[[#This Row],[uren / jaar weekend]]*Tariefsopbouw!$D$40</f>
        <v>0</v>
      </c>
      <c r="AF947" s="79">
        <f>Ruimtestaat[[#This Row],[Prest. (m2 /jaar) weekend]]+Ruimtestaat[[#This Row],[Prest. (m2 /jaar) werkdagen]]</f>
        <v>0</v>
      </c>
      <c r="AG947" s="79">
        <f>Ruimtestaat[[#This Row],[uren / jaar weekend]]+Ruimtestaat[[#This Row],[uren / jaar werkdagen]]</f>
        <v>0</v>
      </c>
      <c r="AH947" s="80">
        <f>Ruimtestaat[[#This Row],[kosten / jaar weekend]]+Ruimtestaat[[#This Row],[kosten / jaar werkdagen]]</f>
        <v>0</v>
      </c>
    </row>
    <row r="948" spans="1:34" ht="15" customHeight="1">
      <c r="A948" s="256">
        <v>12</v>
      </c>
      <c r="B948" s="171" t="str">
        <f>VLOOKUP(Ruimtestaat[[#This Row],[Code]],Locaties[#All],2,FALSE)</f>
        <v>Onderwijscentrum Het Roessingh &amp; De Huifkar</v>
      </c>
      <c r="C948" s="258" t="str">
        <f>VLOOKUP(Ruimtestaat[[#This Row],[Code]],Locaties[#All],4,FALSE)</f>
        <v>Roessinghsbleekweg 35</v>
      </c>
      <c r="D948" s="258" t="str">
        <f>VLOOKUP(Ruimtestaat[[#This Row],[Code]],Locaties[#All],5,FALSE)</f>
        <v>7522 AH</v>
      </c>
      <c r="E948" s="258" t="str">
        <f>VLOOKUP(Ruimtestaat[[#This Row],[Code]],Locaties[#All],6,FALSE)</f>
        <v>Enschede</v>
      </c>
      <c r="F948" s="257"/>
      <c r="G948" s="257" t="s">
        <v>563</v>
      </c>
      <c r="H948" s="171"/>
      <c r="I948" s="257" t="s">
        <v>971</v>
      </c>
      <c r="J948" s="259" t="s">
        <v>770</v>
      </c>
      <c r="K948" s="171">
        <v>5</v>
      </c>
      <c r="L948" s="260" t="str">
        <f>VLOOKUP(Ruimtestaat[[#This Row],[Ruimte code]],Ruimtegroepen[#All],2,FALSE)</f>
        <v>Sanitair</v>
      </c>
      <c r="M948" s="212" t="s">
        <v>111</v>
      </c>
      <c r="N948" s="257" t="s">
        <v>606</v>
      </c>
      <c r="O948" s="261">
        <v>18</v>
      </c>
      <c r="P948" s="183"/>
      <c r="Q948" s="212" t="str">
        <f>VLOOKUP(Ruimtestaat[[#This Row],[Ruimte code]],Ruimtegroepen[#All],4,FALSE)</f>
        <v>S  (Sanitair)</v>
      </c>
      <c r="R948" s="184"/>
      <c r="S948" s="185">
        <v>40</v>
      </c>
      <c r="T948" s="185" t="s">
        <v>2</v>
      </c>
      <c r="U948" s="185">
        <f>IF(S948&gt;0,IF(RIGHT(Ruimtestaat[[#This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8" s="185">
        <f>IF(U948&gt;0,VLOOKUP($K948,Ruimtegroepen[],3,FALSE)*VLOOKUP($M948,Vloersoorten[],3,FALSE)*VLOOKUP($T948,Frequenties[],3,FALSE)*VLOOKUP($A948,Locaties[],3,FALSE),0)</f>
        <v>0</v>
      </c>
      <c r="W948" s="185">
        <f>Ruimtestaat[[#This Row],[Uitvoeringen werkdagen]]*Ruimtestaat[[#This Row],[Oppervlak (netto)]]</f>
        <v>3600</v>
      </c>
      <c r="X948" s="220">
        <f>IF(V948&gt;0,Ruimtestaat[[#This Row],[Prest. (m2 /jaar) werkdagen]]/Ruimtestaat[[#This Row],[Norm (m2/uur) werkdagen]],0)</f>
        <v>0</v>
      </c>
      <c r="Y948" s="221">
        <f>Ruimtestaat[[#This Row],[uren / jaar werkdagen]]*Tariefsopbouw!$D$38</f>
        <v>0</v>
      </c>
      <c r="Z948" s="33"/>
      <c r="AA948" s="33">
        <f>IF(Ruimtestaat[[#This Row],[Frequentie weekend]]&gt;0,VALUE(LEFT(Z948,1))*S948,0)</f>
        <v>0</v>
      </c>
      <c r="AB948" s="33">
        <f>IF($AA948&gt;0,VLOOKUP($K948,Ruimtegroepen[],3,FALSE)*VLOOKUP($M948,Vloersoorten[],3,FALSE)*VLOOKUP($Z948,Frequenties[],3,FALSE)*VLOOKUP(#REF!,Locaties[],3,FALSE),0)</f>
        <v>0</v>
      </c>
      <c r="AC948" s="33"/>
      <c r="AD948" s="33"/>
      <c r="AE948" s="33">
        <f>Ruimtestaat[[#This Row],[uren / jaar weekend]]*Tariefsopbouw!$D$40</f>
        <v>0</v>
      </c>
      <c r="AF948" s="79">
        <f>Ruimtestaat[[#This Row],[Prest. (m2 /jaar) weekend]]+Ruimtestaat[[#This Row],[Prest. (m2 /jaar) werkdagen]]</f>
        <v>3600</v>
      </c>
      <c r="AG948" s="79">
        <f>Ruimtestaat[[#This Row],[uren / jaar weekend]]+Ruimtestaat[[#This Row],[uren / jaar werkdagen]]</f>
        <v>0</v>
      </c>
      <c r="AH948" s="80">
        <f>Ruimtestaat[[#This Row],[kosten / jaar weekend]]+Ruimtestaat[[#This Row],[kosten / jaar werkdagen]]</f>
        <v>0</v>
      </c>
    </row>
    <row r="949" spans="1:34" ht="15" customHeight="1">
      <c r="A949" s="256">
        <v>12</v>
      </c>
      <c r="B949" s="171" t="str">
        <f>VLOOKUP(Ruimtestaat[[#This Row],[Code]],Locaties[#All],2,FALSE)</f>
        <v>Onderwijscentrum Het Roessingh &amp; De Huifkar</v>
      </c>
      <c r="C949" s="258" t="str">
        <f>VLOOKUP(Ruimtestaat[[#This Row],[Code]],Locaties[#All],4,FALSE)</f>
        <v>Roessinghsbleekweg 35</v>
      </c>
      <c r="D949" s="258" t="str">
        <f>VLOOKUP(Ruimtestaat[[#This Row],[Code]],Locaties[#All],5,FALSE)</f>
        <v>7522 AH</v>
      </c>
      <c r="E949" s="258" t="str">
        <f>VLOOKUP(Ruimtestaat[[#This Row],[Code]],Locaties[#All],6,FALSE)</f>
        <v>Enschede</v>
      </c>
      <c r="F949" s="257"/>
      <c r="G949" s="257" t="s">
        <v>563</v>
      </c>
      <c r="H949" s="171"/>
      <c r="I949" s="257" t="s">
        <v>972</v>
      </c>
      <c r="J949" s="259" t="s">
        <v>569</v>
      </c>
      <c r="K949" s="258">
        <v>5</v>
      </c>
      <c r="L949" s="260" t="str">
        <f>VLOOKUP(Ruimtestaat[[#This Row],[Ruimte code]],Ruimtegroepen[#All],2,FALSE)</f>
        <v>Sanitair</v>
      </c>
      <c r="M949" s="212" t="s">
        <v>111</v>
      </c>
      <c r="N949" s="257" t="s">
        <v>606</v>
      </c>
      <c r="O949" s="261">
        <v>5</v>
      </c>
      <c r="P949" s="183"/>
      <c r="Q949" s="212" t="str">
        <f>VLOOKUP(Ruimtestaat[[#This Row],[Ruimte code]],Ruimtegroepen[#All],4,FALSE)</f>
        <v>S  (Sanitair)</v>
      </c>
      <c r="R949" s="184"/>
      <c r="S949" s="185">
        <v>40</v>
      </c>
      <c r="T949" s="185" t="s">
        <v>2</v>
      </c>
      <c r="U949" s="185">
        <f>IF(S949&gt;0,IF(RIGHT(Ruimtestaat[[#This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9" s="185">
        <f>IF(U949&gt;0,VLOOKUP($K949,Ruimtegroepen[],3,FALSE)*VLOOKUP($M949,Vloersoorten[],3,FALSE)*VLOOKUP($T949,Frequenties[],3,FALSE)*VLOOKUP($A949,Locaties[],3,FALSE),0)</f>
        <v>0</v>
      </c>
      <c r="W949" s="185">
        <f>Ruimtestaat[[#This Row],[Uitvoeringen werkdagen]]*Ruimtestaat[[#This Row],[Oppervlak (netto)]]</f>
        <v>1000</v>
      </c>
      <c r="X949" s="220">
        <f>IF(V949&gt;0,Ruimtestaat[[#This Row],[Prest. (m2 /jaar) werkdagen]]/Ruimtestaat[[#This Row],[Norm (m2/uur) werkdagen]],0)</f>
        <v>0</v>
      </c>
      <c r="Y949" s="221">
        <f>Ruimtestaat[[#This Row],[uren / jaar werkdagen]]*Tariefsopbouw!$D$38</f>
        <v>0</v>
      </c>
      <c r="Z949" s="33"/>
      <c r="AA949" s="33">
        <f>IF(Ruimtestaat[[#This Row],[Frequentie weekend]]&gt;0,VALUE(LEFT(Z949,1))*S949,0)</f>
        <v>0</v>
      </c>
      <c r="AB949" s="33">
        <f>IF($AA949&gt;0,VLOOKUP($K949,Ruimtegroepen[],3,FALSE)*VLOOKUP($M949,Vloersoorten[],3,FALSE)*VLOOKUP($Z949,Frequenties[],3,FALSE)*VLOOKUP(#REF!,Locaties[],3,FALSE),0)</f>
        <v>0</v>
      </c>
      <c r="AC949" s="33"/>
      <c r="AD949" s="33"/>
      <c r="AE949" s="33">
        <f>Ruimtestaat[[#This Row],[uren / jaar weekend]]*Tariefsopbouw!$D$40</f>
        <v>0</v>
      </c>
      <c r="AF949" s="79">
        <f>Ruimtestaat[[#This Row],[Prest. (m2 /jaar) weekend]]+Ruimtestaat[[#This Row],[Prest. (m2 /jaar) werkdagen]]</f>
        <v>1000</v>
      </c>
      <c r="AG949" s="79">
        <f>Ruimtestaat[[#This Row],[uren / jaar weekend]]+Ruimtestaat[[#This Row],[uren / jaar werkdagen]]</f>
        <v>0</v>
      </c>
      <c r="AH949" s="80">
        <f>Ruimtestaat[[#This Row],[kosten / jaar weekend]]+Ruimtestaat[[#This Row],[kosten / jaar werkdagen]]</f>
        <v>0</v>
      </c>
    </row>
    <row r="950" spans="1:34" ht="15" customHeight="1">
      <c r="A950" s="256">
        <v>12</v>
      </c>
      <c r="B950" s="171" t="str">
        <f>VLOOKUP(Ruimtestaat[[#This Row],[Code]],Locaties[#All],2,FALSE)</f>
        <v>Onderwijscentrum Het Roessingh &amp; De Huifkar</v>
      </c>
      <c r="C950" s="258" t="str">
        <f>VLOOKUP(Ruimtestaat[[#This Row],[Code]],Locaties[#All],4,FALSE)</f>
        <v>Roessinghsbleekweg 35</v>
      </c>
      <c r="D950" s="258" t="str">
        <f>VLOOKUP(Ruimtestaat[[#This Row],[Code]],Locaties[#All],5,FALSE)</f>
        <v>7522 AH</v>
      </c>
      <c r="E950" s="258" t="str">
        <f>VLOOKUP(Ruimtestaat[[#This Row],[Code]],Locaties[#All],6,FALSE)</f>
        <v>Enschede</v>
      </c>
      <c r="F950" s="257"/>
      <c r="G950" s="257" t="s">
        <v>563</v>
      </c>
      <c r="H950" s="171"/>
      <c r="I950" s="257" t="s">
        <v>973</v>
      </c>
      <c r="J950" s="259" t="s">
        <v>569</v>
      </c>
      <c r="K950" s="258">
        <v>5</v>
      </c>
      <c r="L950" s="260" t="str">
        <f>VLOOKUP(Ruimtestaat[[#This Row],[Ruimte code]],Ruimtegroepen[#All],2,FALSE)</f>
        <v>Sanitair</v>
      </c>
      <c r="M950" s="212" t="s">
        <v>111</v>
      </c>
      <c r="N950" s="257" t="s">
        <v>606</v>
      </c>
      <c r="O950" s="261">
        <v>5</v>
      </c>
      <c r="P950" s="183"/>
      <c r="Q950" s="212" t="str">
        <f>VLOOKUP(Ruimtestaat[[#This Row],[Ruimte code]],Ruimtegroepen[#All],4,FALSE)</f>
        <v>S  (Sanitair)</v>
      </c>
      <c r="R950" s="184"/>
      <c r="S950" s="185">
        <v>40</v>
      </c>
      <c r="T950" s="185" t="s">
        <v>2</v>
      </c>
      <c r="U950" s="185">
        <f>IF(S950&gt;0,IF(RIGHT(Ruimtestaat[[#This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0" s="185">
        <f>IF(U950&gt;0,VLOOKUP($K950,Ruimtegroepen[],3,FALSE)*VLOOKUP($M950,Vloersoorten[],3,FALSE)*VLOOKUP($T950,Frequenties[],3,FALSE)*VLOOKUP($A950,Locaties[],3,FALSE),0)</f>
        <v>0</v>
      </c>
      <c r="W950" s="185">
        <f>Ruimtestaat[[#This Row],[Uitvoeringen werkdagen]]*Ruimtestaat[[#This Row],[Oppervlak (netto)]]</f>
        <v>1000</v>
      </c>
      <c r="X950" s="220">
        <f>IF(V950&gt;0,Ruimtestaat[[#This Row],[Prest. (m2 /jaar) werkdagen]]/Ruimtestaat[[#This Row],[Norm (m2/uur) werkdagen]],0)</f>
        <v>0</v>
      </c>
      <c r="Y950" s="221">
        <f>Ruimtestaat[[#This Row],[uren / jaar werkdagen]]*Tariefsopbouw!$D$38</f>
        <v>0</v>
      </c>
      <c r="Z950" s="33"/>
      <c r="AA950" s="33">
        <f>IF(Ruimtestaat[[#This Row],[Frequentie weekend]]&gt;0,VALUE(LEFT(Z950,1))*S950,0)</f>
        <v>0</v>
      </c>
      <c r="AB950" s="33">
        <f>IF($AA950&gt;0,VLOOKUP($K950,Ruimtegroepen[],3,FALSE)*VLOOKUP($M950,Vloersoorten[],3,FALSE)*VLOOKUP($Z950,Frequenties[],3,FALSE)*VLOOKUP(#REF!,Locaties[],3,FALSE),0)</f>
        <v>0</v>
      </c>
      <c r="AC950" s="33"/>
      <c r="AD950" s="33"/>
      <c r="AE950" s="33">
        <f>Ruimtestaat[[#This Row],[uren / jaar weekend]]*Tariefsopbouw!$D$40</f>
        <v>0</v>
      </c>
      <c r="AF950" s="79">
        <f>Ruimtestaat[[#This Row],[Prest. (m2 /jaar) weekend]]+Ruimtestaat[[#This Row],[Prest. (m2 /jaar) werkdagen]]</f>
        <v>1000</v>
      </c>
      <c r="AG950" s="79">
        <f>Ruimtestaat[[#This Row],[uren / jaar weekend]]+Ruimtestaat[[#This Row],[uren / jaar werkdagen]]</f>
        <v>0</v>
      </c>
      <c r="AH950" s="80">
        <f>Ruimtestaat[[#This Row],[kosten / jaar weekend]]+Ruimtestaat[[#This Row],[kosten / jaar werkdagen]]</f>
        <v>0</v>
      </c>
    </row>
    <row r="951" spans="1:34" ht="15" customHeight="1">
      <c r="A951" s="256">
        <v>12</v>
      </c>
      <c r="B951" s="171" t="str">
        <f>VLOOKUP(Ruimtestaat[[#This Row],[Code]],Locaties[#All],2,FALSE)</f>
        <v>Onderwijscentrum Het Roessingh &amp; De Huifkar</v>
      </c>
      <c r="C951" s="258" t="str">
        <f>VLOOKUP(Ruimtestaat[[#This Row],[Code]],Locaties[#All],4,FALSE)</f>
        <v>Roessinghsbleekweg 35</v>
      </c>
      <c r="D951" s="258" t="str">
        <f>VLOOKUP(Ruimtestaat[[#This Row],[Code]],Locaties[#All],5,FALSE)</f>
        <v>7522 AH</v>
      </c>
      <c r="E951" s="258" t="str">
        <f>VLOOKUP(Ruimtestaat[[#This Row],[Code]],Locaties[#All],6,FALSE)</f>
        <v>Enschede</v>
      </c>
      <c r="F951" s="257"/>
      <c r="G951" s="257" t="s">
        <v>563</v>
      </c>
      <c r="H951" s="171"/>
      <c r="I951" s="257" t="s">
        <v>974</v>
      </c>
      <c r="J951" s="259" t="s">
        <v>975</v>
      </c>
      <c r="K951" s="171">
        <v>16</v>
      </c>
      <c r="L951" s="260" t="str">
        <f>VLOOKUP(Ruimtestaat[[#This Row],[Ruimte code]],Ruimtegroepen[#All],2,FALSE)</f>
        <v>Leslokalen</v>
      </c>
      <c r="M951" s="258" t="s">
        <v>598</v>
      </c>
      <c r="N951" s="257" t="s">
        <v>132</v>
      </c>
      <c r="O951" s="261">
        <v>27</v>
      </c>
      <c r="P951" s="183"/>
      <c r="Q951" s="212" t="str">
        <f>VLOOKUP(Ruimtestaat[[#This Row],[Ruimte code]],Ruimtegroepen[#All],4,FALSE)</f>
        <v>L  (Lesruimte)</v>
      </c>
      <c r="R951" s="184"/>
      <c r="S951" s="185">
        <v>40</v>
      </c>
      <c r="T951" s="185" t="s">
        <v>2</v>
      </c>
      <c r="U951" s="185">
        <f>IF(S951&gt;0,IF(RIGHT(Ruimtestaat[[#This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1" s="185">
        <f>IF(U951&gt;0,VLOOKUP($K951,Ruimtegroepen[],3,FALSE)*VLOOKUP($M951,Vloersoorten[],3,FALSE)*VLOOKUP($T951,Frequenties[],3,FALSE)*VLOOKUP($A951,Locaties[],3,FALSE),0)</f>
        <v>0</v>
      </c>
      <c r="W951" s="185">
        <f>Ruimtestaat[[#This Row],[Uitvoeringen werkdagen]]*Ruimtestaat[[#This Row],[Oppervlak (netto)]]</f>
        <v>5400</v>
      </c>
      <c r="X951" s="220">
        <f>IF(V951&gt;0,Ruimtestaat[[#This Row],[Prest. (m2 /jaar) werkdagen]]/Ruimtestaat[[#This Row],[Norm (m2/uur) werkdagen]],0)</f>
        <v>0</v>
      </c>
      <c r="Y951" s="221">
        <f>Ruimtestaat[[#This Row],[uren / jaar werkdagen]]*Tariefsopbouw!$D$38</f>
        <v>0</v>
      </c>
      <c r="Z951" s="33"/>
      <c r="AA951" s="33">
        <f>IF(Ruimtestaat[[#This Row],[Frequentie weekend]]&gt;0,VALUE(LEFT(Z951,1))*S951,0)</f>
        <v>0</v>
      </c>
      <c r="AB951" s="33">
        <f>IF($AA951&gt;0,VLOOKUP($K951,Ruimtegroepen[],3,FALSE)*VLOOKUP($M951,Vloersoorten[],3,FALSE)*VLOOKUP($Z951,Frequenties[],3,FALSE)*VLOOKUP(#REF!,Locaties[],3,FALSE),0)</f>
        <v>0</v>
      </c>
      <c r="AC951" s="33"/>
      <c r="AD951" s="33"/>
      <c r="AE951" s="33">
        <f>Ruimtestaat[[#This Row],[uren / jaar weekend]]*Tariefsopbouw!$D$40</f>
        <v>0</v>
      </c>
      <c r="AF951" s="79">
        <f>Ruimtestaat[[#This Row],[Prest. (m2 /jaar) weekend]]+Ruimtestaat[[#This Row],[Prest. (m2 /jaar) werkdagen]]</f>
        <v>5400</v>
      </c>
      <c r="AG951" s="79">
        <f>Ruimtestaat[[#This Row],[uren / jaar weekend]]+Ruimtestaat[[#This Row],[uren / jaar werkdagen]]</f>
        <v>0</v>
      </c>
      <c r="AH951" s="80">
        <f>Ruimtestaat[[#This Row],[kosten / jaar weekend]]+Ruimtestaat[[#This Row],[kosten / jaar werkdagen]]</f>
        <v>0</v>
      </c>
    </row>
    <row r="952" spans="1:34" ht="15" customHeight="1">
      <c r="A952" s="256">
        <v>12</v>
      </c>
      <c r="B952" s="171" t="str">
        <f>VLOOKUP(Ruimtestaat[[#This Row],[Code]],Locaties[#All],2,FALSE)</f>
        <v>Onderwijscentrum Het Roessingh &amp; De Huifkar</v>
      </c>
      <c r="C952" s="258" t="str">
        <f>VLOOKUP(Ruimtestaat[[#This Row],[Code]],Locaties[#All],4,FALSE)</f>
        <v>Roessinghsbleekweg 35</v>
      </c>
      <c r="D952" s="258" t="str">
        <f>VLOOKUP(Ruimtestaat[[#This Row],[Code]],Locaties[#All],5,FALSE)</f>
        <v>7522 AH</v>
      </c>
      <c r="E952" s="258" t="str">
        <f>VLOOKUP(Ruimtestaat[[#This Row],[Code]],Locaties[#All],6,FALSE)</f>
        <v>Enschede</v>
      </c>
      <c r="F952" s="257"/>
      <c r="G952" s="257" t="s">
        <v>563</v>
      </c>
      <c r="H952" s="171"/>
      <c r="I952" s="257" t="s">
        <v>976</v>
      </c>
      <c r="J952" s="259" t="s">
        <v>977</v>
      </c>
      <c r="K952" s="258">
        <v>9</v>
      </c>
      <c r="L952" s="260" t="str">
        <f>VLOOKUP(Ruimtestaat[[#This Row],[Ruimte code]],Ruimtegroepen[#All],2,FALSE)</f>
        <v>Time-out ruimte</v>
      </c>
      <c r="M952" s="185" t="s">
        <v>597</v>
      </c>
      <c r="N952" s="257" t="s">
        <v>38</v>
      </c>
      <c r="O952" s="261">
        <v>18</v>
      </c>
      <c r="P952" s="183"/>
      <c r="Q952" s="212" t="str">
        <f>VLOOKUP(Ruimtestaat[[#This Row],[Ruimte code]],Ruimtegroepen[#All],4,FALSE)</f>
        <v>V  (Verkeersruimte)</v>
      </c>
      <c r="R952" s="184"/>
      <c r="S952" s="185">
        <v>40</v>
      </c>
      <c r="T952" s="185" t="s">
        <v>18</v>
      </c>
      <c r="U952" s="185">
        <f>IF(S952&gt;0,IF(RIGHT(Ruimtestaat[[#This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952" s="185">
        <f>IF(U952&gt;0,VLOOKUP($K952,Ruimtegroepen[],3,FALSE)*VLOOKUP($M952,Vloersoorten[],3,FALSE)*VLOOKUP($T952,Frequenties[],3,FALSE)*VLOOKUP($A952,Locaties[],3,FALSE),0)</f>
        <v>0</v>
      </c>
      <c r="W952" s="185">
        <f>Ruimtestaat[[#This Row],[Uitvoeringen werkdagen]]*Ruimtestaat[[#This Row],[Oppervlak (netto)]]</f>
        <v>2160</v>
      </c>
      <c r="X952" s="220">
        <f>IF(V952&gt;0,Ruimtestaat[[#This Row],[Prest. (m2 /jaar) werkdagen]]/Ruimtestaat[[#This Row],[Norm (m2/uur) werkdagen]],0)</f>
        <v>0</v>
      </c>
      <c r="Y952" s="221">
        <f>Ruimtestaat[[#This Row],[uren / jaar werkdagen]]*Tariefsopbouw!$D$38</f>
        <v>0</v>
      </c>
      <c r="Z952" s="33"/>
      <c r="AA952" s="33">
        <f>IF(Ruimtestaat[[#This Row],[Frequentie weekend]]&gt;0,VALUE(LEFT(Z952,1))*S952,0)</f>
        <v>0</v>
      </c>
      <c r="AB952" s="33">
        <f>IF($AA952&gt;0,VLOOKUP($K952,Ruimtegroepen[],3,FALSE)*VLOOKUP($M952,Vloersoorten[],3,FALSE)*VLOOKUP($Z952,Frequenties[],3,FALSE)*VLOOKUP(#REF!,Locaties[],3,FALSE),0)</f>
        <v>0</v>
      </c>
      <c r="AC952" s="33"/>
      <c r="AD952" s="33"/>
      <c r="AE952" s="33">
        <f>Ruimtestaat[[#This Row],[uren / jaar weekend]]*Tariefsopbouw!$D$40</f>
        <v>0</v>
      </c>
      <c r="AF952" s="79">
        <f>Ruimtestaat[[#This Row],[Prest. (m2 /jaar) weekend]]+Ruimtestaat[[#This Row],[Prest. (m2 /jaar) werkdagen]]</f>
        <v>2160</v>
      </c>
      <c r="AG952" s="79">
        <f>Ruimtestaat[[#This Row],[uren / jaar weekend]]+Ruimtestaat[[#This Row],[uren / jaar werkdagen]]</f>
        <v>0</v>
      </c>
      <c r="AH952" s="80">
        <f>Ruimtestaat[[#This Row],[kosten / jaar weekend]]+Ruimtestaat[[#This Row],[kosten / jaar werkdagen]]</f>
        <v>0</v>
      </c>
    </row>
    <row r="953" spans="1:34" ht="15" customHeight="1">
      <c r="A953" s="256">
        <v>12</v>
      </c>
      <c r="B953" s="171" t="str">
        <f>VLOOKUP(Ruimtestaat[[#This Row],[Code]],Locaties[#All],2,FALSE)</f>
        <v>Onderwijscentrum Het Roessingh &amp; De Huifkar</v>
      </c>
      <c r="C953" s="258" t="str">
        <f>VLOOKUP(Ruimtestaat[[#This Row],[Code]],Locaties[#All],4,FALSE)</f>
        <v>Roessinghsbleekweg 35</v>
      </c>
      <c r="D953" s="258" t="str">
        <f>VLOOKUP(Ruimtestaat[[#This Row],[Code]],Locaties[#All],5,FALSE)</f>
        <v>7522 AH</v>
      </c>
      <c r="E953" s="258" t="str">
        <f>VLOOKUP(Ruimtestaat[[#This Row],[Code]],Locaties[#All],6,FALSE)</f>
        <v>Enschede</v>
      </c>
      <c r="F953" s="257"/>
      <c r="G953" s="257" t="s">
        <v>563</v>
      </c>
      <c r="H953" s="171"/>
      <c r="I953" s="257" t="s">
        <v>978</v>
      </c>
      <c r="J953" s="259" t="s">
        <v>586</v>
      </c>
      <c r="K953" s="171">
        <v>20</v>
      </c>
      <c r="L953" s="260" t="str">
        <f>VLOOKUP(Ruimtestaat[[#This Row],[Ruimte code]],Ruimtegroepen[#All],2,FALSE)</f>
        <v>Niet in onderhoud</v>
      </c>
      <c r="M953" s="258"/>
      <c r="N953" s="257"/>
      <c r="O953" s="261"/>
      <c r="P953" s="183"/>
      <c r="Q953" s="212" t="str">
        <f>VLOOKUP(Ruimtestaat[[#This Row],[Ruimte code]],Ruimtegroepen[#All],4,FALSE)</f>
        <v>niet in onderhoud</v>
      </c>
      <c r="R953" s="184"/>
      <c r="S953" s="185"/>
      <c r="T953" s="185"/>
      <c r="U953" s="185">
        <f>IF(S953&gt;0,IF(RIGHT(Ruimtestaat[[#This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53" s="185">
        <f>IF(U953&gt;0,VLOOKUP($K953,Ruimtegroepen[],3,FALSE)*VLOOKUP($M953,Vloersoorten[],3,FALSE)*VLOOKUP($T953,Frequenties[],3,FALSE)*VLOOKUP($A953,Locaties[],3,FALSE),0)</f>
        <v>0</v>
      </c>
      <c r="W953" s="185">
        <f>Ruimtestaat[[#This Row],[Uitvoeringen werkdagen]]*Ruimtestaat[[#This Row],[Oppervlak (netto)]]</f>
        <v>0</v>
      </c>
      <c r="X953" s="220">
        <f>IF(V953&gt;0,Ruimtestaat[[#This Row],[Prest. (m2 /jaar) werkdagen]]/Ruimtestaat[[#This Row],[Norm (m2/uur) werkdagen]],0)</f>
        <v>0</v>
      </c>
      <c r="Y953" s="221">
        <f>Ruimtestaat[[#This Row],[uren / jaar werkdagen]]*Tariefsopbouw!$D$38</f>
        <v>0</v>
      </c>
      <c r="Z953" s="33"/>
      <c r="AA953" s="33">
        <f>IF(Ruimtestaat[[#This Row],[Frequentie weekend]]&gt;0,VALUE(LEFT(Z953,1))*S953,0)</f>
        <v>0</v>
      </c>
      <c r="AB953" s="33">
        <f>IF($AA953&gt;0,VLOOKUP($K953,Ruimtegroepen[],3,FALSE)*VLOOKUP($M953,Vloersoorten[],3,FALSE)*VLOOKUP($Z953,Frequenties[],3,FALSE)*VLOOKUP(#REF!,Locaties[],3,FALSE),0)</f>
        <v>0</v>
      </c>
      <c r="AC953" s="33"/>
      <c r="AD953" s="33"/>
      <c r="AE953" s="33">
        <f>Ruimtestaat[[#This Row],[uren / jaar weekend]]*Tariefsopbouw!$D$40</f>
        <v>0</v>
      </c>
      <c r="AF953" s="79">
        <f>Ruimtestaat[[#This Row],[Prest. (m2 /jaar) weekend]]+Ruimtestaat[[#This Row],[Prest. (m2 /jaar) werkdagen]]</f>
        <v>0</v>
      </c>
      <c r="AG953" s="79">
        <f>Ruimtestaat[[#This Row],[uren / jaar weekend]]+Ruimtestaat[[#This Row],[uren / jaar werkdagen]]</f>
        <v>0</v>
      </c>
      <c r="AH953" s="80">
        <f>Ruimtestaat[[#This Row],[kosten / jaar weekend]]+Ruimtestaat[[#This Row],[kosten / jaar werkdagen]]</f>
        <v>0</v>
      </c>
    </row>
    <row r="954" spans="1:34" ht="15" customHeight="1">
      <c r="A954" s="256">
        <v>12</v>
      </c>
      <c r="B954" s="171" t="str">
        <f>VLOOKUP(Ruimtestaat[[#This Row],[Code]],Locaties[#All],2,FALSE)</f>
        <v>Onderwijscentrum Het Roessingh &amp; De Huifkar</v>
      </c>
      <c r="C954" s="258" t="str">
        <f>VLOOKUP(Ruimtestaat[[#This Row],[Code]],Locaties[#All],4,FALSE)</f>
        <v>Roessinghsbleekweg 35</v>
      </c>
      <c r="D954" s="258" t="str">
        <f>VLOOKUP(Ruimtestaat[[#This Row],[Code]],Locaties[#All],5,FALSE)</f>
        <v>7522 AH</v>
      </c>
      <c r="E954" s="258" t="str">
        <f>VLOOKUP(Ruimtestaat[[#This Row],[Code]],Locaties[#All],6,FALSE)</f>
        <v>Enschede</v>
      </c>
      <c r="F954" s="257"/>
      <c r="G954" s="257" t="s">
        <v>563</v>
      </c>
      <c r="H954" s="171"/>
      <c r="I954" s="257" t="s">
        <v>979</v>
      </c>
      <c r="J954" s="259" t="s">
        <v>619</v>
      </c>
      <c r="K954" s="171">
        <v>20</v>
      </c>
      <c r="L954" s="260" t="str">
        <f>VLOOKUP(Ruimtestaat[[#This Row],[Ruimte code]],Ruimtegroepen[#All],2,FALSE)</f>
        <v>Niet in onderhoud</v>
      </c>
      <c r="M954" s="212" t="s">
        <v>111</v>
      </c>
      <c r="N954" s="257" t="s">
        <v>606</v>
      </c>
      <c r="O954" s="261"/>
      <c r="P954" s="183">
        <v>13</v>
      </c>
      <c r="Q954" s="212" t="str">
        <f>VLOOKUP(Ruimtestaat[[#This Row],[Ruimte code]],Ruimtegroepen[#All],4,FALSE)</f>
        <v>niet in onderhoud</v>
      </c>
      <c r="R954" s="184"/>
      <c r="S954" s="185"/>
      <c r="T954" s="185"/>
      <c r="U954" s="185">
        <f>IF(S954&gt;0,IF(RIGHT(Ruimtestaat[[#This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54" s="185">
        <f>IF(U954&gt;0,VLOOKUP($K954,Ruimtegroepen[],3,FALSE)*VLOOKUP($M954,Vloersoorten[],3,FALSE)*VLOOKUP($T954,Frequenties[],3,FALSE)*VLOOKUP($A954,Locaties[],3,FALSE),0)</f>
        <v>0</v>
      </c>
      <c r="W954" s="185">
        <f>Ruimtestaat[[#This Row],[Uitvoeringen werkdagen]]*Ruimtestaat[[#This Row],[Oppervlak (netto)]]</f>
        <v>0</v>
      </c>
      <c r="X954" s="220">
        <f>IF(V954&gt;0,Ruimtestaat[[#This Row],[Prest. (m2 /jaar) werkdagen]]/Ruimtestaat[[#This Row],[Norm (m2/uur) werkdagen]],0)</f>
        <v>0</v>
      </c>
      <c r="Y954" s="221">
        <f>Ruimtestaat[[#This Row],[uren / jaar werkdagen]]*Tariefsopbouw!$D$38</f>
        <v>0</v>
      </c>
      <c r="Z954" s="33"/>
      <c r="AA954" s="33">
        <f>IF(Ruimtestaat[[#This Row],[Frequentie weekend]]&gt;0,VALUE(LEFT(Z954,1))*S954,0)</f>
        <v>0</v>
      </c>
      <c r="AB954" s="33">
        <f>IF($AA954&gt;0,VLOOKUP($K954,Ruimtegroepen[],3,FALSE)*VLOOKUP($M954,Vloersoorten[],3,FALSE)*VLOOKUP($Z954,Frequenties[],3,FALSE)*VLOOKUP(#REF!,Locaties[],3,FALSE),0)</f>
        <v>0</v>
      </c>
      <c r="AC954" s="33"/>
      <c r="AD954" s="33"/>
      <c r="AE954" s="33">
        <f>Ruimtestaat[[#This Row],[uren / jaar weekend]]*Tariefsopbouw!$D$40</f>
        <v>0</v>
      </c>
      <c r="AF954" s="79">
        <f>Ruimtestaat[[#This Row],[Prest. (m2 /jaar) weekend]]+Ruimtestaat[[#This Row],[Prest. (m2 /jaar) werkdagen]]</f>
        <v>0</v>
      </c>
      <c r="AG954" s="79">
        <f>Ruimtestaat[[#This Row],[uren / jaar weekend]]+Ruimtestaat[[#This Row],[uren / jaar werkdagen]]</f>
        <v>0</v>
      </c>
      <c r="AH954" s="80">
        <f>Ruimtestaat[[#This Row],[kosten / jaar weekend]]+Ruimtestaat[[#This Row],[kosten / jaar werkdagen]]</f>
        <v>0</v>
      </c>
    </row>
    <row r="955" spans="1:34" ht="15" customHeight="1">
      <c r="A955" s="256">
        <v>12</v>
      </c>
      <c r="B955" s="171" t="str">
        <f>VLOOKUP(Ruimtestaat[[#This Row],[Code]],Locaties[#All],2,FALSE)</f>
        <v>Onderwijscentrum Het Roessingh &amp; De Huifkar</v>
      </c>
      <c r="C955" s="258" t="str">
        <f>VLOOKUP(Ruimtestaat[[#This Row],[Code]],Locaties[#All],4,FALSE)</f>
        <v>Roessinghsbleekweg 35</v>
      </c>
      <c r="D955" s="258" t="str">
        <f>VLOOKUP(Ruimtestaat[[#This Row],[Code]],Locaties[#All],5,FALSE)</f>
        <v>7522 AH</v>
      </c>
      <c r="E955" s="258" t="str">
        <f>VLOOKUP(Ruimtestaat[[#This Row],[Code]],Locaties[#All],6,FALSE)</f>
        <v>Enschede</v>
      </c>
      <c r="F955" s="257"/>
      <c r="G955" s="257" t="s">
        <v>563</v>
      </c>
      <c r="H955" s="171"/>
      <c r="I955" s="257" t="s">
        <v>980</v>
      </c>
      <c r="J955" s="259" t="s">
        <v>599</v>
      </c>
      <c r="K955" s="258">
        <v>12</v>
      </c>
      <c r="L955" s="260" t="str">
        <f>VLOOKUP(Ruimtestaat[[#This Row],[Ruimte code]],Ruimtegroepen[#All],2,FALSE)</f>
        <v>Kantine</v>
      </c>
      <c r="M955" s="212" t="s">
        <v>111</v>
      </c>
      <c r="N955" s="257" t="s">
        <v>606</v>
      </c>
      <c r="O955" s="261">
        <v>45</v>
      </c>
      <c r="P955" s="183"/>
      <c r="Q955" s="212" t="str">
        <f>VLOOKUP(Ruimtestaat[[#This Row],[Ruimte code]],Ruimtegroepen[#All],4,FALSE)</f>
        <v>V  (Verkeersruimte)</v>
      </c>
      <c r="R955" s="184"/>
      <c r="S955" s="185">
        <v>40</v>
      </c>
      <c r="T955" s="185" t="s">
        <v>2</v>
      </c>
      <c r="U955" s="185">
        <f>IF(S955&gt;0,IF(RIGHT(Ruimtestaat[[#This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5" s="185">
        <f>IF(U955&gt;0,VLOOKUP($K955,Ruimtegroepen[],3,FALSE)*VLOOKUP($M955,Vloersoorten[],3,FALSE)*VLOOKUP($T955,Frequenties[],3,FALSE)*VLOOKUP($A955,Locaties[],3,FALSE),0)</f>
        <v>0</v>
      </c>
      <c r="W955" s="185">
        <f>Ruimtestaat[[#This Row],[Uitvoeringen werkdagen]]*Ruimtestaat[[#This Row],[Oppervlak (netto)]]</f>
        <v>9000</v>
      </c>
      <c r="X955" s="220">
        <f>IF(V955&gt;0,Ruimtestaat[[#This Row],[Prest. (m2 /jaar) werkdagen]]/Ruimtestaat[[#This Row],[Norm (m2/uur) werkdagen]],0)</f>
        <v>0</v>
      </c>
      <c r="Y955" s="221">
        <f>Ruimtestaat[[#This Row],[uren / jaar werkdagen]]*Tariefsopbouw!$D$38</f>
        <v>0</v>
      </c>
      <c r="Z955" s="33"/>
      <c r="AA955" s="33">
        <f>IF(Ruimtestaat[[#This Row],[Frequentie weekend]]&gt;0,VALUE(LEFT(Z955,1))*S955,0)</f>
        <v>0</v>
      </c>
      <c r="AB955" s="33">
        <f>IF($AA955&gt;0,VLOOKUP($K955,Ruimtegroepen[],3,FALSE)*VLOOKUP($M955,Vloersoorten[],3,FALSE)*VLOOKUP($Z955,Frequenties[],3,FALSE)*VLOOKUP(#REF!,Locaties[],3,FALSE),0)</f>
        <v>0</v>
      </c>
      <c r="AC955" s="33"/>
      <c r="AD955" s="33"/>
      <c r="AE955" s="33">
        <f>Ruimtestaat[[#This Row],[uren / jaar weekend]]*Tariefsopbouw!$D$40</f>
        <v>0</v>
      </c>
      <c r="AF955" s="79">
        <f>Ruimtestaat[[#This Row],[Prest. (m2 /jaar) weekend]]+Ruimtestaat[[#This Row],[Prest. (m2 /jaar) werkdagen]]</f>
        <v>9000</v>
      </c>
      <c r="AG955" s="79">
        <f>Ruimtestaat[[#This Row],[uren / jaar weekend]]+Ruimtestaat[[#This Row],[uren / jaar werkdagen]]</f>
        <v>0</v>
      </c>
      <c r="AH955" s="80">
        <f>Ruimtestaat[[#This Row],[kosten / jaar weekend]]+Ruimtestaat[[#This Row],[kosten / jaar werkdagen]]</f>
        <v>0</v>
      </c>
    </row>
    <row r="956" spans="1:34" ht="15" customHeight="1">
      <c r="A956" s="256">
        <v>12</v>
      </c>
      <c r="B956" s="171" t="str">
        <f>VLOOKUP(Ruimtestaat[[#This Row],[Code]],Locaties[#All],2,FALSE)</f>
        <v>Onderwijscentrum Het Roessingh &amp; De Huifkar</v>
      </c>
      <c r="C956" s="258" t="str">
        <f>VLOOKUP(Ruimtestaat[[#This Row],[Code]],Locaties[#All],4,FALSE)</f>
        <v>Roessinghsbleekweg 35</v>
      </c>
      <c r="D956" s="258" t="str">
        <f>VLOOKUP(Ruimtestaat[[#This Row],[Code]],Locaties[#All],5,FALSE)</f>
        <v>7522 AH</v>
      </c>
      <c r="E956" s="258" t="str">
        <f>VLOOKUP(Ruimtestaat[[#This Row],[Code]],Locaties[#All],6,FALSE)</f>
        <v>Enschede</v>
      </c>
      <c r="F956" s="257"/>
      <c r="G956" s="257" t="s">
        <v>563</v>
      </c>
      <c r="H956" s="171"/>
      <c r="I956" s="257" t="s">
        <v>981</v>
      </c>
      <c r="J956" s="259" t="s">
        <v>422</v>
      </c>
      <c r="K956" s="171">
        <v>14</v>
      </c>
      <c r="L956" s="260" t="str">
        <f>VLOOKUP(Ruimtestaat[[#This Row],[Ruimte code]],Ruimtegroepen[#All],2,FALSE)</f>
        <v>Praktijklokalen</v>
      </c>
      <c r="M956" s="212" t="s">
        <v>111</v>
      </c>
      <c r="N956" s="257" t="s">
        <v>606</v>
      </c>
      <c r="O956" s="261">
        <v>13</v>
      </c>
      <c r="P956" s="183"/>
      <c r="Q956" s="212" t="str">
        <f>VLOOKUP(Ruimtestaat[[#This Row],[Ruimte code]],Ruimtegroepen[#All],4,FALSE)</f>
        <v>L  (Lesruimte)</v>
      </c>
      <c r="R956" s="184"/>
      <c r="S956" s="185">
        <v>40</v>
      </c>
      <c r="T956" s="185" t="s">
        <v>2</v>
      </c>
      <c r="U956" s="185">
        <f>IF(S956&gt;0,IF(RIGHT(Ruimtestaat[[#This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6" s="185">
        <f>IF(U956&gt;0,VLOOKUP($K956,Ruimtegroepen[],3,FALSE)*VLOOKUP($M956,Vloersoorten[],3,FALSE)*VLOOKUP($T956,Frequenties[],3,FALSE)*VLOOKUP($A956,Locaties[],3,FALSE),0)</f>
        <v>0</v>
      </c>
      <c r="W956" s="185">
        <f>Ruimtestaat[[#This Row],[Uitvoeringen werkdagen]]*Ruimtestaat[[#This Row],[Oppervlak (netto)]]</f>
        <v>2600</v>
      </c>
      <c r="X956" s="220">
        <f>IF(V956&gt;0,Ruimtestaat[[#This Row],[Prest. (m2 /jaar) werkdagen]]/Ruimtestaat[[#This Row],[Norm (m2/uur) werkdagen]],0)</f>
        <v>0</v>
      </c>
      <c r="Y956" s="221">
        <f>Ruimtestaat[[#This Row],[uren / jaar werkdagen]]*Tariefsopbouw!$D$38</f>
        <v>0</v>
      </c>
      <c r="Z956" s="33"/>
      <c r="AA956" s="33">
        <f>IF(Ruimtestaat[[#This Row],[Frequentie weekend]]&gt;0,VALUE(LEFT(Z956,1))*S956,0)</f>
        <v>0</v>
      </c>
      <c r="AB956" s="33">
        <f>IF($AA956&gt;0,VLOOKUP($K956,Ruimtegroepen[],3,FALSE)*VLOOKUP($M956,Vloersoorten[],3,FALSE)*VLOOKUP($Z956,Frequenties[],3,FALSE)*VLOOKUP(#REF!,Locaties[],3,FALSE),0)</f>
        <v>0</v>
      </c>
      <c r="AC956" s="33"/>
      <c r="AD956" s="33"/>
      <c r="AE956" s="33">
        <f>Ruimtestaat[[#This Row],[uren / jaar weekend]]*Tariefsopbouw!$D$40</f>
        <v>0</v>
      </c>
      <c r="AF956" s="79">
        <f>Ruimtestaat[[#This Row],[Prest. (m2 /jaar) weekend]]+Ruimtestaat[[#This Row],[Prest. (m2 /jaar) werkdagen]]</f>
        <v>2600</v>
      </c>
      <c r="AG956" s="79">
        <f>Ruimtestaat[[#This Row],[uren / jaar weekend]]+Ruimtestaat[[#This Row],[uren / jaar werkdagen]]</f>
        <v>0</v>
      </c>
      <c r="AH956" s="80">
        <f>Ruimtestaat[[#This Row],[kosten / jaar weekend]]+Ruimtestaat[[#This Row],[kosten / jaar werkdagen]]</f>
        <v>0</v>
      </c>
    </row>
    <row r="957" spans="1:34" ht="15" customHeight="1">
      <c r="A957" s="256">
        <v>12</v>
      </c>
      <c r="B957" s="171" t="str">
        <f>VLOOKUP(Ruimtestaat[[#This Row],[Code]],Locaties[#All],2,FALSE)</f>
        <v>Onderwijscentrum Het Roessingh &amp; De Huifkar</v>
      </c>
      <c r="C957" s="258" t="str">
        <f>VLOOKUP(Ruimtestaat[[#This Row],[Code]],Locaties[#All],4,FALSE)</f>
        <v>Roessinghsbleekweg 35</v>
      </c>
      <c r="D957" s="258" t="str">
        <f>VLOOKUP(Ruimtestaat[[#This Row],[Code]],Locaties[#All],5,FALSE)</f>
        <v>7522 AH</v>
      </c>
      <c r="E957" s="258" t="str">
        <f>VLOOKUP(Ruimtestaat[[#This Row],[Code]],Locaties[#All],6,FALSE)</f>
        <v>Enschede</v>
      </c>
      <c r="F957" s="257"/>
      <c r="G957" s="257" t="s">
        <v>563</v>
      </c>
      <c r="H957" s="171"/>
      <c r="I957" s="257" t="s">
        <v>982</v>
      </c>
      <c r="J957" s="259" t="s">
        <v>422</v>
      </c>
      <c r="K957" s="258">
        <v>14</v>
      </c>
      <c r="L957" s="260" t="str">
        <f>VLOOKUP(Ruimtestaat[[#This Row],[Ruimte code]],Ruimtegroepen[#All],2,FALSE)</f>
        <v>Praktijklokalen</v>
      </c>
      <c r="M957" s="212" t="s">
        <v>111</v>
      </c>
      <c r="N957" s="257" t="s">
        <v>606</v>
      </c>
      <c r="O957" s="261">
        <v>9</v>
      </c>
      <c r="P957" s="183"/>
      <c r="Q957" s="212" t="str">
        <f>VLOOKUP(Ruimtestaat[[#This Row],[Ruimte code]],Ruimtegroepen[#All],4,FALSE)</f>
        <v>L  (Lesruimte)</v>
      </c>
      <c r="R957" s="184"/>
      <c r="S957" s="185">
        <v>40</v>
      </c>
      <c r="T957" s="185" t="s">
        <v>2</v>
      </c>
      <c r="U957" s="185">
        <f>IF(S957&gt;0,IF(RIGHT(Ruimtestaat[[#This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7" s="185">
        <f>IF(U957&gt;0,VLOOKUP($K957,Ruimtegroepen[],3,FALSE)*VLOOKUP($M957,Vloersoorten[],3,FALSE)*VLOOKUP($T957,Frequenties[],3,FALSE)*VLOOKUP($A957,Locaties[],3,FALSE),0)</f>
        <v>0</v>
      </c>
      <c r="W957" s="185">
        <f>Ruimtestaat[[#This Row],[Uitvoeringen werkdagen]]*Ruimtestaat[[#This Row],[Oppervlak (netto)]]</f>
        <v>1800</v>
      </c>
      <c r="X957" s="220">
        <f>IF(V957&gt;0,Ruimtestaat[[#This Row],[Prest. (m2 /jaar) werkdagen]]/Ruimtestaat[[#This Row],[Norm (m2/uur) werkdagen]],0)</f>
        <v>0</v>
      </c>
      <c r="Y957" s="221">
        <f>Ruimtestaat[[#This Row],[uren / jaar werkdagen]]*Tariefsopbouw!$D$38</f>
        <v>0</v>
      </c>
      <c r="Z957" s="33"/>
      <c r="AA957" s="33">
        <f>IF(Ruimtestaat[[#This Row],[Frequentie weekend]]&gt;0,VALUE(LEFT(Z957,1))*S957,0)</f>
        <v>0</v>
      </c>
      <c r="AB957" s="33">
        <f>IF($AA957&gt;0,VLOOKUP($K957,Ruimtegroepen[],3,FALSE)*VLOOKUP($M957,Vloersoorten[],3,FALSE)*VLOOKUP($Z957,Frequenties[],3,FALSE)*VLOOKUP(#REF!,Locaties[],3,FALSE),0)</f>
        <v>0</v>
      </c>
      <c r="AC957" s="33"/>
      <c r="AD957" s="33"/>
      <c r="AE957" s="33">
        <f>Ruimtestaat[[#This Row],[uren / jaar weekend]]*Tariefsopbouw!$D$40</f>
        <v>0</v>
      </c>
      <c r="AF957" s="79">
        <f>Ruimtestaat[[#This Row],[Prest. (m2 /jaar) weekend]]+Ruimtestaat[[#This Row],[Prest. (m2 /jaar) werkdagen]]</f>
        <v>1800</v>
      </c>
      <c r="AG957" s="79">
        <f>Ruimtestaat[[#This Row],[uren / jaar weekend]]+Ruimtestaat[[#This Row],[uren / jaar werkdagen]]</f>
        <v>0</v>
      </c>
      <c r="AH957" s="80">
        <f>Ruimtestaat[[#This Row],[kosten / jaar weekend]]+Ruimtestaat[[#This Row],[kosten / jaar werkdagen]]</f>
        <v>0</v>
      </c>
    </row>
    <row r="958" spans="1:34" ht="15" customHeight="1">
      <c r="A958" s="256">
        <v>12</v>
      </c>
      <c r="B958" s="171" t="str">
        <f>VLOOKUP(Ruimtestaat[[#This Row],[Code]],Locaties[#All],2,FALSE)</f>
        <v>Onderwijscentrum Het Roessingh &amp; De Huifkar</v>
      </c>
      <c r="C958" s="258" t="str">
        <f>VLOOKUP(Ruimtestaat[[#This Row],[Code]],Locaties[#All],4,FALSE)</f>
        <v>Roessinghsbleekweg 35</v>
      </c>
      <c r="D958" s="258" t="str">
        <f>VLOOKUP(Ruimtestaat[[#This Row],[Code]],Locaties[#All],5,FALSE)</f>
        <v>7522 AH</v>
      </c>
      <c r="E958" s="258" t="str">
        <f>VLOOKUP(Ruimtestaat[[#This Row],[Code]],Locaties[#All],6,FALSE)</f>
        <v>Enschede</v>
      </c>
      <c r="F958" s="257"/>
      <c r="G958" s="257" t="s">
        <v>563</v>
      </c>
      <c r="H958" s="171"/>
      <c r="I958" s="257" t="s">
        <v>983</v>
      </c>
      <c r="J958" s="259" t="s">
        <v>600</v>
      </c>
      <c r="K958" s="258">
        <v>15</v>
      </c>
      <c r="L958" s="260" t="str">
        <f>VLOOKUP(Ruimtestaat[[#This Row],[Ruimte code]],Ruimtegroepen[#All],2,FALSE)</f>
        <v>Keuken/pantry</v>
      </c>
      <c r="M958" s="212" t="s">
        <v>111</v>
      </c>
      <c r="N958" s="257" t="s">
        <v>605</v>
      </c>
      <c r="O958" s="261">
        <v>10</v>
      </c>
      <c r="P958" s="183"/>
      <c r="Q958" s="212" t="str">
        <f>VLOOKUP(Ruimtestaat[[#This Row],[Ruimte code]],Ruimtegroepen[#All],4,FALSE)</f>
        <v>V  (Verkeersruimte)</v>
      </c>
      <c r="R958" s="184"/>
      <c r="S958" s="185">
        <v>40</v>
      </c>
      <c r="T958" s="185" t="s">
        <v>2</v>
      </c>
      <c r="U958" s="185">
        <f>IF(S958&gt;0,IF(RIGHT(Ruimtestaat[[#This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8" s="185">
        <f>IF(U958&gt;0,VLOOKUP($K958,Ruimtegroepen[],3,FALSE)*VLOOKUP($M958,Vloersoorten[],3,FALSE)*VLOOKUP($T958,Frequenties[],3,FALSE)*VLOOKUP($A958,Locaties[],3,FALSE),0)</f>
        <v>0</v>
      </c>
      <c r="W958" s="185">
        <f>Ruimtestaat[[#This Row],[Uitvoeringen werkdagen]]*Ruimtestaat[[#This Row],[Oppervlak (netto)]]</f>
        <v>2000</v>
      </c>
      <c r="X958" s="220">
        <f>IF(V958&gt;0,Ruimtestaat[[#This Row],[Prest. (m2 /jaar) werkdagen]]/Ruimtestaat[[#This Row],[Norm (m2/uur) werkdagen]],0)</f>
        <v>0</v>
      </c>
      <c r="Y958" s="221">
        <f>Ruimtestaat[[#This Row],[uren / jaar werkdagen]]*Tariefsopbouw!$D$38</f>
        <v>0</v>
      </c>
      <c r="Z958" s="33"/>
      <c r="AA958" s="33">
        <f>IF(Ruimtestaat[[#This Row],[Frequentie weekend]]&gt;0,VALUE(LEFT(Z958,1))*S958,0)</f>
        <v>0</v>
      </c>
      <c r="AB958" s="33">
        <f>IF($AA958&gt;0,VLOOKUP($K958,Ruimtegroepen[],3,FALSE)*VLOOKUP($M958,Vloersoorten[],3,FALSE)*VLOOKUP($Z958,Frequenties[],3,FALSE)*VLOOKUP(#REF!,Locaties[],3,FALSE),0)</f>
        <v>0</v>
      </c>
      <c r="AC958" s="33"/>
      <c r="AD958" s="33"/>
      <c r="AE958" s="33">
        <f>Ruimtestaat[[#This Row],[uren / jaar weekend]]*Tariefsopbouw!$D$40</f>
        <v>0</v>
      </c>
      <c r="AF958" s="79">
        <f>Ruimtestaat[[#This Row],[Prest. (m2 /jaar) weekend]]+Ruimtestaat[[#This Row],[Prest. (m2 /jaar) werkdagen]]</f>
        <v>2000</v>
      </c>
      <c r="AG958" s="79">
        <f>Ruimtestaat[[#This Row],[uren / jaar weekend]]+Ruimtestaat[[#This Row],[uren / jaar werkdagen]]</f>
        <v>0</v>
      </c>
      <c r="AH958" s="80">
        <f>Ruimtestaat[[#This Row],[kosten / jaar weekend]]+Ruimtestaat[[#This Row],[kosten / jaar werkdagen]]</f>
        <v>0</v>
      </c>
    </row>
    <row r="959" spans="1:34" ht="15" customHeight="1">
      <c r="A959" s="256">
        <v>12</v>
      </c>
      <c r="B959" s="171" t="str">
        <f>VLOOKUP(Ruimtestaat[[#This Row],[Code]],Locaties[#All],2,FALSE)</f>
        <v>Onderwijscentrum Het Roessingh &amp; De Huifkar</v>
      </c>
      <c r="C959" s="258" t="str">
        <f>VLOOKUP(Ruimtestaat[[#This Row],[Code]],Locaties[#All],4,FALSE)</f>
        <v>Roessinghsbleekweg 35</v>
      </c>
      <c r="D959" s="258" t="str">
        <f>VLOOKUP(Ruimtestaat[[#This Row],[Code]],Locaties[#All],5,FALSE)</f>
        <v>7522 AH</v>
      </c>
      <c r="E959" s="258" t="str">
        <f>VLOOKUP(Ruimtestaat[[#This Row],[Code]],Locaties[#All],6,FALSE)</f>
        <v>Enschede</v>
      </c>
      <c r="F959" s="257"/>
      <c r="G959" s="257" t="s">
        <v>563</v>
      </c>
      <c r="H959" s="171"/>
      <c r="I959" s="257" t="s">
        <v>984</v>
      </c>
      <c r="J959" s="259" t="s">
        <v>422</v>
      </c>
      <c r="K959" s="258">
        <v>14</v>
      </c>
      <c r="L959" s="260" t="str">
        <f>VLOOKUP(Ruimtestaat[[#This Row],[Ruimte code]],Ruimtegroepen[#All],2,FALSE)</f>
        <v>Praktijklokalen</v>
      </c>
      <c r="M959" s="212" t="s">
        <v>111</v>
      </c>
      <c r="N959" s="257" t="s">
        <v>606</v>
      </c>
      <c r="O959" s="261">
        <v>9</v>
      </c>
      <c r="P959" s="183"/>
      <c r="Q959" s="212" t="str">
        <f>VLOOKUP(Ruimtestaat[[#This Row],[Ruimte code]],Ruimtegroepen[#All],4,FALSE)</f>
        <v>L  (Lesruimte)</v>
      </c>
      <c r="R959" s="184"/>
      <c r="S959" s="185">
        <v>40</v>
      </c>
      <c r="T959" s="185" t="s">
        <v>2</v>
      </c>
      <c r="U959" s="185">
        <f>IF(S959&gt;0,IF(RIGHT(Ruimtestaat[[#This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9" s="185">
        <f>IF(U959&gt;0,VLOOKUP($K959,Ruimtegroepen[],3,FALSE)*VLOOKUP($M959,Vloersoorten[],3,FALSE)*VLOOKUP($T959,Frequenties[],3,FALSE)*VLOOKUP($A959,Locaties[],3,FALSE),0)</f>
        <v>0</v>
      </c>
      <c r="W959" s="185">
        <f>Ruimtestaat[[#This Row],[Uitvoeringen werkdagen]]*Ruimtestaat[[#This Row],[Oppervlak (netto)]]</f>
        <v>1800</v>
      </c>
      <c r="X959" s="220">
        <f>IF(V959&gt;0,Ruimtestaat[[#This Row],[Prest. (m2 /jaar) werkdagen]]/Ruimtestaat[[#This Row],[Norm (m2/uur) werkdagen]],0)</f>
        <v>0</v>
      </c>
      <c r="Y959" s="221">
        <f>Ruimtestaat[[#This Row],[uren / jaar werkdagen]]*Tariefsopbouw!$D$38</f>
        <v>0</v>
      </c>
      <c r="Z959" s="33"/>
      <c r="AA959" s="33">
        <f>IF(Ruimtestaat[[#This Row],[Frequentie weekend]]&gt;0,VALUE(LEFT(Z959,1))*S959,0)</f>
        <v>0</v>
      </c>
      <c r="AB959" s="33">
        <f>IF($AA959&gt;0,VLOOKUP($K959,Ruimtegroepen[],3,FALSE)*VLOOKUP($M959,Vloersoorten[],3,FALSE)*VLOOKUP($Z959,Frequenties[],3,FALSE)*VLOOKUP(#REF!,Locaties[],3,FALSE),0)</f>
        <v>0</v>
      </c>
      <c r="AC959" s="33"/>
      <c r="AD959" s="33"/>
      <c r="AE959" s="33">
        <f>Ruimtestaat[[#This Row],[uren / jaar weekend]]*Tariefsopbouw!$D$40</f>
        <v>0</v>
      </c>
      <c r="AF959" s="79">
        <f>Ruimtestaat[[#This Row],[Prest. (m2 /jaar) weekend]]+Ruimtestaat[[#This Row],[Prest. (m2 /jaar) werkdagen]]</f>
        <v>1800</v>
      </c>
      <c r="AG959" s="79">
        <f>Ruimtestaat[[#This Row],[uren / jaar weekend]]+Ruimtestaat[[#This Row],[uren / jaar werkdagen]]</f>
        <v>0</v>
      </c>
      <c r="AH959" s="80">
        <f>Ruimtestaat[[#This Row],[kosten / jaar weekend]]+Ruimtestaat[[#This Row],[kosten / jaar werkdagen]]</f>
        <v>0</v>
      </c>
    </row>
    <row r="960" spans="1:34" ht="15" customHeight="1">
      <c r="A960" s="256">
        <v>12</v>
      </c>
      <c r="B960" s="171" t="str">
        <f>VLOOKUP(Ruimtestaat[[#This Row],[Code]],Locaties[#All],2,FALSE)</f>
        <v>Onderwijscentrum Het Roessingh &amp; De Huifkar</v>
      </c>
      <c r="C960" s="258" t="str">
        <f>VLOOKUP(Ruimtestaat[[#This Row],[Code]],Locaties[#All],4,FALSE)</f>
        <v>Roessinghsbleekweg 35</v>
      </c>
      <c r="D960" s="258" t="str">
        <f>VLOOKUP(Ruimtestaat[[#This Row],[Code]],Locaties[#All],5,FALSE)</f>
        <v>7522 AH</v>
      </c>
      <c r="E960" s="258" t="str">
        <f>VLOOKUP(Ruimtestaat[[#This Row],[Code]],Locaties[#All],6,FALSE)</f>
        <v>Enschede</v>
      </c>
      <c r="F960" s="257"/>
      <c r="G960" s="257" t="s">
        <v>563</v>
      </c>
      <c r="H960" s="171"/>
      <c r="I960" s="257" t="s">
        <v>985</v>
      </c>
      <c r="J960" s="259" t="s">
        <v>593</v>
      </c>
      <c r="K960" s="224">
        <v>15</v>
      </c>
      <c r="L960" s="260" t="str">
        <f>VLOOKUP(Ruimtestaat[[#This Row],[Ruimte code]],Ruimtegroepen[#All],2,FALSE)</f>
        <v>Keuken/pantry</v>
      </c>
      <c r="M960" s="212" t="s">
        <v>112</v>
      </c>
      <c r="N960" s="257" t="s">
        <v>776</v>
      </c>
      <c r="O960" s="261">
        <v>68</v>
      </c>
      <c r="P960" s="183"/>
      <c r="Q960" s="212" t="str">
        <f>VLOOKUP(Ruimtestaat[[#This Row],[Ruimte code]],Ruimtegroepen[#All],4,FALSE)</f>
        <v>V  (Verkeersruimte)</v>
      </c>
      <c r="R960" s="184"/>
      <c r="S960" s="185">
        <v>40</v>
      </c>
      <c r="T960" s="185" t="s">
        <v>2</v>
      </c>
      <c r="U960" s="185">
        <f>IF(S960&gt;0,IF(RIGHT(Ruimtestaat[[#This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0" s="185">
        <f>IF(U960&gt;0,VLOOKUP($K960,Ruimtegroepen[],3,FALSE)*VLOOKUP($M960,Vloersoorten[],3,FALSE)*VLOOKUP($T960,Frequenties[],3,FALSE)*VLOOKUP($A960,Locaties[],3,FALSE),0)</f>
        <v>0</v>
      </c>
      <c r="W960" s="185">
        <f>Ruimtestaat[[#This Row],[Uitvoeringen werkdagen]]*Ruimtestaat[[#This Row],[Oppervlak (netto)]]</f>
        <v>13600</v>
      </c>
      <c r="X960" s="220">
        <f>IF(V960&gt;0,Ruimtestaat[[#This Row],[Prest. (m2 /jaar) werkdagen]]/Ruimtestaat[[#This Row],[Norm (m2/uur) werkdagen]],0)</f>
        <v>0</v>
      </c>
      <c r="Y960" s="221">
        <f>Ruimtestaat[[#This Row],[uren / jaar werkdagen]]*Tariefsopbouw!$D$38</f>
        <v>0</v>
      </c>
      <c r="Z960" s="33"/>
      <c r="AA960" s="33">
        <f>IF(Ruimtestaat[[#This Row],[Frequentie weekend]]&gt;0,VALUE(LEFT(Z960,1))*S960,0)</f>
        <v>0</v>
      </c>
      <c r="AB960" s="33">
        <f>IF($AA960&gt;0,VLOOKUP($K960,Ruimtegroepen[],3,FALSE)*VLOOKUP($M960,Vloersoorten[],3,FALSE)*VLOOKUP($Z960,Frequenties[],3,FALSE)*VLOOKUP(#REF!,Locaties[],3,FALSE),0)</f>
        <v>0</v>
      </c>
      <c r="AC960" s="33"/>
      <c r="AD960" s="33"/>
      <c r="AE960" s="33">
        <f>Ruimtestaat[[#This Row],[uren / jaar weekend]]*Tariefsopbouw!$D$40</f>
        <v>0</v>
      </c>
      <c r="AF960" s="79">
        <f>Ruimtestaat[[#This Row],[Prest. (m2 /jaar) weekend]]+Ruimtestaat[[#This Row],[Prest. (m2 /jaar) werkdagen]]</f>
        <v>13600</v>
      </c>
      <c r="AG960" s="79">
        <f>Ruimtestaat[[#This Row],[uren / jaar weekend]]+Ruimtestaat[[#This Row],[uren / jaar werkdagen]]</f>
        <v>0</v>
      </c>
      <c r="AH960" s="80">
        <f>Ruimtestaat[[#This Row],[kosten / jaar weekend]]+Ruimtestaat[[#This Row],[kosten / jaar werkdagen]]</f>
        <v>0</v>
      </c>
    </row>
    <row r="961" spans="1:34" ht="15" customHeight="1">
      <c r="A961" s="256">
        <v>12</v>
      </c>
      <c r="B961" s="171" t="str">
        <f>VLOOKUP(Ruimtestaat[[#This Row],[Code]],Locaties[#All],2,FALSE)</f>
        <v>Onderwijscentrum Het Roessingh &amp; De Huifkar</v>
      </c>
      <c r="C961" s="258" t="str">
        <f>VLOOKUP(Ruimtestaat[[#This Row],[Code]],Locaties[#All],4,FALSE)</f>
        <v>Roessinghsbleekweg 35</v>
      </c>
      <c r="D961" s="258" t="str">
        <f>VLOOKUP(Ruimtestaat[[#This Row],[Code]],Locaties[#All],5,FALSE)</f>
        <v>7522 AH</v>
      </c>
      <c r="E961" s="258" t="str">
        <f>VLOOKUP(Ruimtestaat[[#This Row],[Code]],Locaties[#All],6,FALSE)</f>
        <v>Enschede</v>
      </c>
      <c r="F961" s="257"/>
      <c r="G961" s="257" t="s">
        <v>563</v>
      </c>
      <c r="H961" s="171"/>
      <c r="I961" s="257" t="s">
        <v>986</v>
      </c>
      <c r="J961" s="259" t="s">
        <v>576</v>
      </c>
      <c r="K961" s="171">
        <v>16</v>
      </c>
      <c r="L961" s="260" t="str">
        <f>VLOOKUP(Ruimtestaat[[#This Row],[Ruimte code]],Ruimtegroepen[#All],2,FALSE)</f>
        <v>Leslokalen</v>
      </c>
      <c r="M961" s="258" t="s">
        <v>598</v>
      </c>
      <c r="N961" s="257" t="s">
        <v>132</v>
      </c>
      <c r="O961" s="261">
        <v>57</v>
      </c>
      <c r="P961" s="183"/>
      <c r="Q961" s="212" t="str">
        <f>VLOOKUP(Ruimtestaat[[#This Row],[Ruimte code]],Ruimtegroepen[#All],4,FALSE)</f>
        <v>L  (Lesruimte)</v>
      </c>
      <c r="R961" s="184"/>
      <c r="S961" s="185">
        <v>40</v>
      </c>
      <c r="T961" s="185" t="s">
        <v>2</v>
      </c>
      <c r="U961" s="185">
        <f>IF(S961&gt;0,IF(RIGHT(Ruimtestaat[[#This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1" s="185">
        <f>IF(U961&gt;0,VLOOKUP($K961,Ruimtegroepen[],3,FALSE)*VLOOKUP($M961,Vloersoorten[],3,FALSE)*VLOOKUP($T961,Frequenties[],3,FALSE)*VLOOKUP($A961,Locaties[],3,FALSE),0)</f>
        <v>0</v>
      </c>
      <c r="W961" s="185">
        <f>Ruimtestaat[[#This Row],[Uitvoeringen werkdagen]]*Ruimtestaat[[#This Row],[Oppervlak (netto)]]</f>
        <v>11400</v>
      </c>
      <c r="X961" s="220">
        <f>IF(V961&gt;0,Ruimtestaat[[#This Row],[Prest. (m2 /jaar) werkdagen]]/Ruimtestaat[[#This Row],[Norm (m2/uur) werkdagen]],0)</f>
        <v>0</v>
      </c>
      <c r="Y961" s="221">
        <f>Ruimtestaat[[#This Row],[uren / jaar werkdagen]]*Tariefsopbouw!$D$38</f>
        <v>0</v>
      </c>
      <c r="Z961" s="33"/>
      <c r="AA961" s="33">
        <f>IF(Ruimtestaat[[#This Row],[Frequentie weekend]]&gt;0,VALUE(LEFT(Z961,1))*S961,0)</f>
        <v>0</v>
      </c>
      <c r="AB961" s="33">
        <f>IF($AA961&gt;0,VLOOKUP($K961,Ruimtegroepen[],3,FALSE)*VLOOKUP($M961,Vloersoorten[],3,FALSE)*VLOOKUP($Z961,Frequenties[],3,FALSE)*VLOOKUP(#REF!,Locaties[],3,FALSE),0)</f>
        <v>0</v>
      </c>
      <c r="AC961" s="33"/>
      <c r="AD961" s="33"/>
      <c r="AE961" s="33">
        <f>Ruimtestaat[[#This Row],[uren / jaar weekend]]*Tariefsopbouw!$D$40</f>
        <v>0</v>
      </c>
      <c r="AF961" s="79">
        <f>Ruimtestaat[[#This Row],[Prest. (m2 /jaar) weekend]]+Ruimtestaat[[#This Row],[Prest. (m2 /jaar) werkdagen]]</f>
        <v>11400</v>
      </c>
      <c r="AG961" s="79">
        <f>Ruimtestaat[[#This Row],[uren / jaar weekend]]+Ruimtestaat[[#This Row],[uren / jaar werkdagen]]</f>
        <v>0</v>
      </c>
      <c r="AH961" s="80">
        <f>Ruimtestaat[[#This Row],[kosten / jaar weekend]]+Ruimtestaat[[#This Row],[kosten / jaar werkdagen]]</f>
        <v>0</v>
      </c>
    </row>
    <row r="962" spans="1:34" ht="15" customHeight="1">
      <c r="A962" s="256">
        <v>12</v>
      </c>
      <c r="B962" s="171" t="str">
        <f>VLOOKUP(Ruimtestaat[[#This Row],[Code]],Locaties[#All],2,FALSE)</f>
        <v>Onderwijscentrum Het Roessingh &amp; De Huifkar</v>
      </c>
      <c r="C962" s="258" t="str">
        <f>VLOOKUP(Ruimtestaat[[#This Row],[Code]],Locaties[#All],4,FALSE)</f>
        <v>Roessinghsbleekweg 35</v>
      </c>
      <c r="D962" s="258" t="str">
        <f>VLOOKUP(Ruimtestaat[[#This Row],[Code]],Locaties[#All],5,FALSE)</f>
        <v>7522 AH</v>
      </c>
      <c r="E962" s="258" t="str">
        <f>VLOOKUP(Ruimtestaat[[#This Row],[Code]],Locaties[#All],6,FALSE)</f>
        <v>Enschede</v>
      </c>
      <c r="F962" s="257"/>
      <c r="G962" s="257" t="s">
        <v>563</v>
      </c>
      <c r="H962" s="171"/>
      <c r="I962" s="257" t="s">
        <v>987</v>
      </c>
      <c r="J962" s="259" t="s">
        <v>936</v>
      </c>
      <c r="K962" s="171">
        <v>16</v>
      </c>
      <c r="L962" s="260" t="str">
        <f>VLOOKUP(Ruimtestaat[[#This Row],[Ruimte code]],Ruimtegroepen[#All],2,FALSE)</f>
        <v>Leslokalen</v>
      </c>
      <c r="M962" s="258" t="s">
        <v>598</v>
      </c>
      <c r="N962" s="257" t="s">
        <v>132</v>
      </c>
      <c r="O962" s="261">
        <v>31</v>
      </c>
      <c r="P962" s="183"/>
      <c r="Q962" s="212" t="str">
        <f>VLOOKUP(Ruimtestaat[[#This Row],[Ruimte code]],Ruimtegroepen[#All],4,FALSE)</f>
        <v>L  (Lesruimte)</v>
      </c>
      <c r="R962" s="184"/>
      <c r="S962" s="185">
        <v>40</v>
      </c>
      <c r="T962" s="185" t="s">
        <v>2</v>
      </c>
      <c r="U962" s="185">
        <f>IF(S962&gt;0,IF(RIGHT(Ruimtestaat[[#This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2" s="185">
        <f>IF(U962&gt;0,VLOOKUP($K962,Ruimtegroepen[],3,FALSE)*VLOOKUP($M962,Vloersoorten[],3,FALSE)*VLOOKUP($T962,Frequenties[],3,FALSE)*VLOOKUP($A962,Locaties[],3,FALSE),0)</f>
        <v>0</v>
      </c>
      <c r="W962" s="185">
        <f>Ruimtestaat[[#This Row],[Uitvoeringen werkdagen]]*Ruimtestaat[[#This Row],[Oppervlak (netto)]]</f>
        <v>6200</v>
      </c>
      <c r="X962" s="220">
        <f>IF(V962&gt;0,Ruimtestaat[[#This Row],[Prest. (m2 /jaar) werkdagen]]/Ruimtestaat[[#This Row],[Norm (m2/uur) werkdagen]],0)</f>
        <v>0</v>
      </c>
      <c r="Y962" s="221">
        <f>Ruimtestaat[[#This Row],[uren / jaar werkdagen]]*Tariefsopbouw!$D$38</f>
        <v>0</v>
      </c>
      <c r="Z962" s="33"/>
      <c r="AA962" s="33">
        <f>IF(Ruimtestaat[[#This Row],[Frequentie weekend]]&gt;0,VALUE(LEFT(Z962,1))*S962,0)</f>
        <v>0</v>
      </c>
      <c r="AB962" s="33">
        <f>IF($AA962&gt;0,VLOOKUP($K962,Ruimtegroepen[],3,FALSE)*VLOOKUP($M962,Vloersoorten[],3,FALSE)*VLOOKUP($Z962,Frequenties[],3,FALSE)*VLOOKUP(#REF!,Locaties[],3,FALSE),0)</f>
        <v>0</v>
      </c>
      <c r="AC962" s="33"/>
      <c r="AD962" s="33"/>
      <c r="AE962" s="33">
        <f>Ruimtestaat[[#This Row],[uren / jaar weekend]]*Tariefsopbouw!$D$40</f>
        <v>0</v>
      </c>
      <c r="AF962" s="79">
        <f>Ruimtestaat[[#This Row],[Prest. (m2 /jaar) weekend]]+Ruimtestaat[[#This Row],[Prest. (m2 /jaar) werkdagen]]</f>
        <v>6200</v>
      </c>
      <c r="AG962" s="79">
        <f>Ruimtestaat[[#This Row],[uren / jaar weekend]]+Ruimtestaat[[#This Row],[uren / jaar werkdagen]]</f>
        <v>0</v>
      </c>
      <c r="AH962" s="80">
        <f>Ruimtestaat[[#This Row],[kosten / jaar weekend]]+Ruimtestaat[[#This Row],[kosten / jaar werkdagen]]</f>
        <v>0</v>
      </c>
    </row>
    <row r="963" spans="1:34" ht="15" customHeight="1">
      <c r="A963" s="256">
        <v>12</v>
      </c>
      <c r="B963" s="171" t="str">
        <f>VLOOKUP(Ruimtestaat[[#This Row],[Code]],Locaties[#All],2,FALSE)</f>
        <v>Onderwijscentrum Het Roessingh &amp; De Huifkar</v>
      </c>
      <c r="C963" s="258" t="str">
        <f>VLOOKUP(Ruimtestaat[[#This Row],[Code]],Locaties[#All],4,FALSE)</f>
        <v>Roessinghsbleekweg 35</v>
      </c>
      <c r="D963" s="258" t="str">
        <f>VLOOKUP(Ruimtestaat[[#This Row],[Code]],Locaties[#All],5,FALSE)</f>
        <v>7522 AH</v>
      </c>
      <c r="E963" s="258" t="str">
        <f>VLOOKUP(Ruimtestaat[[#This Row],[Code]],Locaties[#All],6,FALSE)</f>
        <v>Enschede</v>
      </c>
      <c r="F963" s="257"/>
      <c r="G963" s="257" t="s">
        <v>563</v>
      </c>
      <c r="H963" s="171"/>
      <c r="I963" s="257" t="s">
        <v>988</v>
      </c>
      <c r="J963" s="259" t="s">
        <v>574</v>
      </c>
      <c r="K963" s="171">
        <v>6</v>
      </c>
      <c r="L963" s="260" t="str">
        <f>VLOOKUP(Ruimtestaat[[#This Row],[Ruimte code]],Ruimtegroepen[#All],2,FALSE)</f>
        <v>Gangen/hallen</v>
      </c>
      <c r="M963" s="258" t="s">
        <v>598</v>
      </c>
      <c r="N963" s="257" t="s">
        <v>132</v>
      </c>
      <c r="O963" s="261">
        <v>8</v>
      </c>
      <c r="P963" s="183"/>
      <c r="Q963" s="212" t="str">
        <f>VLOOKUP(Ruimtestaat[[#This Row],[Ruimte code]],Ruimtegroepen[#All],4,FALSE)</f>
        <v>V  (Verkeersruimte)</v>
      </c>
      <c r="R963" s="184"/>
      <c r="S963" s="185">
        <v>40</v>
      </c>
      <c r="T963" s="185" t="s">
        <v>2</v>
      </c>
      <c r="U963" s="185">
        <f>IF(S963&gt;0,IF(RIGHT(Ruimtestaat[[#This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3" s="185">
        <f>IF(U963&gt;0,VLOOKUP($K963,Ruimtegroepen[],3,FALSE)*VLOOKUP($M963,Vloersoorten[],3,FALSE)*VLOOKUP($T963,Frequenties[],3,FALSE)*VLOOKUP($A963,Locaties[],3,FALSE),0)</f>
        <v>0</v>
      </c>
      <c r="W963" s="185">
        <f>Ruimtestaat[[#This Row],[Uitvoeringen werkdagen]]*Ruimtestaat[[#This Row],[Oppervlak (netto)]]</f>
        <v>1600</v>
      </c>
      <c r="X963" s="220">
        <f>IF(V963&gt;0,Ruimtestaat[[#This Row],[Prest. (m2 /jaar) werkdagen]]/Ruimtestaat[[#This Row],[Norm (m2/uur) werkdagen]],0)</f>
        <v>0</v>
      </c>
      <c r="Y963" s="221">
        <f>Ruimtestaat[[#This Row],[uren / jaar werkdagen]]*Tariefsopbouw!$D$38</f>
        <v>0</v>
      </c>
      <c r="Z963" s="33"/>
      <c r="AA963" s="33">
        <f>IF(Ruimtestaat[[#This Row],[Frequentie weekend]]&gt;0,VALUE(LEFT(Z963,1))*S963,0)</f>
        <v>0</v>
      </c>
      <c r="AB963" s="33">
        <f>IF($AA963&gt;0,VLOOKUP($K963,Ruimtegroepen[],3,FALSE)*VLOOKUP($M963,Vloersoorten[],3,FALSE)*VLOOKUP($Z963,Frequenties[],3,FALSE)*VLOOKUP(#REF!,Locaties[],3,FALSE),0)</f>
        <v>0</v>
      </c>
      <c r="AC963" s="33"/>
      <c r="AD963" s="33"/>
      <c r="AE963" s="33">
        <f>Ruimtestaat[[#This Row],[uren / jaar weekend]]*Tariefsopbouw!$D$40</f>
        <v>0</v>
      </c>
      <c r="AF963" s="79">
        <f>Ruimtestaat[[#This Row],[Prest. (m2 /jaar) weekend]]+Ruimtestaat[[#This Row],[Prest. (m2 /jaar) werkdagen]]</f>
        <v>1600</v>
      </c>
      <c r="AG963" s="79">
        <f>Ruimtestaat[[#This Row],[uren / jaar weekend]]+Ruimtestaat[[#This Row],[uren / jaar werkdagen]]</f>
        <v>0</v>
      </c>
      <c r="AH963" s="80">
        <f>Ruimtestaat[[#This Row],[kosten / jaar weekend]]+Ruimtestaat[[#This Row],[kosten / jaar werkdagen]]</f>
        <v>0</v>
      </c>
    </row>
    <row r="964" spans="1:34" ht="15" customHeight="1">
      <c r="A964" s="256">
        <v>12</v>
      </c>
      <c r="B964" s="171" t="str">
        <f>VLOOKUP(Ruimtestaat[[#This Row],[Code]],Locaties[#All],2,FALSE)</f>
        <v>Onderwijscentrum Het Roessingh &amp; De Huifkar</v>
      </c>
      <c r="C964" s="258" t="str">
        <f>VLOOKUP(Ruimtestaat[[#This Row],[Code]],Locaties[#All],4,FALSE)</f>
        <v>Roessinghsbleekweg 35</v>
      </c>
      <c r="D964" s="258" t="str">
        <f>VLOOKUP(Ruimtestaat[[#This Row],[Code]],Locaties[#All],5,FALSE)</f>
        <v>7522 AH</v>
      </c>
      <c r="E964" s="258" t="str">
        <f>VLOOKUP(Ruimtestaat[[#This Row],[Code]],Locaties[#All],6,FALSE)</f>
        <v>Enschede</v>
      </c>
      <c r="F964" s="257"/>
      <c r="G964" s="257" t="s">
        <v>563</v>
      </c>
      <c r="H964" s="171"/>
      <c r="I964" s="257" t="s">
        <v>989</v>
      </c>
      <c r="J964" s="259" t="s">
        <v>941</v>
      </c>
      <c r="K964" s="171">
        <v>16</v>
      </c>
      <c r="L964" s="260" t="str">
        <f>VLOOKUP(Ruimtestaat[[#This Row],[Ruimte code]],Ruimtegroepen[#All],2,FALSE)</f>
        <v>Leslokalen</v>
      </c>
      <c r="M964" s="258" t="s">
        <v>598</v>
      </c>
      <c r="N964" s="257" t="s">
        <v>132</v>
      </c>
      <c r="O964" s="261">
        <v>9.1999999999999993</v>
      </c>
      <c r="P964" s="183"/>
      <c r="Q964" s="212" t="str">
        <f>VLOOKUP(Ruimtestaat[[#This Row],[Ruimte code]],Ruimtegroepen[#All],4,FALSE)</f>
        <v>L  (Lesruimte)</v>
      </c>
      <c r="R964" s="184"/>
      <c r="S964" s="185">
        <v>40</v>
      </c>
      <c r="T964" s="185" t="s">
        <v>2</v>
      </c>
      <c r="U964" s="185">
        <f>IF(S964&gt;0,IF(RIGHT(Ruimtestaat[[#This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4" s="185">
        <f>IF(U964&gt;0,VLOOKUP($K964,Ruimtegroepen[],3,FALSE)*VLOOKUP($M964,Vloersoorten[],3,FALSE)*VLOOKUP($T964,Frequenties[],3,FALSE)*VLOOKUP($A964,Locaties[],3,FALSE),0)</f>
        <v>0</v>
      </c>
      <c r="W964" s="185">
        <f>Ruimtestaat[[#This Row],[Uitvoeringen werkdagen]]*Ruimtestaat[[#This Row],[Oppervlak (netto)]]</f>
        <v>1839.9999999999998</v>
      </c>
      <c r="X964" s="220">
        <f>IF(V964&gt;0,Ruimtestaat[[#This Row],[Prest. (m2 /jaar) werkdagen]]/Ruimtestaat[[#This Row],[Norm (m2/uur) werkdagen]],0)</f>
        <v>0</v>
      </c>
      <c r="Y964" s="221">
        <f>Ruimtestaat[[#This Row],[uren / jaar werkdagen]]*Tariefsopbouw!$D$38</f>
        <v>0</v>
      </c>
      <c r="Z964" s="33"/>
      <c r="AA964" s="33">
        <f>IF(Ruimtestaat[[#This Row],[Frequentie weekend]]&gt;0,VALUE(LEFT(Z964,1))*S964,0)</f>
        <v>0</v>
      </c>
      <c r="AB964" s="33">
        <f>IF($AA964&gt;0,VLOOKUP($K964,Ruimtegroepen[],3,FALSE)*VLOOKUP($M964,Vloersoorten[],3,FALSE)*VLOOKUP($Z964,Frequenties[],3,FALSE)*VLOOKUP(#REF!,Locaties[],3,FALSE),0)</f>
        <v>0</v>
      </c>
      <c r="AC964" s="33"/>
      <c r="AD964" s="33"/>
      <c r="AE964" s="33">
        <f>Ruimtestaat[[#This Row],[uren / jaar weekend]]*Tariefsopbouw!$D$40</f>
        <v>0</v>
      </c>
      <c r="AF964" s="79">
        <f>Ruimtestaat[[#This Row],[Prest. (m2 /jaar) weekend]]+Ruimtestaat[[#This Row],[Prest. (m2 /jaar) werkdagen]]</f>
        <v>1839.9999999999998</v>
      </c>
      <c r="AG964" s="79">
        <f>Ruimtestaat[[#This Row],[uren / jaar weekend]]+Ruimtestaat[[#This Row],[uren / jaar werkdagen]]</f>
        <v>0</v>
      </c>
      <c r="AH964" s="80">
        <f>Ruimtestaat[[#This Row],[kosten / jaar weekend]]+Ruimtestaat[[#This Row],[kosten / jaar werkdagen]]</f>
        <v>0</v>
      </c>
    </row>
    <row r="965" spans="1:34" ht="15" customHeight="1">
      <c r="A965" s="256">
        <v>12</v>
      </c>
      <c r="B965" s="171" t="str">
        <f>VLOOKUP(Ruimtestaat[[#This Row],[Code]],Locaties[#All],2,FALSE)</f>
        <v>Onderwijscentrum Het Roessingh &amp; De Huifkar</v>
      </c>
      <c r="C965" s="258" t="str">
        <f>VLOOKUP(Ruimtestaat[[#This Row],[Code]],Locaties[#All],4,FALSE)</f>
        <v>Roessinghsbleekweg 35</v>
      </c>
      <c r="D965" s="258" t="str">
        <f>VLOOKUP(Ruimtestaat[[#This Row],[Code]],Locaties[#All],5,FALSE)</f>
        <v>7522 AH</v>
      </c>
      <c r="E965" s="258" t="str">
        <f>VLOOKUP(Ruimtestaat[[#This Row],[Code]],Locaties[#All],6,FALSE)</f>
        <v>Enschede</v>
      </c>
      <c r="F965" s="257"/>
      <c r="G965" s="257" t="s">
        <v>563</v>
      </c>
      <c r="H965" s="171"/>
      <c r="I965" s="257" t="s">
        <v>990</v>
      </c>
      <c r="J965" s="259" t="s">
        <v>623</v>
      </c>
      <c r="K965" s="258">
        <v>20</v>
      </c>
      <c r="L965" s="260" t="str">
        <f>VLOOKUP(Ruimtestaat[[#This Row],[Ruimte code]],Ruimtegroepen[#All],2,FALSE)</f>
        <v>Niet in onderhoud</v>
      </c>
      <c r="M965" s="258"/>
      <c r="N965" s="257"/>
      <c r="O965" s="261"/>
      <c r="P965" s="183"/>
      <c r="Q965" s="212" t="str">
        <f>VLOOKUP(Ruimtestaat[[#This Row],[Ruimte code]],Ruimtegroepen[#All],4,FALSE)</f>
        <v>niet in onderhoud</v>
      </c>
      <c r="R965" s="184"/>
      <c r="S965" s="185"/>
      <c r="T965" s="185"/>
      <c r="U965" s="185">
        <f>IF(S965&gt;0,IF(RIGHT(Ruimtestaat[[#This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65" s="185">
        <f>IF(U965&gt;0,VLOOKUP($K965,Ruimtegroepen[],3,FALSE)*VLOOKUP($M965,Vloersoorten[],3,FALSE)*VLOOKUP($T965,Frequenties[],3,FALSE)*VLOOKUP($A965,Locaties[],3,FALSE),0)</f>
        <v>0</v>
      </c>
      <c r="W965" s="185">
        <f>Ruimtestaat[[#This Row],[Uitvoeringen werkdagen]]*Ruimtestaat[[#This Row],[Oppervlak (netto)]]</f>
        <v>0</v>
      </c>
      <c r="X965" s="220">
        <f>IF(V965&gt;0,Ruimtestaat[[#This Row],[Prest. (m2 /jaar) werkdagen]]/Ruimtestaat[[#This Row],[Norm (m2/uur) werkdagen]],0)</f>
        <v>0</v>
      </c>
      <c r="Y965" s="221">
        <f>Ruimtestaat[[#This Row],[uren / jaar werkdagen]]*Tariefsopbouw!$D$38</f>
        <v>0</v>
      </c>
      <c r="Z965" s="33"/>
      <c r="AA965" s="33">
        <f>IF(Ruimtestaat[[#This Row],[Frequentie weekend]]&gt;0,VALUE(LEFT(Z965,1))*S965,0)</f>
        <v>0</v>
      </c>
      <c r="AB965" s="33">
        <f>IF($AA965&gt;0,VLOOKUP($K965,Ruimtegroepen[],3,FALSE)*VLOOKUP($M965,Vloersoorten[],3,FALSE)*VLOOKUP($Z965,Frequenties[],3,FALSE)*VLOOKUP(#REF!,Locaties[],3,FALSE),0)</f>
        <v>0</v>
      </c>
      <c r="AC965" s="33"/>
      <c r="AD965" s="33"/>
      <c r="AE965" s="33">
        <f>Ruimtestaat[[#This Row],[uren / jaar weekend]]*Tariefsopbouw!$D$40</f>
        <v>0</v>
      </c>
      <c r="AF965" s="79">
        <f>Ruimtestaat[[#This Row],[Prest. (m2 /jaar) weekend]]+Ruimtestaat[[#This Row],[Prest. (m2 /jaar) werkdagen]]</f>
        <v>0</v>
      </c>
      <c r="AG965" s="79">
        <f>Ruimtestaat[[#This Row],[uren / jaar weekend]]+Ruimtestaat[[#This Row],[uren / jaar werkdagen]]</f>
        <v>0</v>
      </c>
      <c r="AH965" s="80">
        <f>Ruimtestaat[[#This Row],[kosten / jaar weekend]]+Ruimtestaat[[#This Row],[kosten / jaar werkdagen]]</f>
        <v>0</v>
      </c>
    </row>
    <row r="966" spans="1:34" ht="15" customHeight="1">
      <c r="A966" s="256">
        <v>12</v>
      </c>
      <c r="B966" s="171" t="str">
        <f>VLOOKUP(Ruimtestaat[[#This Row],[Code]],Locaties[#All],2,FALSE)</f>
        <v>Onderwijscentrum Het Roessingh &amp; De Huifkar</v>
      </c>
      <c r="C966" s="258" t="str">
        <f>VLOOKUP(Ruimtestaat[[#This Row],[Code]],Locaties[#All],4,FALSE)</f>
        <v>Roessinghsbleekweg 35</v>
      </c>
      <c r="D966" s="258" t="str">
        <f>VLOOKUP(Ruimtestaat[[#This Row],[Code]],Locaties[#All],5,FALSE)</f>
        <v>7522 AH</v>
      </c>
      <c r="E966" s="258" t="str">
        <f>VLOOKUP(Ruimtestaat[[#This Row],[Code]],Locaties[#All],6,FALSE)</f>
        <v>Enschede</v>
      </c>
      <c r="F966" s="257"/>
      <c r="G966" s="257" t="s">
        <v>563</v>
      </c>
      <c r="H966" s="171"/>
      <c r="I966" s="257" t="s">
        <v>991</v>
      </c>
      <c r="J966" s="259" t="s">
        <v>770</v>
      </c>
      <c r="K966" s="185">
        <v>5</v>
      </c>
      <c r="L966" s="260" t="str">
        <f>VLOOKUP(Ruimtestaat[[#This Row],[Ruimte code]],Ruimtegroepen[#All],2,FALSE)</f>
        <v>Sanitair</v>
      </c>
      <c r="M966" s="212" t="s">
        <v>111</v>
      </c>
      <c r="N966" s="257" t="s">
        <v>606</v>
      </c>
      <c r="O966" s="261">
        <v>18</v>
      </c>
      <c r="P966" s="183"/>
      <c r="Q966" s="212" t="str">
        <f>VLOOKUP(Ruimtestaat[[#This Row],[Ruimte code]],Ruimtegroepen[#All],4,FALSE)</f>
        <v>S  (Sanitair)</v>
      </c>
      <c r="R966" s="184"/>
      <c r="S966" s="185">
        <v>40</v>
      </c>
      <c r="T966" s="185" t="s">
        <v>2</v>
      </c>
      <c r="U966" s="185">
        <f>IF(S966&gt;0,IF(RIGHT(Ruimtestaat[[#This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6" s="185">
        <f>IF(U966&gt;0,VLOOKUP($K966,Ruimtegroepen[],3,FALSE)*VLOOKUP($M966,Vloersoorten[],3,FALSE)*VLOOKUP($T966,Frequenties[],3,FALSE)*VLOOKUP($A966,Locaties[],3,FALSE),0)</f>
        <v>0</v>
      </c>
      <c r="W966" s="185">
        <f>Ruimtestaat[[#This Row],[Uitvoeringen werkdagen]]*Ruimtestaat[[#This Row],[Oppervlak (netto)]]</f>
        <v>3600</v>
      </c>
      <c r="X966" s="220">
        <f>IF(V966&gt;0,Ruimtestaat[[#This Row],[Prest. (m2 /jaar) werkdagen]]/Ruimtestaat[[#This Row],[Norm (m2/uur) werkdagen]],0)</f>
        <v>0</v>
      </c>
      <c r="Y966" s="221">
        <f>Ruimtestaat[[#This Row],[uren / jaar werkdagen]]*Tariefsopbouw!$D$38</f>
        <v>0</v>
      </c>
      <c r="Z966" s="33"/>
      <c r="AA966" s="33">
        <f>IF(Ruimtestaat[[#This Row],[Frequentie weekend]]&gt;0,VALUE(LEFT(Z966,1))*S966,0)</f>
        <v>0</v>
      </c>
      <c r="AB966" s="33">
        <f>IF($AA966&gt;0,VLOOKUP($K966,Ruimtegroepen[],3,FALSE)*VLOOKUP($M966,Vloersoorten[],3,FALSE)*VLOOKUP($Z966,Frequenties[],3,FALSE)*VLOOKUP(#REF!,Locaties[],3,FALSE),0)</f>
        <v>0</v>
      </c>
      <c r="AC966" s="33"/>
      <c r="AD966" s="33"/>
      <c r="AE966" s="33">
        <f>Ruimtestaat[[#This Row],[uren / jaar weekend]]*Tariefsopbouw!$D$40</f>
        <v>0</v>
      </c>
      <c r="AF966" s="79">
        <f>Ruimtestaat[[#This Row],[Prest. (m2 /jaar) weekend]]+Ruimtestaat[[#This Row],[Prest. (m2 /jaar) werkdagen]]</f>
        <v>3600</v>
      </c>
      <c r="AG966" s="79">
        <f>Ruimtestaat[[#This Row],[uren / jaar weekend]]+Ruimtestaat[[#This Row],[uren / jaar werkdagen]]</f>
        <v>0</v>
      </c>
      <c r="AH966" s="80">
        <f>Ruimtestaat[[#This Row],[kosten / jaar weekend]]+Ruimtestaat[[#This Row],[kosten / jaar werkdagen]]</f>
        <v>0</v>
      </c>
    </row>
    <row r="967" spans="1:34" ht="15" customHeight="1">
      <c r="A967" s="256">
        <v>12</v>
      </c>
      <c r="B967" s="171" t="str">
        <f>VLOOKUP(Ruimtestaat[[#This Row],[Code]],Locaties[#All],2,FALSE)</f>
        <v>Onderwijscentrum Het Roessingh &amp; De Huifkar</v>
      </c>
      <c r="C967" s="258" t="str">
        <f>VLOOKUP(Ruimtestaat[[#This Row],[Code]],Locaties[#All],4,FALSE)</f>
        <v>Roessinghsbleekweg 35</v>
      </c>
      <c r="D967" s="258" t="str">
        <f>VLOOKUP(Ruimtestaat[[#This Row],[Code]],Locaties[#All],5,FALSE)</f>
        <v>7522 AH</v>
      </c>
      <c r="E967" s="258" t="str">
        <f>VLOOKUP(Ruimtestaat[[#This Row],[Code]],Locaties[#All],6,FALSE)</f>
        <v>Enschede</v>
      </c>
      <c r="F967" s="257"/>
      <c r="G967" s="257" t="s">
        <v>563</v>
      </c>
      <c r="H967" s="171"/>
      <c r="I967" s="257" t="s">
        <v>992</v>
      </c>
      <c r="J967" s="259" t="s">
        <v>569</v>
      </c>
      <c r="K967" s="258">
        <v>5</v>
      </c>
      <c r="L967" s="260" t="str">
        <f>VLOOKUP(Ruimtestaat[[#This Row],[Ruimte code]],Ruimtegroepen[#All],2,FALSE)</f>
        <v>Sanitair</v>
      </c>
      <c r="M967" s="212" t="s">
        <v>111</v>
      </c>
      <c r="N967" s="257" t="s">
        <v>606</v>
      </c>
      <c r="O967" s="261">
        <v>5</v>
      </c>
      <c r="P967" s="183"/>
      <c r="Q967" s="212" t="str">
        <f>VLOOKUP(Ruimtestaat[[#This Row],[Ruimte code]],Ruimtegroepen[#All],4,FALSE)</f>
        <v>S  (Sanitair)</v>
      </c>
      <c r="R967" s="184"/>
      <c r="S967" s="185">
        <v>40</v>
      </c>
      <c r="T967" s="185" t="s">
        <v>2</v>
      </c>
      <c r="U967" s="185">
        <f>IF(S967&gt;0,IF(RIGHT(Ruimtestaat[[#This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7" s="185">
        <f>IF(U967&gt;0,VLOOKUP($K967,Ruimtegroepen[],3,FALSE)*VLOOKUP($M967,Vloersoorten[],3,FALSE)*VLOOKUP($T967,Frequenties[],3,FALSE)*VLOOKUP($A967,Locaties[],3,FALSE),0)</f>
        <v>0</v>
      </c>
      <c r="W967" s="185">
        <f>Ruimtestaat[[#This Row],[Uitvoeringen werkdagen]]*Ruimtestaat[[#This Row],[Oppervlak (netto)]]</f>
        <v>1000</v>
      </c>
      <c r="X967" s="220">
        <f>IF(V967&gt;0,Ruimtestaat[[#This Row],[Prest. (m2 /jaar) werkdagen]]/Ruimtestaat[[#This Row],[Norm (m2/uur) werkdagen]],0)</f>
        <v>0</v>
      </c>
      <c r="Y967" s="221">
        <f>Ruimtestaat[[#This Row],[uren / jaar werkdagen]]*Tariefsopbouw!$D$38</f>
        <v>0</v>
      </c>
      <c r="Z967" s="33"/>
      <c r="AA967" s="33">
        <f>IF(Ruimtestaat[[#This Row],[Frequentie weekend]]&gt;0,VALUE(LEFT(Z967,1))*S967,0)</f>
        <v>0</v>
      </c>
      <c r="AB967" s="33">
        <f>IF($AA967&gt;0,VLOOKUP($K967,Ruimtegroepen[],3,FALSE)*VLOOKUP($M967,Vloersoorten[],3,FALSE)*VLOOKUP($Z967,Frequenties[],3,FALSE)*VLOOKUP(#REF!,Locaties[],3,FALSE),0)</f>
        <v>0</v>
      </c>
      <c r="AC967" s="33"/>
      <c r="AD967" s="33"/>
      <c r="AE967" s="33">
        <f>Ruimtestaat[[#This Row],[uren / jaar weekend]]*Tariefsopbouw!$D$40</f>
        <v>0</v>
      </c>
      <c r="AF967" s="79">
        <f>Ruimtestaat[[#This Row],[Prest. (m2 /jaar) weekend]]+Ruimtestaat[[#This Row],[Prest. (m2 /jaar) werkdagen]]</f>
        <v>1000</v>
      </c>
      <c r="AG967" s="79">
        <f>Ruimtestaat[[#This Row],[uren / jaar weekend]]+Ruimtestaat[[#This Row],[uren / jaar werkdagen]]</f>
        <v>0</v>
      </c>
      <c r="AH967" s="80">
        <f>Ruimtestaat[[#This Row],[kosten / jaar weekend]]+Ruimtestaat[[#This Row],[kosten / jaar werkdagen]]</f>
        <v>0</v>
      </c>
    </row>
    <row r="968" spans="1:34" ht="15" customHeight="1">
      <c r="A968" s="256">
        <v>12</v>
      </c>
      <c r="B968" s="171" t="str">
        <f>VLOOKUP(Ruimtestaat[[#This Row],[Code]],Locaties[#All],2,FALSE)</f>
        <v>Onderwijscentrum Het Roessingh &amp; De Huifkar</v>
      </c>
      <c r="C968" s="258" t="str">
        <f>VLOOKUP(Ruimtestaat[[#This Row],[Code]],Locaties[#All],4,FALSE)</f>
        <v>Roessinghsbleekweg 35</v>
      </c>
      <c r="D968" s="258" t="str">
        <f>VLOOKUP(Ruimtestaat[[#This Row],[Code]],Locaties[#All],5,FALSE)</f>
        <v>7522 AH</v>
      </c>
      <c r="E968" s="258" t="str">
        <f>VLOOKUP(Ruimtestaat[[#This Row],[Code]],Locaties[#All],6,FALSE)</f>
        <v>Enschede</v>
      </c>
      <c r="F968" s="257"/>
      <c r="G968" s="257" t="s">
        <v>563</v>
      </c>
      <c r="H968" s="171"/>
      <c r="I968" s="257" t="s">
        <v>993</v>
      </c>
      <c r="J968" s="259" t="s">
        <v>569</v>
      </c>
      <c r="K968" s="258">
        <v>5</v>
      </c>
      <c r="L968" s="260" t="str">
        <f>VLOOKUP(Ruimtestaat[[#This Row],[Ruimte code]],Ruimtegroepen[#All],2,FALSE)</f>
        <v>Sanitair</v>
      </c>
      <c r="M968" s="212" t="s">
        <v>111</v>
      </c>
      <c r="N968" s="257" t="s">
        <v>606</v>
      </c>
      <c r="O968" s="261">
        <v>5</v>
      </c>
      <c r="P968" s="183"/>
      <c r="Q968" s="212" t="str">
        <f>VLOOKUP(Ruimtestaat[[#This Row],[Ruimte code]],Ruimtegroepen[#All],4,FALSE)</f>
        <v>S  (Sanitair)</v>
      </c>
      <c r="R968" s="184"/>
      <c r="S968" s="185">
        <v>40</v>
      </c>
      <c r="T968" s="185" t="s">
        <v>2</v>
      </c>
      <c r="U968" s="185">
        <f>IF(S968&gt;0,IF(RIGHT(Ruimtestaat[[#This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8" s="185">
        <f>IF(U968&gt;0,VLOOKUP($K968,Ruimtegroepen[],3,FALSE)*VLOOKUP($M968,Vloersoorten[],3,FALSE)*VLOOKUP($T968,Frequenties[],3,FALSE)*VLOOKUP($A968,Locaties[],3,FALSE),0)</f>
        <v>0</v>
      </c>
      <c r="W968" s="185">
        <f>Ruimtestaat[[#This Row],[Uitvoeringen werkdagen]]*Ruimtestaat[[#This Row],[Oppervlak (netto)]]</f>
        <v>1000</v>
      </c>
      <c r="X968" s="220">
        <f>IF(V968&gt;0,Ruimtestaat[[#This Row],[Prest. (m2 /jaar) werkdagen]]/Ruimtestaat[[#This Row],[Norm (m2/uur) werkdagen]],0)</f>
        <v>0</v>
      </c>
      <c r="Y968" s="221">
        <f>Ruimtestaat[[#This Row],[uren / jaar werkdagen]]*Tariefsopbouw!$D$38</f>
        <v>0</v>
      </c>
      <c r="Z968" s="33"/>
      <c r="AA968" s="33">
        <f>IF(Ruimtestaat[[#This Row],[Frequentie weekend]]&gt;0,VALUE(LEFT(Z968,1))*S968,0)</f>
        <v>0</v>
      </c>
      <c r="AB968" s="33">
        <f>IF($AA968&gt;0,VLOOKUP($K968,Ruimtegroepen[],3,FALSE)*VLOOKUP($M968,Vloersoorten[],3,FALSE)*VLOOKUP($Z968,Frequenties[],3,FALSE)*VLOOKUP(#REF!,Locaties[],3,FALSE),0)</f>
        <v>0</v>
      </c>
      <c r="AC968" s="33"/>
      <c r="AD968" s="33"/>
      <c r="AE968" s="33">
        <f>Ruimtestaat[[#This Row],[uren / jaar weekend]]*Tariefsopbouw!$D$40</f>
        <v>0</v>
      </c>
      <c r="AF968" s="79">
        <f>Ruimtestaat[[#This Row],[Prest. (m2 /jaar) weekend]]+Ruimtestaat[[#This Row],[Prest. (m2 /jaar) werkdagen]]</f>
        <v>1000</v>
      </c>
      <c r="AG968" s="79">
        <f>Ruimtestaat[[#This Row],[uren / jaar weekend]]+Ruimtestaat[[#This Row],[uren / jaar werkdagen]]</f>
        <v>0</v>
      </c>
      <c r="AH968" s="80">
        <f>Ruimtestaat[[#This Row],[kosten / jaar weekend]]+Ruimtestaat[[#This Row],[kosten / jaar werkdagen]]</f>
        <v>0</v>
      </c>
    </row>
    <row r="969" spans="1:34" ht="15" customHeight="1">
      <c r="A969" s="256">
        <v>12</v>
      </c>
      <c r="B969" s="171" t="str">
        <f>VLOOKUP(Ruimtestaat[[#This Row],[Code]],Locaties[#All],2,FALSE)</f>
        <v>Onderwijscentrum Het Roessingh &amp; De Huifkar</v>
      </c>
      <c r="C969" s="258" t="str">
        <f>VLOOKUP(Ruimtestaat[[#This Row],[Code]],Locaties[#All],4,FALSE)</f>
        <v>Roessinghsbleekweg 35</v>
      </c>
      <c r="D969" s="258" t="str">
        <f>VLOOKUP(Ruimtestaat[[#This Row],[Code]],Locaties[#All],5,FALSE)</f>
        <v>7522 AH</v>
      </c>
      <c r="E969" s="258" t="str">
        <f>VLOOKUP(Ruimtestaat[[#This Row],[Code]],Locaties[#All],6,FALSE)</f>
        <v>Enschede</v>
      </c>
      <c r="F969" s="257"/>
      <c r="G969" s="257" t="s">
        <v>563</v>
      </c>
      <c r="H969" s="171"/>
      <c r="I969" s="257" t="s">
        <v>994</v>
      </c>
      <c r="J969" s="259" t="s">
        <v>770</v>
      </c>
      <c r="K969" s="258">
        <v>5</v>
      </c>
      <c r="L969" s="260" t="str">
        <f>VLOOKUP(Ruimtestaat[[#This Row],[Ruimte code]],Ruimtegroepen[#All],2,FALSE)</f>
        <v>Sanitair</v>
      </c>
      <c r="M969" s="185" t="s">
        <v>598</v>
      </c>
      <c r="N969" s="257" t="s">
        <v>132</v>
      </c>
      <c r="O969" s="261">
        <v>23</v>
      </c>
      <c r="P969" s="183"/>
      <c r="Q969" s="212" t="str">
        <f>VLOOKUP(Ruimtestaat[[#This Row],[Ruimte code]],Ruimtegroepen[#All],4,FALSE)</f>
        <v>S  (Sanitair)</v>
      </c>
      <c r="R969" s="184"/>
      <c r="S969" s="185">
        <v>40</v>
      </c>
      <c r="T969" s="185" t="s">
        <v>2</v>
      </c>
      <c r="U969" s="185">
        <f>IF(S969&gt;0,IF(RIGHT(Ruimtestaat[[#This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9" s="185">
        <f>IF(U969&gt;0,VLOOKUP($K969,Ruimtegroepen[],3,FALSE)*VLOOKUP($M969,Vloersoorten[],3,FALSE)*VLOOKUP($T969,Frequenties[],3,FALSE)*VLOOKUP($A969,Locaties[],3,FALSE),0)</f>
        <v>0</v>
      </c>
      <c r="W969" s="185">
        <f>Ruimtestaat[[#This Row],[Uitvoeringen werkdagen]]*Ruimtestaat[[#This Row],[Oppervlak (netto)]]</f>
        <v>4600</v>
      </c>
      <c r="X969" s="220">
        <f>IF(V969&gt;0,Ruimtestaat[[#This Row],[Prest. (m2 /jaar) werkdagen]]/Ruimtestaat[[#This Row],[Norm (m2/uur) werkdagen]],0)</f>
        <v>0</v>
      </c>
      <c r="Y969" s="221">
        <f>Ruimtestaat[[#This Row],[uren / jaar werkdagen]]*Tariefsopbouw!$D$38</f>
        <v>0</v>
      </c>
      <c r="Z969" s="33"/>
      <c r="AA969" s="33">
        <f>IF(Ruimtestaat[[#This Row],[Frequentie weekend]]&gt;0,VALUE(LEFT(Z969,1))*S969,0)</f>
        <v>0</v>
      </c>
      <c r="AB969" s="33">
        <f>IF($AA969&gt;0,VLOOKUP($K969,Ruimtegroepen[],3,FALSE)*VLOOKUP($M969,Vloersoorten[],3,FALSE)*VLOOKUP($Z969,Frequenties[],3,FALSE)*VLOOKUP(#REF!,Locaties[],3,FALSE),0)</f>
        <v>0</v>
      </c>
      <c r="AC969" s="33"/>
      <c r="AD969" s="33"/>
      <c r="AE969" s="33">
        <f>Ruimtestaat[[#This Row],[uren / jaar weekend]]*Tariefsopbouw!$D$40</f>
        <v>0</v>
      </c>
      <c r="AF969" s="79">
        <f>Ruimtestaat[[#This Row],[Prest. (m2 /jaar) weekend]]+Ruimtestaat[[#This Row],[Prest. (m2 /jaar) werkdagen]]</f>
        <v>4600</v>
      </c>
      <c r="AG969" s="79">
        <f>Ruimtestaat[[#This Row],[uren / jaar weekend]]+Ruimtestaat[[#This Row],[uren / jaar werkdagen]]</f>
        <v>0</v>
      </c>
      <c r="AH969" s="80">
        <f>Ruimtestaat[[#This Row],[kosten / jaar weekend]]+Ruimtestaat[[#This Row],[kosten / jaar werkdagen]]</f>
        <v>0</v>
      </c>
    </row>
    <row r="970" spans="1:34" ht="15" customHeight="1">
      <c r="A970" s="256">
        <v>12</v>
      </c>
      <c r="B970" s="171" t="str">
        <f>VLOOKUP(Ruimtestaat[[#This Row],[Code]],Locaties[#All],2,FALSE)</f>
        <v>Onderwijscentrum Het Roessingh &amp; De Huifkar</v>
      </c>
      <c r="C970" s="258" t="str">
        <f>VLOOKUP(Ruimtestaat[[#This Row],[Code]],Locaties[#All],4,FALSE)</f>
        <v>Roessinghsbleekweg 35</v>
      </c>
      <c r="D970" s="258" t="str">
        <f>VLOOKUP(Ruimtestaat[[#This Row],[Code]],Locaties[#All],5,FALSE)</f>
        <v>7522 AH</v>
      </c>
      <c r="E970" s="258" t="str">
        <f>VLOOKUP(Ruimtestaat[[#This Row],[Code]],Locaties[#All],6,FALSE)</f>
        <v>Enschede</v>
      </c>
      <c r="F970" s="257"/>
      <c r="G970" s="257" t="s">
        <v>563</v>
      </c>
      <c r="H970" s="171"/>
      <c r="I970" s="257" t="s">
        <v>995</v>
      </c>
      <c r="J970" s="259" t="s">
        <v>586</v>
      </c>
      <c r="K970" s="171">
        <v>20</v>
      </c>
      <c r="L970" s="260" t="str">
        <f>VLOOKUP(Ruimtestaat[[#This Row],[Ruimte code]],Ruimtegroepen[#All],2,FALSE)</f>
        <v>Niet in onderhoud</v>
      </c>
      <c r="M970" s="258"/>
      <c r="N970" s="257"/>
      <c r="O970" s="261"/>
      <c r="P970" s="183"/>
      <c r="Q970" s="212" t="str">
        <f>VLOOKUP(Ruimtestaat[[#This Row],[Ruimte code]],Ruimtegroepen[#All],4,FALSE)</f>
        <v>niet in onderhoud</v>
      </c>
      <c r="R970" s="184"/>
      <c r="S970" s="185"/>
      <c r="T970" s="185"/>
      <c r="U970" s="185">
        <f>IF(S970&gt;0,IF(RIGHT(Ruimtestaat[[#This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70" s="185">
        <f>IF(U970&gt;0,VLOOKUP($K970,Ruimtegroepen[],3,FALSE)*VLOOKUP($M970,Vloersoorten[],3,FALSE)*VLOOKUP($T970,Frequenties[],3,FALSE)*VLOOKUP($A970,Locaties[],3,FALSE),0)</f>
        <v>0</v>
      </c>
      <c r="W970" s="185">
        <f>Ruimtestaat[[#This Row],[Uitvoeringen werkdagen]]*Ruimtestaat[[#This Row],[Oppervlak (netto)]]</f>
        <v>0</v>
      </c>
      <c r="X970" s="220">
        <f>IF(V970&gt;0,Ruimtestaat[[#This Row],[Prest. (m2 /jaar) werkdagen]]/Ruimtestaat[[#This Row],[Norm (m2/uur) werkdagen]],0)</f>
        <v>0</v>
      </c>
      <c r="Y970" s="221">
        <f>Ruimtestaat[[#This Row],[uren / jaar werkdagen]]*Tariefsopbouw!$D$38</f>
        <v>0</v>
      </c>
      <c r="Z970" s="33"/>
      <c r="AA970" s="33">
        <f>IF(Ruimtestaat[[#This Row],[Frequentie weekend]]&gt;0,VALUE(LEFT(Z970,1))*S970,0)</f>
        <v>0</v>
      </c>
      <c r="AB970" s="33">
        <f>IF($AA970&gt;0,VLOOKUP($K970,Ruimtegroepen[],3,FALSE)*VLOOKUP($M970,Vloersoorten[],3,FALSE)*VLOOKUP($Z970,Frequenties[],3,FALSE)*VLOOKUP(#REF!,Locaties[],3,FALSE),0)</f>
        <v>0</v>
      </c>
      <c r="AC970" s="33"/>
      <c r="AD970" s="33"/>
      <c r="AE970" s="33">
        <f>Ruimtestaat[[#This Row],[uren / jaar weekend]]*Tariefsopbouw!$D$40</f>
        <v>0</v>
      </c>
      <c r="AF970" s="79">
        <f>Ruimtestaat[[#This Row],[Prest. (m2 /jaar) weekend]]+Ruimtestaat[[#This Row],[Prest. (m2 /jaar) werkdagen]]</f>
        <v>0</v>
      </c>
      <c r="AG970" s="79">
        <f>Ruimtestaat[[#This Row],[uren / jaar weekend]]+Ruimtestaat[[#This Row],[uren / jaar werkdagen]]</f>
        <v>0</v>
      </c>
      <c r="AH970" s="80">
        <f>Ruimtestaat[[#This Row],[kosten / jaar weekend]]+Ruimtestaat[[#This Row],[kosten / jaar werkdagen]]</f>
        <v>0</v>
      </c>
    </row>
    <row r="971" spans="1:34" ht="15" customHeight="1">
      <c r="A971" s="256">
        <v>12</v>
      </c>
      <c r="B971" s="171" t="str">
        <f>VLOOKUP(Ruimtestaat[[#This Row],[Code]],Locaties[#All],2,FALSE)</f>
        <v>Onderwijscentrum Het Roessingh &amp; De Huifkar</v>
      </c>
      <c r="C971" s="258" t="str">
        <f>VLOOKUP(Ruimtestaat[[#This Row],[Code]],Locaties[#All],4,FALSE)</f>
        <v>Roessinghsbleekweg 35</v>
      </c>
      <c r="D971" s="258" t="str">
        <f>VLOOKUP(Ruimtestaat[[#This Row],[Code]],Locaties[#All],5,FALSE)</f>
        <v>7522 AH</v>
      </c>
      <c r="E971" s="258" t="str">
        <f>VLOOKUP(Ruimtestaat[[#This Row],[Code]],Locaties[#All],6,FALSE)</f>
        <v>Enschede</v>
      </c>
      <c r="F971" s="257"/>
      <c r="G971" s="257" t="s">
        <v>563</v>
      </c>
      <c r="H971" s="171"/>
      <c r="I971" s="257" t="s">
        <v>996</v>
      </c>
      <c r="J971" s="259" t="s">
        <v>571</v>
      </c>
      <c r="K971" s="171">
        <v>2</v>
      </c>
      <c r="L971" s="260" t="str">
        <f>VLOOKUP(Ruimtestaat[[#This Row],[Ruimte code]],Ruimtegroepen[#All],2,FALSE)</f>
        <v>Kantoren</v>
      </c>
      <c r="M971" s="258" t="s">
        <v>598</v>
      </c>
      <c r="N971" s="257" t="s">
        <v>132</v>
      </c>
      <c r="O971" s="261">
        <v>8</v>
      </c>
      <c r="P971" s="183"/>
      <c r="Q971" s="212" t="str">
        <f>VLOOKUP(Ruimtestaat[[#This Row],[Ruimte code]],Ruimtegroepen[#All],4,FALSE)</f>
        <v>B  (Bureauruimte)</v>
      </c>
      <c r="R971" s="184"/>
      <c r="S971" s="185">
        <v>40</v>
      </c>
      <c r="T971" s="185" t="s">
        <v>2</v>
      </c>
      <c r="U971" s="185">
        <f>IF(S971&gt;0,IF(RIGHT(Ruimtestaat[[#This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1" s="185">
        <f>IF(U971&gt;0,VLOOKUP($K971,Ruimtegroepen[],3,FALSE)*VLOOKUP($M971,Vloersoorten[],3,FALSE)*VLOOKUP($T971,Frequenties[],3,FALSE)*VLOOKUP($A971,Locaties[],3,FALSE),0)</f>
        <v>0</v>
      </c>
      <c r="W971" s="185">
        <f>Ruimtestaat[[#This Row],[Uitvoeringen werkdagen]]*Ruimtestaat[[#This Row],[Oppervlak (netto)]]</f>
        <v>1600</v>
      </c>
      <c r="X971" s="220">
        <f>IF(V971&gt;0,Ruimtestaat[[#This Row],[Prest. (m2 /jaar) werkdagen]]/Ruimtestaat[[#This Row],[Norm (m2/uur) werkdagen]],0)</f>
        <v>0</v>
      </c>
      <c r="Y971" s="221">
        <f>Ruimtestaat[[#This Row],[uren / jaar werkdagen]]*Tariefsopbouw!$D$38</f>
        <v>0</v>
      </c>
      <c r="Z971" s="33"/>
      <c r="AA971" s="33">
        <f>IF(Ruimtestaat[[#This Row],[Frequentie weekend]]&gt;0,VALUE(LEFT(Z971,1))*S971,0)</f>
        <v>0</v>
      </c>
      <c r="AB971" s="33">
        <f>IF($AA971&gt;0,VLOOKUP($K971,Ruimtegroepen[],3,FALSE)*VLOOKUP($M971,Vloersoorten[],3,FALSE)*VLOOKUP($Z971,Frequenties[],3,FALSE)*VLOOKUP(#REF!,Locaties[],3,FALSE),0)</f>
        <v>0</v>
      </c>
      <c r="AC971" s="33"/>
      <c r="AD971" s="33"/>
      <c r="AE971" s="33">
        <f>Ruimtestaat[[#This Row],[uren / jaar weekend]]*Tariefsopbouw!$D$40</f>
        <v>0</v>
      </c>
      <c r="AF971" s="79">
        <f>Ruimtestaat[[#This Row],[Prest. (m2 /jaar) weekend]]+Ruimtestaat[[#This Row],[Prest. (m2 /jaar) werkdagen]]</f>
        <v>1600</v>
      </c>
      <c r="AG971" s="79">
        <f>Ruimtestaat[[#This Row],[uren / jaar weekend]]+Ruimtestaat[[#This Row],[uren / jaar werkdagen]]</f>
        <v>0</v>
      </c>
      <c r="AH971" s="80">
        <f>Ruimtestaat[[#This Row],[kosten / jaar weekend]]+Ruimtestaat[[#This Row],[kosten / jaar werkdagen]]</f>
        <v>0</v>
      </c>
    </row>
    <row r="972" spans="1:34" ht="15" customHeight="1">
      <c r="A972" s="256">
        <v>12</v>
      </c>
      <c r="B972" s="171" t="str">
        <f>VLOOKUP(Ruimtestaat[[#This Row],[Code]],Locaties[#All],2,FALSE)</f>
        <v>Onderwijscentrum Het Roessingh &amp; De Huifkar</v>
      </c>
      <c r="C972" s="258" t="str">
        <f>VLOOKUP(Ruimtestaat[[#This Row],[Code]],Locaties[#All],4,FALSE)</f>
        <v>Roessinghsbleekweg 35</v>
      </c>
      <c r="D972" s="258" t="str">
        <f>VLOOKUP(Ruimtestaat[[#This Row],[Code]],Locaties[#All],5,FALSE)</f>
        <v>7522 AH</v>
      </c>
      <c r="E972" s="258" t="str">
        <f>VLOOKUP(Ruimtestaat[[#This Row],[Code]],Locaties[#All],6,FALSE)</f>
        <v>Enschede</v>
      </c>
      <c r="F972" s="257"/>
      <c r="G972" s="257" t="s">
        <v>563</v>
      </c>
      <c r="H972" s="171"/>
      <c r="I972" s="257" t="s">
        <v>997</v>
      </c>
      <c r="J972" s="259" t="s">
        <v>574</v>
      </c>
      <c r="K972" s="171">
        <v>6</v>
      </c>
      <c r="L972" s="260" t="str">
        <f>VLOOKUP(Ruimtestaat[[#This Row],[Ruimte code]],Ruimtegroepen[#All],2,FALSE)</f>
        <v>Gangen/hallen</v>
      </c>
      <c r="M972" s="258" t="s">
        <v>598</v>
      </c>
      <c r="N972" s="257" t="s">
        <v>132</v>
      </c>
      <c r="O972" s="261">
        <v>17.5</v>
      </c>
      <c r="P972" s="183"/>
      <c r="Q972" s="212" t="str">
        <f>VLOOKUP(Ruimtestaat[[#This Row],[Ruimte code]],Ruimtegroepen[#All],4,FALSE)</f>
        <v>V  (Verkeersruimte)</v>
      </c>
      <c r="R972" s="184"/>
      <c r="S972" s="185">
        <v>40</v>
      </c>
      <c r="T972" s="185" t="s">
        <v>2</v>
      </c>
      <c r="U972" s="185">
        <f>IF(S972&gt;0,IF(RIGHT(Ruimtestaat[[#This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2" s="185">
        <f>IF(U972&gt;0,VLOOKUP($K972,Ruimtegroepen[],3,FALSE)*VLOOKUP($M972,Vloersoorten[],3,FALSE)*VLOOKUP($T972,Frequenties[],3,FALSE)*VLOOKUP($A972,Locaties[],3,FALSE),0)</f>
        <v>0</v>
      </c>
      <c r="W972" s="185">
        <f>Ruimtestaat[[#This Row],[Uitvoeringen werkdagen]]*Ruimtestaat[[#This Row],[Oppervlak (netto)]]</f>
        <v>3500</v>
      </c>
      <c r="X972" s="220">
        <f>IF(V972&gt;0,Ruimtestaat[[#This Row],[Prest. (m2 /jaar) werkdagen]]/Ruimtestaat[[#This Row],[Norm (m2/uur) werkdagen]],0)</f>
        <v>0</v>
      </c>
      <c r="Y972" s="221">
        <f>Ruimtestaat[[#This Row],[uren / jaar werkdagen]]*Tariefsopbouw!$D$38</f>
        <v>0</v>
      </c>
      <c r="Z972" s="33"/>
      <c r="AA972" s="33">
        <f>IF(Ruimtestaat[[#This Row],[Frequentie weekend]]&gt;0,VALUE(LEFT(Z972,1))*S972,0)</f>
        <v>0</v>
      </c>
      <c r="AB972" s="33">
        <f>IF($AA972&gt;0,VLOOKUP($K972,Ruimtegroepen[],3,FALSE)*VLOOKUP($M972,Vloersoorten[],3,FALSE)*VLOOKUP($Z972,Frequenties[],3,FALSE)*VLOOKUP(#REF!,Locaties[],3,FALSE),0)</f>
        <v>0</v>
      </c>
      <c r="AC972" s="33"/>
      <c r="AD972" s="33"/>
      <c r="AE972" s="33">
        <f>Ruimtestaat[[#This Row],[uren / jaar weekend]]*Tariefsopbouw!$D$40</f>
        <v>0</v>
      </c>
      <c r="AF972" s="79">
        <f>Ruimtestaat[[#This Row],[Prest. (m2 /jaar) weekend]]+Ruimtestaat[[#This Row],[Prest. (m2 /jaar) werkdagen]]</f>
        <v>3500</v>
      </c>
      <c r="AG972" s="79">
        <f>Ruimtestaat[[#This Row],[uren / jaar weekend]]+Ruimtestaat[[#This Row],[uren / jaar werkdagen]]</f>
        <v>0</v>
      </c>
      <c r="AH972" s="80">
        <f>Ruimtestaat[[#This Row],[kosten / jaar weekend]]+Ruimtestaat[[#This Row],[kosten / jaar werkdagen]]</f>
        <v>0</v>
      </c>
    </row>
    <row r="973" spans="1:34" ht="15" customHeight="1">
      <c r="A973" s="256">
        <v>12</v>
      </c>
      <c r="B973" s="171" t="str">
        <f>VLOOKUP(Ruimtestaat[[#This Row],[Code]],Locaties[#All],2,FALSE)</f>
        <v>Onderwijscentrum Het Roessingh &amp; De Huifkar</v>
      </c>
      <c r="C973" s="258" t="str">
        <f>VLOOKUP(Ruimtestaat[[#This Row],[Code]],Locaties[#All],4,FALSE)</f>
        <v>Roessinghsbleekweg 35</v>
      </c>
      <c r="D973" s="258" t="str">
        <f>VLOOKUP(Ruimtestaat[[#This Row],[Code]],Locaties[#All],5,FALSE)</f>
        <v>7522 AH</v>
      </c>
      <c r="E973" s="258" t="str">
        <f>VLOOKUP(Ruimtestaat[[#This Row],[Code]],Locaties[#All],6,FALSE)</f>
        <v>Enschede</v>
      </c>
      <c r="F973" s="257"/>
      <c r="G973" s="257" t="s">
        <v>563</v>
      </c>
      <c r="H973" s="171"/>
      <c r="I973" s="257" t="s">
        <v>998</v>
      </c>
      <c r="J973" s="259" t="s">
        <v>576</v>
      </c>
      <c r="K973" s="171">
        <v>16</v>
      </c>
      <c r="L973" s="260" t="str">
        <f>VLOOKUP(Ruimtestaat[[#This Row],[Ruimte code]],Ruimtegroepen[#All],2,FALSE)</f>
        <v>Leslokalen</v>
      </c>
      <c r="M973" s="212" t="s">
        <v>111</v>
      </c>
      <c r="N973" s="257" t="s">
        <v>606</v>
      </c>
      <c r="O973" s="261">
        <v>42</v>
      </c>
      <c r="P973" s="183"/>
      <c r="Q973" s="212" t="str">
        <f>VLOOKUP(Ruimtestaat[[#This Row],[Ruimte code]],Ruimtegroepen[#All],4,FALSE)</f>
        <v>L  (Lesruimte)</v>
      </c>
      <c r="R973" s="184"/>
      <c r="S973" s="185">
        <v>40</v>
      </c>
      <c r="T973" s="185" t="s">
        <v>2</v>
      </c>
      <c r="U973" s="185">
        <f>IF(S973&gt;0,IF(RIGHT(Ruimtestaat[[#This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3" s="185">
        <f>IF(U973&gt;0,VLOOKUP($K973,Ruimtegroepen[],3,FALSE)*VLOOKUP($M973,Vloersoorten[],3,FALSE)*VLOOKUP($T973,Frequenties[],3,FALSE)*VLOOKUP($A973,Locaties[],3,FALSE),0)</f>
        <v>0</v>
      </c>
      <c r="W973" s="185">
        <f>Ruimtestaat[[#This Row],[Uitvoeringen werkdagen]]*Ruimtestaat[[#This Row],[Oppervlak (netto)]]</f>
        <v>8400</v>
      </c>
      <c r="X973" s="220">
        <f>IF(V973&gt;0,Ruimtestaat[[#This Row],[Prest. (m2 /jaar) werkdagen]]/Ruimtestaat[[#This Row],[Norm (m2/uur) werkdagen]],0)</f>
        <v>0</v>
      </c>
      <c r="Y973" s="221">
        <f>Ruimtestaat[[#This Row],[uren / jaar werkdagen]]*Tariefsopbouw!$D$38</f>
        <v>0</v>
      </c>
      <c r="Z973" s="33"/>
      <c r="AA973" s="33">
        <f>IF(Ruimtestaat[[#This Row],[Frequentie weekend]]&gt;0,VALUE(LEFT(Z973,1))*S973,0)</f>
        <v>0</v>
      </c>
      <c r="AB973" s="33">
        <f>IF($AA973&gt;0,VLOOKUP($K973,Ruimtegroepen[],3,FALSE)*VLOOKUP($M973,Vloersoorten[],3,FALSE)*VLOOKUP($Z973,Frequenties[],3,FALSE)*VLOOKUP(#REF!,Locaties[],3,FALSE),0)</f>
        <v>0</v>
      </c>
      <c r="AC973" s="33"/>
      <c r="AD973" s="33"/>
      <c r="AE973" s="33">
        <f>Ruimtestaat[[#This Row],[uren / jaar weekend]]*Tariefsopbouw!$D$40</f>
        <v>0</v>
      </c>
      <c r="AF973" s="79">
        <f>Ruimtestaat[[#This Row],[Prest. (m2 /jaar) weekend]]+Ruimtestaat[[#This Row],[Prest. (m2 /jaar) werkdagen]]</f>
        <v>8400</v>
      </c>
      <c r="AG973" s="79">
        <f>Ruimtestaat[[#This Row],[uren / jaar weekend]]+Ruimtestaat[[#This Row],[uren / jaar werkdagen]]</f>
        <v>0</v>
      </c>
      <c r="AH973" s="80">
        <f>Ruimtestaat[[#This Row],[kosten / jaar weekend]]+Ruimtestaat[[#This Row],[kosten / jaar werkdagen]]</f>
        <v>0</v>
      </c>
    </row>
    <row r="974" spans="1:34" ht="15" customHeight="1">
      <c r="A974" s="256">
        <v>12</v>
      </c>
      <c r="B974" s="171" t="str">
        <f>VLOOKUP(Ruimtestaat[[#This Row],[Code]],Locaties[#All],2,FALSE)</f>
        <v>Onderwijscentrum Het Roessingh &amp; De Huifkar</v>
      </c>
      <c r="C974" s="258" t="str">
        <f>VLOOKUP(Ruimtestaat[[#This Row],[Code]],Locaties[#All],4,FALSE)</f>
        <v>Roessinghsbleekweg 35</v>
      </c>
      <c r="D974" s="258" t="str">
        <f>VLOOKUP(Ruimtestaat[[#This Row],[Code]],Locaties[#All],5,FALSE)</f>
        <v>7522 AH</v>
      </c>
      <c r="E974" s="258" t="str">
        <f>VLOOKUP(Ruimtestaat[[#This Row],[Code]],Locaties[#All],6,FALSE)</f>
        <v>Enschede</v>
      </c>
      <c r="F974" s="257"/>
      <c r="G974" s="257" t="s">
        <v>563</v>
      </c>
      <c r="H974" s="171"/>
      <c r="I974" s="257" t="s">
        <v>999</v>
      </c>
      <c r="J974" s="259" t="s">
        <v>770</v>
      </c>
      <c r="K974" s="185">
        <v>5</v>
      </c>
      <c r="L974" s="260" t="str">
        <f>VLOOKUP(Ruimtestaat[[#This Row],[Ruimte code]],Ruimtegroepen[#All],2,FALSE)</f>
        <v>Sanitair</v>
      </c>
      <c r="M974" s="212" t="s">
        <v>111</v>
      </c>
      <c r="N974" s="257" t="s">
        <v>606</v>
      </c>
      <c r="O974" s="261">
        <v>34</v>
      </c>
      <c r="P974" s="183"/>
      <c r="Q974" s="212" t="str">
        <f>VLOOKUP(Ruimtestaat[[#This Row],[Ruimte code]],Ruimtegroepen[#All],4,FALSE)</f>
        <v>S  (Sanitair)</v>
      </c>
      <c r="R974" s="184"/>
      <c r="S974" s="185">
        <v>40</v>
      </c>
      <c r="T974" s="185" t="s">
        <v>2</v>
      </c>
      <c r="U974" s="185">
        <f>IF(S974&gt;0,IF(RIGHT(Ruimtestaat[[#This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4" s="185">
        <f>IF(U974&gt;0,VLOOKUP($K974,Ruimtegroepen[],3,FALSE)*VLOOKUP($M974,Vloersoorten[],3,FALSE)*VLOOKUP($T974,Frequenties[],3,FALSE)*VLOOKUP($A974,Locaties[],3,FALSE),0)</f>
        <v>0</v>
      </c>
      <c r="W974" s="185">
        <f>Ruimtestaat[[#This Row],[Uitvoeringen werkdagen]]*Ruimtestaat[[#This Row],[Oppervlak (netto)]]</f>
        <v>6800</v>
      </c>
      <c r="X974" s="220">
        <f>IF(V974&gt;0,Ruimtestaat[[#This Row],[Prest. (m2 /jaar) werkdagen]]/Ruimtestaat[[#This Row],[Norm (m2/uur) werkdagen]],0)</f>
        <v>0</v>
      </c>
      <c r="Y974" s="221">
        <f>Ruimtestaat[[#This Row],[uren / jaar werkdagen]]*Tariefsopbouw!$D$38</f>
        <v>0</v>
      </c>
      <c r="Z974" s="33"/>
      <c r="AA974" s="33">
        <f>IF(Ruimtestaat[[#This Row],[Frequentie weekend]]&gt;0,VALUE(LEFT(Z974,1))*S974,0)</f>
        <v>0</v>
      </c>
      <c r="AB974" s="33">
        <f>IF($AA974&gt;0,VLOOKUP($K974,Ruimtegroepen[],3,FALSE)*VLOOKUP($M974,Vloersoorten[],3,FALSE)*VLOOKUP($Z974,Frequenties[],3,FALSE)*VLOOKUP(#REF!,Locaties[],3,FALSE),0)</f>
        <v>0</v>
      </c>
      <c r="AC974" s="33"/>
      <c r="AD974" s="33"/>
      <c r="AE974" s="33">
        <f>Ruimtestaat[[#This Row],[uren / jaar weekend]]*Tariefsopbouw!$D$40</f>
        <v>0</v>
      </c>
      <c r="AF974" s="79">
        <f>Ruimtestaat[[#This Row],[Prest. (m2 /jaar) weekend]]+Ruimtestaat[[#This Row],[Prest. (m2 /jaar) werkdagen]]</f>
        <v>6800</v>
      </c>
      <c r="AG974" s="79">
        <f>Ruimtestaat[[#This Row],[uren / jaar weekend]]+Ruimtestaat[[#This Row],[uren / jaar werkdagen]]</f>
        <v>0</v>
      </c>
      <c r="AH974" s="80">
        <f>Ruimtestaat[[#This Row],[kosten / jaar weekend]]+Ruimtestaat[[#This Row],[kosten / jaar werkdagen]]</f>
        <v>0</v>
      </c>
    </row>
    <row r="975" spans="1:34" ht="15" customHeight="1">
      <c r="A975" s="256">
        <v>12</v>
      </c>
      <c r="B975" s="171" t="str">
        <f>VLOOKUP(Ruimtestaat[[#This Row],[Code]],Locaties[#All],2,FALSE)</f>
        <v>Onderwijscentrum Het Roessingh &amp; De Huifkar</v>
      </c>
      <c r="C975" s="258" t="str">
        <f>VLOOKUP(Ruimtestaat[[#This Row],[Code]],Locaties[#All],4,FALSE)</f>
        <v>Roessinghsbleekweg 35</v>
      </c>
      <c r="D975" s="258" t="str">
        <f>VLOOKUP(Ruimtestaat[[#This Row],[Code]],Locaties[#All],5,FALSE)</f>
        <v>7522 AH</v>
      </c>
      <c r="E975" s="258" t="str">
        <f>VLOOKUP(Ruimtestaat[[#This Row],[Code]],Locaties[#All],6,FALSE)</f>
        <v>Enschede</v>
      </c>
      <c r="F975" s="257"/>
      <c r="G975" s="257" t="s">
        <v>563</v>
      </c>
      <c r="H975" s="171"/>
      <c r="I975" s="257" t="s">
        <v>1000</v>
      </c>
      <c r="J975" s="259" t="s">
        <v>576</v>
      </c>
      <c r="K975" s="171">
        <v>16</v>
      </c>
      <c r="L975" s="260" t="str">
        <f>VLOOKUP(Ruimtestaat[[#This Row],[Ruimte code]],Ruimtegroepen[#All],2,FALSE)</f>
        <v>Leslokalen</v>
      </c>
      <c r="M975" s="212" t="s">
        <v>111</v>
      </c>
      <c r="N975" s="257" t="s">
        <v>606</v>
      </c>
      <c r="O975" s="261">
        <v>28</v>
      </c>
      <c r="P975" s="183"/>
      <c r="Q975" s="212" t="str">
        <f>VLOOKUP(Ruimtestaat[[#This Row],[Ruimte code]],Ruimtegroepen[#All],4,FALSE)</f>
        <v>L  (Lesruimte)</v>
      </c>
      <c r="R975" s="184"/>
      <c r="S975" s="185">
        <v>40</v>
      </c>
      <c r="T975" s="185" t="s">
        <v>2</v>
      </c>
      <c r="U975" s="185">
        <f>IF(S975&gt;0,IF(RIGHT(Ruimtestaat[[#This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5" s="185">
        <f>IF(U975&gt;0,VLOOKUP($K975,Ruimtegroepen[],3,FALSE)*VLOOKUP($M975,Vloersoorten[],3,FALSE)*VLOOKUP($T975,Frequenties[],3,FALSE)*VLOOKUP($A975,Locaties[],3,FALSE),0)</f>
        <v>0</v>
      </c>
      <c r="W975" s="185">
        <f>Ruimtestaat[[#This Row],[Uitvoeringen werkdagen]]*Ruimtestaat[[#This Row],[Oppervlak (netto)]]</f>
        <v>5600</v>
      </c>
      <c r="X975" s="220">
        <f>IF(V975&gt;0,Ruimtestaat[[#This Row],[Prest. (m2 /jaar) werkdagen]]/Ruimtestaat[[#This Row],[Norm (m2/uur) werkdagen]],0)</f>
        <v>0</v>
      </c>
      <c r="Y975" s="221">
        <f>Ruimtestaat[[#This Row],[uren / jaar werkdagen]]*Tariefsopbouw!$D$38</f>
        <v>0</v>
      </c>
      <c r="Z975" s="33"/>
      <c r="AA975" s="33">
        <f>IF(Ruimtestaat[[#This Row],[Frequentie weekend]]&gt;0,VALUE(LEFT(Z975,1))*S975,0)</f>
        <v>0</v>
      </c>
      <c r="AB975" s="33">
        <f>IF($AA975&gt;0,VLOOKUP($K975,Ruimtegroepen[],3,FALSE)*VLOOKUP($M975,Vloersoorten[],3,FALSE)*VLOOKUP($Z975,Frequenties[],3,FALSE)*VLOOKUP(#REF!,Locaties[],3,FALSE),0)</f>
        <v>0</v>
      </c>
      <c r="AC975" s="33"/>
      <c r="AD975" s="33"/>
      <c r="AE975" s="33">
        <f>Ruimtestaat[[#This Row],[uren / jaar weekend]]*Tariefsopbouw!$D$40</f>
        <v>0</v>
      </c>
      <c r="AF975" s="79">
        <f>Ruimtestaat[[#This Row],[Prest. (m2 /jaar) weekend]]+Ruimtestaat[[#This Row],[Prest. (m2 /jaar) werkdagen]]</f>
        <v>5600</v>
      </c>
      <c r="AG975" s="79">
        <f>Ruimtestaat[[#This Row],[uren / jaar weekend]]+Ruimtestaat[[#This Row],[uren / jaar werkdagen]]</f>
        <v>0</v>
      </c>
      <c r="AH975" s="80">
        <f>Ruimtestaat[[#This Row],[kosten / jaar weekend]]+Ruimtestaat[[#This Row],[kosten / jaar werkdagen]]</f>
        <v>0</v>
      </c>
    </row>
    <row r="976" spans="1:34" ht="15" customHeight="1">
      <c r="A976" s="256">
        <v>12</v>
      </c>
      <c r="B976" s="171" t="str">
        <f>VLOOKUP(Ruimtestaat[[#This Row],[Code]],Locaties[#All],2,FALSE)</f>
        <v>Onderwijscentrum Het Roessingh &amp; De Huifkar</v>
      </c>
      <c r="C976" s="258" t="str">
        <f>VLOOKUP(Ruimtestaat[[#This Row],[Code]],Locaties[#All],4,FALSE)</f>
        <v>Roessinghsbleekweg 35</v>
      </c>
      <c r="D976" s="258" t="str">
        <f>VLOOKUP(Ruimtestaat[[#This Row],[Code]],Locaties[#All],5,FALSE)</f>
        <v>7522 AH</v>
      </c>
      <c r="E976" s="258" t="str">
        <f>VLOOKUP(Ruimtestaat[[#This Row],[Code]],Locaties[#All],6,FALSE)</f>
        <v>Enschede</v>
      </c>
      <c r="F976" s="257"/>
      <c r="G976" s="257" t="s">
        <v>563</v>
      </c>
      <c r="H976" s="171"/>
      <c r="I976" s="257" t="s">
        <v>1001</v>
      </c>
      <c r="J976" s="259" t="s">
        <v>585</v>
      </c>
      <c r="K976" s="171">
        <v>20</v>
      </c>
      <c r="L976" s="260" t="str">
        <f>VLOOKUP(Ruimtestaat[[#This Row],[Ruimte code]],Ruimtegroepen[#All],2,FALSE)</f>
        <v>Niet in onderhoud</v>
      </c>
      <c r="M976" s="185" t="s">
        <v>598</v>
      </c>
      <c r="N976" s="257" t="s">
        <v>132</v>
      </c>
      <c r="O976" s="261"/>
      <c r="P976" s="183">
        <v>5</v>
      </c>
      <c r="Q976" s="212" t="str">
        <f>VLOOKUP(Ruimtestaat[[#This Row],[Ruimte code]],Ruimtegroepen[#All],4,FALSE)</f>
        <v>niet in onderhoud</v>
      </c>
      <c r="R976" s="184"/>
      <c r="S976" s="185"/>
      <c r="T976" s="185"/>
      <c r="U976" s="185">
        <f>IF(S976&gt;0,IF(RIGHT(Ruimtestaat[[#This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76" s="185">
        <f>IF(U976&gt;0,VLOOKUP($K976,Ruimtegroepen[],3,FALSE)*VLOOKUP($M976,Vloersoorten[],3,FALSE)*VLOOKUP($T976,Frequenties[],3,FALSE)*VLOOKUP($A976,Locaties[],3,FALSE),0)</f>
        <v>0</v>
      </c>
      <c r="W976" s="185">
        <f>Ruimtestaat[[#This Row],[Uitvoeringen werkdagen]]*Ruimtestaat[[#This Row],[Oppervlak (netto)]]</f>
        <v>0</v>
      </c>
      <c r="X976" s="220">
        <f>IF(V976&gt;0,Ruimtestaat[[#This Row],[Prest. (m2 /jaar) werkdagen]]/Ruimtestaat[[#This Row],[Norm (m2/uur) werkdagen]],0)</f>
        <v>0</v>
      </c>
      <c r="Y976" s="221">
        <f>Ruimtestaat[[#This Row],[uren / jaar werkdagen]]*Tariefsopbouw!$D$38</f>
        <v>0</v>
      </c>
      <c r="Z976" s="33"/>
      <c r="AA976" s="33">
        <f>IF(Ruimtestaat[[#This Row],[Frequentie weekend]]&gt;0,VALUE(LEFT(Z976,1))*S976,0)</f>
        <v>0</v>
      </c>
      <c r="AB976" s="33">
        <f>IF($AA976&gt;0,VLOOKUP($K976,Ruimtegroepen[],3,FALSE)*VLOOKUP($M976,Vloersoorten[],3,FALSE)*VLOOKUP($Z976,Frequenties[],3,FALSE)*VLOOKUP(#REF!,Locaties[],3,FALSE),0)</f>
        <v>0</v>
      </c>
      <c r="AC976" s="33"/>
      <c r="AD976" s="33"/>
      <c r="AE976" s="33">
        <f>Ruimtestaat[[#This Row],[uren / jaar weekend]]*Tariefsopbouw!$D$40</f>
        <v>0</v>
      </c>
      <c r="AF976" s="79">
        <f>Ruimtestaat[[#This Row],[Prest. (m2 /jaar) weekend]]+Ruimtestaat[[#This Row],[Prest. (m2 /jaar) werkdagen]]</f>
        <v>0</v>
      </c>
      <c r="AG976" s="79">
        <f>Ruimtestaat[[#This Row],[uren / jaar weekend]]+Ruimtestaat[[#This Row],[uren / jaar werkdagen]]</f>
        <v>0</v>
      </c>
      <c r="AH976" s="80">
        <f>Ruimtestaat[[#This Row],[kosten / jaar weekend]]+Ruimtestaat[[#This Row],[kosten / jaar werkdagen]]</f>
        <v>0</v>
      </c>
    </row>
    <row r="977" spans="1:34" ht="15" customHeight="1">
      <c r="A977" s="256">
        <v>12</v>
      </c>
      <c r="B977" s="171" t="str">
        <f>VLOOKUP(Ruimtestaat[[#This Row],[Code]],Locaties[#All],2,FALSE)</f>
        <v>Onderwijscentrum Het Roessingh &amp; De Huifkar</v>
      </c>
      <c r="C977" s="258" t="str">
        <f>VLOOKUP(Ruimtestaat[[#This Row],[Code]],Locaties[#All],4,FALSE)</f>
        <v>Roessinghsbleekweg 35</v>
      </c>
      <c r="D977" s="258" t="str">
        <f>VLOOKUP(Ruimtestaat[[#This Row],[Code]],Locaties[#All],5,FALSE)</f>
        <v>7522 AH</v>
      </c>
      <c r="E977" s="258" t="str">
        <f>VLOOKUP(Ruimtestaat[[#This Row],[Code]],Locaties[#All],6,FALSE)</f>
        <v>Enschede</v>
      </c>
      <c r="F977" s="257"/>
      <c r="G977" s="257" t="s">
        <v>563</v>
      </c>
      <c r="H977" s="171"/>
      <c r="I977" s="257" t="s">
        <v>918</v>
      </c>
      <c r="J977" s="259" t="s">
        <v>576</v>
      </c>
      <c r="K977" s="258">
        <v>16</v>
      </c>
      <c r="L977" s="260" t="str">
        <f>VLOOKUP(Ruimtestaat[[#This Row],[Ruimte code]],Ruimtegroepen[#All],2,FALSE)</f>
        <v>Leslokalen</v>
      </c>
      <c r="M977" s="212" t="s">
        <v>111</v>
      </c>
      <c r="N977" s="257" t="s">
        <v>606</v>
      </c>
      <c r="O977" s="261">
        <v>52</v>
      </c>
      <c r="P977" s="183"/>
      <c r="Q977" s="212" t="str">
        <f>VLOOKUP(Ruimtestaat[[#This Row],[Ruimte code]],Ruimtegroepen[#All],4,FALSE)</f>
        <v>L  (Lesruimte)</v>
      </c>
      <c r="R977" s="184"/>
      <c r="S977" s="185">
        <v>40</v>
      </c>
      <c r="T977" s="185" t="s">
        <v>2</v>
      </c>
      <c r="U977" s="185">
        <f>IF(S977&gt;0,IF(RIGHT(Ruimtestaat[[#This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7" s="185">
        <f>IF(U977&gt;0,VLOOKUP($K977,Ruimtegroepen[],3,FALSE)*VLOOKUP($M977,Vloersoorten[],3,FALSE)*VLOOKUP($T977,Frequenties[],3,FALSE)*VLOOKUP($A977,Locaties[],3,FALSE),0)</f>
        <v>0</v>
      </c>
      <c r="W977" s="185">
        <f>Ruimtestaat[[#This Row],[Uitvoeringen werkdagen]]*Ruimtestaat[[#This Row],[Oppervlak (netto)]]</f>
        <v>10400</v>
      </c>
      <c r="X977" s="220">
        <f>IF(V977&gt;0,Ruimtestaat[[#This Row],[Prest. (m2 /jaar) werkdagen]]/Ruimtestaat[[#This Row],[Norm (m2/uur) werkdagen]],0)</f>
        <v>0</v>
      </c>
      <c r="Y977" s="221">
        <f>Ruimtestaat[[#This Row],[uren / jaar werkdagen]]*Tariefsopbouw!$D$38</f>
        <v>0</v>
      </c>
      <c r="Z977" s="33"/>
      <c r="AA977" s="33">
        <f>IF(Ruimtestaat[[#This Row],[Frequentie weekend]]&gt;0,VALUE(LEFT(Z977,1))*S977,0)</f>
        <v>0</v>
      </c>
      <c r="AB977" s="33">
        <f>IF($AA977&gt;0,VLOOKUP($K977,Ruimtegroepen[],3,FALSE)*VLOOKUP($M977,Vloersoorten[],3,FALSE)*VLOOKUP($Z977,Frequenties[],3,FALSE)*VLOOKUP(#REF!,Locaties[],3,FALSE),0)</f>
        <v>0</v>
      </c>
      <c r="AC977" s="33"/>
      <c r="AD977" s="33"/>
      <c r="AE977" s="33">
        <f>Ruimtestaat[[#This Row],[uren / jaar weekend]]*Tariefsopbouw!$D$40</f>
        <v>0</v>
      </c>
      <c r="AF977" s="79">
        <f>Ruimtestaat[[#This Row],[Prest. (m2 /jaar) weekend]]+Ruimtestaat[[#This Row],[Prest. (m2 /jaar) werkdagen]]</f>
        <v>10400</v>
      </c>
      <c r="AG977" s="79">
        <f>Ruimtestaat[[#This Row],[uren / jaar weekend]]+Ruimtestaat[[#This Row],[uren / jaar werkdagen]]</f>
        <v>0</v>
      </c>
      <c r="AH977" s="80">
        <f>Ruimtestaat[[#This Row],[kosten / jaar weekend]]+Ruimtestaat[[#This Row],[kosten / jaar werkdagen]]</f>
        <v>0</v>
      </c>
    </row>
    <row r="978" spans="1:34" ht="15" customHeight="1">
      <c r="A978" s="256">
        <v>12</v>
      </c>
      <c r="B978" s="171" t="str">
        <f>VLOOKUP(Ruimtestaat[[#This Row],[Code]],Locaties[#All],2,FALSE)</f>
        <v>Onderwijscentrum Het Roessingh &amp; De Huifkar</v>
      </c>
      <c r="C978" s="258" t="str">
        <f>VLOOKUP(Ruimtestaat[[#This Row],[Code]],Locaties[#All],4,FALSE)</f>
        <v>Roessinghsbleekweg 35</v>
      </c>
      <c r="D978" s="258" t="str">
        <f>VLOOKUP(Ruimtestaat[[#This Row],[Code]],Locaties[#All],5,FALSE)</f>
        <v>7522 AH</v>
      </c>
      <c r="E978" s="258" t="str">
        <f>VLOOKUP(Ruimtestaat[[#This Row],[Code]],Locaties[#All],6,FALSE)</f>
        <v>Enschede</v>
      </c>
      <c r="F978" s="257"/>
      <c r="G978" s="257" t="s">
        <v>563</v>
      </c>
      <c r="H978" s="171"/>
      <c r="I978" s="257" t="s">
        <v>1002</v>
      </c>
      <c r="J978" s="259" t="s">
        <v>576</v>
      </c>
      <c r="K978" s="171">
        <v>16</v>
      </c>
      <c r="L978" s="260" t="str">
        <f>VLOOKUP(Ruimtestaat[[#This Row],[Ruimte code]],Ruimtegroepen[#All],2,FALSE)</f>
        <v>Leslokalen</v>
      </c>
      <c r="M978" s="258" t="s">
        <v>598</v>
      </c>
      <c r="N978" s="257" t="s">
        <v>132</v>
      </c>
      <c r="O978" s="261">
        <v>57</v>
      </c>
      <c r="P978" s="183"/>
      <c r="Q978" s="212" t="str">
        <f>VLOOKUP(Ruimtestaat[[#This Row],[Ruimte code]],Ruimtegroepen[#All],4,FALSE)</f>
        <v>L  (Lesruimte)</v>
      </c>
      <c r="R978" s="184"/>
      <c r="S978" s="185">
        <v>40</v>
      </c>
      <c r="T978" s="185" t="s">
        <v>2</v>
      </c>
      <c r="U978" s="185">
        <f>IF(S978&gt;0,IF(RIGHT(Ruimtestaat[[#This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8" s="185">
        <f>IF(U978&gt;0,VLOOKUP($K978,Ruimtegroepen[],3,FALSE)*VLOOKUP($M978,Vloersoorten[],3,FALSE)*VLOOKUP($T978,Frequenties[],3,FALSE)*VLOOKUP($A978,Locaties[],3,FALSE),0)</f>
        <v>0</v>
      </c>
      <c r="W978" s="185">
        <f>Ruimtestaat[[#This Row],[Uitvoeringen werkdagen]]*Ruimtestaat[[#This Row],[Oppervlak (netto)]]</f>
        <v>11400</v>
      </c>
      <c r="X978" s="220">
        <f>IF(V978&gt;0,Ruimtestaat[[#This Row],[Prest. (m2 /jaar) werkdagen]]/Ruimtestaat[[#This Row],[Norm (m2/uur) werkdagen]],0)</f>
        <v>0</v>
      </c>
      <c r="Y978" s="221">
        <f>Ruimtestaat[[#This Row],[uren / jaar werkdagen]]*Tariefsopbouw!$D$38</f>
        <v>0</v>
      </c>
      <c r="Z978" s="33"/>
      <c r="AA978" s="33">
        <f>IF(Ruimtestaat[[#This Row],[Frequentie weekend]]&gt;0,VALUE(LEFT(Z978,1))*S978,0)</f>
        <v>0</v>
      </c>
      <c r="AB978" s="33">
        <f>IF($AA978&gt;0,VLOOKUP($K978,Ruimtegroepen[],3,FALSE)*VLOOKUP($M978,Vloersoorten[],3,FALSE)*VLOOKUP($Z978,Frequenties[],3,FALSE)*VLOOKUP(#REF!,Locaties[],3,FALSE),0)</f>
        <v>0</v>
      </c>
      <c r="AC978" s="33"/>
      <c r="AD978" s="33"/>
      <c r="AE978" s="33">
        <f>Ruimtestaat[[#This Row],[uren / jaar weekend]]*Tariefsopbouw!$D$40</f>
        <v>0</v>
      </c>
      <c r="AF978" s="79">
        <f>Ruimtestaat[[#This Row],[Prest. (m2 /jaar) weekend]]+Ruimtestaat[[#This Row],[Prest. (m2 /jaar) werkdagen]]</f>
        <v>11400</v>
      </c>
      <c r="AG978" s="79">
        <f>Ruimtestaat[[#This Row],[uren / jaar weekend]]+Ruimtestaat[[#This Row],[uren / jaar werkdagen]]</f>
        <v>0</v>
      </c>
      <c r="AH978" s="80">
        <f>Ruimtestaat[[#This Row],[kosten / jaar weekend]]+Ruimtestaat[[#This Row],[kosten / jaar werkdagen]]</f>
        <v>0</v>
      </c>
    </row>
    <row r="979" spans="1:34" ht="15" customHeight="1">
      <c r="A979" s="256">
        <v>12</v>
      </c>
      <c r="B979" s="171" t="str">
        <f>VLOOKUP(Ruimtestaat[[#This Row],[Code]],Locaties[#All],2,FALSE)</f>
        <v>Onderwijscentrum Het Roessingh &amp; De Huifkar</v>
      </c>
      <c r="C979" s="258" t="str">
        <f>VLOOKUP(Ruimtestaat[[#This Row],[Code]],Locaties[#All],4,FALSE)</f>
        <v>Roessinghsbleekweg 35</v>
      </c>
      <c r="D979" s="258" t="str">
        <f>VLOOKUP(Ruimtestaat[[#This Row],[Code]],Locaties[#All],5,FALSE)</f>
        <v>7522 AH</v>
      </c>
      <c r="E979" s="258" t="str">
        <f>VLOOKUP(Ruimtestaat[[#This Row],[Code]],Locaties[#All],6,FALSE)</f>
        <v>Enschede</v>
      </c>
      <c r="F979" s="257"/>
      <c r="G979" s="257" t="s">
        <v>563</v>
      </c>
      <c r="H979" s="171"/>
      <c r="I979" s="257" t="s">
        <v>1003</v>
      </c>
      <c r="J979" s="259" t="s">
        <v>936</v>
      </c>
      <c r="K979" s="258">
        <v>16</v>
      </c>
      <c r="L979" s="260" t="str">
        <f>VLOOKUP(Ruimtestaat[[#This Row],[Ruimte code]],Ruimtegroepen[#All],2,FALSE)</f>
        <v>Leslokalen</v>
      </c>
      <c r="M979" s="258" t="s">
        <v>598</v>
      </c>
      <c r="N979" s="257" t="s">
        <v>132</v>
      </c>
      <c r="O979" s="261">
        <v>31</v>
      </c>
      <c r="P979" s="183"/>
      <c r="Q979" s="212" t="str">
        <f>VLOOKUP(Ruimtestaat[[#This Row],[Ruimte code]],Ruimtegroepen[#All],4,FALSE)</f>
        <v>L  (Lesruimte)</v>
      </c>
      <c r="R979" s="184"/>
      <c r="S979" s="185">
        <v>40</v>
      </c>
      <c r="T979" s="185" t="s">
        <v>2</v>
      </c>
      <c r="U979" s="185">
        <f>IF(S979&gt;0,IF(RIGHT(Ruimtestaat[[#This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9" s="185">
        <f>IF(U979&gt;0,VLOOKUP($K979,Ruimtegroepen[],3,FALSE)*VLOOKUP($M979,Vloersoorten[],3,FALSE)*VLOOKUP($T979,Frequenties[],3,FALSE)*VLOOKUP($A979,Locaties[],3,FALSE),0)</f>
        <v>0</v>
      </c>
      <c r="W979" s="185">
        <f>Ruimtestaat[[#This Row],[Uitvoeringen werkdagen]]*Ruimtestaat[[#This Row],[Oppervlak (netto)]]</f>
        <v>6200</v>
      </c>
      <c r="X979" s="220">
        <f>IF(V979&gt;0,Ruimtestaat[[#This Row],[Prest. (m2 /jaar) werkdagen]]/Ruimtestaat[[#This Row],[Norm (m2/uur) werkdagen]],0)</f>
        <v>0</v>
      </c>
      <c r="Y979" s="221">
        <f>Ruimtestaat[[#This Row],[uren / jaar werkdagen]]*Tariefsopbouw!$D$38</f>
        <v>0</v>
      </c>
      <c r="Z979" s="33"/>
      <c r="AA979" s="33">
        <f>IF(Ruimtestaat[[#This Row],[Frequentie weekend]]&gt;0,VALUE(LEFT(Z979,1))*S979,0)</f>
        <v>0</v>
      </c>
      <c r="AB979" s="33">
        <f>IF($AA979&gt;0,VLOOKUP($K979,Ruimtegroepen[],3,FALSE)*VLOOKUP($M979,Vloersoorten[],3,FALSE)*VLOOKUP($Z979,Frequenties[],3,FALSE)*VLOOKUP(#REF!,Locaties[],3,FALSE),0)</f>
        <v>0</v>
      </c>
      <c r="AC979" s="33"/>
      <c r="AD979" s="33"/>
      <c r="AE979" s="33">
        <f>Ruimtestaat[[#This Row],[uren / jaar weekend]]*Tariefsopbouw!$D$40</f>
        <v>0</v>
      </c>
      <c r="AF979" s="79">
        <f>Ruimtestaat[[#This Row],[Prest. (m2 /jaar) weekend]]+Ruimtestaat[[#This Row],[Prest. (m2 /jaar) werkdagen]]</f>
        <v>6200</v>
      </c>
      <c r="AG979" s="79">
        <f>Ruimtestaat[[#This Row],[uren / jaar weekend]]+Ruimtestaat[[#This Row],[uren / jaar werkdagen]]</f>
        <v>0</v>
      </c>
      <c r="AH979" s="80">
        <f>Ruimtestaat[[#This Row],[kosten / jaar weekend]]+Ruimtestaat[[#This Row],[kosten / jaar werkdagen]]</f>
        <v>0</v>
      </c>
    </row>
    <row r="980" spans="1:34" ht="15" customHeight="1">
      <c r="A980" s="256">
        <v>12</v>
      </c>
      <c r="B980" s="171" t="str">
        <f>VLOOKUP(Ruimtestaat[[#This Row],[Code]],Locaties[#All],2,FALSE)</f>
        <v>Onderwijscentrum Het Roessingh &amp; De Huifkar</v>
      </c>
      <c r="C980" s="258" t="str">
        <f>VLOOKUP(Ruimtestaat[[#This Row],[Code]],Locaties[#All],4,FALSE)</f>
        <v>Roessinghsbleekweg 35</v>
      </c>
      <c r="D980" s="258" t="str">
        <f>VLOOKUP(Ruimtestaat[[#This Row],[Code]],Locaties[#All],5,FALSE)</f>
        <v>7522 AH</v>
      </c>
      <c r="E980" s="258" t="str">
        <f>VLOOKUP(Ruimtestaat[[#This Row],[Code]],Locaties[#All],6,FALSE)</f>
        <v>Enschede</v>
      </c>
      <c r="F980" s="257"/>
      <c r="G980" s="257" t="s">
        <v>563</v>
      </c>
      <c r="H980" s="171"/>
      <c r="I980" s="257" t="s">
        <v>1004</v>
      </c>
      <c r="J980" s="259" t="s">
        <v>574</v>
      </c>
      <c r="K980" s="258">
        <v>6</v>
      </c>
      <c r="L980" s="260" t="str">
        <f>VLOOKUP(Ruimtestaat[[#This Row],[Ruimte code]],Ruimtegroepen[#All],2,FALSE)</f>
        <v>Gangen/hallen</v>
      </c>
      <c r="M980" s="258" t="s">
        <v>598</v>
      </c>
      <c r="N980" s="257" t="s">
        <v>132</v>
      </c>
      <c r="O980" s="261">
        <v>16</v>
      </c>
      <c r="P980" s="183"/>
      <c r="Q980" s="212" t="str">
        <f>VLOOKUP(Ruimtestaat[[#This Row],[Ruimte code]],Ruimtegroepen[#All],4,FALSE)</f>
        <v>V  (Verkeersruimte)</v>
      </c>
      <c r="R980" s="184"/>
      <c r="S980" s="185">
        <v>40</v>
      </c>
      <c r="T980" s="185" t="s">
        <v>2</v>
      </c>
      <c r="U980" s="185">
        <f>IF(S980&gt;0,IF(RIGHT(Ruimtestaat[[#This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0" s="185">
        <f>IF(U980&gt;0,VLOOKUP($K980,Ruimtegroepen[],3,FALSE)*VLOOKUP($M980,Vloersoorten[],3,FALSE)*VLOOKUP($T980,Frequenties[],3,FALSE)*VLOOKUP($A980,Locaties[],3,FALSE),0)</f>
        <v>0</v>
      </c>
      <c r="W980" s="185">
        <f>Ruimtestaat[[#This Row],[Uitvoeringen werkdagen]]*Ruimtestaat[[#This Row],[Oppervlak (netto)]]</f>
        <v>3200</v>
      </c>
      <c r="X980" s="220">
        <f>IF(V980&gt;0,Ruimtestaat[[#This Row],[Prest. (m2 /jaar) werkdagen]]/Ruimtestaat[[#This Row],[Norm (m2/uur) werkdagen]],0)</f>
        <v>0</v>
      </c>
      <c r="Y980" s="221">
        <f>Ruimtestaat[[#This Row],[uren / jaar werkdagen]]*Tariefsopbouw!$D$38</f>
        <v>0</v>
      </c>
      <c r="Z980" s="33"/>
      <c r="AA980" s="33">
        <f>IF(Ruimtestaat[[#This Row],[Frequentie weekend]]&gt;0,VALUE(LEFT(Z980,1))*S980,0)</f>
        <v>0</v>
      </c>
      <c r="AB980" s="33">
        <f>IF($AA980&gt;0,VLOOKUP($K980,Ruimtegroepen[],3,FALSE)*VLOOKUP($M980,Vloersoorten[],3,FALSE)*VLOOKUP($Z980,Frequenties[],3,FALSE)*VLOOKUP(#REF!,Locaties[],3,FALSE),0)</f>
        <v>0</v>
      </c>
      <c r="AC980" s="33"/>
      <c r="AD980" s="33"/>
      <c r="AE980" s="33">
        <f>Ruimtestaat[[#This Row],[uren / jaar weekend]]*Tariefsopbouw!$D$40</f>
        <v>0</v>
      </c>
      <c r="AF980" s="79">
        <f>Ruimtestaat[[#This Row],[Prest. (m2 /jaar) weekend]]+Ruimtestaat[[#This Row],[Prest. (m2 /jaar) werkdagen]]</f>
        <v>3200</v>
      </c>
      <c r="AG980" s="79">
        <f>Ruimtestaat[[#This Row],[uren / jaar weekend]]+Ruimtestaat[[#This Row],[uren / jaar werkdagen]]</f>
        <v>0</v>
      </c>
      <c r="AH980" s="80">
        <f>Ruimtestaat[[#This Row],[kosten / jaar weekend]]+Ruimtestaat[[#This Row],[kosten / jaar werkdagen]]</f>
        <v>0</v>
      </c>
    </row>
    <row r="981" spans="1:34" ht="15" customHeight="1">
      <c r="A981" s="256">
        <v>12</v>
      </c>
      <c r="B981" s="171" t="str">
        <f>VLOOKUP(Ruimtestaat[[#This Row],[Code]],Locaties[#All],2,FALSE)</f>
        <v>Onderwijscentrum Het Roessingh &amp; De Huifkar</v>
      </c>
      <c r="C981" s="258" t="str">
        <f>VLOOKUP(Ruimtestaat[[#This Row],[Code]],Locaties[#All],4,FALSE)</f>
        <v>Roessinghsbleekweg 35</v>
      </c>
      <c r="D981" s="258" t="str">
        <f>VLOOKUP(Ruimtestaat[[#This Row],[Code]],Locaties[#All],5,FALSE)</f>
        <v>7522 AH</v>
      </c>
      <c r="E981" s="258" t="str">
        <f>VLOOKUP(Ruimtestaat[[#This Row],[Code]],Locaties[#All],6,FALSE)</f>
        <v>Enschede</v>
      </c>
      <c r="F981" s="257"/>
      <c r="G981" s="257" t="s">
        <v>563</v>
      </c>
      <c r="H981" s="171"/>
      <c r="I981" s="257" t="s">
        <v>1005</v>
      </c>
      <c r="J981" s="259" t="s">
        <v>569</v>
      </c>
      <c r="K981" s="224">
        <v>5</v>
      </c>
      <c r="L981" s="260" t="str">
        <f>VLOOKUP(Ruimtestaat[[#This Row],[Ruimte code]],Ruimtegroepen[#All],2,FALSE)</f>
        <v>Sanitair</v>
      </c>
      <c r="M981" s="212" t="s">
        <v>111</v>
      </c>
      <c r="N981" s="257" t="s">
        <v>606</v>
      </c>
      <c r="O981" s="261">
        <v>9.1999999999999993</v>
      </c>
      <c r="P981" s="183"/>
      <c r="Q981" s="212" t="str">
        <f>VLOOKUP(Ruimtestaat[[#This Row],[Ruimte code]],Ruimtegroepen[#All],4,FALSE)</f>
        <v>S  (Sanitair)</v>
      </c>
      <c r="R981" s="184"/>
      <c r="S981" s="185">
        <v>40</v>
      </c>
      <c r="T981" s="185" t="s">
        <v>2</v>
      </c>
      <c r="U981" s="185">
        <f>IF(S981&gt;0,IF(RIGHT(Ruimtestaat[[#This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1" s="185">
        <f>IF(U981&gt;0,VLOOKUP($K981,Ruimtegroepen[],3,FALSE)*VLOOKUP($M981,Vloersoorten[],3,FALSE)*VLOOKUP($T981,Frequenties[],3,FALSE)*VLOOKUP($A981,Locaties[],3,FALSE),0)</f>
        <v>0</v>
      </c>
      <c r="W981" s="185">
        <f>Ruimtestaat[[#This Row],[Uitvoeringen werkdagen]]*Ruimtestaat[[#This Row],[Oppervlak (netto)]]</f>
        <v>1839.9999999999998</v>
      </c>
      <c r="X981" s="220">
        <f>IF(V981&gt;0,Ruimtestaat[[#This Row],[Prest. (m2 /jaar) werkdagen]]/Ruimtestaat[[#This Row],[Norm (m2/uur) werkdagen]],0)</f>
        <v>0</v>
      </c>
      <c r="Y981" s="221">
        <f>Ruimtestaat[[#This Row],[uren / jaar werkdagen]]*Tariefsopbouw!$D$38</f>
        <v>0</v>
      </c>
      <c r="Z981" s="33"/>
      <c r="AA981" s="33">
        <f>IF(Ruimtestaat[[#This Row],[Frequentie weekend]]&gt;0,VALUE(LEFT(Z981,1))*S981,0)</f>
        <v>0</v>
      </c>
      <c r="AB981" s="33">
        <f>IF($AA981&gt;0,VLOOKUP($K981,Ruimtegroepen[],3,FALSE)*VLOOKUP($M981,Vloersoorten[],3,FALSE)*VLOOKUP($Z981,Frequenties[],3,FALSE)*VLOOKUP(#REF!,Locaties[],3,FALSE),0)</f>
        <v>0</v>
      </c>
      <c r="AC981" s="33"/>
      <c r="AD981" s="33"/>
      <c r="AE981" s="33">
        <f>Ruimtestaat[[#This Row],[uren / jaar weekend]]*Tariefsopbouw!$D$40</f>
        <v>0</v>
      </c>
      <c r="AF981" s="79">
        <f>Ruimtestaat[[#This Row],[Prest. (m2 /jaar) weekend]]+Ruimtestaat[[#This Row],[Prest. (m2 /jaar) werkdagen]]</f>
        <v>1839.9999999999998</v>
      </c>
      <c r="AG981" s="79">
        <f>Ruimtestaat[[#This Row],[uren / jaar weekend]]+Ruimtestaat[[#This Row],[uren / jaar werkdagen]]</f>
        <v>0</v>
      </c>
      <c r="AH981" s="80">
        <f>Ruimtestaat[[#This Row],[kosten / jaar weekend]]+Ruimtestaat[[#This Row],[kosten / jaar werkdagen]]</f>
        <v>0</v>
      </c>
    </row>
    <row r="982" spans="1:34" ht="15" customHeight="1">
      <c r="A982" s="256">
        <v>12</v>
      </c>
      <c r="B982" s="171" t="str">
        <f>VLOOKUP(Ruimtestaat[[#This Row],[Code]],Locaties[#All],2,FALSE)</f>
        <v>Onderwijscentrum Het Roessingh &amp; De Huifkar</v>
      </c>
      <c r="C982" s="258" t="str">
        <f>VLOOKUP(Ruimtestaat[[#This Row],[Code]],Locaties[#All],4,FALSE)</f>
        <v>Roessinghsbleekweg 35</v>
      </c>
      <c r="D982" s="258" t="str">
        <f>VLOOKUP(Ruimtestaat[[#This Row],[Code]],Locaties[#All],5,FALSE)</f>
        <v>7522 AH</v>
      </c>
      <c r="E982" s="258" t="str">
        <f>VLOOKUP(Ruimtestaat[[#This Row],[Code]],Locaties[#All],6,FALSE)</f>
        <v>Enschede</v>
      </c>
      <c r="F982" s="257"/>
      <c r="G982" s="257" t="s">
        <v>563</v>
      </c>
      <c r="H982" s="171"/>
      <c r="I982" s="257" t="s">
        <v>1006</v>
      </c>
      <c r="J982" s="259" t="s">
        <v>574</v>
      </c>
      <c r="K982" s="258">
        <v>6</v>
      </c>
      <c r="L982" s="260" t="str">
        <f>VLOOKUP(Ruimtestaat[[#This Row],[Ruimte code]],Ruimtegroepen[#All],2,FALSE)</f>
        <v>Gangen/hallen</v>
      </c>
      <c r="M982" s="185" t="s">
        <v>598</v>
      </c>
      <c r="N982" s="257" t="s">
        <v>132</v>
      </c>
      <c r="O982" s="261">
        <v>64</v>
      </c>
      <c r="P982" s="183"/>
      <c r="Q982" s="212" t="str">
        <f>VLOOKUP(Ruimtestaat[[#This Row],[Ruimte code]],Ruimtegroepen[#All],4,FALSE)</f>
        <v>V  (Verkeersruimte)</v>
      </c>
      <c r="R982" s="184"/>
      <c r="S982" s="185">
        <v>40</v>
      </c>
      <c r="T982" s="185" t="s">
        <v>2</v>
      </c>
      <c r="U982" s="185">
        <f>IF(S982&gt;0,IF(RIGHT(Ruimtestaat[[#This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2" s="185">
        <f>IF(U982&gt;0,VLOOKUP($K982,Ruimtegroepen[],3,FALSE)*VLOOKUP($M982,Vloersoorten[],3,FALSE)*VLOOKUP($T982,Frequenties[],3,FALSE)*VLOOKUP($A982,Locaties[],3,FALSE),0)</f>
        <v>0</v>
      </c>
      <c r="W982" s="185">
        <f>Ruimtestaat[[#This Row],[Uitvoeringen werkdagen]]*Ruimtestaat[[#This Row],[Oppervlak (netto)]]</f>
        <v>12800</v>
      </c>
      <c r="X982" s="220">
        <f>IF(V982&gt;0,Ruimtestaat[[#This Row],[Prest. (m2 /jaar) werkdagen]]/Ruimtestaat[[#This Row],[Norm (m2/uur) werkdagen]],0)</f>
        <v>0</v>
      </c>
      <c r="Y982" s="221">
        <f>Ruimtestaat[[#This Row],[uren / jaar werkdagen]]*Tariefsopbouw!$D$38</f>
        <v>0</v>
      </c>
      <c r="Z982" s="33"/>
      <c r="AA982" s="33">
        <f>IF(Ruimtestaat[[#This Row],[Frequentie weekend]]&gt;0,VALUE(LEFT(Z982,1))*S982,0)</f>
        <v>0</v>
      </c>
      <c r="AB982" s="33">
        <f>IF($AA982&gt;0,VLOOKUP($K982,Ruimtegroepen[],3,FALSE)*VLOOKUP($M982,Vloersoorten[],3,FALSE)*VLOOKUP($Z982,Frequenties[],3,FALSE)*VLOOKUP(#REF!,Locaties[],3,FALSE),0)</f>
        <v>0</v>
      </c>
      <c r="AC982" s="33"/>
      <c r="AD982" s="33"/>
      <c r="AE982" s="33">
        <f>Ruimtestaat[[#This Row],[uren / jaar weekend]]*Tariefsopbouw!$D$40</f>
        <v>0</v>
      </c>
      <c r="AF982" s="79">
        <f>Ruimtestaat[[#This Row],[Prest. (m2 /jaar) weekend]]+Ruimtestaat[[#This Row],[Prest. (m2 /jaar) werkdagen]]</f>
        <v>12800</v>
      </c>
      <c r="AG982" s="79">
        <f>Ruimtestaat[[#This Row],[uren / jaar weekend]]+Ruimtestaat[[#This Row],[uren / jaar werkdagen]]</f>
        <v>0</v>
      </c>
      <c r="AH982" s="80">
        <f>Ruimtestaat[[#This Row],[kosten / jaar weekend]]+Ruimtestaat[[#This Row],[kosten / jaar werkdagen]]</f>
        <v>0</v>
      </c>
    </row>
    <row r="983" spans="1:34" ht="15" customHeight="1">
      <c r="A983" s="256">
        <v>12</v>
      </c>
      <c r="B983" s="171" t="str">
        <f>VLOOKUP(Ruimtestaat[[#This Row],[Code]],Locaties[#All],2,FALSE)</f>
        <v>Onderwijscentrum Het Roessingh &amp; De Huifkar</v>
      </c>
      <c r="C983" s="258" t="str">
        <f>VLOOKUP(Ruimtestaat[[#This Row],[Code]],Locaties[#All],4,FALSE)</f>
        <v>Roessinghsbleekweg 35</v>
      </c>
      <c r="D983" s="258" t="str">
        <f>VLOOKUP(Ruimtestaat[[#This Row],[Code]],Locaties[#All],5,FALSE)</f>
        <v>7522 AH</v>
      </c>
      <c r="E983" s="258" t="str">
        <f>VLOOKUP(Ruimtestaat[[#This Row],[Code]],Locaties[#All],6,FALSE)</f>
        <v>Enschede</v>
      </c>
      <c r="F983" s="257"/>
      <c r="G983" s="257" t="s">
        <v>563</v>
      </c>
      <c r="H983" s="171"/>
      <c r="I983" s="257" t="s">
        <v>912</v>
      </c>
      <c r="J983" s="259" t="s">
        <v>571</v>
      </c>
      <c r="K983" s="258">
        <v>2</v>
      </c>
      <c r="L983" s="260" t="str">
        <f>VLOOKUP(Ruimtestaat[[#This Row],[Ruimte code]],Ruimtegroepen[#All],2,FALSE)</f>
        <v>Kantoren</v>
      </c>
      <c r="M983" s="185" t="s">
        <v>598</v>
      </c>
      <c r="N983" s="257" t="s">
        <v>132</v>
      </c>
      <c r="O983" s="261">
        <v>21.5</v>
      </c>
      <c r="P983" s="183"/>
      <c r="Q983" s="212" t="str">
        <f>VLOOKUP(Ruimtestaat[[#This Row],[Ruimte code]],Ruimtegroepen[#All],4,FALSE)</f>
        <v>B  (Bureauruimte)</v>
      </c>
      <c r="R983" s="184"/>
      <c r="S983" s="185">
        <v>40</v>
      </c>
      <c r="T983" s="185" t="s">
        <v>2</v>
      </c>
      <c r="U983" s="185">
        <f>IF(S983&gt;0,IF(RIGHT(Ruimtestaat[[#This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3" s="185">
        <f>IF(U983&gt;0,VLOOKUP($K983,Ruimtegroepen[],3,FALSE)*VLOOKUP($M983,Vloersoorten[],3,FALSE)*VLOOKUP($T983,Frequenties[],3,FALSE)*VLOOKUP($A983,Locaties[],3,FALSE),0)</f>
        <v>0</v>
      </c>
      <c r="W983" s="185">
        <f>Ruimtestaat[[#This Row],[Uitvoeringen werkdagen]]*Ruimtestaat[[#This Row],[Oppervlak (netto)]]</f>
        <v>4300</v>
      </c>
      <c r="X983" s="220">
        <f>IF(V983&gt;0,Ruimtestaat[[#This Row],[Prest. (m2 /jaar) werkdagen]]/Ruimtestaat[[#This Row],[Norm (m2/uur) werkdagen]],0)</f>
        <v>0</v>
      </c>
      <c r="Y983" s="221">
        <f>Ruimtestaat[[#This Row],[uren / jaar werkdagen]]*Tariefsopbouw!$D$38</f>
        <v>0</v>
      </c>
      <c r="Z983" s="33"/>
      <c r="AA983" s="33">
        <f>IF(Ruimtestaat[[#This Row],[Frequentie weekend]]&gt;0,VALUE(LEFT(Z983,1))*S983,0)</f>
        <v>0</v>
      </c>
      <c r="AB983" s="33">
        <f>IF($AA983&gt;0,VLOOKUP($K983,Ruimtegroepen[],3,FALSE)*VLOOKUP($M983,Vloersoorten[],3,FALSE)*VLOOKUP($Z983,Frequenties[],3,FALSE)*VLOOKUP(#REF!,Locaties[],3,FALSE),0)</f>
        <v>0</v>
      </c>
      <c r="AC983" s="33"/>
      <c r="AD983" s="33"/>
      <c r="AE983" s="33">
        <f>Ruimtestaat[[#This Row],[uren / jaar weekend]]*Tariefsopbouw!$D$40</f>
        <v>0</v>
      </c>
      <c r="AF983" s="79">
        <f>Ruimtestaat[[#This Row],[Prest. (m2 /jaar) weekend]]+Ruimtestaat[[#This Row],[Prest. (m2 /jaar) werkdagen]]</f>
        <v>4300</v>
      </c>
      <c r="AG983" s="79">
        <f>Ruimtestaat[[#This Row],[uren / jaar weekend]]+Ruimtestaat[[#This Row],[uren / jaar werkdagen]]</f>
        <v>0</v>
      </c>
      <c r="AH983" s="80">
        <f>Ruimtestaat[[#This Row],[kosten / jaar weekend]]+Ruimtestaat[[#This Row],[kosten / jaar werkdagen]]</f>
        <v>0</v>
      </c>
    </row>
    <row r="984" spans="1:34" ht="15" customHeight="1">
      <c r="A984" s="256">
        <v>12</v>
      </c>
      <c r="B984" s="171" t="str">
        <f>VLOOKUP(Ruimtestaat[[#This Row],[Code]],Locaties[#All],2,FALSE)</f>
        <v>Onderwijscentrum Het Roessingh &amp; De Huifkar</v>
      </c>
      <c r="C984" s="258" t="str">
        <f>VLOOKUP(Ruimtestaat[[#This Row],[Code]],Locaties[#All],4,FALSE)</f>
        <v>Roessinghsbleekweg 35</v>
      </c>
      <c r="D984" s="258" t="str">
        <f>VLOOKUP(Ruimtestaat[[#This Row],[Code]],Locaties[#All],5,FALSE)</f>
        <v>7522 AH</v>
      </c>
      <c r="E984" s="258" t="str">
        <f>VLOOKUP(Ruimtestaat[[#This Row],[Code]],Locaties[#All],6,FALSE)</f>
        <v>Enschede</v>
      </c>
      <c r="F984" s="257"/>
      <c r="G984" s="257" t="s">
        <v>563</v>
      </c>
      <c r="H984" s="171"/>
      <c r="I984" s="257" t="s">
        <v>920</v>
      </c>
      <c r="J984" s="259" t="s">
        <v>571</v>
      </c>
      <c r="K984" s="171">
        <v>2</v>
      </c>
      <c r="L984" s="260" t="str">
        <f>VLOOKUP(Ruimtestaat[[#This Row],[Ruimte code]],Ruimtegroepen[#All],2,FALSE)</f>
        <v>Kantoren</v>
      </c>
      <c r="M984" s="258" t="s">
        <v>598</v>
      </c>
      <c r="N984" s="257" t="s">
        <v>132</v>
      </c>
      <c r="O984" s="261">
        <v>21.5</v>
      </c>
      <c r="P984" s="183"/>
      <c r="Q984" s="212" t="str">
        <f>VLOOKUP(Ruimtestaat[[#This Row],[Ruimte code]],Ruimtegroepen[#All],4,FALSE)</f>
        <v>B  (Bureauruimte)</v>
      </c>
      <c r="R984" s="184"/>
      <c r="S984" s="185">
        <v>40</v>
      </c>
      <c r="T984" s="185" t="s">
        <v>2</v>
      </c>
      <c r="U984" s="185">
        <f>IF(S984&gt;0,IF(RIGHT(Ruimtestaat[[#This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4" s="185">
        <f>IF(U984&gt;0,VLOOKUP($K984,Ruimtegroepen[],3,FALSE)*VLOOKUP($M984,Vloersoorten[],3,FALSE)*VLOOKUP($T984,Frequenties[],3,FALSE)*VLOOKUP($A984,Locaties[],3,FALSE),0)</f>
        <v>0</v>
      </c>
      <c r="W984" s="185">
        <f>Ruimtestaat[[#This Row],[Uitvoeringen werkdagen]]*Ruimtestaat[[#This Row],[Oppervlak (netto)]]</f>
        <v>4300</v>
      </c>
      <c r="X984" s="220">
        <f>IF(V984&gt;0,Ruimtestaat[[#This Row],[Prest. (m2 /jaar) werkdagen]]/Ruimtestaat[[#This Row],[Norm (m2/uur) werkdagen]],0)</f>
        <v>0</v>
      </c>
      <c r="Y984" s="221">
        <f>Ruimtestaat[[#This Row],[uren / jaar werkdagen]]*Tariefsopbouw!$D$38</f>
        <v>0</v>
      </c>
      <c r="Z984" s="33"/>
      <c r="AA984" s="33">
        <f>IF(Ruimtestaat[[#This Row],[Frequentie weekend]]&gt;0,VALUE(LEFT(Z984,1))*S984,0)</f>
        <v>0</v>
      </c>
      <c r="AB984" s="33">
        <f>IF($AA984&gt;0,VLOOKUP($K984,Ruimtegroepen[],3,FALSE)*VLOOKUP($M984,Vloersoorten[],3,FALSE)*VLOOKUP($Z984,Frequenties[],3,FALSE)*VLOOKUP(#REF!,Locaties[],3,FALSE),0)</f>
        <v>0</v>
      </c>
      <c r="AC984" s="33"/>
      <c r="AD984" s="33"/>
      <c r="AE984" s="33">
        <f>Ruimtestaat[[#This Row],[uren / jaar weekend]]*Tariefsopbouw!$D$40</f>
        <v>0</v>
      </c>
      <c r="AF984" s="79">
        <f>Ruimtestaat[[#This Row],[Prest. (m2 /jaar) weekend]]+Ruimtestaat[[#This Row],[Prest. (m2 /jaar) werkdagen]]</f>
        <v>4300</v>
      </c>
      <c r="AG984" s="79">
        <f>Ruimtestaat[[#This Row],[uren / jaar weekend]]+Ruimtestaat[[#This Row],[uren / jaar werkdagen]]</f>
        <v>0</v>
      </c>
      <c r="AH984" s="80">
        <f>Ruimtestaat[[#This Row],[kosten / jaar weekend]]+Ruimtestaat[[#This Row],[kosten / jaar werkdagen]]</f>
        <v>0</v>
      </c>
    </row>
    <row r="985" spans="1:34" ht="15" customHeight="1">
      <c r="A985" s="256">
        <v>12</v>
      </c>
      <c r="B985" s="171" t="str">
        <f>VLOOKUP(Ruimtestaat[[#This Row],[Code]],Locaties[#All],2,FALSE)</f>
        <v>Onderwijscentrum Het Roessingh &amp; De Huifkar</v>
      </c>
      <c r="C985" s="258" t="str">
        <f>VLOOKUP(Ruimtestaat[[#This Row],[Code]],Locaties[#All],4,FALSE)</f>
        <v>Roessinghsbleekweg 35</v>
      </c>
      <c r="D985" s="258" t="str">
        <f>VLOOKUP(Ruimtestaat[[#This Row],[Code]],Locaties[#All],5,FALSE)</f>
        <v>7522 AH</v>
      </c>
      <c r="E985" s="258" t="str">
        <f>VLOOKUP(Ruimtestaat[[#This Row],[Code]],Locaties[#All],6,FALSE)</f>
        <v>Enschede</v>
      </c>
      <c r="F985" s="257"/>
      <c r="G985" s="257" t="s">
        <v>563</v>
      </c>
      <c r="H985" s="171"/>
      <c r="I985" s="257" t="s">
        <v>1007</v>
      </c>
      <c r="J985" s="259" t="s">
        <v>571</v>
      </c>
      <c r="K985" s="171">
        <v>2</v>
      </c>
      <c r="L985" s="260" t="str">
        <f>VLOOKUP(Ruimtestaat[[#This Row],[Ruimte code]],Ruimtegroepen[#All],2,FALSE)</f>
        <v>Kantoren</v>
      </c>
      <c r="M985" s="258" t="s">
        <v>598</v>
      </c>
      <c r="N985" s="257" t="s">
        <v>132</v>
      </c>
      <c r="O985" s="261">
        <v>17</v>
      </c>
      <c r="P985" s="183"/>
      <c r="Q985" s="212" t="str">
        <f>VLOOKUP(Ruimtestaat[[#This Row],[Ruimte code]],Ruimtegroepen[#All],4,FALSE)</f>
        <v>B  (Bureauruimte)</v>
      </c>
      <c r="R985" s="184"/>
      <c r="S985" s="185">
        <v>40</v>
      </c>
      <c r="T985" s="185" t="s">
        <v>2</v>
      </c>
      <c r="U985" s="185">
        <f>IF(S985&gt;0,IF(RIGHT(Ruimtestaat[[#This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5" s="185">
        <f>IF(U985&gt;0,VLOOKUP($K985,Ruimtegroepen[],3,FALSE)*VLOOKUP($M985,Vloersoorten[],3,FALSE)*VLOOKUP($T985,Frequenties[],3,FALSE)*VLOOKUP($A985,Locaties[],3,FALSE),0)</f>
        <v>0</v>
      </c>
      <c r="W985" s="185">
        <f>Ruimtestaat[[#This Row],[Uitvoeringen werkdagen]]*Ruimtestaat[[#This Row],[Oppervlak (netto)]]</f>
        <v>3400</v>
      </c>
      <c r="X985" s="220">
        <f>IF(V985&gt;0,Ruimtestaat[[#This Row],[Prest. (m2 /jaar) werkdagen]]/Ruimtestaat[[#This Row],[Norm (m2/uur) werkdagen]],0)</f>
        <v>0</v>
      </c>
      <c r="Y985" s="221">
        <f>Ruimtestaat[[#This Row],[uren / jaar werkdagen]]*Tariefsopbouw!$D$38</f>
        <v>0</v>
      </c>
      <c r="Z985" s="33"/>
      <c r="AA985" s="33">
        <f>IF(Ruimtestaat[[#This Row],[Frequentie weekend]]&gt;0,VALUE(LEFT(Z985,1))*S985,0)</f>
        <v>0</v>
      </c>
      <c r="AB985" s="33">
        <f>IF($AA985&gt;0,VLOOKUP($K985,Ruimtegroepen[],3,FALSE)*VLOOKUP($M985,Vloersoorten[],3,FALSE)*VLOOKUP($Z985,Frequenties[],3,FALSE)*VLOOKUP(#REF!,Locaties[],3,FALSE),0)</f>
        <v>0</v>
      </c>
      <c r="AC985" s="33"/>
      <c r="AD985" s="33"/>
      <c r="AE985" s="33">
        <f>Ruimtestaat[[#This Row],[uren / jaar weekend]]*Tariefsopbouw!$D$40</f>
        <v>0</v>
      </c>
      <c r="AF985" s="79">
        <f>Ruimtestaat[[#This Row],[Prest. (m2 /jaar) weekend]]+Ruimtestaat[[#This Row],[Prest. (m2 /jaar) werkdagen]]</f>
        <v>3400</v>
      </c>
      <c r="AG985" s="79">
        <f>Ruimtestaat[[#This Row],[uren / jaar weekend]]+Ruimtestaat[[#This Row],[uren / jaar werkdagen]]</f>
        <v>0</v>
      </c>
      <c r="AH985" s="80">
        <f>Ruimtestaat[[#This Row],[kosten / jaar weekend]]+Ruimtestaat[[#This Row],[kosten / jaar werkdagen]]</f>
        <v>0</v>
      </c>
    </row>
    <row r="986" spans="1:34" ht="15" customHeight="1">
      <c r="A986" s="256">
        <v>12</v>
      </c>
      <c r="B986" s="171" t="str">
        <f>VLOOKUP(Ruimtestaat[[#This Row],[Code]],Locaties[#All],2,FALSE)</f>
        <v>Onderwijscentrum Het Roessingh &amp; De Huifkar</v>
      </c>
      <c r="C986" s="258" t="str">
        <f>VLOOKUP(Ruimtestaat[[#This Row],[Code]],Locaties[#All],4,FALSE)</f>
        <v>Roessinghsbleekweg 35</v>
      </c>
      <c r="D986" s="258" t="str">
        <f>VLOOKUP(Ruimtestaat[[#This Row],[Code]],Locaties[#All],5,FALSE)</f>
        <v>7522 AH</v>
      </c>
      <c r="E986" s="258" t="str">
        <f>VLOOKUP(Ruimtestaat[[#This Row],[Code]],Locaties[#All],6,FALSE)</f>
        <v>Enschede</v>
      </c>
      <c r="F986" s="257"/>
      <c r="G986" s="257" t="s">
        <v>563</v>
      </c>
      <c r="H986" s="171"/>
      <c r="I986" s="257" t="s">
        <v>921</v>
      </c>
      <c r="J986" s="259" t="s">
        <v>571</v>
      </c>
      <c r="K986" s="171">
        <v>2</v>
      </c>
      <c r="L986" s="260" t="str">
        <f>VLOOKUP(Ruimtestaat[[#This Row],[Ruimte code]],Ruimtegroepen[#All],2,FALSE)</f>
        <v>Kantoren</v>
      </c>
      <c r="M986" s="258" t="s">
        <v>598</v>
      </c>
      <c r="N986" s="257" t="s">
        <v>132</v>
      </c>
      <c r="O986" s="261">
        <v>17</v>
      </c>
      <c r="P986" s="183"/>
      <c r="Q986" s="212" t="str">
        <f>VLOOKUP(Ruimtestaat[[#This Row],[Ruimte code]],Ruimtegroepen[#All],4,FALSE)</f>
        <v>B  (Bureauruimte)</v>
      </c>
      <c r="R986" s="184"/>
      <c r="S986" s="185">
        <v>40</v>
      </c>
      <c r="T986" s="185" t="s">
        <v>2</v>
      </c>
      <c r="U986" s="185">
        <f>IF(S986&gt;0,IF(RIGHT(Ruimtestaat[[#This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6" s="185">
        <f>IF(U986&gt;0,VLOOKUP($K986,Ruimtegroepen[],3,FALSE)*VLOOKUP($M986,Vloersoorten[],3,FALSE)*VLOOKUP($T986,Frequenties[],3,FALSE)*VLOOKUP($A986,Locaties[],3,FALSE),0)</f>
        <v>0</v>
      </c>
      <c r="W986" s="185">
        <f>Ruimtestaat[[#This Row],[Uitvoeringen werkdagen]]*Ruimtestaat[[#This Row],[Oppervlak (netto)]]</f>
        <v>3400</v>
      </c>
      <c r="X986" s="220">
        <f>IF(V986&gt;0,Ruimtestaat[[#This Row],[Prest. (m2 /jaar) werkdagen]]/Ruimtestaat[[#This Row],[Norm (m2/uur) werkdagen]],0)</f>
        <v>0</v>
      </c>
      <c r="Y986" s="221">
        <f>Ruimtestaat[[#This Row],[uren / jaar werkdagen]]*Tariefsopbouw!$D$38</f>
        <v>0</v>
      </c>
      <c r="Z986" s="33"/>
      <c r="AA986" s="33">
        <f>IF(Ruimtestaat[[#This Row],[Frequentie weekend]]&gt;0,VALUE(LEFT(Z986,1))*S986,0)</f>
        <v>0</v>
      </c>
      <c r="AB986" s="33">
        <f>IF($AA986&gt;0,VLOOKUP($K986,Ruimtegroepen[],3,FALSE)*VLOOKUP($M986,Vloersoorten[],3,FALSE)*VLOOKUP($Z986,Frequenties[],3,FALSE)*VLOOKUP(#REF!,Locaties[],3,FALSE),0)</f>
        <v>0</v>
      </c>
      <c r="AC986" s="33"/>
      <c r="AD986" s="33"/>
      <c r="AE986" s="33">
        <f>Ruimtestaat[[#This Row],[uren / jaar weekend]]*Tariefsopbouw!$D$40</f>
        <v>0</v>
      </c>
      <c r="AF986" s="79">
        <f>Ruimtestaat[[#This Row],[Prest. (m2 /jaar) weekend]]+Ruimtestaat[[#This Row],[Prest. (m2 /jaar) werkdagen]]</f>
        <v>3400</v>
      </c>
      <c r="AG986" s="79">
        <f>Ruimtestaat[[#This Row],[uren / jaar weekend]]+Ruimtestaat[[#This Row],[uren / jaar werkdagen]]</f>
        <v>0</v>
      </c>
      <c r="AH986" s="80">
        <f>Ruimtestaat[[#This Row],[kosten / jaar weekend]]+Ruimtestaat[[#This Row],[kosten / jaar werkdagen]]</f>
        <v>0</v>
      </c>
    </row>
    <row r="987" spans="1:34" ht="15" customHeight="1">
      <c r="A987" s="256">
        <v>12</v>
      </c>
      <c r="B987" s="171" t="str">
        <f>VLOOKUP(Ruimtestaat[[#This Row],[Code]],Locaties[#All],2,FALSE)</f>
        <v>Onderwijscentrum Het Roessingh &amp; De Huifkar</v>
      </c>
      <c r="C987" s="258" t="str">
        <f>VLOOKUP(Ruimtestaat[[#This Row],[Code]],Locaties[#All],4,FALSE)</f>
        <v>Roessinghsbleekweg 35</v>
      </c>
      <c r="D987" s="258" t="str">
        <f>VLOOKUP(Ruimtestaat[[#This Row],[Code]],Locaties[#All],5,FALSE)</f>
        <v>7522 AH</v>
      </c>
      <c r="E987" s="258" t="str">
        <f>VLOOKUP(Ruimtestaat[[#This Row],[Code]],Locaties[#All],6,FALSE)</f>
        <v>Enschede</v>
      </c>
      <c r="F987" s="257"/>
      <c r="G987" s="257" t="s">
        <v>563</v>
      </c>
      <c r="H987" s="171"/>
      <c r="I987" s="257" t="s">
        <v>922</v>
      </c>
      <c r="J987" s="259" t="s">
        <v>576</v>
      </c>
      <c r="K987" s="171">
        <v>16</v>
      </c>
      <c r="L987" s="260" t="str">
        <f>VLOOKUP(Ruimtestaat[[#This Row],[Ruimte code]],Ruimtegroepen[#All],2,FALSE)</f>
        <v>Leslokalen</v>
      </c>
      <c r="M987" s="185" t="s">
        <v>598</v>
      </c>
      <c r="N987" s="257" t="s">
        <v>132</v>
      </c>
      <c r="O987" s="261">
        <v>80</v>
      </c>
      <c r="P987" s="183"/>
      <c r="Q987" s="212" t="str">
        <f>VLOOKUP(Ruimtestaat[[#This Row],[Ruimte code]],Ruimtegroepen[#All],4,FALSE)</f>
        <v>L  (Lesruimte)</v>
      </c>
      <c r="R987" s="184"/>
      <c r="S987" s="185">
        <v>40</v>
      </c>
      <c r="T987" s="185" t="s">
        <v>2</v>
      </c>
      <c r="U987" s="185">
        <f>IF(S987&gt;0,IF(RIGHT(Ruimtestaat[[#This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7" s="185">
        <f>IF(U987&gt;0,VLOOKUP($K987,Ruimtegroepen[],3,FALSE)*VLOOKUP($M987,Vloersoorten[],3,FALSE)*VLOOKUP($T987,Frequenties[],3,FALSE)*VLOOKUP($A987,Locaties[],3,FALSE),0)</f>
        <v>0</v>
      </c>
      <c r="W987" s="185">
        <f>Ruimtestaat[[#This Row],[Uitvoeringen werkdagen]]*Ruimtestaat[[#This Row],[Oppervlak (netto)]]</f>
        <v>16000</v>
      </c>
      <c r="X987" s="220">
        <f>IF(V987&gt;0,Ruimtestaat[[#This Row],[Prest. (m2 /jaar) werkdagen]]/Ruimtestaat[[#This Row],[Norm (m2/uur) werkdagen]],0)</f>
        <v>0</v>
      </c>
      <c r="Y987" s="221">
        <f>Ruimtestaat[[#This Row],[uren / jaar werkdagen]]*Tariefsopbouw!$D$38</f>
        <v>0</v>
      </c>
      <c r="Z987" s="33"/>
      <c r="AA987" s="33">
        <f>IF(Ruimtestaat[[#This Row],[Frequentie weekend]]&gt;0,VALUE(LEFT(Z987,1))*S987,0)</f>
        <v>0</v>
      </c>
      <c r="AB987" s="33">
        <f>IF($AA987&gt;0,VLOOKUP($K987,Ruimtegroepen[],3,FALSE)*VLOOKUP($M987,Vloersoorten[],3,FALSE)*VLOOKUP($Z987,Frequenties[],3,FALSE)*VLOOKUP(#REF!,Locaties[],3,FALSE),0)</f>
        <v>0</v>
      </c>
      <c r="AC987" s="33"/>
      <c r="AD987" s="33"/>
      <c r="AE987" s="33">
        <f>Ruimtestaat[[#This Row],[uren / jaar weekend]]*Tariefsopbouw!$D$40</f>
        <v>0</v>
      </c>
      <c r="AF987" s="79">
        <f>Ruimtestaat[[#This Row],[Prest. (m2 /jaar) weekend]]+Ruimtestaat[[#This Row],[Prest. (m2 /jaar) werkdagen]]</f>
        <v>16000</v>
      </c>
      <c r="AG987" s="79">
        <f>Ruimtestaat[[#This Row],[uren / jaar weekend]]+Ruimtestaat[[#This Row],[uren / jaar werkdagen]]</f>
        <v>0</v>
      </c>
      <c r="AH987" s="80">
        <f>Ruimtestaat[[#This Row],[kosten / jaar weekend]]+Ruimtestaat[[#This Row],[kosten / jaar werkdagen]]</f>
        <v>0</v>
      </c>
    </row>
    <row r="988" spans="1:34" ht="15" customHeight="1">
      <c r="A988" s="256">
        <v>12</v>
      </c>
      <c r="B988" s="171" t="str">
        <f>VLOOKUP(Ruimtestaat[[#This Row],[Code]],Locaties[#All],2,FALSE)</f>
        <v>Onderwijscentrum Het Roessingh &amp; De Huifkar</v>
      </c>
      <c r="C988" s="258" t="str">
        <f>VLOOKUP(Ruimtestaat[[#This Row],[Code]],Locaties[#All],4,FALSE)</f>
        <v>Roessinghsbleekweg 35</v>
      </c>
      <c r="D988" s="258" t="str">
        <f>VLOOKUP(Ruimtestaat[[#This Row],[Code]],Locaties[#All],5,FALSE)</f>
        <v>7522 AH</v>
      </c>
      <c r="E988" s="258" t="str">
        <f>VLOOKUP(Ruimtestaat[[#This Row],[Code]],Locaties[#All],6,FALSE)</f>
        <v>Enschede</v>
      </c>
      <c r="F988" s="257"/>
      <c r="G988" s="257" t="s">
        <v>563</v>
      </c>
      <c r="H988" s="171"/>
      <c r="I988" s="257" t="s">
        <v>1008</v>
      </c>
      <c r="J988" s="259" t="s">
        <v>40</v>
      </c>
      <c r="K988" s="171">
        <v>7</v>
      </c>
      <c r="L988" s="260" t="str">
        <f>VLOOKUP(Ruimtestaat[[#This Row],[Ruimte code]],Ruimtegroepen[#All],2,FALSE)</f>
        <v>Entree</v>
      </c>
      <c r="M988" s="258" t="s">
        <v>597</v>
      </c>
      <c r="N988" s="257" t="s">
        <v>38</v>
      </c>
      <c r="O988" s="261">
        <v>14</v>
      </c>
      <c r="P988" s="183"/>
      <c r="Q988" s="212" t="str">
        <f>VLOOKUP(Ruimtestaat[[#This Row],[Ruimte code]],Ruimtegroepen[#All],4,FALSE)</f>
        <v>V  (Verkeersruimte)</v>
      </c>
      <c r="R988" s="184"/>
      <c r="S988" s="185">
        <v>40</v>
      </c>
      <c r="T988" s="185" t="s">
        <v>2</v>
      </c>
      <c r="U988" s="185">
        <f>IF(S988&gt;0,IF(RIGHT(Ruimtestaat[[#This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8" s="185">
        <f>IF(U988&gt;0,VLOOKUP($K988,Ruimtegroepen[],3,FALSE)*VLOOKUP($M988,Vloersoorten[],3,FALSE)*VLOOKUP($T988,Frequenties[],3,FALSE)*VLOOKUP($A988,Locaties[],3,FALSE),0)</f>
        <v>0</v>
      </c>
      <c r="W988" s="185">
        <f>Ruimtestaat[[#This Row],[Uitvoeringen werkdagen]]*Ruimtestaat[[#This Row],[Oppervlak (netto)]]</f>
        <v>2800</v>
      </c>
      <c r="X988" s="220">
        <f>IF(V988&gt;0,Ruimtestaat[[#This Row],[Prest. (m2 /jaar) werkdagen]]/Ruimtestaat[[#This Row],[Norm (m2/uur) werkdagen]],0)</f>
        <v>0</v>
      </c>
      <c r="Y988" s="221">
        <f>Ruimtestaat[[#This Row],[uren / jaar werkdagen]]*Tariefsopbouw!$D$38</f>
        <v>0</v>
      </c>
      <c r="Z988" s="33"/>
      <c r="AA988" s="33">
        <f>IF(Ruimtestaat[[#This Row],[Frequentie weekend]]&gt;0,VALUE(LEFT(Z988,1))*S988,0)</f>
        <v>0</v>
      </c>
      <c r="AB988" s="33">
        <f>IF($AA988&gt;0,VLOOKUP($K988,Ruimtegroepen[],3,FALSE)*VLOOKUP($M988,Vloersoorten[],3,FALSE)*VLOOKUP($Z988,Frequenties[],3,FALSE)*VLOOKUP(#REF!,Locaties[],3,FALSE),0)</f>
        <v>0</v>
      </c>
      <c r="AC988" s="33"/>
      <c r="AD988" s="33"/>
      <c r="AE988" s="33">
        <f>Ruimtestaat[[#This Row],[uren / jaar weekend]]*Tariefsopbouw!$D$40</f>
        <v>0</v>
      </c>
      <c r="AF988" s="79">
        <f>Ruimtestaat[[#This Row],[Prest. (m2 /jaar) weekend]]+Ruimtestaat[[#This Row],[Prest. (m2 /jaar) werkdagen]]</f>
        <v>2800</v>
      </c>
      <c r="AG988" s="79">
        <f>Ruimtestaat[[#This Row],[uren / jaar weekend]]+Ruimtestaat[[#This Row],[uren / jaar werkdagen]]</f>
        <v>0</v>
      </c>
      <c r="AH988" s="80">
        <f>Ruimtestaat[[#This Row],[kosten / jaar weekend]]+Ruimtestaat[[#This Row],[kosten / jaar werkdagen]]</f>
        <v>0</v>
      </c>
    </row>
    <row r="989" spans="1:34" ht="15" customHeight="1">
      <c r="A989" s="256">
        <v>12</v>
      </c>
      <c r="B989" s="171" t="str">
        <f>VLOOKUP(Ruimtestaat[[#This Row],[Code]],Locaties[#All],2,FALSE)</f>
        <v>Onderwijscentrum Het Roessingh &amp; De Huifkar</v>
      </c>
      <c r="C989" s="258" t="str">
        <f>VLOOKUP(Ruimtestaat[[#This Row],[Code]],Locaties[#All],4,FALSE)</f>
        <v>Roessinghsbleekweg 35</v>
      </c>
      <c r="D989" s="258" t="str">
        <f>VLOOKUP(Ruimtestaat[[#This Row],[Code]],Locaties[#All],5,FALSE)</f>
        <v>7522 AH</v>
      </c>
      <c r="E989" s="258" t="str">
        <f>VLOOKUP(Ruimtestaat[[#This Row],[Code]],Locaties[#All],6,FALSE)</f>
        <v>Enschede</v>
      </c>
      <c r="F989" s="257"/>
      <c r="G989" s="257" t="s">
        <v>563</v>
      </c>
      <c r="H989" s="171"/>
      <c r="I989" s="257" t="s">
        <v>1009</v>
      </c>
      <c r="J989" s="259" t="s">
        <v>587</v>
      </c>
      <c r="K989" s="171">
        <v>6</v>
      </c>
      <c r="L989" s="260" t="str">
        <f>VLOOKUP(Ruimtestaat[[#This Row],[Ruimte code]],Ruimtegroepen[#All],2,FALSE)</f>
        <v>Gangen/hallen</v>
      </c>
      <c r="M989" s="258" t="s">
        <v>598</v>
      </c>
      <c r="N989" s="257" t="s">
        <v>132</v>
      </c>
      <c r="O989" s="261">
        <v>67</v>
      </c>
      <c r="P989" s="183"/>
      <c r="Q989" s="212" t="str">
        <f>VLOOKUP(Ruimtestaat[[#This Row],[Ruimte code]],Ruimtegroepen[#All],4,FALSE)</f>
        <v>V  (Verkeersruimte)</v>
      </c>
      <c r="R989" s="184"/>
      <c r="S989" s="185">
        <v>40</v>
      </c>
      <c r="T989" s="185" t="s">
        <v>2</v>
      </c>
      <c r="U989" s="185">
        <f>IF(S989&gt;0,IF(RIGHT(Ruimtestaat[[#This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9" s="185">
        <f>IF(U989&gt;0,VLOOKUP($K989,Ruimtegroepen[],3,FALSE)*VLOOKUP($M989,Vloersoorten[],3,FALSE)*VLOOKUP($T989,Frequenties[],3,FALSE)*VLOOKUP($A989,Locaties[],3,FALSE),0)</f>
        <v>0</v>
      </c>
      <c r="W989" s="185">
        <f>Ruimtestaat[[#This Row],[Uitvoeringen werkdagen]]*Ruimtestaat[[#This Row],[Oppervlak (netto)]]</f>
        <v>13400</v>
      </c>
      <c r="X989" s="220">
        <f>IF(V989&gt;0,Ruimtestaat[[#This Row],[Prest. (m2 /jaar) werkdagen]]/Ruimtestaat[[#This Row],[Norm (m2/uur) werkdagen]],0)</f>
        <v>0</v>
      </c>
      <c r="Y989" s="221">
        <f>Ruimtestaat[[#This Row],[uren / jaar werkdagen]]*Tariefsopbouw!$D$38</f>
        <v>0</v>
      </c>
      <c r="Z989" s="33"/>
      <c r="AA989" s="33">
        <f>IF(Ruimtestaat[[#This Row],[Frequentie weekend]]&gt;0,VALUE(LEFT(Z989,1))*S989,0)</f>
        <v>0</v>
      </c>
      <c r="AB989" s="33">
        <f>IF($AA989&gt;0,VLOOKUP($K989,Ruimtegroepen[],3,FALSE)*VLOOKUP($M989,Vloersoorten[],3,FALSE)*VLOOKUP($Z989,Frequenties[],3,FALSE)*VLOOKUP(#REF!,Locaties[],3,FALSE),0)</f>
        <v>0</v>
      </c>
      <c r="AC989" s="33"/>
      <c r="AD989" s="33"/>
      <c r="AE989" s="33">
        <f>Ruimtestaat[[#This Row],[uren / jaar weekend]]*Tariefsopbouw!$D$40</f>
        <v>0</v>
      </c>
      <c r="AF989" s="79">
        <f>Ruimtestaat[[#This Row],[Prest. (m2 /jaar) weekend]]+Ruimtestaat[[#This Row],[Prest. (m2 /jaar) werkdagen]]</f>
        <v>13400</v>
      </c>
      <c r="AG989" s="79">
        <f>Ruimtestaat[[#This Row],[uren / jaar weekend]]+Ruimtestaat[[#This Row],[uren / jaar werkdagen]]</f>
        <v>0</v>
      </c>
      <c r="AH989" s="80">
        <f>Ruimtestaat[[#This Row],[kosten / jaar weekend]]+Ruimtestaat[[#This Row],[kosten / jaar werkdagen]]</f>
        <v>0</v>
      </c>
    </row>
    <row r="990" spans="1:34" ht="15" customHeight="1">
      <c r="A990" s="256">
        <v>12</v>
      </c>
      <c r="B990" s="171" t="str">
        <f>VLOOKUP(Ruimtestaat[[#This Row],[Code]],Locaties[#All],2,FALSE)</f>
        <v>Onderwijscentrum Het Roessingh &amp; De Huifkar</v>
      </c>
      <c r="C990" s="258" t="str">
        <f>VLOOKUP(Ruimtestaat[[#This Row],[Code]],Locaties[#All],4,FALSE)</f>
        <v>Roessinghsbleekweg 35</v>
      </c>
      <c r="D990" s="258" t="str">
        <f>VLOOKUP(Ruimtestaat[[#This Row],[Code]],Locaties[#All],5,FALSE)</f>
        <v>7522 AH</v>
      </c>
      <c r="E990" s="258" t="str">
        <f>VLOOKUP(Ruimtestaat[[#This Row],[Code]],Locaties[#All],6,FALSE)</f>
        <v>Enschede</v>
      </c>
      <c r="F990" s="257"/>
      <c r="G990" s="257" t="s">
        <v>563</v>
      </c>
      <c r="H990" s="171"/>
      <c r="I990" s="257" t="s">
        <v>1010</v>
      </c>
      <c r="J990" s="259" t="s">
        <v>770</v>
      </c>
      <c r="K990" s="171">
        <v>5</v>
      </c>
      <c r="L990" s="260" t="str">
        <f>VLOOKUP(Ruimtestaat[[#This Row],[Ruimte code]],Ruimtegroepen[#All],2,FALSE)</f>
        <v>Sanitair</v>
      </c>
      <c r="M990" s="212" t="s">
        <v>111</v>
      </c>
      <c r="N990" s="257" t="s">
        <v>606</v>
      </c>
      <c r="O990" s="261">
        <v>33</v>
      </c>
      <c r="P990" s="183"/>
      <c r="Q990" s="212" t="str">
        <f>VLOOKUP(Ruimtestaat[[#This Row],[Ruimte code]],Ruimtegroepen[#All],4,FALSE)</f>
        <v>S  (Sanitair)</v>
      </c>
      <c r="R990" s="184"/>
      <c r="S990" s="185">
        <v>40</v>
      </c>
      <c r="T990" s="185" t="s">
        <v>2</v>
      </c>
      <c r="U990" s="185">
        <f>IF(S990&gt;0,IF(RIGHT(Ruimtestaat[[#This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0" s="185">
        <f>IF(U990&gt;0,VLOOKUP($K990,Ruimtegroepen[],3,FALSE)*VLOOKUP($M990,Vloersoorten[],3,FALSE)*VLOOKUP($T990,Frequenties[],3,FALSE)*VLOOKUP($A990,Locaties[],3,FALSE),0)</f>
        <v>0</v>
      </c>
      <c r="W990" s="185">
        <f>Ruimtestaat[[#This Row],[Uitvoeringen werkdagen]]*Ruimtestaat[[#This Row],[Oppervlak (netto)]]</f>
        <v>6600</v>
      </c>
      <c r="X990" s="220">
        <f>IF(V990&gt;0,Ruimtestaat[[#This Row],[Prest. (m2 /jaar) werkdagen]]/Ruimtestaat[[#This Row],[Norm (m2/uur) werkdagen]],0)</f>
        <v>0</v>
      </c>
      <c r="Y990" s="221">
        <f>Ruimtestaat[[#This Row],[uren / jaar werkdagen]]*Tariefsopbouw!$D$38</f>
        <v>0</v>
      </c>
      <c r="Z990" s="33"/>
      <c r="AA990" s="33">
        <f>IF(Ruimtestaat[[#This Row],[Frequentie weekend]]&gt;0,VALUE(LEFT(Z990,1))*S990,0)</f>
        <v>0</v>
      </c>
      <c r="AB990" s="33">
        <f>IF($AA990&gt;0,VLOOKUP($K990,Ruimtegroepen[],3,FALSE)*VLOOKUP($M990,Vloersoorten[],3,FALSE)*VLOOKUP($Z990,Frequenties[],3,FALSE)*VLOOKUP(#REF!,Locaties[],3,FALSE),0)</f>
        <v>0</v>
      </c>
      <c r="AC990" s="33"/>
      <c r="AD990" s="33"/>
      <c r="AE990" s="33">
        <f>Ruimtestaat[[#This Row],[uren / jaar weekend]]*Tariefsopbouw!$D$40</f>
        <v>0</v>
      </c>
      <c r="AF990" s="79">
        <f>Ruimtestaat[[#This Row],[Prest. (m2 /jaar) weekend]]+Ruimtestaat[[#This Row],[Prest. (m2 /jaar) werkdagen]]</f>
        <v>6600</v>
      </c>
      <c r="AG990" s="79">
        <f>Ruimtestaat[[#This Row],[uren / jaar weekend]]+Ruimtestaat[[#This Row],[uren / jaar werkdagen]]</f>
        <v>0</v>
      </c>
      <c r="AH990" s="80">
        <f>Ruimtestaat[[#This Row],[kosten / jaar weekend]]+Ruimtestaat[[#This Row],[kosten / jaar werkdagen]]</f>
        <v>0</v>
      </c>
    </row>
    <row r="991" spans="1:34" ht="15" customHeight="1">
      <c r="A991" s="256">
        <v>12</v>
      </c>
      <c r="B991" s="171" t="str">
        <f>VLOOKUP(Ruimtestaat[[#This Row],[Code]],Locaties[#All],2,FALSE)</f>
        <v>Onderwijscentrum Het Roessingh &amp; De Huifkar</v>
      </c>
      <c r="C991" s="258" t="str">
        <f>VLOOKUP(Ruimtestaat[[#This Row],[Code]],Locaties[#All],4,FALSE)</f>
        <v>Roessinghsbleekweg 35</v>
      </c>
      <c r="D991" s="258" t="str">
        <f>VLOOKUP(Ruimtestaat[[#This Row],[Code]],Locaties[#All],5,FALSE)</f>
        <v>7522 AH</v>
      </c>
      <c r="E991" s="258" t="str">
        <f>VLOOKUP(Ruimtestaat[[#This Row],[Code]],Locaties[#All],6,FALSE)</f>
        <v>Enschede</v>
      </c>
      <c r="F991" s="257"/>
      <c r="G991" s="257" t="s">
        <v>563</v>
      </c>
      <c r="H991" s="171"/>
      <c r="I991" s="257" t="s">
        <v>1011</v>
      </c>
      <c r="J991" s="259" t="s">
        <v>576</v>
      </c>
      <c r="K991" s="171">
        <v>16</v>
      </c>
      <c r="L991" s="260" t="str">
        <f>VLOOKUP(Ruimtestaat[[#This Row],[Ruimte code]],Ruimtegroepen[#All],2,FALSE)</f>
        <v>Leslokalen</v>
      </c>
      <c r="M991" s="258" t="s">
        <v>598</v>
      </c>
      <c r="N991" s="257" t="s">
        <v>132</v>
      </c>
      <c r="O991" s="261">
        <v>81</v>
      </c>
      <c r="P991" s="183"/>
      <c r="Q991" s="212" t="str">
        <f>VLOOKUP(Ruimtestaat[[#This Row],[Ruimte code]],Ruimtegroepen[#All],4,FALSE)</f>
        <v>L  (Lesruimte)</v>
      </c>
      <c r="R991" s="184"/>
      <c r="S991" s="185">
        <v>40</v>
      </c>
      <c r="T991" s="185" t="s">
        <v>2</v>
      </c>
      <c r="U991" s="185">
        <f>IF(S991&gt;0,IF(RIGHT(Ruimtestaat[[#This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1" s="185">
        <f>IF(U991&gt;0,VLOOKUP($K991,Ruimtegroepen[],3,FALSE)*VLOOKUP($M991,Vloersoorten[],3,FALSE)*VLOOKUP($T991,Frequenties[],3,FALSE)*VLOOKUP($A991,Locaties[],3,FALSE),0)</f>
        <v>0</v>
      </c>
      <c r="W991" s="185">
        <f>Ruimtestaat[[#This Row],[Uitvoeringen werkdagen]]*Ruimtestaat[[#This Row],[Oppervlak (netto)]]</f>
        <v>16200</v>
      </c>
      <c r="X991" s="220">
        <f>IF(V991&gt;0,Ruimtestaat[[#This Row],[Prest. (m2 /jaar) werkdagen]]/Ruimtestaat[[#This Row],[Norm (m2/uur) werkdagen]],0)</f>
        <v>0</v>
      </c>
      <c r="Y991" s="221">
        <f>Ruimtestaat[[#This Row],[uren / jaar werkdagen]]*Tariefsopbouw!$D$38</f>
        <v>0</v>
      </c>
      <c r="Z991" s="33"/>
      <c r="AA991" s="33">
        <f>IF(Ruimtestaat[[#This Row],[Frequentie weekend]]&gt;0,VALUE(LEFT(Z991,1))*S991,0)</f>
        <v>0</v>
      </c>
      <c r="AB991" s="33">
        <f>IF($AA991&gt;0,VLOOKUP($K991,Ruimtegroepen[],3,FALSE)*VLOOKUP($M991,Vloersoorten[],3,FALSE)*VLOOKUP($Z991,Frequenties[],3,FALSE)*VLOOKUP(#REF!,Locaties[],3,FALSE),0)</f>
        <v>0</v>
      </c>
      <c r="AC991" s="33"/>
      <c r="AD991" s="33"/>
      <c r="AE991" s="33">
        <f>Ruimtestaat[[#This Row],[uren / jaar weekend]]*Tariefsopbouw!$D$40</f>
        <v>0</v>
      </c>
      <c r="AF991" s="79">
        <f>Ruimtestaat[[#This Row],[Prest. (m2 /jaar) weekend]]+Ruimtestaat[[#This Row],[Prest. (m2 /jaar) werkdagen]]</f>
        <v>16200</v>
      </c>
      <c r="AG991" s="79">
        <f>Ruimtestaat[[#This Row],[uren / jaar weekend]]+Ruimtestaat[[#This Row],[uren / jaar werkdagen]]</f>
        <v>0</v>
      </c>
      <c r="AH991" s="80">
        <f>Ruimtestaat[[#This Row],[kosten / jaar weekend]]+Ruimtestaat[[#This Row],[kosten / jaar werkdagen]]</f>
        <v>0</v>
      </c>
    </row>
    <row r="992" spans="1:34" ht="15" customHeight="1">
      <c r="A992" s="256">
        <v>12</v>
      </c>
      <c r="B992" s="171" t="str">
        <f>VLOOKUP(Ruimtestaat[[#This Row],[Code]],Locaties[#All],2,FALSE)</f>
        <v>Onderwijscentrum Het Roessingh &amp; De Huifkar</v>
      </c>
      <c r="C992" s="258" t="str">
        <f>VLOOKUP(Ruimtestaat[[#This Row],[Code]],Locaties[#All],4,FALSE)</f>
        <v>Roessinghsbleekweg 35</v>
      </c>
      <c r="D992" s="258" t="str">
        <f>VLOOKUP(Ruimtestaat[[#This Row],[Code]],Locaties[#All],5,FALSE)</f>
        <v>7522 AH</v>
      </c>
      <c r="E992" s="258" t="str">
        <f>VLOOKUP(Ruimtestaat[[#This Row],[Code]],Locaties[#All],6,FALSE)</f>
        <v>Enschede</v>
      </c>
      <c r="F992" s="257"/>
      <c r="G992" s="257" t="s">
        <v>563</v>
      </c>
      <c r="H992" s="171"/>
      <c r="I992" s="257" t="s">
        <v>1012</v>
      </c>
      <c r="J992" s="259" t="s">
        <v>585</v>
      </c>
      <c r="K992" s="171">
        <v>20</v>
      </c>
      <c r="L992" s="260" t="str">
        <f>VLOOKUP(Ruimtestaat[[#This Row],[Ruimte code]],Ruimtegroepen[#All],2,FALSE)</f>
        <v>Niet in onderhoud</v>
      </c>
      <c r="M992" s="258" t="s">
        <v>598</v>
      </c>
      <c r="N992" s="257" t="s">
        <v>132</v>
      </c>
      <c r="O992" s="261"/>
      <c r="P992" s="183">
        <v>10</v>
      </c>
      <c r="Q992" s="212" t="str">
        <f>VLOOKUP(Ruimtestaat[[#This Row],[Ruimte code]],Ruimtegroepen[#All],4,FALSE)</f>
        <v>niet in onderhoud</v>
      </c>
      <c r="R992" s="184"/>
      <c r="S992" s="185"/>
      <c r="T992" s="185"/>
      <c r="U992" s="185">
        <f>IF(S992&gt;0,IF(RIGHT(Ruimtestaat[[#This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92" s="185">
        <f>IF(U992&gt;0,VLOOKUP($K992,Ruimtegroepen[],3,FALSE)*VLOOKUP($M992,Vloersoorten[],3,FALSE)*VLOOKUP($T992,Frequenties[],3,FALSE)*VLOOKUP($A992,Locaties[],3,FALSE),0)</f>
        <v>0</v>
      </c>
      <c r="W992" s="185">
        <f>Ruimtestaat[[#This Row],[Uitvoeringen werkdagen]]*Ruimtestaat[[#This Row],[Oppervlak (netto)]]</f>
        <v>0</v>
      </c>
      <c r="X992" s="220">
        <f>IF(V992&gt;0,Ruimtestaat[[#This Row],[Prest. (m2 /jaar) werkdagen]]/Ruimtestaat[[#This Row],[Norm (m2/uur) werkdagen]],0)</f>
        <v>0</v>
      </c>
      <c r="Y992" s="221">
        <f>Ruimtestaat[[#This Row],[uren / jaar werkdagen]]*Tariefsopbouw!$D$38</f>
        <v>0</v>
      </c>
      <c r="Z992" s="33"/>
      <c r="AA992" s="33">
        <f>IF(Ruimtestaat[[#This Row],[Frequentie weekend]]&gt;0,VALUE(LEFT(Z992,1))*S992,0)</f>
        <v>0</v>
      </c>
      <c r="AB992" s="33">
        <f>IF($AA992&gt;0,VLOOKUP($K992,Ruimtegroepen[],3,FALSE)*VLOOKUP($M992,Vloersoorten[],3,FALSE)*VLOOKUP($Z992,Frequenties[],3,FALSE)*VLOOKUP(#REF!,Locaties[],3,FALSE),0)</f>
        <v>0</v>
      </c>
      <c r="AC992" s="33"/>
      <c r="AD992" s="33"/>
      <c r="AE992" s="33">
        <f>Ruimtestaat[[#This Row],[uren / jaar weekend]]*Tariefsopbouw!$D$40</f>
        <v>0</v>
      </c>
      <c r="AF992" s="79">
        <f>Ruimtestaat[[#This Row],[Prest. (m2 /jaar) weekend]]+Ruimtestaat[[#This Row],[Prest. (m2 /jaar) werkdagen]]</f>
        <v>0</v>
      </c>
      <c r="AG992" s="79">
        <f>Ruimtestaat[[#This Row],[uren / jaar weekend]]+Ruimtestaat[[#This Row],[uren / jaar werkdagen]]</f>
        <v>0</v>
      </c>
      <c r="AH992" s="80">
        <f>Ruimtestaat[[#This Row],[kosten / jaar weekend]]+Ruimtestaat[[#This Row],[kosten / jaar werkdagen]]</f>
        <v>0</v>
      </c>
    </row>
    <row r="993" spans="1:34" ht="15" customHeight="1">
      <c r="A993" s="256">
        <v>12</v>
      </c>
      <c r="B993" s="171" t="str">
        <f>VLOOKUP(Ruimtestaat[[#This Row],[Code]],Locaties[#All],2,FALSE)</f>
        <v>Onderwijscentrum Het Roessingh &amp; De Huifkar</v>
      </c>
      <c r="C993" s="258" t="str">
        <f>VLOOKUP(Ruimtestaat[[#This Row],[Code]],Locaties[#All],4,FALSE)</f>
        <v>Roessinghsbleekweg 35</v>
      </c>
      <c r="D993" s="258" t="str">
        <f>VLOOKUP(Ruimtestaat[[#This Row],[Code]],Locaties[#All],5,FALSE)</f>
        <v>7522 AH</v>
      </c>
      <c r="E993" s="258" t="str">
        <f>VLOOKUP(Ruimtestaat[[#This Row],[Code]],Locaties[#All],6,FALSE)</f>
        <v>Enschede</v>
      </c>
      <c r="F993" s="257"/>
      <c r="G993" s="257" t="s">
        <v>563</v>
      </c>
      <c r="H993" s="171"/>
      <c r="I993" s="257" t="s">
        <v>1013</v>
      </c>
      <c r="J993" s="259" t="s">
        <v>576</v>
      </c>
      <c r="K993" s="171">
        <v>16</v>
      </c>
      <c r="L993" s="260" t="str">
        <f>VLOOKUP(Ruimtestaat[[#This Row],[Ruimte code]],Ruimtegroepen[#All],2,FALSE)</f>
        <v>Leslokalen</v>
      </c>
      <c r="M993" s="258" t="s">
        <v>598</v>
      </c>
      <c r="N993" s="257" t="s">
        <v>132</v>
      </c>
      <c r="O993" s="261">
        <v>83</v>
      </c>
      <c r="P993" s="183"/>
      <c r="Q993" s="212" t="str">
        <f>VLOOKUP(Ruimtestaat[[#This Row],[Ruimte code]],Ruimtegroepen[#All],4,FALSE)</f>
        <v>L  (Lesruimte)</v>
      </c>
      <c r="R993" s="184"/>
      <c r="S993" s="185">
        <v>40</v>
      </c>
      <c r="T993" s="185" t="s">
        <v>2</v>
      </c>
      <c r="U993" s="185">
        <f>IF(S993&gt;0,IF(RIGHT(Ruimtestaat[[#This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3" s="185">
        <f>IF(U993&gt;0,VLOOKUP($K993,Ruimtegroepen[],3,FALSE)*VLOOKUP($M993,Vloersoorten[],3,FALSE)*VLOOKUP($T993,Frequenties[],3,FALSE)*VLOOKUP($A993,Locaties[],3,FALSE),0)</f>
        <v>0</v>
      </c>
      <c r="W993" s="185">
        <f>Ruimtestaat[[#This Row],[Uitvoeringen werkdagen]]*Ruimtestaat[[#This Row],[Oppervlak (netto)]]</f>
        <v>16600</v>
      </c>
      <c r="X993" s="220">
        <f>IF(V993&gt;0,Ruimtestaat[[#This Row],[Prest. (m2 /jaar) werkdagen]]/Ruimtestaat[[#This Row],[Norm (m2/uur) werkdagen]],0)</f>
        <v>0</v>
      </c>
      <c r="Y993" s="221">
        <f>Ruimtestaat[[#This Row],[uren / jaar werkdagen]]*Tariefsopbouw!$D$38</f>
        <v>0</v>
      </c>
      <c r="Z993" s="33"/>
      <c r="AA993" s="33">
        <f>IF(Ruimtestaat[[#This Row],[Frequentie weekend]]&gt;0,VALUE(LEFT(Z993,1))*S993,0)</f>
        <v>0</v>
      </c>
      <c r="AB993" s="33">
        <f>IF($AA993&gt;0,VLOOKUP($K993,Ruimtegroepen[],3,FALSE)*VLOOKUP($M993,Vloersoorten[],3,FALSE)*VLOOKUP($Z993,Frequenties[],3,FALSE)*VLOOKUP(#REF!,Locaties[],3,FALSE),0)</f>
        <v>0</v>
      </c>
      <c r="AC993" s="33"/>
      <c r="AD993" s="33"/>
      <c r="AE993" s="33">
        <f>Ruimtestaat[[#This Row],[uren / jaar weekend]]*Tariefsopbouw!$D$40</f>
        <v>0</v>
      </c>
      <c r="AF993" s="79">
        <f>Ruimtestaat[[#This Row],[Prest. (m2 /jaar) weekend]]+Ruimtestaat[[#This Row],[Prest. (m2 /jaar) werkdagen]]</f>
        <v>16600</v>
      </c>
      <c r="AG993" s="79">
        <f>Ruimtestaat[[#This Row],[uren / jaar weekend]]+Ruimtestaat[[#This Row],[uren / jaar werkdagen]]</f>
        <v>0</v>
      </c>
      <c r="AH993" s="80">
        <f>Ruimtestaat[[#This Row],[kosten / jaar weekend]]+Ruimtestaat[[#This Row],[kosten / jaar werkdagen]]</f>
        <v>0</v>
      </c>
    </row>
    <row r="994" spans="1:34" ht="15" customHeight="1">
      <c r="A994" s="256">
        <v>12</v>
      </c>
      <c r="B994" s="171" t="str">
        <f>VLOOKUP(Ruimtestaat[[#This Row],[Code]],Locaties[#All],2,FALSE)</f>
        <v>Onderwijscentrum Het Roessingh &amp; De Huifkar</v>
      </c>
      <c r="C994" s="258" t="str">
        <f>VLOOKUP(Ruimtestaat[[#This Row],[Code]],Locaties[#All],4,FALSE)</f>
        <v>Roessinghsbleekweg 35</v>
      </c>
      <c r="D994" s="258" t="str">
        <f>VLOOKUP(Ruimtestaat[[#This Row],[Code]],Locaties[#All],5,FALSE)</f>
        <v>7522 AH</v>
      </c>
      <c r="E994" s="258" t="str">
        <f>VLOOKUP(Ruimtestaat[[#This Row],[Code]],Locaties[#All],6,FALSE)</f>
        <v>Enschede</v>
      </c>
      <c r="F994" s="257"/>
      <c r="G994" s="257" t="s">
        <v>563</v>
      </c>
      <c r="H994" s="171"/>
      <c r="I994" s="257" t="s">
        <v>1014</v>
      </c>
      <c r="J994" s="259" t="s">
        <v>571</v>
      </c>
      <c r="K994" s="185">
        <v>2</v>
      </c>
      <c r="L994" s="260" t="str">
        <f>VLOOKUP(Ruimtestaat[[#This Row],[Ruimte code]],Ruimtegroepen[#All],2,FALSE)</f>
        <v>Kantoren</v>
      </c>
      <c r="M994" s="258" t="s">
        <v>598</v>
      </c>
      <c r="N994" s="257" t="s">
        <v>132</v>
      </c>
      <c r="O994" s="261">
        <v>35</v>
      </c>
      <c r="P994" s="183"/>
      <c r="Q994" s="212" t="str">
        <f>VLOOKUP(Ruimtestaat[[#This Row],[Ruimte code]],Ruimtegroepen[#All],4,FALSE)</f>
        <v>B  (Bureauruimte)</v>
      </c>
      <c r="R994" s="184"/>
      <c r="S994" s="185">
        <v>40</v>
      </c>
      <c r="T994" s="185" t="s">
        <v>2</v>
      </c>
      <c r="U994" s="185">
        <f>IF(S994&gt;0,IF(RIGHT(Ruimtestaat[[#This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4" s="185">
        <f>IF(U994&gt;0,VLOOKUP($K994,Ruimtegroepen[],3,FALSE)*VLOOKUP($M994,Vloersoorten[],3,FALSE)*VLOOKUP($T994,Frequenties[],3,FALSE)*VLOOKUP($A994,Locaties[],3,FALSE),0)</f>
        <v>0</v>
      </c>
      <c r="W994" s="185">
        <f>Ruimtestaat[[#This Row],[Uitvoeringen werkdagen]]*Ruimtestaat[[#This Row],[Oppervlak (netto)]]</f>
        <v>7000</v>
      </c>
      <c r="X994" s="220">
        <f>IF(V994&gt;0,Ruimtestaat[[#This Row],[Prest. (m2 /jaar) werkdagen]]/Ruimtestaat[[#This Row],[Norm (m2/uur) werkdagen]],0)</f>
        <v>0</v>
      </c>
      <c r="Y994" s="221">
        <f>Ruimtestaat[[#This Row],[uren / jaar werkdagen]]*Tariefsopbouw!$D$38</f>
        <v>0</v>
      </c>
      <c r="Z994" s="33"/>
      <c r="AA994" s="33">
        <f>IF(Ruimtestaat[[#This Row],[Frequentie weekend]]&gt;0,VALUE(LEFT(Z994,1))*S994,0)</f>
        <v>0</v>
      </c>
      <c r="AB994" s="33">
        <f>IF($AA994&gt;0,VLOOKUP($K994,Ruimtegroepen[],3,FALSE)*VLOOKUP($M994,Vloersoorten[],3,FALSE)*VLOOKUP($Z994,Frequenties[],3,FALSE)*VLOOKUP(#REF!,Locaties[],3,FALSE),0)</f>
        <v>0</v>
      </c>
      <c r="AC994" s="33"/>
      <c r="AD994" s="33"/>
      <c r="AE994" s="33">
        <f>Ruimtestaat[[#This Row],[uren / jaar weekend]]*Tariefsopbouw!$D$40</f>
        <v>0</v>
      </c>
      <c r="AF994" s="79">
        <f>Ruimtestaat[[#This Row],[Prest. (m2 /jaar) weekend]]+Ruimtestaat[[#This Row],[Prest. (m2 /jaar) werkdagen]]</f>
        <v>7000</v>
      </c>
      <c r="AG994" s="79">
        <f>Ruimtestaat[[#This Row],[uren / jaar weekend]]+Ruimtestaat[[#This Row],[uren / jaar werkdagen]]</f>
        <v>0</v>
      </c>
      <c r="AH994" s="80">
        <f>Ruimtestaat[[#This Row],[kosten / jaar weekend]]+Ruimtestaat[[#This Row],[kosten / jaar werkdagen]]</f>
        <v>0</v>
      </c>
    </row>
    <row r="995" spans="1:34" ht="15" customHeight="1">
      <c r="A995" s="256">
        <v>12</v>
      </c>
      <c r="B995" s="171" t="str">
        <f>VLOOKUP(Ruimtestaat[[#This Row],[Code]],Locaties[#All],2,FALSE)</f>
        <v>Onderwijscentrum Het Roessingh &amp; De Huifkar</v>
      </c>
      <c r="C995" s="258" t="str">
        <f>VLOOKUP(Ruimtestaat[[#This Row],[Code]],Locaties[#All],4,FALSE)</f>
        <v>Roessinghsbleekweg 35</v>
      </c>
      <c r="D995" s="258" t="str">
        <f>VLOOKUP(Ruimtestaat[[#This Row],[Code]],Locaties[#All],5,FALSE)</f>
        <v>7522 AH</v>
      </c>
      <c r="E995" s="258" t="str">
        <f>VLOOKUP(Ruimtestaat[[#This Row],[Code]],Locaties[#All],6,FALSE)</f>
        <v>Enschede</v>
      </c>
      <c r="F995" s="257"/>
      <c r="G995" s="257" t="s">
        <v>563</v>
      </c>
      <c r="H995" s="171"/>
      <c r="I995" s="257" t="s">
        <v>1015</v>
      </c>
      <c r="J995" s="259" t="s">
        <v>576</v>
      </c>
      <c r="K995" s="185">
        <v>16</v>
      </c>
      <c r="L995" s="260" t="str">
        <f>VLOOKUP(Ruimtestaat[[#This Row],[Ruimte code]],Ruimtegroepen[#All],2,FALSE)</f>
        <v>Leslokalen</v>
      </c>
      <c r="M995" s="258" t="s">
        <v>598</v>
      </c>
      <c r="N995" s="257" t="s">
        <v>132</v>
      </c>
      <c r="O995" s="261">
        <v>83</v>
      </c>
      <c r="P995" s="183"/>
      <c r="Q995" s="212" t="str">
        <f>VLOOKUP(Ruimtestaat[[#This Row],[Ruimte code]],Ruimtegroepen[#All],4,FALSE)</f>
        <v>L  (Lesruimte)</v>
      </c>
      <c r="R995" s="184"/>
      <c r="S995" s="185">
        <v>40</v>
      </c>
      <c r="T995" s="185" t="s">
        <v>2</v>
      </c>
      <c r="U995" s="185">
        <f>IF(S995&gt;0,IF(RIGHT(Ruimtestaat[[#This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5" s="185">
        <f>IF(U995&gt;0,VLOOKUP($K995,Ruimtegroepen[],3,FALSE)*VLOOKUP($M995,Vloersoorten[],3,FALSE)*VLOOKUP($T995,Frequenties[],3,FALSE)*VLOOKUP($A995,Locaties[],3,FALSE),0)</f>
        <v>0</v>
      </c>
      <c r="W995" s="185">
        <f>Ruimtestaat[[#This Row],[Uitvoeringen werkdagen]]*Ruimtestaat[[#This Row],[Oppervlak (netto)]]</f>
        <v>16600</v>
      </c>
      <c r="X995" s="220">
        <f>IF(V995&gt;0,Ruimtestaat[[#This Row],[Prest. (m2 /jaar) werkdagen]]/Ruimtestaat[[#This Row],[Norm (m2/uur) werkdagen]],0)</f>
        <v>0</v>
      </c>
      <c r="Y995" s="221">
        <f>Ruimtestaat[[#This Row],[uren / jaar werkdagen]]*Tariefsopbouw!$D$38</f>
        <v>0</v>
      </c>
      <c r="Z995" s="33"/>
      <c r="AA995" s="33">
        <f>IF(Ruimtestaat[[#This Row],[Frequentie weekend]]&gt;0,VALUE(LEFT(Z995,1))*S995,0)</f>
        <v>0</v>
      </c>
      <c r="AB995" s="33">
        <f>IF($AA995&gt;0,VLOOKUP($K995,Ruimtegroepen[],3,FALSE)*VLOOKUP($M995,Vloersoorten[],3,FALSE)*VLOOKUP($Z995,Frequenties[],3,FALSE)*VLOOKUP(#REF!,Locaties[],3,FALSE),0)</f>
        <v>0</v>
      </c>
      <c r="AC995" s="33"/>
      <c r="AD995" s="33"/>
      <c r="AE995" s="33">
        <f>Ruimtestaat[[#This Row],[uren / jaar weekend]]*Tariefsopbouw!$D$40</f>
        <v>0</v>
      </c>
      <c r="AF995" s="79">
        <f>Ruimtestaat[[#This Row],[Prest. (m2 /jaar) weekend]]+Ruimtestaat[[#This Row],[Prest. (m2 /jaar) werkdagen]]</f>
        <v>16600</v>
      </c>
      <c r="AG995" s="79">
        <f>Ruimtestaat[[#This Row],[uren / jaar weekend]]+Ruimtestaat[[#This Row],[uren / jaar werkdagen]]</f>
        <v>0</v>
      </c>
      <c r="AH995" s="80">
        <f>Ruimtestaat[[#This Row],[kosten / jaar weekend]]+Ruimtestaat[[#This Row],[kosten / jaar werkdagen]]</f>
        <v>0</v>
      </c>
    </row>
    <row r="996" spans="1:34" ht="15" customHeight="1">
      <c r="A996" s="256">
        <v>12</v>
      </c>
      <c r="B996" s="171" t="str">
        <f>VLOOKUP(Ruimtestaat[[#This Row],[Code]],Locaties[#All],2,FALSE)</f>
        <v>Onderwijscentrum Het Roessingh &amp; De Huifkar</v>
      </c>
      <c r="C996" s="258" t="str">
        <f>VLOOKUP(Ruimtestaat[[#This Row],[Code]],Locaties[#All],4,FALSE)</f>
        <v>Roessinghsbleekweg 35</v>
      </c>
      <c r="D996" s="258" t="str">
        <f>VLOOKUP(Ruimtestaat[[#This Row],[Code]],Locaties[#All],5,FALSE)</f>
        <v>7522 AH</v>
      </c>
      <c r="E996" s="258" t="str">
        <f>VLOOKUP(Ruimtestaat[[#This Row],[Code]],Locaties[#All],6,FALSE)</f>
        <v>Enschede</v>
      </c>
      <c r="F996" s="257"/>
      <c r="G996" s="257" t="s">
        <v>563</v>
      </c>
      <c r="H996" s="171"/>
      <c r="I996" s="257" t="s">
        <v>1016</v>
      </c>
      <c r="J996" s="259" t="s">
        <v>40</v>
      </c>
      <c r="K996" s="258">
        <v>7</v>
      </c>
      <c r="L996" s="260" t="str">
        <f>VLOOKUP(Ruimtestaat[[#This Row],[Ruimte code]],Ruimtegroepen[#All],2,FALSE)</f>
        <v>Entree</v>
      </c>
      <c r="M996" s="258" t="s">
        <v>597</v>
      </c>
      <c r="N996" s="257" t="s">
        <v>38</v>
      </c>
      <c r="O996" s="261">
        <v>14</v>
      </c>
      <c r="P996" s="183"/>
      <c r="Q996" s="212" t="str">
        <f>VLOOKUP(Ruimtestaat[[#This Row],[Ruimte code]],Ruimtegroepen[#All],4,FALSE)</f>
        <v>V  (Verkeersruimte)</v>
      </c>
      <c r="R996" s="184"/>
      <c r="S996" s="185">
        <v>40</v>
      </c>
      <c r="T996" s="185" t="s">
        <v>2</v>
      </c>
      <c r="U996" s="185">
        <f>IF(S996&gt;0,IF(RIGHT(Ruimtestaat[[#This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6" s="185">
        <f>IF(U996&gt;0,VLOOKUP($K996,Ruimtegroepen[],3,FALSE)*VLOOKUP($M996,Vloersoorten[],3,FALSE)*VLOOKUP($T996,Frequenties[],3,FALSE)*VLOOKUP($A996,Locaties[],3,FALSE),0)</f>
        <v>0</v>
      </c>
      <c r="W996" s="185">
        <f>Ruimtestaat[[#This Row],[Uitvoeringen werkdagen]]*Ruimtestaat[[#This Row],[Oppervlak (netto)]]</f>
        <v>2800</v>
      </c>
      <c r="X996" s="220">
        <f>IF(V996&gt;0,Ruimtestaat[[#This Row],[Prest. (m2 /jaar) werkdagen]]/Ruimtestaat[[#This Row],[Norm (m2/uur) werkdagen]],0)</f>
        <v>0</v>
      </c>
      <c r="Y996" s="221">
        <f>Ruimtestaat[[#This Row],[uren / jaar werkdagen]]*Tariefsopbouw!$D$38</f>
        <v>0</v>
      </c>
      <c r="Z996" s="33"/>
      <c r="AA996" s="33">
        <f>IF(Ruimtestaat[[#This Row],[Frequentie weekend]]&gt;0,VALUE(LEFT(Z996,1))*S996,0)</f>
        <v>0</v>
      </c>
      <c r="AB996" s="33">
        <f>IF($AA996&gt;0,VLOOKUP($K996,Ruimtegroepen[],3,FALSE)*VLOOKUP($M996,Vloersoorten[],3,FALSE)*VLOOKUP($Z996,Frequenties[],3,FALSE)*VLOOKUP(#REF!,Locaties[],3,FALSE),0)</f>
        <v>0</v>
      </c>
      <c r="AC996" s="33"/>
      <c r="AD996" s="33"/>
      <c r="AE996" s="33">
        <f>Ruimtestaat[[#This Row],[uren / jaar weekend]]*Tariefsopbouw!$D$40</f>
        <v>0</v>
      </c>
      <c r="AF996" s="79">
        <f>Ruimtestaat[[#This Row],[Prest. (m2 /jaar) weekend]]+Ruimtestaat[[#This Row],[Prest. (m2 /jaar) werkdagen]]</f>
        <v>2800</v>
      </c>
      <c r="AG996" s="79">
        <f>Ruimtestaat[[#This Row],[uren / jaar weekend]]+Ruimtestaat[[#This Row],[uren / jaar werkdagen]]</f>
        <v>0</v>
      </c>
      <c r="AH996" s="80">
        <f>Ruimtestaat[[#This Row],[kosten / jaar weekend]]+Ruimtestaat[[#This Row],[kosten / jaar werkdagen]]</f>
        <v>0</v>
      </c>
    </row>
    <row r="997" spans="1:34" ht="15" customHeight="1">
      <c r="A997" s="256">
        <v>12</v>
      </c>
      <c r="B997" s="171" t="str">
        <f>VLOOKUP(Ruimtestaat[[#This Row],[Code]],Locaties[#All],2,FALSE)</f>
        <v>Onderwijscentrum Het Roessingh &amp; De Huifkar</v>
      </c>
      <c r="C997" s="258" t="str">
        <f>VLOOKUP(Ruimtestaat[[#This Row],[Code]],Locaties[#All],4,FALSE)</f>
        <v>Roessinghsbleekweg 35</v>
      </c>
      <c r="D997" s="258" t="str">
        <f>VLOOKUP(Ruimtestaat[[#This Row],[Code]],Locaties[#All],5,FALSE)</f>
        <v>7522 AH</v>
      </c>
      <c r="E997" s="258" t="str">
        <f>VLOOKUP(Ruimtestaat[[#This Row],[Code]],Locaties[#All],6,FALSE)</f>
        <v>Enschede</v>
      </c>
      <c r="F997" s="257"/>
      <c r="G997" s="257" t="s">
        <v>563</v>
      </c>
      <c r="H997" s="171"/>
      <c r="I997" s="257" t="s">
        <v>1017</v>
      </c>
      <c r="J997" s="259" t="s">
        <v>810</v>
      </c>
      <c r="K997" s="224">
        <v>10</v>
      </c>
      <c r="L997" s="260" t="str">
        <f>VLOOKUP(Ruimtestaat[[#This Row],[Ruimte code]],Ruimtegroepen[#All],2,FALSE)</f>
        <v>Trappenhuizen/lift</v>
      </c>
      <c r="M997" s="258" t="s">
        <v>598</v>
      </c>
      <c r="N997" s="257" t="s">
        <v>132</v>
      </c>
      <c r="O997" s="261">
        <v>20</v>
      </c>
      <c r="P997" s="183"/>
      <c r="Q997" s="212" t="str">
        <f>VLOOKUP(Ruimtestaat[[#This Row],[Ruimte code]],Ruimtegroepen[#All],4,FALSE)</f>
        <v>V  (Verkeersruimte)</v>
      </c>
      <c r="R997" s="184"/>
      <c r="S997" s="185">
        <v>40</v>
      </c>
      <c r="T997" s="185" t="s">
        <v>2</v>
      </c>
      <c r="U997" s="185">
        <f>IF(S997&gt;0,IF(RIGHT(Ruimtestaat[[#This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7" s="185">
        <f>IF(U997&gt;0,VLOOKUP($K997,Ruimtegroepen[],3,FALSE)*VLOOKUP($M997,Vloersoorten[],3,FALSE)*VLOOKUP($T997,Frequenties[],3,FALSE)*VLOOKUP($A997,Locaties[],3,FALSE),0)</f>
        <v>0</v>
      </c>
      <c r="W997" s="185">
        <f>Ruimtestaat[[#This Row],[Uitvoeringen werkdagen]]*Ruimtestaat[[#This Row],[Oppervlak (netto)]]</f>
        <v>4000</v>
      </c>
      <c r="X997" s="220">
        <f>IF(V997&gt;0,Ruimtestaat[[#This Row],[Prest. (m2 /jaar) werkdagen]]/Ruimtestaat[[#This Row],[Norm (m2/uur) werkdagen]],0)</f>
        <v>0</v>
      </c>
      <c r="Y997" s="221">
        <f>Ruimtestaat[[#This Row],[uren / jaar werkdagen]]*Tariefsopbouw!$D$38</f>
        <v>0</v>
      </c>
      <c r="Z997" s="33"/>
      <c r="AA997" s="33">
        <f>IF(Ruimtestaat[[#This Row],[Frequentie weekend]]&gt;0,VALUE(LEFT(Z997,1))*S997,0)</f>
        <v>0</v>
      </c>
      <c r="AB997" s="33">
        <f>IF($AA997&gt;0,VLOOKUP($K997,Ruimtegroepen[],3,FALSE)*VLOOKUP($M997,Vloersoorten[],3,FALSE)*VLOOKUP($Z997,Frequenties[],3,FALSE)*VLOOKUP(#REF!,Locaties[],3,FALSE),0)</f>
        <v>0</v>
      </c>
      <c r="AC997" s="33"/>
      <c r="AD997" s="33"/>
      <c r="AE997" s="33">
        <f>Ruimtestaat[[#This Row],[uren / jaar weekend]]*Tariefsopbouw!$D$40</f>
        <v>0</v>
      </c>
      <c r="AF997" s="79">
        <f>Ruimtestaat[[#This Row],[Prest. (m2 /jaar) weekend]]+Ruimtestaat[[#This Row],[Prest. (m2 /jaar) werkdagen]]</f>
        <v>4000</v>
      </c>
      <c r="AG997" s="79">
        <f>Ruimtestaat[[#This Row],[uren / jaar weekend]]+Ruimtestaat[[#This Row],[uren / jaar werkdagen]]</f>
        <v>0</v>
      </c>
      <c r="AH997" s="80">
        <f>Ruimtestaat[[#This Row],[kosten / jaar weekend]]+Ruimtestaat[[#This Row],[kosten / jaar werkdagen]]</f>
        <v>0</v>
      </c>
    </row>
    <row r="998" spans="1:34" ht="15" customHeight="1">
      <c r="A998" s="256">
        <v>12</v>
      </c>
      <c r="B998" s="171" t="str">
        <f>VLOOKUP(Ruimtestaat[[#This Row],[Code]],Locaties[#All],2,FALSE)</f>
        <v>Onderwijscentrum Het Roessingh &amp; De Huifkar</v>
      </c>
      <c r="C998" s="258" t="str">
        <f>VLOOKUP(Ruimtestaat[[#This Row],[Code]],Locaties[#All],4,FALSE)</f>
        <v>Roessinghsbleekweg 35</v>
      </c>
      <c r="D998" s="258" t="str">
        <f>VLOOKUP(Ruimtestaat[[#This Row],[Code]],Locaties[#All],5,FALSE)</f>
        <v>7522 AH</v>
      </c>
      <c r="E998" s="258" t="str">
        <f>VLOOKUP(Ruimtestaat[[#This Row],[Code]],Locaties[#All],6,FALSE)</f>
        <v>Enschede</v>
      </c>
      <c r="F998" s="257"/>
      <c r="G998" s="257" t="s">
        <v>563</v>
      </c>
      <c r="H998" s="171"/>
      <c r="I998" s="257" t="s">
        <v>1018</v>
      </c>
      <c r="J998" s="259" t="s">
        <v>264</v>
      </c>
      <c r="K998" s="258">
        <v>10</v>
      </c>
      <c r="L998" s="260" t="str">
        <f>VLOOKUP(Ruimtestaat[[#This Row],[Ruimte code]],Ruimtegroepen[#All],2,FALSE)</f>
        <v>Trappenhuizen/lift</v>
      </c>
      <c r="M998" s="258" t="s">
        <v>598</v>
      </c>
      <c r="N998" s="257" t="s">
        <v>132</v>
      </c>
      <c r="O998" s="261">
        <v>8</v>
      </c>
      <c r="P998" s="183"/>
      <c r="Q998" s="212" t="str">
        <f>VLOOKUP(Ruimtestaat[[#This Row],[Ruimte code]],Ruimtegroepen[#All],4,FALSE)</f>
        <v>V  (Verkeersruimte)</v>
      </c>
      <c r="R998" s="184"/>
      <c r="S998" s="185">
        <v>40</v>
      </c>
      <c r="T998" s="185" t="s">
        <v>2</v>
      </c>
      <c r="U998" s="185">
        <f>IF(S998&gt;0,IF(RIGHT(Ruimtestaat[[#This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8" s="185">
        <f>IF(U998&gt;0,VLOOKUP($K998,Ruimtegroepen[],3,FALSE)*VLOOKUP($M998,Vloersoorten[],3,FALSE)*VLOOKUP($T998,Frequenties[],3,FALSE)*VLOOKUP($A998,Locaties[],3,FALSE),0)</f>
        <v>0</v>
      </c>
      <c r="W998" s="185">
        <f>Ruimtestaat[[#This Row],[Uitvoeringen werkdagen]]*Ruimtestaat[[#This Row],[Oppervlak (netto)]]</f>
        <v>1600</v>
      </c>
      <c r="X998" s="220">
        <f>IF(V998&gt;0,Ruimtestaat[[#This Row],[Prest. (m2 /jaar) werkdagen]]/Ruimtestaat[[#This Row],[Norm (m2/uur) werkdagen]],0)</f>
        <v>0</v>
      </c>
      <c r="Y998" s="221">
        <f>Ruimtestaat[[#This Row],[uren / jaar werkdagen]]*Tariefsopbouw!$D$38</f>
        <v>0</v>
      </c>
      <c r="Z998" s="33"/>
      <c r="AA998" s="33">
        <f>IF(Ruimtestaat[[#This Row],[Frequentie weekend]]&gt;0,VALUE(LEFT(Z998,1))*S998,0)</f>
        <v>0</v>
      </c>
      <c r="AB998" s="33">
        <f>IF($AA998&gt;0,VLOOKUP($K998,Ruimtegroepen[],3,FALSE)*VLOOKUP($M998,Vloersoorten[],3,FALSE)*VLOOKUP($Z998,Frequenties[],3,FALSE)*VLOOKUP(#REF!,Locaties[],3,FALSE),0)</f>
        <v>0</v>
      </c>
      <c r="AC998" s="33"/>
      <c r="AD998" s="33"/>
      <c r="AE998" s="33">
        <f>Ruimtestaat[[#This Row],[uren / jaar weekend]]*Tariefsopbouw!$D$40</f>
        <v>0</v>
      </c>
      <c r="AF998" s="79">
        <f>Ruimtestaat[[#This Row],[Prest. (m2 /jaar) weekend]]+Ruimtestaat[[#This Row],[Prest. (m2 /jaar) werkdagen]]</f>
        <v>1600</v>
      </c>
      <c r="AG998" s="79">
        <f>Ruimtestaat[[#This Row],[uren / jaar weekend]]+Ruimtestaat[[#This Row],[uren / jaar werkdagen]]</f>
        <v>0</v>
      </c>
      <c r="AH998" s="80">
        <f>Ruimtestaat[[#This Row],[kosten / jaar weekend]]+Ruimtestaat[[#This Row],[kosten / jaar werkdagen]]</f>
        <v>0</v>
      </c>
    </row>
    <row r="999" spans="1:34" ht="15" customHeight="1">
      <c r="A999" s="256">
        <v>12</v>
      </c>
      <c r="B999" s="171" t="str">
        <f>VLOOKUP(Ruimtestaat[[#This Row],[Code]],Locaties[#All],2,FALSE)</f>
        <v>Onderwijscentrum Het Roessingh &amp; De Huifkar</v>
      </c>
      <c r="C999" s="258" t="str">
        <f>VLOOKUP(Ruimtestaat[[#This Row],[Code]],Locaties[#All],4,FALSE)</f>
        <v>Roessinghsbleekweg 35</v>
      </c>
      <c r="D999" s="258" t="str">
        <f>VLOOKUP(Ruimtestaat[[#This Row],[Code]],Locaties[#All],5,FALSE)</f>
        <v>7522 AH</v>
      </c>
      <c r="E999" s="258" t="str">
        <f>VLOOKUP(Ruimtestaat[[#This Row],[Code]],Locaties[#All],6,FALSE)</f>
        <v>Enschede</v>
      </c>
      <c r="F999" s="257"/>
      <c r="G999" s="257" t="s">
        <v>563</v>
      </c>
      <c r="H999" s="171"/>
      <c r="I999" s="257" t="s">
        <v>1019</v>
      </c>
      <c r="J999" s="259" t="s">
        <v>1020</v>
      </c>
      <c r="K999" s="258">
        <v>14</v>
      </c>
      <c r="L999" s="260" t="str">
        <f>VLOOKUP(Ruimtestaat[[#This Row],[Ruimte code]],Ruimtegroepen[#All],2,FALSE)</f>
        <v>Praktijklokalen</v>
      </c>
      <c r="M999" s="212" t="s">
        <v>112</v>
      </c>
      <c r="N999" s="257" t="s">
        <v>776</v>
      </c>
      <c r="O999" s="261">
        <v>67</v>
      </c>
      <c r="P999" s="183"/>
      <c r="Q999" s="212" t="str">
        <f>VLOOKUP(Ruimtestaat[[#This Row],[Ruimte code]],Ruimtegroepen[#All],4,FALSE)</f>
        <v>L  (Lesruimte)</v>
      </c>
      <c r="R999" s="184"/>
      <c r="S999" s="185">
        <v>40</v>
      </c>
      <c r="T999" s="185" t="s">
        <v>15</v>
      </c>
      <c r="U999" s="185">
        <f>IF(S999&gt;0,IF(RIGHT(Ruimtestaat[[#This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999" s="185">
        <f>IF(U999&gt;0,VLOOKUP($K999,Ruimtegroepen[],3,FALSE)*VLOOKUP($M999,Vloersoorten[],3,FALSE)*VLOOKUP($T999,Frequenties[],3,FALSE)*VLOOKUP($A999,Locaties[],3,FALSE),0)</f>
        <v>0</v>
      </c>
      <c r="W999" s="185">
        <f>Ruimtestaat[[#This Row],[Uitvoeringen werkdagen]]*Ruimtestaat[[#This Row],[Oppervlak (netto)]]</f>
        <v>2680</v>
      </c>
      <c r="X999" s="220">
        <f>IF(V999&gt;0,Ruimtestaat[[#This Row],[Prest. (m2 /jaar) werkdagen]]/Ruimtestaat[[#This Row],[Norm (m2/uur) werkdagen]],0)</f>
        <v>0</v>
      </c>
      <c r="Y999" s="221">
        <f>Ruimtestaat[[#This Row],[uren / jaar werkdagen]]*Tariefsopbouw!$D$38</f>
        <v>0</v>
      </c>
      <c r="Z999" s="33"/>
      <c r="AA999" s="33">
        <f>IF(Ruimtestaat[[#This Row],[Frequentie weekend]]&gt;0,VALUE(LEFT(Z999,1))*S999,0)</f>
        <v>0</v>
      </c>
      <c r="AB999" s="33">
        <f>IF($AA999&gt;0,VLOOKUP($K999,Ruimtegroepen[],3,FALSE)*VLOOKUP($M999,Vloersoorten[],3,FALSE)*VLOOKUP($Z999,Frequenties[],3,FALSE)*VLOOKUP(#REF!,Locaties[],3,FALSE),0)</f>
        <v>0</v>
      </c>
      <c r="AC999" s="33"/>
      <c r="AD999" s="33"/>
      <c r="AE999" s="33">
        <f>Ruimtestaat[[#This Row],[uren / jaar weekend]]*Tariefsopbouw!$D$40</f>
        <v>0</v>
      </c>
      <c r="AF999" s="79">
        <f>Ruimtestaat[[#This Row],[Prest. (m2 /jaar) weekend]]+Ruimtestaat[[#This Row],[Prest. (m2 /jaar) werkdagen]]</f>
        <v>2680</v>
      </c>
      <c r="AG999" s="79">
        <f>Ruimtestaat[[#This Row],[uren / jaar weekend]]+Ruimtestaat[[#This Row],[uren / jaar werkdagen]]</f>
        <v>0</v>
      </c>
      <c r="AH999" s="80">
        <f>Ruimtestaat[[#This Row],[kosten / jaar weekend]]+Ruimtestaat[[#This Row],[kosten / jaar werkdagen]]</f>
        <v>0</v>
      </c>
    </row>
    <row r="1000" spans="1:34" ht="15" customHeight="1">
      <c r="A1000" s="256">
        <v>12</v>
      </c>
      <c r="B1000" s="171" t="str">
        <f>VLOOKUP(Ruimtestaat[[#This Row],[Code]],Locaties[#All],2,FALSE)</f>
        <v>Onderwijscentrum Het Roessingh &amp; De Huifkar</v>
      </c>
      <c r="C1000" s="258" t="str">
        <f>VLOOKUP(Ruimtestaat[[#This Row],[Code]],Locaties[#All],4,FALSE)</f>
        <v>Roessinghsbleekweg 35</v>
      </c>
      <c r="D1000" s="258" t="str">
        <f>VLOOKUP(Ruimtestaat[[#This Row],[Code]],Locaties[#All],5,FALSE)</f>
        <v>7522 AH</v>
      </c>
      <c r="E1000" s="258" t="str">
        <f>VLOOKUP(Ruimtestaat[[#This Row],[Code]],Locaties[#All],6,FALSE)</f>
        <v>Enschede</v>
      </c>
      <c r="F1000" s="257"/>
      <c r="G1000" s="257" t="s">
        <v>563</v>
      </c>
      <c r="H1000" s="171"/>
      <c r="I1000" s="257" t="s">
        <v>1021</v>
      </c>
      <c r="J1000" s="259" t="s">
        <v>587</v>
      </c>
      <c r="K1000" s="258">
        <v>6</v>
      </c>
      <c r="L1000" s="260" t="str">
        <f>VLOOKUP(Ruimtestaat[[#This Row],[Ruimte code]],Ruimtegroepen[#All],2,FALSE)</f>
        <v>Gangen/hallen</v>
      </c>
      <c r="M1000" s="185" t="s">
        <v>598</v>
      </c>
      <c r="N1000" s="257" t="s">
        <v>132</v>
      </c>
      <c r="O1000" s="261">
        <v>64</v>
      </c>
      <c r="P1000" s="183"/>
      <c r="Q1000" s="212" t="str">
        <f>VLOOKUP(Ruimtestaat[[#This Row],[Ruimte code]],Ruimtegroepen[#All],4,FALSE)</f>
        <v>V  (Verkeersruimte)</v>
      </c>
      <c r="R1000" s="184"/>
      <c r="S1000" s="185">
        <v>40</v>
      </c>
      <c r="T1000" s="185" t="s">
        <v>2</v>
      </c>
      <c r="U1000" s="185">
        <f>IF(S1000&gt;0,IF(RIGHT(Ruimtestaat[[#This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0" s="185">
        <f>IF(U1000&gt;0,VLOOKUP($K1000,Ruimtegroepen[],3,FALSE)*VLOOKUP($M1000,Vloersoorten[],3,FALSE)*VLOOKUP($T1000,Frequenties[],3,FALSE)*VLOOKUP($A1000,Locaties[],3,FALSE),0)</f>
        <v>0</v>
      </c>
      <c r="W1000" s="185">
        <f>Ruimtestaat[[#This Row],[Uitvoeringen werkdagen]]*Ruimtestaat[[#This Row],[Oppervlak (netto)]]</f>
        <v>12800</v>
      </c>
      <c r="X1000" s="220">
        <f>IF(V1000&gt;0,Ruimtestaat[[#This Row],[Prest. (m2 /jaar) werkdagen]]/Ruimtestaat[[#This Row],[Norm (m2/uur) werkdagen]],0)</f>
        <v>0</v>
      </c>
      <c r="Y1000" s="221">
        <f>Ruimtestaat[[#This Row],[uren / jaar werkdagen]]*Tariefsopbouw!$D$38</f>
        <v>0</v>
      </c>
      <c r="Z1000" s="33"/>
      <c r="AA1000" s="33">
        <f>IF(Ruimtestaat[[#This Row],[Frequentie weekend]]&gt;0,VALUE(LEFT(Z1000,1))*S1000,0)</f>
        <v>0</v>
      </c>
      <c r="AB1000" s="33">
        <f>IF($AA1000&gt;0,VLOOKUP($K1000,Ruimtegroepen[],3,FALSE)*VLOOKUP($M1000,Vloersoorten[],3,FALSE)*VLOOKUP($Z1000,Frequenties[],3,FALSE)*VLOOKUP(#REF!,Locaties[],3,FALSE),0)</f>
        <v>0</v>
      </c>
      <c r="AC1000" s="33"/>
      <c r="AD1000" s="33"/>
      <c r="AE1000" s="33">
        <f>Ruimtestaat[[#This Row],[uren / jaar weekend]]*Tariefsopbouw!$D$40</f>
        <v>0</v>
      </c>
      <c r="AF1000" s="79">
        <f>Ruimtestaat[[#This Row],[Prest. (m2 /jaar) weekend]]+Ruimtestaat[[#This Row],[Prest. (m2 /jaar) werkdagen]]</f>
        <v>12800</v>
      </c>
      <c r="AG1000" s="79">
        <f>Ruimtestaat[[#This Row],[uren / jaar weekend]]+Ruimtestaat[[#This Row],[uren / jaar werkdagen]]</f>
        <v>0</v>
      </c>
      <c r="AH1000" s="80">
        <f>Ruimtestaat[[#This Row],[kosten / jaar weekend]]+Ruimtestaat[[#This Row],[kosten / jaar werkdagen]]</f>
        <v>0</v>
      </c>
    </row>
    <row r="1001" spans="1:34" ht="15" customHeight="1">
      <c r="A1001" s="256">
        <v>12</v>
      </c>
      <c r="B1001" s="171" t="str">
        <f>VLOOKUP(Ruimtestaat[[#This Row],[Code]],Locaties[#All],2,FALSE)</f>
        <v>Onderwijscentrum Het Roessingh &amp; De Huifkar</v>
      </c>
      <c r="C1001" s="258" t="str">
        <f>VLOOKUP(Ruimtestaat[[#This Row],[Code]],Locaties[#All],4,FALSE)</f>
        <v>Roessinghsbleekweg 35</v>
      </c>
      <c r="D1001" s="258" t="str">
        <f>VLOOKUP(Ruimtestaat[[#This Row],[Code]],Locaties[#All],5,FALSE)</f>
        <v>7522 AH</v>
      </c>
      <c r="E1001" s="258" t="str">
        <f>VLOOKUP(Ruimtestaat[[#This Row],[Code]],Locaties[#All],6,FALSE)</f>
        <v>Enschede</v>
      </c>
      <c r="F1001" s="257"/>
      <c r="G1001" s="257" t="s">
        <v>563</v>
      </c>
      <c r="H1001" s="171"/>
      <c r="I1001" s="257" t="s">
        <v>1022</v>
      </c>
      <c r="J1001" s="259" t="s">
        <v>574</v>
      </c>
      <c r="K1001" s="171">
        <v>6</v>
      </c>
      <c r="L1001" s="260" t="str">
        <f>VLOOKUP(Ruimtestaat[[#This Row],[Ruimte code]],Ruimtegroepen[#All],2,FALSE)</f>
        <v>Gangen/hallen</v>
      </c>
      <c r="M1001" s="258" t="s">
        <v>598</v>
      </c>
      <c r="N1001" s="257" t="s">
        <v>132</v>
      </c>
      <c r="O1001" s="261">
        <v>57</v>
      </c>
      <c r="P1001" s="183"/>
      <c r="Q1001" s="212" t="str">
        <f>VLOOKUP(Ruimtestaat[[#This Row],[Ruimte code]],Ruimtegroepen[#All],4,FALSE)</f>
        <v>V  (Verkeersruimte)</v>
      </c>
      <c r="R1001" s="184"/>
      <c r="S1001" s="185">
        <v>40</v>
      </c>
      <c r="T1001" s="185" t="s">
        <v>2</v>
      </c>
      <c r="U1001" s="185">
        <f>IF(S1001&gt;0,IF(RIGHT(Ruimtestaat[[#This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1" s="185">
        <f>IF(U1001&gt;0,VLOOKUP($K1001,Ruimtegroepen[],3,FALSE)*VLOOKUP($M1001,Vloersoorten[],3,FALSE)*VLOOKUP($T1001,Frequenties[],3,FALSE)*VLOOKUP($A1001,Locaties[],3,FALSE),0)</f>
        <v>0</v>
      </c>
      <c r="W1001" s="185">
        <f>Ruimtestaat[[#This Row],[Uitvoeringen werkdagen]]*Ruimtestaat[[#This Row],[Oppervlak (netto)]]</f>
        <v>11400</v>
      </c>
      <c r="X1001" s="220">
        <f>IF(V1001&gt;0,Ruimtestaat[[#This Row],[Prest. (m2 /jaar) werkdagen]]/Ruimtestaat[[#This Row],[Norm (m2/uur) werkdagen]],0)</f>
        <v>0</v>
      </c>
      <c r="Y1001" s="221">
        <f>Ruimtestaat[[#This Row],[uren / jaar werkdagen]]*Tariefsopbouw!$D$38</f>
        <v>0</v>
      </c>
      <c r="Z1001" s="33"/>
      <c r="AA1001" s="33">
        <f>IF(Ruimtestaat[[#This Row],[Frequentie weekend]]&gt;0,VALUE(LEFT(Z1001,1))*S1001,0)</f>
        <v>0</v>
      </c>
      <c r="AB1001" s="33">
        <f>IF($AA1001&gt;0,VLOOKUP($K1001,Ruimtegroepen[],3,FALSE)*VLOOKUP($M1001,Vloersoorten[],3,FALSE)*VLOOKUP($Z1001,Frequenties[],3,FALSE)*VLOOKUP(#REF!,Locaties[],3,FALSE),0)</f>
        <v>0</v>
      </c>
      <c r="AC1001" s="33"/>
      <c r="AD1001" s="33"/>
      <c r="AE1001" s="33">
        <f>Ruimtestaat[[#This Row],[uren / jaar weekend]]*Tariefsopbouw!$D$40</f>
        <v>0</v>
      </c>
      <c r="AF1001" s="79">
        <f>Ruimtestaat[[#This Row],[Prest. (m2 /jaar) weekend]]+Ruimtestaat[[#This Row],[Prest. (m2 /jaar) werkdagen]]</f>
        <v>11400</v>
      </c>
      <c r="AG1001" s="79">
        <f>Ruimtestaat[[#This Row],[uren / jaar weekend]]+Ruimtestaat[[#This Row],[uren / jaar werkdagen]]</f>
        <v>0</v>
      </c>
      <c r="AH1001" s="80">
        <f>Ruimtestaat[[#This Row],[kosten / jaar weekend]]+Ruimtestaat[[#This Row],[kosten / jaar werkdagen]]</f>
        <v>0</v>
      </c>
    </row>
    <row r="1002" spans="1:34" ht="15" customHeight="1">
      <c r="A1002" s="256">
        <v>12</v>
      </c>
      <c r="B1002" s="171" t="str">
        <f>VLOOKUP(Ruimtestaat[[#This Row],[Code]],Locaties[#All],2,FALSE)</f>
        <v>Onderwijscentrum Het Roessingh &amp; De Huifkar</v>
      </c>
      <c r="C1002" s="258" t="str">
        <f>VLOOKUP(Ruimtestaat[[#This Row],[Code]],Locaties[#All],4,FALSE)</f>
        <v>Roessinghsbleekweg 35</v>
      </c>
      <c r="D1002" s="258" t="str">
        <f>VLOOKUP(Ruimtestaat[[#This Row],[Code]],Locaties[#All],5,FALSE)</f>
        <v>7522 AH</v>
      </c>
      <c r="E1002" s="258" t="str">
        <f>VLOOKUP(Ruimtestaat[[#This Row],[Code]],Locaties[#All],6,FALSE)</f>
        <v>Enschede</v>
      </c>
      <c r="F1002" s="257"/>
      <c r="G1002" s="257" t="s">
        <v>563</v>
      </c>
      <c r="H1002" s="171"/>
      <c r="I1002" s="257" t="s">
        <v>1023</v>
      </c>
      <c r="J1002" s="259" t="s">
        <v>936</v>
      </c>
      <c r="K1002" s="258">
        <v>16</v>
      </c>
      <c r="L1002" s="260" t="str">
        <f>VLOOKUP(Ruimtestaat[[#This Row],[Ruimte code]],Ruimtegroepen[#All],2,FALSE)</f>
        <v>Leslokalen</v>
      </c>
      <c r="M1002" s="258" t="s">
        <v>598</v>
      </c>
      <c r="N1002" s="257" t="s">
        <v>132</v>
      </c>
      <c r="O1002" s="261">
        <v>35</v>
      </c>
      <c r="P1002" s="183"/>
      <c r="Q1002" s="212" t="str">
        <f>VLOOKUP(Ruimtestaat[[#This Row],[Ruimte code]],Ruimtegroepen[#All],4,FALSE)</f>
        <v>L  (Lesruimte)</v>
      </c>
      <c r="R1002" s="184"/>
      <c r="S1002" s="185">
        <v>40</v>
      </c>
      <c r="T1002" s="185" t="s">
        <v>2</v>
      </c>
      <c r="U1002" s="185">
        <f>IF(S1002&gt;0,IF(RIGHT(Ruimtestaat[[#This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2" s="185">
        <f>IF(U1002&gt;0,VLOOKUP($K1002,Ruimtegroepen[],3,FALSE)*VLOOKUP($M1002,Vloersoorten[],3,FALSE)*VLOOKUP($T1002,Frequenties[],3,FALSE)*VLOOKUP($A1002,Locaties[],3,FALSE),0)</f>
        <v>0</v>
      </c>
      <c r="W1002" s="185">
        <f>Ruimtestaat[[#This Row],[Uitvoeringen werkdagen]]*Ruimtestaat[[#This Row],[Oppervlak (netto)]]</f>
        <v>7000</v>
      </c>
      <c r="X1002" s="220">
        <f>IF(V1002&gt;0,Ruimtestaat[[#This Row],[Prest. (m2 /jaar) werkdagen]]/Ruimtestaat[[#This Row],[Norm (m2/uur) werkdagen]],0)</f>
        <v>0</v>
      </c>
      <c r="Y1002" s="221">
        <f>Ruimtestaat[[#This Row],[uren / jaar werkdagen]]*Tariefsopbouw!$D$38</f>
        <v>0</v>
      </c>
      <c r="Z1002" s="33"/>
      <c r="AA1002" s="33">
        <f>IF(Ruimtestaat[[#This Row],[Frequentie weekend]]&gt;0,VALUE(LEFT(Z1002,1))*S1002,0)</f>
        <v>0</v>
      </c>
      <c r="AB1002" s="33">
        <f>IF($AA1002&gt;0,VLOOKUP($K1002,Ruimtegroepen[],3,FALSE)*VLOOKUP($M1002,Vloersoorten[],3,FALSE)*VLOOKUP($Z1002,Frequenties[],3,FALSE)*VLOOKUP(#REF!,Locaties[],3,FALSE),0)</f>
        <v>0</v>
      </c>
      <c r="AC1002" s="33"/>
      <c r="AD1002" s="33"/>
      <c r="AE1002" s="33">
        <f>Ruimtestaat[[#This Row],[uren / jaar weekend]]*Tariefsopbouw!$D$40</f>
        <v>0</v>
      </c>
      <c r="AF1002" s="79">
        <f>Ruimtestaat[[#This Row],[Prest. (m2 /jaar) weekend]]+Ruimtestaat[[#This Row],[Prest. (m2 /jaar) werkdagen]]</f>
        <v>7000</v>
      </c>
      <c r="AG1002" s="79">
        <f>Ruimtestaat[[#This Row],[uren / jaar weekend]]+Ruimtestaat[[#This Row],[uren / jaar werkdagen]]</f>
        <v>0</v>
      </c>
      <c r="AH1002" s="80">
        <f>Ruimtestaat[[#This Row],[kosten / jaar weekend]]+Ruimtestaat[[#This Row],[kosten / jaar werkdagen]]</f>
        <v>0</v>
      </c>
    </row>
    <row r="1003" spans="1:34" ht="15" customHeight="1">
      <c r="A1003" s="256">
        <v>12</v>
      </c>
      <c r="B1003" s="171" t="str">
        <f>VLOOKUP(Ruimtestaat[[#This Row],[Code]],Locaties[#All],2,FALSE)</f>
        <v>Onderwijscentrum Het Roessingh &amp; De Huifkar</v>
      </c>
      <c r="C1003" s="258" t="str">
        <f>VLOOKUP(Ruimtestaat[[#This Row],[Code]],Locaties[#All],4,FALSE)</f>
        <v>Roessinghsbleekweg 35</v>
      </c>
      <c r="D1003" s="258" t="str">
        <f>VLOOKUP(Ruimtestaat[[#This Row],[Code]],Locaties[#All],5,FALSE)</f>
        <v>7522 AH</v>
      </c>
      <c r="E1003" s="258" t="str">
        <f>VLOOKUP(Ruimtestaat[[#This Row],[Code]],Locaties[#All],6,FALSE)</f>
        <v>Enschede</v>
      </c>
      <c r="F1003" s="257"/>
      <c r="G1003" s="257" t="s">
        <v>563</v>
      </c>
      <c r="H1003" s="171"/>
      <c r="I1003" s="257" t="s">
        <v>1024</v>
      </c>
      <c r="J1003" s="259" t="s">
        <v>936</v>
      </c>
      <c r="K1003" s="258">
        <v>16</v>
      </c>
      <c r="L1003" s="260" t="str">
        <f>VLOOKUP(Ruimtestaat[[#This Row],[Ruimte code]],Ruimtegroepen[#All],2,FALSE)</f>
        <v>Leslokalen</v>
      </c>
      <c r="M1003" s="185" t="s">
        <v>598</v>
      </c>
      <c r="N1003" s="257" t="s">
        <v>132</v>
      </c>
      <c r="O1003" s="261">
        <v>35</v>
      </c>
      <c r="P1003" s="183"/>
      <c r="Q1003" s="212" t="str">
        <f>VLOOKUP(Ruimtestaat[[#This Row],[Ruimte code]],Ruimtegroepen[#All],4,FALSE)</f>
        <v>L  (Lesruimte)</v>
      </c>
      <c r="R1003" s="184"/>
      <c r="S1003" s="185">
        <v>40</v>
      </c>
      <c r="T1003" s="185" t="s">
        <v>2</v>
      </c>
      <c r="U1003" s="185">
        <f>IF(S1003&gt;0,IF(RIGHT(Ruimtestaat[[#This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3" s="185">
        <f>IF(U1003&gt;0,VLOOKUP($K1003,Ruimtegroepen[],3,FALSE)*VLOOKUP($M1003,Vloersoorten[],3,FALSE)*VLOOKUP($T1003,Frequenties[],3,FALSE)*VLOOKUP($A1003,Locaties[],3,FALSE),0)</f>
        <v>0</v>
      </c>
      <c r="W1003" s="185">
        <f>Ruimtestaat[[#This Row],[Uitvoeringen werkdagen]]*Ruimtestaat[[#This Row],[Oppervlak (netto)]]</f>
        <v>7000</v>
      </c>
      <c r="X1003" s="220">
        <f>IF(V1003&gt;0,Ruimtestaat[[#This Row],[Prest. (m2 /jaar) werkdagen]]/Ruimtestaat[[#This Row],[Norm (m2/uur) werkdagen]],0)</f>
        <v>0</v>
      </c>
      <c r="Y1003" s="221">
        <f>Ruimtestaat[[#This Row],[uren / jaar werkdagen]]*Tariefsopbouw!$D$38</f>
        <v>0</v>
      </c>
      <c r="Z1003" s="33"/>
      <c r="AA1003" s="33">
        <f>IF(Ruimtestaat[[#This Row],[Frequentie weekend]]&gt;0,VALUE(LEFT(Z1003,1))*S1003,0)</f>
        <v>0</v>
      </c>
      <c r="AB1003" s="33">
        <f>IF($AA1003&gt;0,VLOOKUP($K1003,Ruimtegroepen[],3,FALSE)*VLOOKUP($M1003,Vloersoorten[],3,FALSE)*VLOOKUP($Z1003,Frequenties[],3,FALSE)*VLOOKUP(#REF!,Locaties[],3,FALSE),0)</f>
        <v>0</v>
      </c>
      <c r="AC1003" s="33"/>
      <c r="AD1003" s="33"/>
      <c r="AE1003" s="33">
        <f>Ruimtestaat[[#This Row],[uren / jaar weekend]]*Tariefsopbouw!$D$40</f>
        <v>0</v>
      </c>
      <c r="AF1003" s="79">
        <f>Ruimtestaat[[#This Row],[Prest. (m2 /jaar) weekend]]+Ruimtestaat[[#This Row],[Prest. (m2 /jaar) werkdagen]]</f>
        <v>7000</v>
      </c>
      <c r="AG1003" s="79">
        <f>Ruimtestaat[[#This Row],[uren / jaar weekend]]+Ruimtestaat[[#This Row],[uren / jaar werkdagen]]</f>
        <v>0</v>
      </c>
      <c r="AH1003" s="80">
        <f>Ruimtestaat[[#This Row],[kosten / jaar weekend]]+Ruimtestaat[[#This Row],[kosten / jaar werkdagen]]</f>
        <v>0</v>
      </c>
    </row>
    <row r="1004" spans="1:34" ht="15" customHeight="1">
      <c r="A1004" s="256">
        <v>12</v>
      </c>
      <c r="B1004" s="171" t="str">
        <f>VLOOKUP(Ruimtestaat[[#This Row],[Code]],Locaties[#All],2,FALSE)</f>
        <v>Onderwijscentrum Het Roessingh &amp; De Huifkar</v>
      </c>
      <c r="C1004" s="258" t="str">
        <f>VLOOKUP(Ruimtestaat[[#This Row],[Code]],Locaties[#All],4,FALSE)</f>
        <v>Roessinghsbleekweg 35</v>
      </c>
      <c r="D1004" s="258" t="str">
        <f>VLOOKUP(Ruimtestaat[[#This Row],[Code]],Locaties[#All],5,FALSE)</f>
        <v>7522 AH</v>
      </c>
      <c r="E1004" s="258" t="str">
        <f>VLOOKUP(Ruimtestaat[[#This Row],[Code]],Locaties[#All],6,FALSE)</f>
        <v>Enschede</v>
      </c>
      <c r="F1004" s="257"/>
      <c r="G1004" s="257" t="s">
        <v>563</v>
      </c>
      <c r="H1004" s="171"/>
      <c r="I1004" s="257" t="s">
        <v>1025</v>
      </c>
      <c r="J1004" s="259" t="s">
        <v>571</v>
      </c>
      <c r="K1004" s="258">
        <v>2</v>
      </c>
      <c r="L1004" s="260" t="str">
        <f>VLOOKUP(Ruimtestaat[[#This Row],[Ruimte code]],Ruimtegroepen[#All],2,FALSE)</f>
        <v>Kantoren</v>
      </c>
      <c r="M1004" s="185" t="s">
        <v>597</v>
      </c>
      <c r="N1004" s="257" t="s">
        <v>38</v>
      </c>
      <c r="O1004" s="261">
        <v>20</v>
      </c>
      <c r="P1004" s="183"/>
      <c r="Q1004" s="212" t="str">
        <f>VLOOKUP(Ruimtestaat[[#This Row],[Ruimte code]],Ruimtegroepen[#All],4,FALSE)</f>
        <v>B  (Bureauruimte)</v>
      </c>
      <c r="R1004" s="184"/>
      <c r="S1004" s="185">
        <v>40</v>
      </c>
      <c r="T1004" s="185" t="s">
        <v>2</v>
      </c>
      <c r="U1004" s="185">
        <f>IF(S1004&gt;0,IF(RIGHT(Ruimtestaat[[#This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4" s="185">
        <f>IF(U1004&gt;0,VLOOKUP($K1004,Ruimtegroepen[],3,FALSE)*VLOOKUP($M1004,Vloersoorten[],3,FALSE)*VLOOKUP($T1004,Frequenties[],3,FALSE)*VLOOKUP($A1004,Locaties[],3,FALSE),0)</f>
        <v>0</v>
      </c>
      <c r="W1004" s="185">
        <f>Ruimtestaat[[#This Row],[Uitvoeringen werkdagen]]*Ruimtestaat[[#This Row],[Oppervlak (netto)]]</f>
        <v>4000</v>
      </c>
      <c r="X1004" s="220">
        <f>IF(V1004&gt;0,Ruimtestaat[[#This Row],[Prest. (m2 /jaar) werkdagen]]/Ruimtestaat[[#This Row],[Norm (m2/uur) werkdagen]],0)</f>
        <v>0</v>
      </c>
      <c r="Y1004" s="221">
        <f>Ruimtestaat[[#This Row],[uren / jaar werkdagen]]*Tariefsopbouw!$D$38</f>
        <v>0</v>
      </c>
      <c r="Z1004" s="33"/>
      <c r="AA1004" s="33">
        <f>IF(Ruimtestaat[[#This Row],[Frequentie weekend]]&gt;0,VALUE(LEFT(Z1004,1))*S1004,0)</f>
        <v>0</v>
      </c>
      <c r="AB1004" s="33">
        <f>IF($AA1004&gt;0,VLOOKUP($K1004,Ruimtegroepen[],3,FALSE)*VLOOKUP($M1004,Vloersoorten[],3,FALSE)*VLOOKUP($Z1004,Frequenties[],3,FALSE)*VLOOKUP(#REF!,Locaties[],3,FALSE),0)</f>
        <v>0</v>
      </c>
      <c r="AC1004" s="33"/>
      <c r="AD1004" s="33"/>
      <c r="AE1004" s="33">
        <f>Ruimtestaat[[#This Row],[uren / jaar weekend]]*Tariefsopbouw!$D$40</f>
        <v>0</v>
      </c>
      <c r="AF1004" s="79">
        <f>Ruimtestaat[[#This Row],[Prest. (m2 /jaar) weekend]]+Ruimtestaat[[#This Row],[Prest. (m2 /jaar) werkdagen]]</f>
        <v>4000</v>
      </c>
      <c r="AG1004" s="79">
        <f>Ruimtestaat[[#This Row],[uren / jaar weekend]]+Ruimtestaat[[#This Row],[uren / jaar werkdagen]]</f>
        <v>0</v>
      </c>
      <c r="AH1004" s="80">
        <f>Ruimtestaat[[#This Row],[kosten / jaar weekend]]+Ruimtestaat[[#This Row],[kosten / jaar werkdagen]]</f>
        <v>0</v>
      </c>
    </row>
    <row r="1005" spans="1:34" ht="15" customHeight="1">
      <c r="A1005" s="256">
        <v>12</v>
      </c>
      <c r="B1005" s="171" t="str">
        <f>VLOOKUP(Ruimtestaat[[#This Row],[Code]],Locaties[#All],2,FALSE)</f>
        <v>Onderwijscentrum Het Roessingh &amp; De Huifkar</v>
      </c>
      <c r="C1005" s="258" t="str">
        <f>VLOOKUP(Ruimtestaat[[#This Row],[Code]],Locaties[#All],4,FALSE)</f>
        <v>Roessinghsbleekweg 35</v>
      </c>
      <c r="D1005" s="258" t="str">
        <f>VLOOKUP(Ruimtestaat[[#This Row],[Code]],Locaties[#All],5,FALSE)</f>
        <v>7522 AH</v>
      </c>
      <c r="E1005" s="258" t="str">
        <f>VLOOKUP(Ruimtestaat[[#This Row],[Code]],Locaties[#All],6,FALSE)</f>
        <v>Enschede</v>
      </c>
      <c r="F1005" s="257"/>
      <c r="G1005" s="257" t="s">
        <v>563</v>
      </c>
      <c r="H1005" s="171"/>
      <c r="I1005" s="257" t="s">
        <v>1026</v>
      </c>
      <c r="J1005" s="259" t="s">
        <v>569</v>
      </c>
      <c r="K1005" s="185">
        <v>5</v>
      </c>
      <c r="L1005" s="260" t="str">
        <f>VLOOKUP(Ruimtestaat[[#This Row],[Ruimte code]],Ruimtegroepen[#All],2,FALSE)</f>
        <v>Sanitair</v>
      </c>
      <c r="M1005" s="212" t="s">
        <v>111</v>
      </c>
      <c r="N1005" s="257" t="s">
        <v>606</v>
      </c>
      <c r="O1005" s="261">
        <v>6</v>
      </c>
      <c r="P1005" s="183"/>
      <c r="Q1005" s="212" t="str">
        <f>VLOOKUP(Ruimtestaat[[#This Row],[Ruimte code]],Ruimtegroepen[#All],4,FALSE)</f>
        <v>S  (Sanitair)</v>
      </c>
      <c r="R1005" s="184"/>
      <c r="S1005" s="185">
        <v>40</v>
      </c>
      <c r="T1005" s="185" t="s">
        <v>2</v>
      </c>
      <c r="U1005" s="185">
        <f>IF(S1005&gt;0,IF(RIGHT(Ruimtestaat[[#This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5" s="185">
        <f>IF(U1005&gt;0,VLOOKUP($K1005,Ruimtegroepen[],3,FALSE)*VLOOKUP($M1005,Vloersoorten[],3,FALSE)*VLOOKUP($T1005,Frequenties[],3,FALSE)*VLOOKUP($A1005,Locaties[],3,FALSE),0)</f>
        <v>0</v>
      </c>
      <c r="W1005" s="185">
        <f>Ruimtestaat[[#This Row],[Uitvoeringen werkdagen]]*Ruimtestaat[[#This Row],[Oppervlak (netto)]]</f>
        <v>1200</v>
      </c>
      <c r="X1005" s="220">
        <f>IF(V1005&gt;0,Ruimtestaat[[#This Row],[Prest. (m2 /jaar) werkdagen]]/Ruimtestaat[[#This Row],[Norm (m2/uur) werkdagen]],0)</f>
        <v>0</v>
      </c>
      <c r="Y1005" s="221">
        <f>Ruimtestaat[[#This Row],[uren / jaar werkdagen]]*Tariefsopbouw!$D$38</f>
        <v>0</v>
      </c>
      <c r="Z1005" s="33"/>
      <c r="AA1005" s="33">
        <f>IF(Ruimtestaat[[#This Row],[Frequentie weekend]]&gt;0,VALUE(LEFT(Z1005,1))*S1005,0)</f>
        <v>0</v>
      </c>
      <c r="AB1005" s="33">
        <f>IF($AA1005&gt;0,VLOOKUP($K1005,Ruimtegroepen[],3,FALSE)*VLOOKUP($M1005,Vloersoorten[],3,FALSE)*VLOOKUP($Z1005,Frequenties[],3,FALSE)*VLOOKUP(#REF!,Locaties[],3,FALSE),0)</f>
        <v>0</v>
      </c>
      <c r="AC1005" s="33"/>
      <c r="AD1005" s="33"/>
      <c r="AE1005" s="33">
        <f>Ruimtestaat[[#This Row],[uren / jaar weekend]]*Tariefsopbouw!$D$40</f>
        <v>0</v>
      </c>
      <c r="AF1005" s="79">
        <f>Ruimtestaat[[#This Row],[Prest. (m2 /jaar) weekend]]+Ruimtestaat[[#This Row],[Prest. (m2 /jaar) werkdagen]]</f>
        <v>1200</v>
      </c>
      <c r="AG1005" s="79">
        <f>Ruimtestaat[[#This Row],[uren / jaar weekend]]+Ruimtestaat[[#This Row],[uren / jaar werkdagen]]</f>
        <v>0</v>
      </c>
      <c r="AH1005" s="80">
        <f>Ruimtestaat[[#This Row],[kosten / jaar weekend]]+Ruimtestaat[[#This Row],[kosten / jaar werkdagen]]</f>
        <v>0</v>
      </c>
    </row>
    <row r="1006" spans="1:34" ht="15" customHeight="1">
      <c r="A1006" s="256">
        <v>12</v>
      </c>
      <c r="B1006" s="171" t="str">
        <f>VLOOKUP(Ruimtestaat[[#This Row],[Code]],Locaties[#All],2,FALSE)</f>
        <v>Onderwijscentrum Het Roessingh &amp; De Huifkar</v>
      </c>
      <c r="C1006" s="258" t="str">
        <f>VLOOKUP(Ruimtestaat[[#This Row],[Code]],Locaties[#All],4,FALSE)</f>
        <v>Roessinghsbleekweg 35</v>
      </c>
      <c r="D1006" s="258" t="str">
        <f>VLOOKUP(Ruimtestaat[[#This Row],[Code]],Locaties[#All],5,FALSE)</f>
        <v>7522 AH</v>
      </c>
      <c r="E1006" s="258" t="str">
        <f>VLOOKUP(Ruimtestaat[[#This Row],[Code]],Locaties[#All],6,FALSE)</f>
        <v>Enschede</v>
      </c>
      <c r="F1006" s="257"/>
      <c r="G1006" s="257" t="s">
        <v>563</v>
      </c>
      <c r="H1006" s="171"/>
      <c r="I1006" s="257" t="s">
        <v>1027</v>
      </c>
      <c r="J1006" s="259" t="s">
        <v>569</v>
      </c>
      <c r="K1006" s="185">
        <v>5</v>
      </c>
      <c r="L1006" s="260" t="str">
        <f>VLOOKUP(Ruimtestaat[[#This Row],[Ruimte code]],Ruimtegroepen[#All],2,FALSE)</f>
        <v>Sanitair</v>
      </c>
      <c r="M1006" s="212" t="s">
        <v>111</v>
      </c>
      <c r="N1006" s="257" t="s">
        <v>606</v>
      </c>
      <c r="O1006" s="261">
        <v>5</v>
      </c>
      <c r="P1006" s="183"/>
      <c r="Q1006" s="212" t="str">
        <f>VLOOKUP(Ruimtestaat[[#This Row],[Ruimte code]],Ruimtegroepen[#All],4,FALSE)</f>
        <v>S  (Sanitair)</v>
      </c>
      <c r="R1006" s="184"/>
      <c r="S1006" s="185">
        <v>40</v>
      </c>
      <c r="T1006" s="185" t="s">
        <v>2</v>
      </c>
      <c r="U1006" s="185">
        <f>IF(S1006&gt;0,IF(RIGHT(Ruimtestaat[[#This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6" s="185">
        <f>IF(U1006&gt;0,VLOOKUP($K1006,Ruimtegroepen[],3,FALSE)*VLOOKUP($M1006,Vloersoorten[],3,FALSE)*VLOOKUP($T1006,Frequenties[],3,FALSE)*VLOOKUP($A1006,Locaties[],3,FALSE),0)</f>
        <v>0</v>
      </c>
      <c r="W1006" s="185">
        <f>Ruimtestaat[[#This Row],[Uitvoeringen werkdagen]]*Ruimtestaat[[#This Row],[Oppervlak (netto)]]</f>
        <v>1000</v>
      </c>
      <c r="X1006" s="220">
        <f>IF(V1006&gt;0,Ruimtestaat[[#This Row],[Prest. (m2 /jaar) werkdagen]]/Ruimtestaat[[#This Row],[Norm (m2/uur) werkdagen]],0)</f>
        <v>0</v>
      </c>
      <c r="Y1006" s="221">
        <f>Ruimtestaat[[#This Row],[uren / jaar werkdagen]]*Tariefsopbouw!$D$38</f>
        <v>0</v>
      </c>
      <c r="Z1006" s="33"/>
      <c r="AA1006" s="33">
        <f>IF(Ruimtestaat[[#This Row],[Frequentie weekend]]&gt;0,VALUE(LEFT(Z1006,1))*S1006,0)</f>
        <v>0</v>
      </c>
      <c r="AB1006" s="33">
        <f>IF($AA1006&gt;0,VLOOKUP($K1006,Ruimtegroepen[],3,FALSE)*VLOOKUP($M1006,Vloersoorten[],3,FALSE)*VLOOKUP($Z1006,Frequenties[],3,FALSE)*VLOOKUP(#REF!,Locaties[],3,FALSE),0)</f>
        <v>0</v>
      </c>
      <c r="AC1006" s="33"/>
      <c r="AD1006" s="33"/>
      <c r="AE1006" s="33">
        <f>Ruimtestaat[[#This Row],[uren / jaar weekend]]*Tariefsopbouw!$D$40</f>
        <v>0</v>
      </c>
      <c r="AF1006" s="79">
        <f>Ruimtestaat[[#This Row],[Prest. (m2 /jaar) weekend]]+Ruimtestaat[[#This Row],[Prest. (m2 /jaar) werkdagen]]</f>
        <v>1000</v>
      </c>
      <c r="AG1006" s="79">
        <f>Ruimtestaat[[#This Row],[uren / jaar weekend]]+Ruimtestaat[[#This Row],[uren / jaar werkdagen]]</f>
        <v>0</v>
      </c>
      <c r="AH1006" s="80">
        <f>Ruimtestaat[[#This Row],[kosten / jaar weekend]]+Ruimtestaat[[#This Row],[kosten / jaar werkdagen]]</f>
        <v>0</v>
      </c>
    </row>
    <row r="1007" spans="1:34" ht="15" customHeight="1">
      <c r="A1007" s="256">
        <v>12</v>
      </c>
      <c r="B1007" s="171" t="str">
        <f>VLOOKUP(Ruimtestaat[[#This Row],[Code]],Locaties[#All],2,FALSE)</f>
        <v>Onderwijscentrum Het Roessingh &amp; De Huifkar</v>
      </c>
      <c r="C1007" s="258" t="str">
        <f>VLOOKUP(Ruimtestaat[[#This Row],[Code]],Locaties[#All],4,FALSE)</f>
        <v>Roessinghsbleekweg 35</v>
      </c>
      <c r="D1007" s="258" t="str">
        <f>VLOOKUP(Ruimtestaat[[#This Row],[Code]],Locaties[#All],5,FALSE)</f>
        <v>7522 AH</v>
      </c>
      <c r="E1007" s="258" t="str">
        <f>VLOOKUP(Ruimtestaat[[#This Row],[Code]],Locaties[#All],6,FALSE)</f>
        <v>Enschede</v>
      </c>
      <c r="F1007" s="257"/>
      <c r="G1007" s="257" t="s">
        <v>563</v>
      </c>
      <c r="H1007" s="171"/>
      <c r="I1007" s="257" t="s">
        <v>1028</v>
      </c>
      <c r="J1007" s="259" t="s">
        <v>576</v>
      </c>
      <c r="K1007" s="171">
        <v>16</v>
      </c>
      <c r="L1007" s="260" t="str">
        <f>VLOOKUP(Ruimtestaat[[#This Row],[Ruimte code]],Ruimtegroepen[#All],2,FALSE)</f>
        <v>Leslokalen</v>
      </c>
      <c r="M1007" s="258" t="s">
        <v>598</v>
      </c>
      <c r="N1007" s="257" t="s">
        <v>132</v>
      </c>
      <c r="O1007" s="261">
        <v>79</v>
      </c>
      <c r="P1007" s="183"/>
      <c r="Q1007" s="212" t="str">
        <f>VLOOKUP(Ruimtestaat[[#This Row],[Ruimte code]],Ruimtegroepen[#All],4,FALSE)</f>
        <v>L  (Lesruimte)</v>
      </c>
      <c r="R1007" s="184"/>
      <c r="S1007" s="185">
        <v>40</v>
      </c>
      <c r="T1007" s="185" t="s">
        <v>2</v>
      </c>
      <c r="U1007" s="185">
        <f>IF(S1007&gt;0,IF(RIGHT(Ruimtestaat[[#This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7" s="185">
        <f>IF(U1007&gt;0,VLOOKUP($K1007,Ruimtegroepen[],3,FALSE)*VLOOKUP($M1007,Vloersoorten[],3,FALSE)*VLOOKUP($T1007,Frequenties[],3,FALSE)*VLOOKUP($A1007,Locaties[],3,FALSE),0)</f>
        <v>0</v>
      </c>
      <c r="W1007" s="185">
        <f>Ruimtestaat[[#This Row],[Uitvoeringen werkdagen]]*Ruimtestaat[[#This Row],[Oppervlak (netto)]]</f>
        <v>15800</v>
      </c>
      <c r="X1007" s="220">
        <f>IF(V1007&gt;0,Ruimtestaat[[#This Row],[Prest. (m2 /jaar) werkdagen]]/Ruimtestaat[[#This Row],[Norm (m2/uur) werkdagen]],0)</f>
        <v>0</v>
      </c>
      <c r="Y1007" s="221">
        <f>Ruimtestaat[[#This Row],[uren / jaar werkdagen]]*Tariefsopbouw!$D$38</f>
        <v>0</v>
      </c>
      <c r="Z1007" s="33"/>
      <c r="AA1007" s="33">
        <f>IF(Ruimtestaat[[#This Row],[Frequentie weekend]]&gt;0,VALUE(LEFT(Z1007,1))*S1007,0)</f>
        <v>0</v>
      </c>
      <c r="AB1007" s="33">
        <f>IF($AA1007&gt;0,VLOOKUP($K1007,Ruimtegroepen[],3,FALSE)*VLOOKUP($M1007,Vloersoorten[],3,FALSE)*VLOOKUP($Z1007,Frequenties[],3,FALSE)*VLOOKUP(#REF!,Locaties[],3,FALSE),0)</f>
        <v>0</v>
      </c>
      <c r="AC1007" s="33"/>
      <c r="AD1007" s="33"/>
      <c r="AE1007" s="33">
        <f>Ruimtestaat[[#This Row],[uren / jaar weekend]]*Tariefsopbouw!$D$40</f>
        <v>0</v>
      </c>
      <c r="AF1007" s="79">
        <f>Ruimtestaat[[#This Row],[Prest. (m2 /jaar) weekend]]+Ruimtestaat[[#This Row],[Prest. (m2 /jaar) werkdagen]]</f>
        <v>15800</v>
      </c>
      <c r="AG1007" s="79">
        <f>Ruimtestaat[[#This Row],[uren / jaar weekend]]+Ruimtestaat[[#This Row],[uren / jaar werkdagen]]</f>
        <v>0</v>
      </c>
      <c r="AH1007" s="80">
        <f>Ruimtestaat[[#This Row],[kosten / jaar weekend]]+Ruimtestaat[[#This Row],[kosten / jaar werkdagen]]</f>
        <v>0</v>
      </c>
    </row>
    <row r="1008" spans="1:34" ht="15" customHeight="1">
      <c r="A1008" s="256">
        <v>12</v>
      </c>
      <c r="B1008" s="171" t="str">
        <f>VLOOKUP(Ruimtestaat[[#This Row],[Code]],Locaties[#All],2,FALSE)</f>
        <v>Onderwijscentrum Het Roessingh &amp; De Huifkar</v>
      </c>
      <c r="C1008" s="258" t="str">
        <f>VLOOKUP(Ruimtestaat[[#This Row],[Code]],Locaties[#All],4,FALSE)</f>
        <v>Roessinghsbleekweg 35</v>
      </c>
      <c r="D1008" s="258" t="str">
        <f>VLOOKUP(Ruimtestaat[[#This Row],[Code]],Locaties[#All],5,FALSE)</f>
        <v>7522 AH</v>
      </c>
      <c r="E1008" s="258" t="str">
        <f>VLOOKUP(Ruimtestaat[[#This Row],[Code]],Locaties[#All],6,FALSE)</f>
        <v>Enschede</v>
      </c>
      <c r="F1008" s="257"/>
      <c r="G1008" s="257" t="s">
        <v>563</v>
      </c>
      <c r="H1008" s="171"/>
      <c r="I1008" s="257" t="s">
        <v>1029</v>
      </c>
      <c r="J1008" s="259" t="s">
        <v>576</v>
      </c>
      <c r="K1008" s="171">
        <v>16</v>
      </c>
      <c r="L1008" s="260" t="str">
        <f>VLOOKUP(Ruimtestaat[[#This Row],[Ruimte code]],Ruimtegroepen[#All],2,FALSE)</f>
        <v>Leslokalen</v>
      </c>
      <c r="M1008" s="258" t="s">
        <v>598</v>
      </c>
      <c r="N1008" s="257" t="s">
        <v>132</v>
      </c>
      <c r="O1008" s="261">
        <v>64</v>
      </c>
      <c r="P1008" s="183"/>
      <c r="Q1008" s="212" t="str">
        <f>VLOOKUP(Ruimtestaat[[#This Row],[Ruimte code]],Ruimtegroepen[#All],4,FALSE)</f>
        <v>L  (Lesruimte)</v>
      </c>
      <c r="R1008" s="184"/>
      <c r="S1008" s="185">
        <v>40</v>
      </c>
      <c r="T1008" s="185" t="s">
        <v>2</v>
      </c>
      <c r="U1008" s="185">
        <f>IF(S1008&gt;0,IF(RIGHT(Ruimtestaat[[#This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8" s="185">
        <f>IF(U1008&gt;0,VLOOKUP($K1008,Ruimtegroepen[],3,FALSE)*VLOOKUP($M1008,Vloersoorten[],3,FALSE)*VLOOKUP($T1008,Frequenties[],3,FALSE)*VLOOKUP($A1008,Locaties[],3,FALSE),0)</f>
        <v>0</v>
      </c>
      <c r="W1008" s="185">
        <f>Ruimtestaat[[#This Row],[Uitvoeringen werkdagen]]*Ruimtestaat[[#This Row],[Oppervlak (netto)]]</f>
        <v>12800</v>
      </c>
      <c r="X1008" s="220">
        <f>IF(V1008&gt;0,Ruimtestaat[[#This Row],[Prest. (m2 /jaar) werkdagen]]/Ruimtestaat[[#This Row],[Norm (m2/uur) werkdagen]],0)</f>
        <v>0</v>
      </c>
      <c r="Y1008" s="221">
        <f>Ruimtestaat[[#This Row],[uren / jaar werkdagen]]*Tariefsopbouw!$D$38</f>
        <v>0</v>
      </c>
      <c r="Z1008" s="33"/>
      <c r="AA1008" s="33">
        <f>IF(Ruimtestaat[[#This Row],[Frequentie weekend]]&gt;0,VALUE(LEFT(Z1008,1))*S1008,0)</f>
        <v>0</v>
      </c>
      <c r="AB1008" s="33">
        <f>IF($AA1008&gt;0,VLOOKUP($K1008,Ruimtegroepen[],3,FALSE)*VLOOKUP($M1008,Vloersoorten[],3,FALSE)*VLOOKUP($Z1008,Frequenties[],3,FALSE)*VLOOKUP(#REF!,Locaties[],3,FALSE),0)</f>
        <v>0</v>
      </c>
      <c r="AC1008" s="33"/>
      <c r="AD1008" s="33"/>
      <c r="AE1008" s="33">
        <f>Ruimtestaat[[#This Row],[uren / jaar weekend]]*Tariefsopbouw!$D$40</f>
        <v>0</v>
      </c>
      <c r="AF1008" s="79">
        <f>Ruimtestaat[[#This Row],[Prest. (m2 /jaar) weekend]]+Ruimtestaat[[#This Row],[Prest. (m2 /jaar) werkdagen]]</f>
        <v>12800</v>
      </c>
      <c r="AG1008" s="79">
        <f>Ruimtestaat[[#This Row],[uren / jaar weekend]]+Ruimtestaat[[#This Row],[uren / jaar werkdagen]]</f>
        <v>0</v>
      </c>
      <c r="AH1008" s="80">
        <f>Ruimtestaat[[#This Row],[kosten / jaar weekend]]+Ruimtestaat[[#This Row],[kosten / jaar werkdagen]]</f>
        <v>0</v>
      </c>
    </row>
    <row r="1009" spans="1:34" ht="15" customHeight="1">
      <c r="A1009" s="256">
        <v>12</v>
      </c>
      <c r="B1009" s="171" t="str">
        <f>VLOOKUP(Ruimtestaat[[#This Row],[Code]],Locaties[#All],2,FALSE)</f>
        <v>Onderwijscentrum Het Roessingh &amp; De Huifkar</v>
      </c>
      <c r="C1009" s="258" t="str">
        <f>VLOOKUP(Ruimtestaat[[#This Row],[Code]],Locaties[#All],4,FALSE)</f>
        <v>Roessinghsbleekweg 35</v>
      </c>
      <c r="D1009" s="258" t="str">
        <f>VLOOKUP(Ruimtestaat[[#This Row],[Code]],Locaties[#All],5,FALSE)</f>
        <v>7522 AH</v>
      </c>
      <c r="E1009" s="258" t="str">
        <f>VLOOKUP(Ruimtestaat[[#This Row],[Code]],Locaties[#All],6,FALSE)</f>
        <v>Enschede</v>
      </c>
      <c r="F1009" s="257"/>
      <c r="G1009" s="257" t="s">
        <v>563</v>
      </c>
      <c r="H1009" s="171"/>
      <c r="I1009" s="257" t="s">
        <v>1030</v>
      </c>
      <c r="J1009" s="259" t="s">
        <v>576</v>
      </c>
      <c r="K1009" s="185">
        <v>16</v>
      </c>
      <c r="L1009" s="260" t="str">
        <f>VLOOKUP(Ruimtestaat[[#This Row],[Ruimte code]],Ruimtegroepen[#All],2,FALSE)</f>
        <v>Leslokalen</v>
      </c>
      <c r="M1009" s="258" t="s">
        <v>598</v>
      </c>
      <c r="N1009" s="257" t="s">
        <v>132</v>
      </c>
      <c r="O1009" s="261">
        <v>65</v>
      </c>
      <c r="P1009" s="183"/>
      <c r="Q1009" s="212" t="str">
        <f>VLOOKUP(Ruimtestaat[[#This Row],[Ruimte code]],Ruimtegroepen[#All],4,FALSE)</f>
        <v>L  (Lesruimte)</v>
      </c>
      <c r="R1009" s="184"/>
      <c r="S1009" s="185">
        <v>40</v>
      </c>
      <c r="T1009" s="185" t="s">
        <v>2</v>
      </c>
      <c r="U1009" s="185">
        <f>IF(S1009&gt;0,IF(RIGHT(Ruimtestaat[[#This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9" s="185">
        <f>IF(U1009&gt;0,VLOOKUP($K1009,Ruimtegroepen[],3,FALSE)*VLOOKUP($M1009,Vloersoorten[],3,FALSE)*VLOOKUP($T1009,Frequenties[],3,FALSE)*VLOOKUP($A1009,Locaties[],3,FALSE),0)</f>
        <v>0</v>
      </c>
      <c r="W1009" s="185">
        <f>Ruimtestaat[[#This Row],[Uitvoeringen werkdagen]]*Ruimtestaat[[#This Row],[Oppervlak (netto)]]</f>
        <v>13000</v>
      </c>
      <c r="X1009" s="220">
        <f>IF(V1009&gt;0,Ruimtestaat[[#This Row],[Prest. (m2 /jaar) werkdagen]]/Ruimtestaat[[#This Row],[Norm (m2/uur) werkdagen]],0)</f>
        <v>0</v>
      </c>
      <c r="Y1009" s="221">
        <f>Ruimtestaat[[#This Row],[uren / jaar werkdagen]]*Tariefsopbouw!$D$38</f>
        <v>0</v>
      </c>
      <c r="Z1009" s="33"/>
      <c r="AA1009" s="33">
        <f>IF(Ruimtestaat[[#This Row],[Frequentie weekend]]&gt;0,VALUE(LEFT(Z1009,1))*S1009,0)</f>
        <v>0</v>
      </c>
      <c r="AB1009" s="33">
        <f>IF($AA1009&gt;0,VLOOKUP($K1009,Ruimtegroepen[],3,FALSE)*VLOOKUP($M1009,Vloersoorten[],3,FALSE)*VLOOKUP($Z1009,Frequenties[],3,FALSE)*VLOOKUP(#REF!,Locaties[],3,FALSE),0)</f>
        <v>0</v>
      </c>
      <c r="AC1009" s="33"/>
      <c r="AD1009" s="33"/>
      <c r="AE1009" s="33">
        <f>Ruimtestaat[[#This Row],[uren / jaar weekend]]*Tariefsopbouw!$D$40</f>
        <v>0</v>
      </c>
      <c r="AF1009" s="79">
        <f>Ruimtestaat[[#This Row],[Prest. (m2 /jaar) weekend]]+Ruimtestaat[[#This Row],[Prest. (m2 /jaar) werkdagen]]</f>
        <v>13000</v>
      </c>
      <c r="AG1009" s="79">
        <f>Ruimtestaat[[#This Row],[uren / jaar weekend]]+Ruimtestaat[[#This Row],[uren / jaar werkdagen]]</f>
        <v>0</v>
      </c>
      <c r="AH1009" s="80">
        <f>Ruimtestaat[[#This Row],[kosten / jaar weekend]]+Ruimtestaat[[#This Row],[kosten / jaar werkdagen]]</f>
        <v>0</v>
      </c>
    </row>
    <row r="1010" spans="1:34" ht="15" customHeight="1">
      <c r="A1010" s="256">
        <v>12</v>
      </c>
      <c r="B1010" s="171" t="str">
        <f>VLOOKUP(Ruimtestaat[[#This Row],[Code]],Locaties[#All],2,FALSE)</f>
        <v>Onderwijscentrum Het Roessingh &amp; De Huifkar</v>
      </c>
      <c r="C1010" s="258" t="str">
        <f>VLOOKUP(Ruimtestaat[[#This Row],[Code]],Locaties[#All],4,FALSE)</f>
        <v>Roessinghsbleekweg 35</v>
      </c>
      <c r="D1010" s="258" t="str">
        <f>VLOOKUP(Ruimtestaat[[#This Row],[Code]],Locaties[#All],5,FALSE)</f>
        <v>7522 AH</v>
      </c>
      <c r="E1010" s="258" t="str">
        <f>VLOOKUP(Ruimtestaat[[#This Row],[Code]],Locaties[#All],6,FALSE)</f>
        <v>Enschede</v>
      </c>
      <c r="F1010" s="257"/>
      <c r="G1010" s="257" t="s">
        <v>564</v>
      </c>
      <c r="H1010" s="171"/>
      <c r="I1010" s="257">
        <v>101</v>
      </c>
      <c r="J1010" s="259" t="s">
        <v>575</v>
      </c>
      <c r="K1010" s="171">
        <v>12</v>
      </c>
      <c r="L1010" s="260" t="str">
        <f>VLOOKUP(Ruimtestaat[[#This Row],[Ruimte code]],Ruimtegroepen[#All],2,FALSE)</f>
        <v>Kantine</v>
      </c>
      <c r="M1010" s="212" t="s">
        <v>112</v>
      </c>
      <c r="N1010" s="257" t="s">
        <v>776</v>
      </c>
      <c r="O1010" s="261">
        <v>60</v>
      </c>
      <c r="P1010" s="183"/>
      <c r="Q1010" s="212" t="str">
        <f>VLOOKUP(Ruimtestaat[[#This Row],[Ruimte code]],Ruimtegroepen[#All],4,FALSE)</f>
        <v>V  (Verkeersruimte)</v>
      </c>
      <c r="R1010" s="184"/>
      <c r="S1010" s="185">
        <v>40</v>
      </c>
      <c r="T1010" s="185" t="s">
        <v>2</v>
      </c>
      <c r="U1010" s="185">
        <f>IF(S1010&gt;0,IF(RIGHT(Ruimtestaat[[#This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0" s="185">
        <f>IF(U1010&gt;0,VLOOKUP($K1010,Ruimtegroepen[],3,FALSE)*VLOOKUP($M1010,Vloersoorten[],3,FALSE)*VLOOKUP($T1010,Frequenties[],3,FALSE)*VLOOKUP($A1010,Locaties[],3,FALSE),0)</f>
        <v>0</v>
      </c>
      <c r="W1010" s="185">
        <f>Ruimtestaat[[#This Row],[Uitvoeringen werkdagen]]*Ruimtestaat[[#This Row],[Oppervlak (netto)]]</f>
        <v>12000</v>
      </c>
      <c r="X1010" s="220">
        <f>IF(V1010&gt;0,Ruimtestaat[[#This Row],[Prest. (m2 /jaar) werkdagen]]/Ruimtestaat[[#This Row],[Norm (m2/uur) werkdagen]],0)</f>
        <v>0</v>
      </c>
      <c r="Y1010" s="221">
        <f>Ruimtestaat[[#This Row],[uren / jaar werkdagen]]*Tariefsopbouw!$D$38</f>
        <v>0</v>
      </c>
      <c r="Z1010" s="33"/>
      <c r="AA1010" s="33">
        <f>IF(Ruimtestaat[[#This Row],[Frequentie weekend]]&gt;0,VALUE(LEFT(Z1010,1))*S1010,0)</f>
        <v>0</v>
      </c>
      <c r="AB1010" s="33">
        <f>IF($AA1010&gt;0,VLOOKUP($K1010,Ruimtegroepen[],3,FALSE)*VLOOKUP($M1010,Vloersoorten[],3,FALSE)*VLOOKUP($Z1010,Frequenties[],3,FALSE)*VLOOKUP(#REF!,Locaties[],3,FALSE),0)</f>
        <v>0</v>
      </c>
      <c r="AC1010" s="33"/>
      <c r="AD1010" s="33"/>
      <c r="AE1010" s="33">
        <f>Ruimtestaat[[#This Row],[uren / jaar weekend]]*Tariefsopbouw!$D$40</f>
        <v>0</v>
      </c>
      <c r="AF1010" s="79">
        <f>Ruimtestaat[[#This Row],[Prest. (m2 /jaar) weekend]]+Ruimtestaat[[#This Row],[Prest. (m2 /jaar) werkdagen]]</f>
        <v>12000</v>
      </c>
      <c r="AG1010" s="79">
        <f>Ruimtestaat[[#This Row],[uren / jaar weekend]]+Ruimtestaat[[#This Row],[uren / jaar werkdagen]]</f>
        <v>0</v>
      </c>
      <c r="AH1010" s="80">
        <f>Ruimtestaat[[#This Row],[kosten / jaar weekend]]+Ruimtestaat[[#This Row],[kosten / jaar werkdagen]]</f>
        <v>0</v>
      </c>
    </row>
    <row r="1011" spans="1:34" ht="15" customHeight="1">
      <c r="A1011" s="256">
        <v>12</v>
      </c>
      <c r="B1011" s="171" t="str">
        <f>VLOOKUP(Ruimtestaat[[#This Row],[Code]],Locaties[#All],2,FALSE)</f>
        <v>Onderwijscentrum Het Roessingh &amp; De Huifkar</v>
      </c>
      <c r="C1011" s="258" t="str">
        <f>VLOOKUP(Ruimtestaat[[#This Row],[Code]],Locaties[#All],4,FALSE)</f>
        <v>Roessinghsbleekweg 35</v>
      </c>
      <c r="D1011" s="258" t="str">
        <f>VLOOKUP(Ruimtestaat[[#This Row],[Code]],Locaties[#All],5,FALSE)</f>
        <v>7522 AH</v>
      </c>
      <c r="E1011" s="258" t="str">
        <f>VLOOKUP(Ruimtestaat[[#This Row],[Code]],Locaties[#All],6,FALSE)</f>
        <v>Enschede</v>
      </c>
      <c r="F1011" s="257"/>
      <c r="G1011" s="257" t="s">
        <v>564</v>
      </c>
      <c r="H1011" s="171"/>
      <c r="I1011" s="257">
        <v>102</v>
      </c>
      <c r="J1011" s="259" t="s">
        <v>571</v>
      </c>
      <c r="K1011" s="171">
        <v>2</v>
      </c>
      <c r="L1011" s="260" t="str">
        <f>VLOOKUP(Ruimtestaat[[#This Row],[Ruimte code]],Ruimtegroepen[#All],2,FALSE)</f>
        <v>Kantoren</v>
      </c>
      <c r="M1011" s="212" t="s">
        <v>112</v>
      </c>
      <c r="N1011" s="257" t="s">
        <v>776</v>
      </c>
      <c r="O1011" s="261">
        <v>16</v>
      </c>
      <c r="P1011" s="183"/>
      <c r="Q1011" s="212" t="str">
        <f>VLOOKUP(Ruimtestaat[[#This Row],[Ruimte code]],Ruimtegroepen[#All],4,FALSE)</f>
        <v>B  (Bureauruimte)</v>
      </c>
      <c r="R1011" s="184"/>
      <c r="S1011" s="185">
        <v>40</v>
      </c>
      <c r="T1011" s="185" t="s">
        <v>2</v>
      </c>
      <c r="U1011" s="185">
        <f>IF(S1011&gt;0,IF(RIGHT(Ruimtestaat[[#This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1" s="185">
        <f>IF(U1011&gt;0,VLOOKUP($K1011,Ruimtegroepen[],3,FALSE)*VLOOKUP($M1011,Vloersoorten[],3,FALSE)*VLOOKUP($T1011,Frequenties[],3,FALSE)*VLOOKUP($A1011,Locaties[],3,FALSE),0)</f>
        <v>0</v>
      </c>
      <c r="W1011" s="185">
        <f>Ruimtestaat[[#This Row],[Uitvoeringen werkdagen]]*Ruimtestaat[[#This Row],[Oppervlak (netto)]]</f>
        <v>3200</v>
      </c>
      <c r="X1011" s="220">
        <f>IF(V1011&gt;0,Ruimtestaat[[#This Row],[Prest. (m2 /jaar) werkdagen]]/Ruimtestaat[[#This Row],[Norm (m2/uur) werkdagen]],0)</f>
        <v>0</v>
      </c>
      <c r="Y1011" s="221">
        <f>Ruimtestaat[[#This Row],[uren / jaar werkdagen]]*Tariefsopbouw!$D$38</f>
        <v>0</v>
      </c>
      <c r="Z1011" s="33"/>
      <c r="AA1011" s="33">
        <f>IF(Ruimtestaat[[#This Row],[Frequentie weekend]]&gt;0,VALUE(LEFT(Z1011,1))*S1011,0)</f>
        <v>0</v>
      </c>
      <c r="AB1011" s="33">
        <f>IF($AA1011&gt;0,VLOOKUP($K1011,Ruimtegroepen[],3,FALSE)*VLOOKUP($M1011,Vloersoorten[],3,FALSE)*VLOOKUP($Z1011,Frequenties[],3,FALSE)*VLOOKUP(#REF!,Locaties[],3,FALSE),0)</f>
        <v>0</v>
      </c>
      <c r="AC1011" s="33"/>
      <c r="AD1011" s="33"/>
      <c r="AE1011" s="33">
        <f>Ruimtestaat[[#This Row],[uren / jaar weekend]]*Tariefsopbouw!$D$40</f>
        <v>0</v>
      </c>
      <c r="AF1011" s="79">
        <f>Ruimtestaat[[#This Row],[Prest. (m2 /jaar) weekend]]+Ruimtestaat[[#This Row],[Prest. (m2 /jaar) werkdagen]]</f>
        <v>3200</v>
      </c>
      <c r="AG1011" s="79">
        <f>Ruimtestaat[[#This Row],[uren / jaar weekend]]+Ruimtestaat[[#This Row],[uren / jaar werkdagen]]</f>
        <v>0</v>
      </c>
      <c r="AH1011" s="80">
        <f>Ruimtestaat[[#This Row],[kosten / jaar weekend]]+Ruimtestaat[[#This Row],[kosten / jaar werkdagen]]</f>
        <v>0</v>
      </c>
    </row>
    <row r="1012" spans="1:34" ht="15" customHeight="1">
      <c r="A1012" s="256">
        <v>12</v>
      </c>
      <c r="B1012" s="171" t="str">
        <f>VLOOKUP(Ruimtestaat[[#This Row],[Code]],Locaties[#All],2,FALSE)</f>
        <v>Onderwijscentrum Het Roessingh &amp; De Huifkar</v>
      </c>
      <c r="C1012" s="258" t="str">
        <f>VLOOKUP(Ruimtestaat[[#This Row],[Code]],Locaties[#All],4,FALSE)</f>
        <v>Roessinghsbleekweg 35</v>
      </c>
      <c r="D1012" s="258" t="str">
        <f>VLOOKUP(Ruimtestaat[[#This Row],[Code]],Locaties[#All],5,FALSE)</f>
        <v>7522 AH</v>
      </c>
      <c r="E1012" s="258" t="str">
        <f>VLOOKUP(Ruimtestaat[[#This Row],[Code]],Locaties[#All],6,FALSE)</f>
        <v>Enschede</v>
      </c>
      <c r="F1012" s="257"/>
      <c r="G1012" s="257" t="s">
        <v>564</v>
      </c>
      <c r="H1012" s="171"/>
      <c r="I1012" s="257">
        <v>103</v>
      </c>
      <c r="J1012" s="259" t="s">
        <v>574</v>
      </c>
      <c r="K1012" s="171">
        <v>6</v>
      </c>
      <c r="L1012" s="260" t="str">
        <f>VLOOKUP(Ruimtestaat[[#This Row],[Ruimte code]],Ruimtegroepen[#All],2,FALSE)</f>
        <v>Gangen/hallen</v>
      </c>
      <c r="M1012" s="258" t="s">
        <v>598</v>
      </c>
      <c r="N1012" s="257" t="s">
        <v>132</v>
      </c>
      <c r="O1012" s="261">
        <v>30</v>
      </c>
      <c r="P1012" s="183"/>
      <c r="Q1012" s="212" t="str">
        <f>VLOOKUP(Ruimtestaat[[#This Row],[Ruimte code]],Ruimtegroepen[#All],4,FALSE)</f>
        <v>V  (Verkeersruimte)</v>
      </c>
      <c r="R1012" s="184"/>
      <c r="S1012" s="185">
        <v>40</v>
      </c>
      <c r="T1012" s="185" t="s">
        <v>2</v>
      </c>
      <c r="U1012" s="185">
        <f>IF(S1012&gt;0,IF(RIGHT(Ruimtestaat[[#This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2" s="185">
        <f>IF(U1012&gt;0,VLOOKUP($K1012,Ruimtegroepen[],3,FALSE)*VLOOKUP($M1012,Vloersoorten[],3,FALSE)*VLOOKUP($T1012,Frequenties[],3,FALSE)*VLOOKUP($A1012,Locaties[],3,FALSE),0)</f>
        <v>0</v>
      </c>
      <c r="W1012" s="185">
        <f>Ruimtestaat[[#This Row],[Uitvoeringen werkdagen]]*Ruimtestaat[[#This Row],[Oppervlak (netto)]]</f>
        <v>6000</v>
      </c>
      <c r="X1012" s="220">
        <f>IF(V1012&gt;0,Ruimtestaat[[#This Row],[Prest. (m2 /jaar) werkdagen]]/Ruimtestaat[[#This Row],[Norm (m2/uur) werkdagen]],0)</f>
        <v>0</v>
      </c>
      <c r="Y1012" s="221">
        <f>Ruimtestaat[[#This Row],[uren / jaar werkdagen]]*Tariefsopbouw!$D$38</f>
        <v>0</v>
      </c>
      <c r="Z1012" s="33"/>
      <c r="AA1012" s="33">
        <f>IF(Ruimtestaat[[#This Row],[Frequentie weekend]]&gt;0,VALUE(LEFT(Z1012,1))*S1012,0)</f>
        <v>0</v>
      </c>
      <c r="AB1012" s="33">
        <f>IF($AA1012&gt;0,VLOOKUP($K1012,Ruimtegroepen[],3,FALSE)*VLOOKUP($M1012,Vloersoorten[],3,FALSE)*VLOOKUP($Z1012,Frequenties[],3,FALSE)*VLOOKUP(#REF!,Locaties[],3,FALSE),0)</f>
        <v>0</v>
      </c>
      <c r="AC1012" s="33"/>
      <c r="AD1012" s="33"/>
      <c r="AE1012" s="33">
        <f>Ruimtestaat[[#This Row],[uren / jaar weekend]]*Tariefsopbouw!$D$40</f>
        <v>0</v>
      </c>
      <c r="AF1012" s="79">
        <f>Ruimtestaat[[#This Row],[Prest. (m2 /jaar) weekend]]+Ruimtestaat[[#This Row],[Prest. (m2 /jaar) werkdagen]]</f>
        <v>6000</v>
      </c>
      <c r="AG1012" s="79">
        <f>Ruimtestaat[[#This Row],[uren / jaar weekend]]+Ruimtestaat[[#This Row],[uren / jaar werkdagen]]</f>
        <v>0</v>
      </c>
      <c r="AH1012" s="80">
        <f>Ruimtestaat[[#This Row],[kosten / jaar weekend]]+Ruimtestaat[[#This Row],[kosten / jaar werkdagen]]</f>
        <v>0</v>
      </c>
    </row>
    <row r="1013" spans="1:34" ht="15" customHeight="1">
      <c r="A1013" s="256">
        <v>12</v>
      </c>
      <c r="B1013" s="171" t="str">
        <f>VLOOKUP(Ruimtestaat[[#This Row],[Code]],Locaties[#All],2,FALSE)</f>
        <v>Onderwijscentrum Het Roessingh &amp; De Huifkar</v>
      </c>
      <c r="C1013" s="258" t="str">
        <f>VLOOKUP(Ruimtestaat[[#This Row],[Code]],Locaties[#All],4,FALSE)</f>
        <v>Roessinghsbleekweg 35</v>
      </c>
      <c r="D1013" s="258" t="str">
        <f>VLOOKUP(Ruimtestaat[[#This Row],[Code]],Locaties[#All],5,FALSE)</f>
        <v>7522 AH</v>
      </c>
      <c r="E1013" s="258" t="str">
        <f>VLOOKUP(Ruimtestaat[[#This Row],[Code]],Locaties[#All],6,FALSE)</f>
        <v>Enschede</v>
      </c>
      <c r="F1013" s="257"/>
      <c r="G1013" s="257" t="s">
        <v>564</v>
      </c>
      <c r="H1013" s="171"/>
      <c r="I1013" s="257" t="s">
        <v>1031</v>
      </c>
      <c r="J1013" s="259" t="s">
        <v>61</v>
      </c>
      <c r="K1013" s="258">
        <v>3</v>
      </c>
      <c r="L1013" s="260" t="str">
        <f>VLOOKUP(Ruimtestaat[[#This Row],[Ruimte code]],Ruimtegroepen[#All],2,FALSE)</f>
        <v>Reproruimte</v>
      </c>
      <c r="M1013" s="258" t="s">
        <v>598</v>
      </c>
      <c r="N1013" s="257" t="s">
        <v>132</v>
      </c>
      <c r="O1013" s="261">
        <v>7</v>
      </c>
      <c r="P1013" s="183"/>
      <c r="Q1013" s="212" t="str">
        <f>VLOOKUP(Ruimtestaat[[#This Row],[Ruimte code]],Ruimtegroepen[#All],4,FALSE)</f>
        <v>V  (Verkeersruimte)</v>
      </c>
      <c r="R1013" s="184"/>
      <c r="S1013" s="185">
        <v>40</v>
      </c>
      <c r="T1013" s="185" t="s">
        <v>2</v>
      </c>
      <c r="U1013" s="185">
        <f>IF(S1013&gt;0,IF(RIGHT(Ruimtestaat[[#This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3" s="185">
        <f>IF(U1013&gt;0,VLOOKUP($K1013,Ruimtegroepen[],3,FALSE)*VLOOKUP($M1013,Vloersoorten[],3,FALSE)*VLOOKUP($T1013,Frequenties[],3,FALSE)*VLOOKUP($A1013,Locaties[],3,FALSE),0)</f>
        <v>0</v>
      </c>
      <c r="W1013" s="185">
        <f>Ruimtestaat[[#This Row],[Uitvoeringen werkdagen]]*Ruimtestaat[[#This Row],[Oppervlak (netto)]]</f>
        <v>1400</v>
      </c>
      <c r="X1013" s="220">
        <f>IF(V1013&gt;0,Ruimtestaat[[#This Row],[Prest. (m2 /jaar) werkdagen]]/Ruimtestaat[[#This Row],[Norm (m2/uur) werkdagen]],0)</f>
        <v>0</v>
      </c>
      <c r="Y1013" s="221">
        <f>Ruimtestaat[[#This Row],[uren / jaar werkdagen]]*Tariefsopbouw!$D$38</f>
        <v>0</v>
      </c>
      <c r="Z1013" s="33"/>
      <c r="AA1013" s="33">
        <f>IF(Ruimtestaat[[#This Row],[Frequentie weekend]]&gt;0,VALUE(LEFT(Z1013,1))*S1013,0)</f>
        <v>0</v>
      </c>
      <c r="AB1013" s="33">
        <f>IF($AA1013&gt;0,VLOOKUP($K1013,Ruimtegroepen[],3,FALSE)*VLOOKUP($M1013,Vloersoorten[],3,FALSE)*VLOOKUP($Z1013,Frequenties[],3,FALSE)*VLOOKUP(#REF!,Locaties[],3,FALSE),0)</f>
        <v>0</v>
      </c>
      <c r="AC1013" s="33"/>
      <c r="AD1013" s="33"/>
      <c r="AE1013" s="33">
        <f>Ruimtestaat[[#This Row],[uren / jaar weekend]]*Tariefsopbouw!$D$40</f>
        <v>0</v>
      </c>
      <c r="AF1013" s="79">
        <f>Ruimtestaat[[#This Row],[Prest. (m2 /jaar) weekend]]+Ruimtestaat[[#This Row],[Prest. (m2 /jaar) werkdagen]]</f>
        <v>1400</v>
      </c>
      <c r="AG1013" s="79">
        <f>Ruimtestaat[[#This Row],[uren / jaar weekend]]+Ruimtestaat[[#This Row],[uren / jaar werkdagen]]</f>
        <v>0</v>
      </c>
      <c r="AH1013" s="80">
        <f>Ruimtestaat[[#This Row],[kosten / jaar weekend]]+Ruimtestaat[[#This Row],[kosten / jaar werkdagen]]</f>
        <v>0</v>
      </c>
    </row>
    <row r="1014" spans="1:34" ht="15" customHeight="1">
      <c r="A1014" s="256">
        <v>12</v>
      </c>
      <c r="B1014" s="171" t="str">
        <f>VLOOKUP(Ruimtestaat[[#This Row],[Code]],Locaties[#All],2,FALSE)</f>
        <v>Onderwijscentrum Het Roessingh &amp; De Huifkar</v>
      </c>
      <c r="C1014" s="258" t="str">
        <f>VLOOKUP(Ruimtestaat[[#This Row],[Code]],Locaties[#All],4,FALSE)</f>
        <v>Roessinghsbleekweg 35</v>
      </c>
      <c r="D1014" s="258" t="str">
        <f>VLOOKUP(Ruimtestaat[[#This Row],[Code]],Locaties[#All],5,FALSE)</f>
        <v>7522 AH</v>
      </c>
      <c r="E1014" s="258" t="str">
        <f>VLOOKUP(Ruimtestaat[[#This Row],[Code]],Locaties[#All],6,FALSE)</f>
        <v>Enschede</v>
      </c>
      <c r="F1014" s="257"/>
      <c r="G1014" s="257" t="s">
        <v>564</v>
      </c>
      <c r="H1014" s="171"/>
      <c r="I1014" s="257">
        <v>104</v>
      </c>
      <c r="J1014" s="259" t="s">
        <v>586</v>
      </c>
      <c r="K1014" s="258">
        <v>20</v>
      </c>
      <c r="L1014" s="260" t="str">
        <f>VLOOKUP(Ruimtestaat[[#This Row],[Ruimte code]],Ruimtegroepen[#All],2,FALSE)</f>
        <v>Niet in onderhoud</v>
      </c>
      <c r="M1014" s="258" t="s">
        <v>598</v>
      </c>
      <c r="N1014" s="257" t="s">
        <v>132</v>
      </c>
      <c r="O1014" s="261"/>
      <c r="P1014" s="183">
        <v>10</v>
      </c>
      <c r="Q1014" s="212" t="str">
        <f>VLOOKUP(Ruimtestaat[[#This Row],[Ruimte code]],Ruimtegroepen[#All],4,FALSE)</f>
        <v>niet in onderhoud</v>
      </c>
      <c r="R1014" s="184"/>
      <c r="S1014" s="185"/>
      <c r="T1014" s="185"/>
      <c r="U1014" s="185">
        <f>IF(S1014&gt;0,IF(RIGHT(Ruimtestaat[[#This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14" s="185">
        <f>IF(U1014&gt;0,VLOOKUP($K1014,Ruimtegroepen[],3,FALSE)*VLOOKUP($M1014,Vloersoorten[],3,FALSE)*VLOOKUP($T1014,Frequenties[],3,FALSE)*VLOOKUP($A1014,Locaties[],3,FALSE),0)</f>
        <v>0</v>
      </c>
      <c r="W1014" s="185">
        <f>Ruimtestaat[[#This Row],[Uitvoeringen werkdagen]]*Ruimtestaat[[#This Row],[Oppervlak (netto)]]</f>
        <v>0</v>
      </c>
      <c r="X1014" s="220">
        <f>IF(V1014&gt;0,Ruimtestaat[[#This Row],[Prest. (m2 /jaar) werkdagen]]/Ruimtestaat[[#This Row],[Norm (m2/uur) werkdagen]],0)</f>
        <v>0</v>
      </c>
      <c r="Y1014" s="221">
        <f>Ruimtestaat[[#This Row],[uren / jaar werkdagen]]*Tariefsopbouw!$D$38</f>
        <v>0</v>
      </c>
      <c r="Z1014" s="33"/>
      <c r="AA1014" s="33">
        <f>IF(Ruimtestaat[[#This Row],[Frequentie weekend]]&gt;0,VALUE(LEFT(Z1014,1))*S1014,0)</f>
        <v>0</v>
      </c>
      <c r="AB1014" s="33">
        <f>IF($AA1014&gt;0,VLOOKUP($K1014,Ruimtegroepen[],3,FALSE)*VLOOKUP($M1014,Vloersoorten[],3,FALSE)*VLOOKUP($Z1014,Frequenties[],3,FALSE)*VLOOKUP(#REF!,Locaties[],3,FALSE),0)</f>
        <v>0</v>
      </c>
      <c r="AC1014" s="33"/>
      <c r="AD1014" s="33"/>
      <c r="AE1014" s="33">
        <f>Ruimtestaat[[#This Row],[uren / jaar weekend]]*Tariefsopbouw!$D$40</f>
        <v>0</v>
      </c>
      <c r="AF1014" s="79">
        <f>Ruimtestaat[[#This Row],[Prest. (m2 /jaar) weekend]]+Ruimtestaat[[#This Row],[Prest. (m2 /jaar) werkdagen]]</f>
        <v>0</v>
      </c>
      <c r="AG1014" s="79">
        <f>Ruimtestaat[[#This Row],[uren / jaar weekend]]+Ruimtestaat[[#This Row],[uren / jaar werkdagen]]</f>
        <v>0</v>
      </c>
      <c r="AH1014" s="80">
        <f>Ruimtestaat[[#This Row],[kosten / jaar weekend]]+Ruimtestaat[[#This Row],[kosten / jaar werkdagen]]</f>
        <v>0</v>
      </c>
    </row>
    <row r="1015" spans="1:34" ht="15" customHeight="1">
      <c r="A1015" s="256">
        <v>12</v>
      </c>
      <c r="B1015" s="171" t="str">
        <f>VLOOKUP(Ruimtestaat[[#This Row],[Code]],Locaties[#All],2,FALSE)</f>
        <v>Onderwijscentrum Het Roessingh &amp; De Huifkar</v>
      </c>
      <c r="C1015" s="258" t="str">
        <f>VLOOKUP(Ruimtestaat[[#This Row],[Code]],Locaties[#All],4,FALSE)</f>
        <v>Roessinghsbleekweg 35</v>
      </c>
      <c r="D1015" s="258" t="str">
        <f>VLOOKUP(Ruimtestaat[[#This Row],[Code]],Locaties[#All],5,FALSE)</f>
        <v>7522 AH</v>
      </c>
      <c r="E1015" s="258" t="str">
        <f>VLOOKUP(Ruimtestaat[[#This Row],[Code]],Locaties[#All],6,FALSE)</f>
        <v>Enschede</v>
      </c>
      <c r="F1015" s="257"/>
      <c r="G1015" s="257" t="s">
        <v>564</v>
      </c>
      <c r="H1015" s="171"/>
      <c r="I1015" s="257">
        <v>105</v>
      </c>
      <c r="J1015" s="259" t="s">
        <v>574</v>
      </c>
      <c r="K1015" s="171">
        <v>6</v>
      </c>
      <c r="L1015" s="260" t="str">
        <f>VLOOKUP(Ruimtestaat[[#This Row],[Ruimte code]],Ruimtegroepen[#All],2,FALSE)</f>
        <v>Gangen/hallen</v>
      </c>
      <c r="M1015" s="258" t="s">
        <v>597</v>
      </c>
      <c r="N1015" s="257" t="s">
        <v>38</v>
      </c>
      <c r="O1015" s="261">
        <v>12</v>
      </c>
      <c r="P1015" s="183"/>
      <c r="Q1015" s="212" t="str">
        <f>VLOOKUP(Ruimtestaat[[#This Row],[Ruimte code]],Ruimtegroepen[#All],4,FALSE)</f>
        <v>V  (Verkeersruimte)</v>
      </c>
      <c r="R1015" s="184"/>
      <c r="S1015" s="185">
        <v>40</v>
      </c>
      <c r="T1015" s="185" t="s">
        <v>2</v>
      </c>
      <c r="U1015" s="185">
        <f>IF(S1015&gt;0,IF(RIGHT(Ruimtestaat[[#This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5" s="185">
        <f>IF(U1015&gt;0,VLOOKUP($K1015,Ruimtegroepen[],3,FALSE)*VLOOKUP($M1015,Vloersoorten[],3,FALSE)*VLOOKUP($T1015,Frequenties[],3,FALSE)*VLOOKUP($A1015,Locaties[],3,FALSE),0)</f>
        <v>0</v>
      </c>
      <c r="W1015" s="185">
        <f>Ruimtestaat[[#This Row],[Uitvoeringen werkdagen]]*Ruimtestaat[[#This Row],[Oppervlak (netto)]]</f>
        <v>2400</v>
      </c>
      <c r="X1015" s="220">
        <f>IF(V1015&gt;0,Ruimtestaat[[#This Row],[Prest. (m2 /jaar) werkdagen]]/Ruimtestaat[[#This Row],[Norm (m2/uur) werkdagen]],0)</f>
        <v>0</v>
      </c>
      <c r="Y1015" s="221">
        <f>Ruimtestaat[[#This Row],[uren / jaar werkdagen]]*Tariefsopbouw!$D$38</f>
        <v>0</v>
      </c>
      <c r="Z1015" s="33"/>
      <c r="AA1015" s="33">
        <f>IF(Ruimtestaat[[#This Row],[Frequentie weekend]]&gt;0,VALUE(LEFT(Z1015,1))*S1015,0)</f>
        <v>0</v>
      </c>
      <c r="AB1015" s="33">
        <f>IF($AA1015&gt;0,VLOOKUP($K1015,Ruimtegroepen[],3,FALSE)*VLOOKUP($M1015,Vloersoorten[],3,FALSE)*VLOOKUP($Z1015,Frequenties[],3,FALSE)*VLOOKUP(#REF!,Locaties[],3,FALSE),0)</f>
        <v>0</v>
      </c>
      <c r="AC1015" s="33"/>
      <c r="AD1015" s="33"/>
      <c r="AE1015" s="33">
        <f>Ruimtestaat[[#This Row],[uren / jaar weekend]]*Tariefsopbouw!$D$40</f>
        <v>0</v>
      </c>
      <c r="AF1015" s="79">
        <f>Ruimtestaat[[#This Row],[Prest. (m2 /jaar) weekend]]+Ruimtestaat[[#This Row],[Prest. (m2 /jaar) werkdagen]]</f>
        <v>2400</v>
      </c>
      <c r="AG1015" s="79">
        <f>Ruimtestaat[[#This Row],[uren / jaar weekend]]+Ruimtestaat[[#This Row],[uren / jaar werkdagen]]</f>
        <v>0</v>
      </c>
      <c r="AH1015" s="80">
        <f>Ruimtestaat[[#This Row],[kosten / jaar weekend]]+Ruimtestaat[[#This Row],[kosten / jaar werkdagen]]</f>
        <v>0</v>
      </c>
    </row>
    <row r="1016" spans="1:34" ht="15" customHeight="1">
      <c r="A1016" s="256">
        <v>12</v>
      </c>
      <c r="B1016" s="171" t="str">
        <f>VLOOKUP(Ruimtestaat[[#This Row],[Code]],Locaties[#All],2,FALSE)</f>
        <v>Onderwijscentrum Het Roessingh &amp; De Huifkar</v>
      </c>
      <c r="C1016" s="258" t="str">
        <f>VLOOKUP(Ruimtestaat[[#This Row],[Code]],Locaties[#All],4,FALSE)</f>
        <v>Roessinghsbleekweg 35</v>
      </c>
      <c r="D1016" s="258" t="str">
        <f>VLOOKUP(Ruimtestaat[[#This Row],[Code]],Locaties[#All],5,FALSE)</f>
        <v>7522 AH</v>
      </c>
      <c r="E1016" s="258" t="str">
        <f>VLOOKUP(Ruimtestaat[[#This Row],[Code]],Locaties[#All],6,FALSE)</f>
        <v>Enschede</v>
      </c>
      <c r="F1016" s="257"/>
      <c r="G1016" s="257" t="s">
        <v>564</v>
      </c>
      <c r="H1016" s="171"/>
      <c r="I1016" s="257">
        <v>106</v>
      </c>
      <c r="J1016" s="259" t="s">
        <v>575</v>
      </c>
      <c r="K1016" s="258">
        <v>12</v>
      </c>
      <c r="L1016" s="260" t="str">
        <f>VLOOKUP(Ruimtestaat[[#This Row],[Ruimte code]],Ruimtegroepen[#All],2,FALSE)</f>
        <v>Kantine</v>
      </c>
      <c r="M1016" s="212" t="s">
        <v>112</v>
      </c>
      <c r="N1016" s="257" t="s">
        <v>776</v>
      </c>
      <c r="O1016" s="261">
        <v>91</v>
      </c>
      <c r="P1016" s="183"/>
      <c r="Q1016" s="212" t="str">
        <f>VLOOKUP(Ruimtestaat[[#This Row],[Ruimte code]],Ruimtegroepen[#All],4,FALSE)</f>
        <v>V  (Verkeersruimte)</v>
      </c>
      <c r="R1016" s="184"/>
      <c r="S1016" s="185">
        <v>40</v>
      </c>
      <c r="T1016" s="185" t="s">
        <v>2</v>
      </c>
      <c r="U1016" s="185">
        <f>IF(S1016&gt;0,IF(RIGHT(Ruimtestaat[[#This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6" s="185">
        <f>IF(U1016&gt;0,VLOOKUP($K1016,Ruimtegroepen[],3,FALSE)*VLOOKUP($M1016,Vloersoorten[],3,FALSE)*VLOOKUP($T1016,Frequenties[],3,FALSE)*VLOOKUP($A1016,Locaties[],3,FALSE),0)</f>
        <v>0</v>
      </c>
      <c r="W1016" s="185">
        <f>Ruimtestaat[[#This Row],[Uitvoeringen werkdagen]]*Ruimtestaat[[#This Row],[Oppervlak (netto)]]</f>
        <v>18200</v>
      </c>
      <c r="X1016" s="220">
        <f>IF(V1016&gt;0,Ruimtestaat[[#This Row],[Prest. (m2 /jaar) werkdagen]]/Ruimtestaat[[#This Row],[Norm (m2/uur) werkdagen]],0)</f>
        <v>0</v>
      </c>
      <c r="Y1016" s="221">
        <f>Ruimtestaat[[#This Row],[uren / jaar werkdagen]]*Tariefsopbouw!$D$38</f>
        <v>0</v>
      </c>
      <c r="Z1016" s="33"/>
      <c r="AA1016" s="33">
        <f>IF(Ruimtestaat[[#This Row],[Frequentie weekend]]&gt;0,VALUE(LEFT(Z1016,1))*S1016,0)</f>
        <v>0</v>
      </c>
      <c r="AB1016" s="33">
        <f>IF($AA1016&gt;0,VLOOKUP($K1016,Ruimtegroepen[],3,FALSE)*VLOOKUP($M1016,Vloersoorten[],3,FALSE)*VLOOKUP($Z1016,Frequenties[],3,FALSE)*VLOOKUP(#REF!,Locaties[],3,FALSE),0)</f>
        <v>0</v>
      </c>
      <c r="AC1016" s="33"/>
      <c r="AD1016" s="33"/>
      <c r="AE1016" s="33">
        <f>Ruimtestaat[[#This Row],[uren / jaar weekend]]*Tariefsopbouw!$D$40</f>
        <v>0</v>
      </c>
      <c r="AF1016" s="79">
        <f>Ruimtestaat[[#This Row],[Prest. (m2 /jaar) weekend]]+Ruimtestaat[[#This Row],[Prest. (m2 /jaar) werkdagen]]</f>
        <v>18200</v>
      </c>
      <c r="AG1016" s="79">
        <f>Ruimtestaat[[#This Row],[uren / jaar weekend]]+Ruimtestaat[[#This Row],[uren / jaar werkdagen]]</f>
        <v>0</v>
      </c>
      <c r="AH1016" s="80">
        <f>Ruimtestaat[[#This Row],[kosten / jaar weekend]]+Ruimtestaat[[#This Row],[kosten / jaar werkdagen]]</f>
        <v>0</v>
      </c>
    </row>
    <row r="1017" spans="1:34" ht="15" customHeight="1">
      <c r="A1017" s="256">
        <v>12</v>
      </c>
      <c r="B1017" s="171" t="str">
        <f>VLOOKUP(Ruimtestaat[[#This Row],[Code]],Locaties[#All],2,FALSE)</f>
        <v>Onderwijscentrum Het Roessingh &amp; De Huifkar</v>
      </c>
      <c r="C1017" s="258" t="str">
        <f>VLOOKUP(Ruimtestaat[[#This Row],[Code]],Locaties[#All],4,FALSE)</f>
        <v>Roessinghsbleekweg 35</v>
      </c>
      <c r="D1017" s="258" t="str">
        <f>VLOOKUP(Ruimtestaat[[#This Row],[Code]],Locaties[#All],5,FALSE)</f>
        <v>7522 AH</v>
      </c>
      <c r="E1017" s="258" t="str">
        <f>VLOOKUP(Ruimtestaat[[#This Row],[Code]],Locaties[#All],6,FALSE)</f>
        <v>Enschede</v>
      </c>
      <c r="F1017" s="257"/>
      <c r="G1017" s="257" t="s">
        <v>564</v>
      </c>
      <c r="H1017" s="171"/>
      <c r="I1017" s="257">
        <v>107</v>
      </c>
      <c r="J1017" s="259" t="s">
        <v>574</v>
      </c>
      <c r="K1017" s="171">
        <v>6</v>
      </c>
      <c r="L1017" s="260" t="str">
        <f>VLOOKUP(Ruimtestaat[[#This Row],[Ruimte code]],Ruimtegroepen[#All],2,FALSE)</f>
        <v>Gangen/hallen</v>
      </c>
      <c r="M1017" s="258" t="s">
        <v>598</v>
      </c>
      <c r="N1017" s="257" t="s">
        <v>132</v>
      </c>
      <c r="O1017" s="261">
        <v>42</v>
      </c>
      <c r="P1017" s="183"/>
      <c r="Q1017" s="212" t="str">
        <f>VLOOKUP(Ruimtestaat[[#This Row],[Ruimte code]],Ruimtegroepen[#All],4,FALSE)</f>
        <v>V  (Verkeersruimte)</v>
      </c>
      <c r="R1017" s="184"/>
      <c r="S1017" s="185">
        <v>40</v>
      </c>
      <c r="T1017" s="185" t="s">
        <v>2</v>
      </c>
      <c r="U1017" s="185">
        <f>IF(S1017&gt;0,IF(RIGHT(Ruimtestaat[[#This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7" s="185">
        <f>IF(U1017&gt;0,VLOOKUP($K1017,Ruimtegroepen[],3,FALSE)*VLOOKUP($M1017,Vloersoorten[],3,FALSE)*VLOOKUP($T1017,Frequenties[],3,FALSE)*VLOOKUP($A1017,Locaties[],3,FALSE),0)</f>
        <v>0</v>
      </c>
      <c r="W1017" s="185">
        <f>Ruimtestaat[[#This Row],[Uitvoeringen werkdagen]]*Ruimtestaat[[#This Row],[Oppervlak (netto)]]</f>
        <v>8400</v>
      </c>
      <c r="X1017" s="220">
        <f>IF(V1017&gt;0,Ruimtestaat[[#This Row],[Prest. (m2 /jaar) werkdagen]]/Ruimtestaat[[#This Row],[Norm (m2/uur) werkdagen]],0)</f>
        <v>0</v>
      </c>
      <c r="Y1017" s="221">
        <f>Ruimtestaat[[#This Row],[uren / jaar werkdagen]]*Tariefsopbouw!$D$38</f>
        <v>0</v>
      </c>
      <c r="Z1017" s="33"/>
      <c r="AA1017" s="33">
        <f>IF(Ruimtestaat[[#This Row],[Frequentie weekend]]&gt;0,VALUE(LEFT(Z1017,1))*S1017,0)</f>
        <v>0</v>
      </c>
      <c r="AB1017" s="33">
        <f>IF($AA1017&gt;0,VLOOKUP($K1017,Ruimtegroepen[],3,FALSE)*VLOOKUP($M1017,Vloersoorten[],3,FALSE)*VLOOKUP($Z1017,Frequenties[],3,FALSE)*VLOOKUP(#REF!,Locaties[],3,FALSE),0)</f>
        <v>0</v>
      </c>
      <c r="AC1017" s="33"/>
      <c r="AD1017" s="33"/>
      <c r="AE1017" s="33">
        <f>Ruimtestaat[[#This Row],[uren / jaar weekend]]*Tariefsopbouw!$D$40</f>
        <v>0</v>
      </c>
      <c r="AF1017" s="79">
        <f>Ruimtestaat[[#This Row],[Prest. (m2 /jaar) weekend]]+Ruimtestaat[[#This Row],[Prest. (m2 /jaar) werkdagen]]</f>
        <v>8400</v>
      </c>
      <c r="AG1017" s="79">
        <f>Ruimtestaat[[#This Row],[uren / jaar weekend]]+Ruimtestaat[[#This Row],[uren / jaar werkdagen]]</f>
        <v>0</v>
      </c>
      <c r="AH1017" s="80">
        <f>Ruimtestaat[[#This Row],[kosten / jaar weekend]]+Ruimtestaat[[#This Row],[kosten / jaar werkdagen]]</f>
        <v>0</v>
      </c>
    </row>
    <row r="1018" spans="1:34" ht="15" customHeight="1">
      <c r="A1018" s="256">
        <v>12</v>
      </c>
      <c r="B1018" s="171" t="str">
        <f>VLOOKUP(Ruimtestaat[[#This Row],[Code]],Locaties[#All],2,FALSE)</f>
        <v>Onderwijscentrum Het Roessingh &amp; De Huifkar</v>
      </c>
      <c r="C1018" s="258" t="str">
        <f>VLOOKUP(Ruimtestaat[[#This Row],[Code]],Locaties[#All],4,FALSE)</f>
        <v>Roessinghsbleekweg 35</v>
      </c>
      <c r="D1018" s="258" t="str">
        <f>VLOOKUP(Ruimtestaat[[#This Row],[Code]],Locaties[#All],5,FALSE)</f>
        <v>7522 AH</v>
      </c>
      <c r="E1018" s="258" t="str">
        <f>VLOOKUP(Ruimtestaat[[#This Row],[Code]],Locaties[#All],6,FALSE)</f>
        <v>Enschede</v>
      </c>
      <c r="F1018" s="257"/>
      <c r="G1018" s="257" t="s">
        <v>564</v>
      </c>
      <c r="H1018" s="171"/>
      <c r="I1018" s="257" t="s">
        <v>886</v>
      </c>
      <c r="J1018" s="259" t="s">
        <v>571</v>
      </c>
      <c r="K1018" s="258">
        <v>2</v>
      </c>
      <c r="L1018" s="260" t="str">
        <f>VLOOKUP(Ruimtestaat[[#This Row],[Ruimte code]],Ruimtegroepen[#All],2,FALSE)</f>
        <v>Kantoren</v>
      </c>
      <c r="M1018" s="212" t="s">
        <v>597</v>
      </c>
      <c r="N1018" s="257" t="s">
        <v>38</v>
      </c>
      <c r="O1018" s="261">
        <v>30</v>
      </c>
      <c r="P1018" s="183"/>
      <c r="Q1018" s="212" t="str">
        <f>VLOOKUP(Ruimtestaat[[#This Row],[Ruimte code]],Ruimtegroepen[#All],4,FALSE)</f>
        <v>B  (Bureauruimte)</v>
      </c>
      <c r="R1018" s="184"/>
      <c r="S1018" s="185">
        <v>40</v>
      </c>
      <c r="T1018" s="185" t="s">
        <v>2</v>
      </c>
      <c r="U1018" s="185">
        <f>IF(S1018&gt;0,IF(RIGHT(Ruimtestaat[[#This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8" s="185">
        <f>IF(U1018&gt;0,VLOOKUP($K1018,Ruimtegroepen[],3,FALSE)*VLOOKUP($M1018,Vloersoorten[],3,FALSE)*VLOOKUP($T1018,Frequenties[],3,FALSE)*VLOOKUP($A1018,Locaties[],3,FALSE),0)</f>
        <v>0</v>
      </c>
      <c r="W1018" s="185">
        <f>Ruimtestaat[[#This Row],[Uitvoeringen werkdagen]]*Ruimtestaat[[#This Row],[Oppervlak (netto)]]</f>
        <v>6000</v>
      </c>
      <c r="X1018" s="220">
        <f>IF(V1018&gt;0,Ruimtestaat[[#This Row],[Prest. (m2 /jaar) werkdagen]]/Ruimtestaat[[#This Row],[Norm (m2/uur) werkdagen]],0)</f>
        <v>0</v>
      </c>
      <c r="Y1018" s="221">
        <f>Ruimtestaat[[#This Row],[uren / jaar werkdagen]]*Tariefsopbouw!$D$38</f>
        <v>0</v>
      </c>
      <c r="Z1018" s="33"/>
      <c r="AA1018" s="33">
        <f>IF(Ruimtestaat[[#This Row],[Frequentie weekend]]&gt;0,VALUE(LEFT(Z1018,1))*S1018,0)</f>
        <v>0</v>
      </c>
      <c r="AB1018" s="33">
        <f>IF($AA1018&gt;0,VLOOKUP($K1018,Ruimtegroepen[],3,FALSE)*VLOOKUP($M1018,Vloersoorten[],3,FALSE)*VLOOKUP($Z1018,Frequenties[],3,FALSE)*VLOOKUP(#REF!,Locaties[],3,FALSE),0)</f>
        <v>0</v>
      </c>
      <c r="AC1018" s="33"/>
      <c r="AD1018" s="33"/>
      <c r="AE1018" s="33">
        <f>Ruimtestaat[[#This Row],[uren / jaar weekend]]*Tariefsopbouw!$D$40</f>
        <v>0</v>
      </c>
      <c r="AF1018" s="79">
        <f>Ruimtestaat[[#This Row],[Prest. (m2 /jaar) weekend]]+Ruimtestaat[[#This Row],[Prest. (m2 /jaar) werkdagen]]</f>
        <v>6000</v>
      </c>
      <c r="AG1018" s="79">
        <f>Ruimtestaat[[#This Row],[uren / jaar weekend]]+Ruimtestaat[[#This Row],[uren / jaar werkdagen]]</f>
        <v>0</v>
      </c>
      <c r="AH1018" s="80">
        <f>Ruimtestaat[[#This Row],[kosten / jaar weekend]]+Ruimtestaat[[#This Row],[kosten / jaar werkdagen]]</f>
        <v>0</v>
      </c>
    </row>
    <row r="1019" spans="1:34" ht="15" customHeight="1">
      <c r="A1019" s="256">
        <v>12</v>
      </c>
      <c r="B1019" s="171" t="str">
        <f>VLOOKUP(Ruimtestaat[[#This Row],[Code]],Locaties[#All],2,FALSE)</f>
        <v>Onderwijscentrum Het Roessingh &amp; De Huifkar</v>
      </c>
      <c r="C1019" s="258" t="str">
        <f>VLOOKUP(Ruimtestaat[[#This Row],[Code]],Locaties[#All],4,FALSE)</f>
        <v>Roessinghsbleekweg 35</v>
      </c>
      <c r="D1019" s="258" t="str">
        <f>VLOOKUP(Ruimtestaat[[#This Row],[Code]],Locaties[#All],5,FALSE)</f>
        <v>7522 AH</v>
      </c>
      <c r="E1019" s="258" t="str">
        <f>VLOOKUP(Ruimtestaat[[#This Row],[Code]],Locaties[#All],6,FALSE)</f>
        <v>Enschede</v>
      </c>
      <c r="F1019" s="257"/>
      <c r="G1019" s="257" t="s">
        <v>564</v>
      </c>
      <c r="H1019" s="171"/>
      <c r="I1019" s="257" t="s">
        <v>887</v>
      </c>
      <c r="J1019" s="259" t="s">
        <v>571</v>
      </c>
      <c r="K1019" s="171">
        <v>2</v>
      </c>
      <c r="L1019" s="260" t="str">
        <f>VLOOKUP(Ruimtestaat[[#This Row],[Ruimte code]],Ruimtegroepen[#All],2,FALSE)</f>
        <v>Kantoren</v>
      </c>
      <c r="M1019" s="212" t="s">
        <v>597</v>
      </c>
      <c r="N1019" s="257" t="s">
        <v>38</v>
      </c>
      <c r="O1019" s="261">
        <v>16</v>
      </c>
      <c r="P1019" s="183"/>
      <c r="Q1019" s="212" t="str">
        <f>VLOOKUP(Ruimtestaat[[#This Row],[Ruimte code]],Ruimtegroepen[#All],4,FALSE)</f>
        <v>B  (Bureauruimte)</v>
      </c>
      <c r="R1019" s="184"/>
      <c r="S1019" s="185">
        <v>40</v>
      </c>
      <c r="T1019" s="185" t="s">
        <v>2</v>
      </c>
      <c r="U1019" s="185">
        <f>IF(S1019&gt;0,IF(RIGHT(Ruimtestaat[[#This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9" s="185">
        <f>IF(U1019&gt;0,VLOOKUP($K1019,Ruimtegroepen[],3,FALSE)*VLOOKUP($M1019,Vloersoorten[],3,FALSE)*VLOOKUP($T1019,Frequenties[],3,FALSE)*VLOOKUP($A1019,Locaties[],3,FALSE),0)</f>
        <v>0</v>
      </c>
      <c r="W1019" s="185">
        <f>Ruimtestaat[[#This Row],[Uitvoeringen werkdagen]]*Ruimtestaat[[#This Row],[Oppervlak (netto)]]</f>
        <v>3200</v>
      </c>
      <c r="X1019" s="220">
        <f>IF(V1019&gt;0,Ruimtestaat[[#This Row],[Prest. (m2 /jaar) werkdagen]]/Ruimtestaat[[#This Row],[Norm (m2/uur) werkdagen]],0)</f>
        <v>0</v>
      </c>
      <c r="Y1019" s="221">
        <f>Ruimtestaat[[#This Row],[uren / jaar werkdagen]]*Tariefsopbouw!$D$38</f>
        <v>0</v>
      </c>
      <c r="Z1019" s="33"/>
      <c r="AA1019" s="33">
        <f>IF(Ruimtestaat[[#This Row],[Frequentie weekend]]&gt;0,VALUE(LEFT(Z1019,1))*S1019,0)</f>
        <v>0</v>
      </c>
      <c r="AB1019" s="33">
        <f>IF($AA1019&gt;0,VLOOKUP($K1019,Ruimtegroepen[],3,FALSE)*VLOOKUP($M1019,Vloersoorten[],3,FALSE)*VLOOKUP($Z1019,Frequenties[],3,FALSE)*VLOOKUP(#REF!,Locaties[],3,FALSE),0)</f>
        <v>0</v>
      </c>
      <c r="AC1019" s="33"/>
      <c r="AD1019" s="33"/>
      <c r="AE1019" s="33">
        <f>Ruimtestaat[[#This Row],[uren / jaar weekend]]*Tariefsopbouw!$D$40</f>
        <v>0</v>
      </c>
      <c r="AF1019" s="79">
        <f>Ruimtestaat[[#This Row],[Prest. (m2 /jaar) weekend]]+Ruimtestaat[[#This Row],[Prest. (m2 /jaar) werkdagen]]</f>
        <v>3200</v>
      </c>
      <c r="AG1019" s="79">
        <f>Ruimtestaat[[#This Row],[uren / jaar weekend]]+Ruimtestaat[[#This Row],[uren / jaar werkdagen]]</f>
        <v>0</v>
      </c>
      <c r="AH1019" s="80">
        <f>Ruimtestaat[[#This Row],[kosten / jaar weekend]]+Ruimtestaat[[#This Row],[kosten / jaar werkdagen]]</f>
        <v>0</v>
      </c>
    </row>
    <row r="1020" spans="1:34" ht="15" customHeight="1">
      <c r="A1020" s="256">
        <v>12</v>
      </c>
      <c r="B1020" s="171" t="str">
        <f>VLOOKUP(Ruimtestaat[[#This Row],[Code]],Locaties[#All],2,FALSE)</f>
        <v>Onderwijscentrum Het Roessingh &amp; De Huifkar</v>
      </c>
      <c r="C1020" s="258" t="str">
        <f>VLOOKUP(Ruimtestaat[[#This Row],[Code]],Locaties[#All],4,FALSE)</f>
        <v>Roessinghsbleekweg 35</v>
      </c>
      <c r="D1020" s="258" t="str">
        <f>VLOOKUP(Ruimtestaat[[#This Row],[Code]],Locaties[#All],5,FALSE)</f>
        <v>7522 AH</v>
      </c>
      <c r="E1020" s="258" t="str">
        <f>VLOOKUP(Ruimtestaat[[#This Row],[Code]],Locaties[#All],6,FALSE)</f>
        <v>Enschede</v>
      </c>
      <c r="F1020" s="257"/>
      <c r="G1020" s="257" t="s">
        <v>564</v>
      </c>
      <c r="H1020" s="171"/>
      <c r="I1020" s="257">
        <v>108</v>
      </c>
      <c r="J1020" s="259" t="s">
        <v>1032</v>
      </c>
      <c r="K1020" s="258">
        <v>20</v>
      </c>
      <c r="L1020" s="260" t="str">
        <f>VLOOKUP(Ruimtestaat[[#This Row],[Ruimte code]],Ruimtegroepen[#All],2,FALSE)</f>
        <v>Niet in onderhoud</v>
      </c>
      <c r="M1020" s="185"/>
      <c r="N1020" s="257"/>
      <c r="O1020" s="261"/>
      <c r="P1020" s="183"/>
      <c r="Q1020" s="212" t="str">
        <f>VLOOKUP(Ruimtestaat[[#This Row],[Ruimte code]],Ruimtegroepen[#All],4,FALSE)</f>
        <v>niet in onderhoud</v>
      </c>
      <c r="R1020" s="184"/>
      <c r="S1020" s="185"/>
      <c r="T1020" s="185"/>
      <c r="U1020" s="185">
        <f>IF(S1020&gt;0,IF(RIGHT(Ruimtestaat[[#This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20" s="185">
        <f>IF(U1020&gt;0,VLOOKUP($K1020,Ruimtegroepen[],3,FALSE)*VLOOKUP($M1020,Vloersoorten[],3,FALSE)*VLOOKUP($T1020,Frequenties[],3,FALSE)*VLOOKUP($A1020,Locaties[],3,FALSE),0)</f>
        <v>0</v>
      </c>
      <c r="W1020" s="185">
        <f>Ruimtestaat[[#This Row],[Uitvoeringen werkdagen]]*Ruimtestaat[[#This Row],[Oppervlak (netto)]]</f>
        <v>0</v>
      </c>
      <c r="X1020" s="220">
        <f>IF(V1020&gt;0,Ruimtestaat[[#This Row],[Prest. (m2 /jaar) werkdagen]]/Ruimtestaat[[#This Row],[Norm (m2/uur) werkdagen]],0)</f>
        <v>0</v>
      </c>
      <c r="Y1020" s="221">
        <f>Ruimtestaat[[#This Row],[uren / jaar werkdagen]]*Tariefsopbouw!$D$38</f>
        <v>0</v>
      </c>
      <c r="Z1020" s="33"/>
      <c r="AA1020" s="33">
        <f>IF(Ruimtestaat[[#This Row],[Frequentie weekend]]&gt;0,VALUE(LEFT(Z1020,1))*S1020,0)</f>
        <v>0</v>
      </c>
      <c r="AB1020" s="33">
        <f>IF($AA1020&gt;0,VLOOKUP($K1020,Ruimtegroepen[],3,FALSE)*VLOOKUP($M1020,Vloersoorten[],3,FALSE)*VLOOKUP($Z1020,Frequenties[],3,FALSE)*VLOOKUP(#REF!,Locaties[],3,FALSE),0)</f>
        <v>0</v>
      </c>
      <c r="AC1020" s="33"/>
      <c r="AD1020" s="33"/>
      <c r="AE1020" s="33">
        <f>Ruimtestaat[[#This Row],[uren / jaar weekend]]*Tariefsopbouw!$D$40</f>
        <v>0</v>
      </c>
      <c r="AF1020" s="79">
        <f>Ruimtestaat[[#This Row],[Prest. (m2 /jaar) weekend]]+Ruimtestaat[[#This Row],[Prest. (m2 /jaar) werkdagen]]</f>
        <v>0</v>
      </c>
      <c r="AG1020" s="79">
        <f>Ruimtestaat[[#This Row],[uren / jaar weekend]]+Ruimtestaat[[#This Row],[uren / jaar werkdagen]]</f>
        <v>0</v>
      </c>
      <c r="AH1020" s="80">
        <f>Ruimtestaat[[#This Row],[kosten / jaar weekend]]+Ruimtestaat[[#This Row],[kosten / jaar werkdagen]]</f>
        <v>0</v>
      </c>
    </row>
    <row r="1021" spans="1:34" ht="15" customHeight="1">
      <c r="A1021" s="256">
        <v>12</v>
      </c>
      <c r="B1021" s="171" t="str">
        <f>VLOOKUP(Ruimtestaat[[#This Row],[Code]],Locaties[#All],2,FALSE)</f>
        <v>Onderwijscentrum Het Roessingh &amp; De Huifkar</v>
      </c>
      <c r="C1021" s="258" t="str">
        <f>VLOOKUP(Ruimtestaat[[#This Row],[Code]],Locaties[#All],4,FALSE)</f>
        <v>Roessinghsbleekweg 35</v>
      </c>
      <c r="D1021" s="258" t="str">
        <f>VLOOKUP(Ruimtestaat[[#This Row],[Code]],Locaties[#All],5,FALSE)</f>
        <v>7522 AH</v>
      </c>
      <c r="E1021" s="258" t="str">
        <f>VLOOKUP(Ruimtestaat[[#This Row],[Code]],Locaties[#All],6,FALSE)</f>
        <v>Enschede</v>
      </c>
      <c r="F1021" s="257"/>
      <c r="G1021" s="257" t="s">
        <v>564</v>
      </c>
      <c r="H1021" s="171"/>
      <c r="I1021" s="257">
        <v>109</v>
      </c>
      <c r="J1021" s="259" t="s">
        <v>591</v>
      </c>
      <c r="K1021" s="258">
        <v>4</v>
      </c>
      <c r="L1021" s="260" t="str">
        <f>VLOOKUP(Ruimtestaat[[#This Row],[Ruimte code]],Ruimtegroepen[#All],2,FALSE)</f>
        <v>Vergader/spreekkamers</v>
      </c>
      <c r="M1021" s="185" t="s">
        <v>597</v>
      </c>
      <c r="N1021" s="257" t="s">
        <v>38</v>
      </c>
      <c r="O1021" s="261">
        <v>25</v>
      </c>
      <c r="P1021" s="183"/>
      <c r="Q1021" s="212" t="str">
        <f>VLOOKUP(Ruimtestaat[[#This Row],[Ruimte code]],Ruimtegroepen[#All],4,FALSE)</f>
        <v>B  (Bureauruimte)</v>
      </c>
      <c r="R1021" s="184"/>
      <c r="S1021" s="185">
        <v>40</v>
      </c>
      <c r="T1021" s="185" t="s">
        <v>18</v>
      </c>
      <c r="U1021" s="185">
        <f>IF(S1021&gt;0,IF(RIGHT(Ruimtestaat[[#This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021" s="185">
        <f>IF(U1021&gt;0,VLOOKUP($K1021,Ruimtegroepen[],3,FALSE)*VLOOKUP($M1021,Vloersoorten[],3,FALSE)*VLOOKUP($T1021,Frequenties[],3,FALSE)*VLOOKUP($A1021,Locaties[],3,FALSE),0)</f>
        <v>0</v>
      </c>
      <c r="W1021" s="185">
        <f>Ruimtestaat[[#This Row],[Uitvoeringen werkdagen]]*Ruimtestaat[[#This Row],[Oppervlak (netto)]]</f>
        <v>3000</v>
      </c>
      <c r="X1021" s="220">
        <f>IF(V1021&gt;0,Ruimtestaat[[#This Row],[Prest. (m2 /jaar) werkdagen]]/Ruimtestaat[[#This Row],[Norm (m2/uur) werkdagen]],0)</f>
        <v>0</v>
      </c>
      <c r="Y1021" s="221">
        <f>Ruimtestaat[[#This Row],[uren / jaar werkdagen]]*Tariefsopbouw!$D$38</f>
        <v>0</v>
      </c>
      <c r="Z1021" s="33"/>
      <c r="AA1021" s="33">
        <f>IF(Ruimtestaat[[#This Row],[Frequentie weekend]]&gt;0,VALUE(LEFT(Z1021,1))*S1021,0)</f>
        <v>0</v>
      </c>
      <c r="AB1021" s="33">
        <f>IF($AA1021&gt;0,VLOOKUP($K1021,Ruimtegroepen[],3,FALSE)*VLOOKUP($M1021,Vloersoorten[],3,FALSE)*VLOOKUP($Z1021,Frequenties[],3,FALSE)*VLOOKUP(#REF!,Locaties[],3,FALSE),0)</f>
        <v>0</v>
      </c>
      <c r="AC1021" s="33"/>
      <c r="AD1021" s="33"/>
      <c r="AE1021" s="33">
        <f>Ruimtestaat[[#This Row],[uren / jaar weekend]]*Tariefsopbouw!$D$40</f>
        <v>0</v>
      </c>
      <c r="AF1021" s="79">
        <f>Ruimtestaat[[#This Row],[Prest. (m2 /jaar) weekend]]+Ruimtestaat[[#This Row],[Prest. (m2 /jaar) werkdagen]]</f>
        <v>3000</v>
      </c>
      <c r="AG1021" s="79">
        <f>Ruimtestaat[[#This Row],[uren / jaar weekend]]+Ruimtestaat[[#This Row],[uren / jaar werkdagen]]</f>
        <v>0</v>
      </c>
      <c r="AH1021" s="80">
        <f>Ruimtestaat[[#This Row],[kosten / jaar weekend]]+Ruimtestaat[[#This Row],[kosten / jaar werkdagen]]</f>
        <v>0</v>
      </c>
    </row>
    <row r="1022" spans="1:34" ht="15" customHeight="1">
      <c r="A1022" s="256">
        <v>12</v>
      </c>
      <c r="B1022" s="171" t="str">
        <f>VLOOKUP(Ruimtestaat[[#This Row],[Code]],Locaties[#All],2,FALSE)</f>
        <v>Onderwijscentrum Het Roessingh &amp; De Huifkar</v>
      </c>
      <c r="C1022" s="258" t="str">
        <f>VLOOKUP(Ruimtestaat[[#This Row],[Code]],Locaties[#All],4,FALSE)</f>
        <v>Roessinghsbleekweg 35</v>
      </c>
      <c r="D1022" s="258" t="str">
        <f>VLOOKUP(Ruimtestaat[[#This Row],[Code]],Locaties[#All],5,FALSE)</f>
        <v>7522 AH</v>
      </c>
      <c r="E1022" s="258" t="str">
        <f>VLOOKUP(Ruimtestaat[[#This Row],[Code]],Locaties[#All],6,FALSE)</f>
        <v>Enschede</v>
      </c>
      <c r="F1022" s="257"/>
      <c r="G1022" s="257" t="s">
        <v>564</v>
      </c>
      <c r="H1022" s="171"/>
      <c r="I1022" s="257">
        <v>110</v>
      </c>
      <c r="J1022" s="259" t="s">
        <v>571</v>
      </c>
      <c r="K1022" s="171">
        <v>2</v>
      </c>
      <c r="L1022" s="260" t="str">
        <f>VLOOKUP(Ruimtestaat[[#This Row],[Ruimte code]],Ruimtegroepen[#All],2,FALSE)</f>
        <v>Kantoren</v>
      </c>
      <c r="M1022" s="258" t="s">
        <v>597</v>
      </c>
      <c r="N1022" s="257" t="s">
        <v>38</v>
      </c>
      <c r="O1022" s="261">
        <v>23</v>
      </c>
      <c r="P1022" s="183"/>
      <c r="Q1022" s="212" t="str">
        <f>VLOOKUP(Ruimtestaat[[#This Row],[Ruimte code]],Ruimtegroepen[#All],4,FALSE)</f>
        <v>B  (Bureauruimte)</v>
      </c>
      <c r="R1022" s="184"/>
      <c r="S1022" s="185">
        <v>40</v>
      </c>
      <c r="T1022" s="185" t="s">
        <v>2</v>
      </c>
      <c r="U1022" s="185">
        <f>IF(S1022&gt;0,IF(RIGHT(Ruimtestaat[[#This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2" s="185">
        <f>IF(U1022&gt;0,VLOOKUP($K1022,Ruimtegroepen[],3,FALSE)*VLOOKUP($M1022,Vloersoorten[],3,FALSE)*VLOOKUP($T1022,Frequenties[],3,FALSE)*VLOOKUP($A1022,Locaties[],3,FALSE),0)</f>
        <v>0</v>
      </c>
      <c r="W1022" s="185">
        <f>Ruimtestaat[[#This Row],[Uitvoeringen werkdagen]]*Ruimtestaat[[#This Row],[Oppervlak (netto)]]</f>
        <v>4600</v>
      </c>
      <c r="X1022" s="220">
        <f>IF(V1022&gt;0,Ruimtestaat[[#This Row],[Prest. (m2 /jaar) werkdagen]]/Ruimtestaat[[#This Row],[Norm (m2/uur) werkdagen]],0)</f>
        <v>0</v>
      </c>
      <c r="Y1022" s="221">
        <f>Ruimtestaat[[#This Row],[uren / jaar werkdagen]]*Tariefsopbouw!$D$38</f>
        <v>0</v>
      </c>
      <c r="Z1022" s="33"/>
      <c r="AA1022" s="33">
        <f>IF(Ruimtestaat[[#This Row],[Frequentie weekend]]&gt;0,VALUE(LEFT(Z1022,1))*S1022,0)</f>
        <v>0</v>
      </c>
      <c r="AB1022" s="33">
        <f>IF($AA1022&gt;0,VLOOKUP($K1022,Ruimtegroepen[],3,FALSE)*VLOOKUP($M1022,Vloersoorten[],3,FALSE)*VLOOKUP($Z1022,Frequenties[],3,FALSE)*VLOOKUP(#REF!,Locaties[],3,FALSE),0)</f>
        <v>0</v>
      </c>
      <c r="AC1022" s="33"/>
      <c r="AD1022" s="33"/>
      <c r="AE1022" s="33">
        <f>Ruimtestaat[[#This Row],[uren / jaar weekend]]*Tariefsopbouw!$D$40</f>
        <v>0</v>
      </c>
      <c r="AF1022" s="79">
        <f>Ruimtestaat[[#This Row],[Prest. (m2 /jaar) weekend]]+Ruimtestaat[[#This Row],[Prest. (m2 /jaar) werkdagen]]</f>
        <v>4600</v>
      </c>
      <c r="AG1022" s="79">
        <f>Ruimtestaat[[#This Row],[uren / jaar weekend]]+Ruimtestaat[[#This Row],[uren / jaar werkdagen]]</f>
        <v>0</v>
      </c>
      <c r="AH1022" s="80">
        <f>Ruimtestaat[[#This Row],[kosten / jaar weekend]]+Ruimtestaat[[#This Row],[kosten / jaar werkdagen]]</f>
        <v>0</v>
      </c>
    </row>
    <row r="1023" spans="1:34" ht="15" customHeight="1">
      <c r="A1023" s="256">
        <v>12</v>
      </c>
      <c r="B1023" s="171" t="str">
        <f>VLOOKUP(Ruimtestaat[[#This Row],[Code]],Locaties[#All],2,FALSE)</f>
        <v>Onderwijscentrum Het Roessingh &amp; De Huifkar</v>
      </c>
      <c r="C1023" s="258" t="str">
        <f>VLOOKUP(Ruimtestaat[[#This Row],[Code]],Locaties[#All],4,FALSE)</f>
        <v>Roessinghsbleekweg 35</v>
      </c>
      <c r="D1023" s="258" t="str">
        <f>VLOOKUP(Ruimtestaat[[#This Row],[Code]],Locaties[#All],5,FALSE)</f>
        <v>7522 AH</v>
      </c>
      <c r="E1023" s="258" t="str">
        <f>VLOOKUP(Ruimtestaat[[#This Row],[Code]],Locaties[#All],6,FALSE)</f>
        <v>Enschede</v>
      </c>
      <c r="F1023" s="257"/>
      <c r="G1023" s="257" t="s">
        <v>564</v>
      </c>
      <c r="H1023" s="171"/>
      <c r="I1023" s="257">
        <v>121</v>
      </c>
      <c r="J1023" s="259" t="s">
        <v>576</v>
      </c>
      <c r="K1023" s="171">
        <v>16</v>
      </c>
      <c r="L1023" s="260" t="str">
        <f>VLOOKUP(Ruimtestaat[[#This Row],[Ruimte code]],Ruimtegroepen[#All],2,FALSE)</f>
        <v>Leslokalen</v>
      </c>
      <c r="M1023" s="258" t="s">
        <v>598</v>
      </c>
      <c r="N1023" s="257" t="s">
        <v>132</v>
      </c>
      <c r="O1023" s="261">
        <v>57</v>
      </c>
      <c r="P1023" s="183"/>
      <c r="Q1023" s="212" t="str">
        <f>VLOOKUP(Ruimtestaat[[#This Row],[Ruimte code]],Ruimtegroepen[#All],4,FALSE)</f>
        <v>L  (Lesruimte)</v>
      </c>
      <c r="R1023" s="184"/>
      <c r="S1023" s="185">
        <v>40</v>
      </c>
      <c r="T1023" s="185" t="s">
        <v>2</v>
      </c>
      <c r="U1023" s="185">
        <f>IF(S1023&gt;0,IF(RIGHT(Ruimtestaat[[#This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3" s="185">
        <f>IF(U1023&gt;0,VLOOKUP($K1023,Ruimtegroepen[],3,FALSE)*VLOOKUP($M1023,Vloersoorten[],3,FALSE)*VLOOKUP($T1023,Frequenties[],3,FALSE)*VLOOKUP($A1023,Locaties[],3,FALSE),0)</f>
        <v>0</v>
      </c>
      <c r="W1023" s="185">
        <f>Ruimtestaat[[#This Row],[Uitvoeringen werkdagen]]*Ruimtestaat[[#This Row],[Oppervlak (netto)]]</f>
        <v>11400</v>
      </c>
      <c r="X1023" s="220">
        <f>IF(V1023&gt;0,Ruimtestaat[[#This Row],[Prest. (m2 /jaar) werkdagen]]/Ruimtestaat[[#This Row],[Norm (m2/uur) werkdagen]],0)</f>
        <v>0</v>
      </c>
      <c r="Y1023" s="221">
        <f>Ruimtestaat[[#This Row],[uren / jaar werkdagen]]*Tariefsopbouw!$D$38</f>
        <v>0</v>
      </c>
      <c r="Z1023" s="33"/>
      <c r="AA1023" s="33">
        <f>IF(Ruimtestaat[[#This Row],[Frequentie weekend]]&gt;0,VALUE(LEFT(Z1023,1))*S1023,0)</f>
        <v>0</v>
      </c>
      <c r="AB1023" s="33">
        <f>IF($AA1023&gt;0,VLOOKUP($K1023,Ruimtegroepen[],3,FALSE)*VLOOKUP($M1023,Vloersoorten[],3,FALSE)*VLOOKUP($Z1023,Frequenties[],3,FALSE)*VLOOKUP(#REF!,Locaties[],3,FALSE),0)</f>
        <v>0</v>
      </c>
      <c r="AC1023" s="33"/>
      <c r="AD1023" s="33"/>
      <c r="AE1023" s="33">
        <f>Ruimtestaat[[#This Row],[uren / jaar weekend]]*Tariefsopbouw!$D$40</f>
        <v>0</v>
      </c>
      <c r="AF1023" s="79">
        <f>Ruimtestaat[[#This Row],[Prest. (m2 /jaar) weekend]]+Ruimtestaat[[#This Row],[Prest. (m2 /jaar) werkdagen]]</f>
        <v>11400</v>
      </c>
      <c r="AG1023" s="79">
        <f>Ruimtestaat[[#This Row],[uren / jaar weekend]]+Ruimtestaat[[#This Row],[uren / jaar werkdagen]]</f>
        <v>0</v>
      </c>
      <c r="AH1023" s="80">
        <f>Ruimtestaat[[#This Row],[kosten / jaar weekend]]+Ruimtestaat[[#This Row],[kosten / jaar werkdagen]]</f>
        <v>0</v>
      </c>
    </row>
    <row r="1024" spans="1:34" ht="15" customHeight="1">
      <c r="A1024" s="256">
        <v>12</v>
      </c>
      <c r="B1024" s="171" t="str">
        <f>VLOOKUP(Ruimtestaat[[#This Row],[Code]],Locaties[#All],2,FALSE)</f>
        <v>Onderwijscentrum Het Roessingh &amp; De Huifkar</v>
      </c>
      <c r="C1024" s="258" t="str">
        <f>VLOOKUP(Ruimtestaat[[#This Row],[Code]],Locaties[#All],4,FALSE)</f>
        <v>Roessinghsbleekweg 35</v>
      </c>
      <c r="D1024" s="258" t="str">
        <f>VLOOKUP(Ruimtestaat[[#This Row],[Code]],Locaties[#All],5,FALSE)</f>
        <v>7522 AH</v>
      </c>
      <c r="E1024" s="258" t="str">
        <f>VLOOKUP(Ruimtestaat[[#This Row],[Code]],Locaties[#All],6,FALSE)</f>
        <v>Enschede</v>
      </c>
      <c r="F1024" s="257"/>
      <c r="G1024" s="257" t="s">
        <v>564</v>
      </c>
      <c r="H1024" s="171"/>
      <c r="I1024" s="257">
        <v>122</v>
      </c>
      <c r="J1024" s="259" t="s">
        <v>936</v>
      </c>
      <c r="K1024" s="224">
        <v>16</v>
      </c>
      <c r="L1024" s="260" t="str">
        <f>VLOOKUP(Ruimtestaat[[#This Row],[Ruimte code]],Ruimtegroepen[#All],2,FALSE)</f>
        <v>Leslokalen</v>
      </c>
      <c r="M1024" s="258" t="s">
        <v>598</v>
      </c>
      <c r="N1024" s="257" t="s">
        <v>132</v>
      </c>
      <c r="O1024" s="261">
        <v>31</v>
      </c>
      <c r="P1024" s="183"/>
      <c r="Q1024" s="212" t="str">
        <f>VLOOKUP(Ruimtestaat[[#This Row],[Ruimte code]],Ruimtegroepen[#All],4,FALSE)</f>
        <v>L  (Lesruimte)</v>
      </c>
      <c r="R1024" s="184"/>
      <c r="S1024" s="185">
        <v>40</v>
      </c>
      <c r="T1024" s="185" t="s">
        <v>2</v>
      </c>
      <c r="U1024" s="185">
        <f>IF(S1024&gt;0,IF(RIGHT(Ruimtestaat[[#This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4" s="185">
        <f>IF(U1024&gt;0,VLOOKUP($K1024,Ruimtegroepen[],3,FALSE)*VLOOKUP($M1024,Vloersoorten[],3,FALSE)*VLOOKUP($T1024,Frequenties[],3,FALSE)*VLOOKUP($A1024,Locaties[],3,FALSE),0)</f>
        <v>0</v>
      </c>
      <c r="W1024" s="185">
        <f>Ruimtestaat[[#This Row],[Uitvoeringen werkdagen]]*Ruimtestaat[[#This Row],[Oppervlak (netto)]]</f>
        <v>6200</v>
      </c>
      <c r="X1024" s="220">
        <f>IF(V1024&gt;0,Ruimtestaat[[#This Row],[Prest. (m2 /jaar) werkdagen]]/Ruimtestaat[[#This Row],[Norm (m2/uur) werkdagen]],0)</f>
        <v>0</v>
      </c>
      <c r="Y1024" s="221">
        <f>Ruimtestaat[[#This Row],[uren / jaar werkdagen]]*Tariefsopbouw!$D$38</f>
        <v>0</v>
      </c>
      <c r="Z1024" s="33"/>
      <c r="AA1024" s="33">
        <f>IF(Ruimtestaat[[#This Row],[Frequentie weekend]]&gt;0,VALUE(LEFT(Z1024,1))*S1024,0)</f>
        <v>0</v>
      </c>
      <c r="AB1024" s="33">
        <f>IF($AA1024&gt;0,VLOOKUP($K1024,Ruimtegroepen[],3,FALSE)*VLOOKUP($M1024,Vloersoorten[],3,FALSE)*VLOOKUP($Z1024,Frequenties[],3,FALSE)*VLOOKUP(#REF!,Locaties[],3,FALSE),0)</f>
        <v>0</v>
      </c>
      <c r="AC1024" s="33"/>
      <c r="AD1024" s="33"/>
      <c r="AE1024" s="33">
        <f>Ruimtestaat[[#This Row],[uren / jaar weekend]]*Tariefsopbouw!$D$40</f>
        <v>0</v>
      </c>
      <c r="AF1024" s="79">
        <f>Ruimtestaat[[#This Row],[Prest. (m2 /jaar) weekend]]+Ruimtestaat[[#This Row],[Prest. (m2 /jaar) werkdagen]]</f>
        <v>6200</v>
      </c>
      <c r="AG1024" s="79">
        <f>Ruimtestaat[[#This Row],[uren / jaar weekend]]+Ruimtestaat[[#This Row],[uren / jaar werkdagen]]</f>
        <v>0</v>
      </c>
      <c r="AH1024" s="80">
        <f>Ruimtestaat[[#This Row],[kosten / jaar weekend]]+Ruimtestaat[[#This Row],[kosten / jaar werkdagen]]</f>
        <v>0</v>
      </c>
    </row>
    <row r="1025" spans="1:34" ht="15" customHeight="1">
      <c r="A1025" s="256">
        <v>12</v>
      </c>
      <c r="B1025" s="171" t="str">
        <f>VLOOKUP(Ruimtestaat[[#This Row],[Code]],Locaties[#All],2,FALSE)</f>
        <v>Onderwijscentrum Het Roessingh &amp; De Huifkar</v>
      </c>
      <c r="C1025" s="258" t="str">
        <f>VLOOKUP(Ruimtestaat[[#This Row],[Code]],Locaties[#All],4,FALSE)</f>
        <v>Roessinghsbleekweg 35</v>
      </c>
      <c r="D1025" s="258" t="str">
        <f>VLOOKUP(Ruimtestaat[[#This Row],[Code]],Locaties[#All],5,FALSE)</f>
        <v>7522 AH</v>
      </c>
      <c r="E1025" s="258" t="str">
        <f>VLOOKUP(Ruimtestaat[[#This Row],[Code]],Locaties[#All],6,FALSE)</f>
        <v>Enschede</v>
      </c>
      <c r="F1025" s="257"/>
      <c r="G1025" s="257" t="s">
        <v>564</v>
      </c>
      <c r="H1025" s="171"/>
      <c r="I1025" s="257" t="s">
        <v>1033</v>
      </c>
      <c r="J1025" s="259" t="s">
        <v>574</v>
      </c>
      <c r="K1025" s="171">
        <v>6</v>
      </c>
      <c r="L1025" s="260" t="str">
        <f>VLOOKUP(Ruimtestaat[[#This Row],[Ruimte code]],Ruimtegroepen[#All],2,FALSE)</f>
        <v>Gangen/hallen</v>
      </c>
      <c r="M1025" s="258" t="s">
        <v>598</v>
      </c>
      <c r="N1025" s="257" t="s">
        <v>132</v>
      </c>
      <c r="O1025" s="261">
        <v>8</v>
      </c>
      <c r="P1025" s="183"/>
      <c r="Q1025" s="212" t="str">
        <f>VLOOKUP(Ruimtestaat[[#This Row],[Ruimte code]],Ruimtegroepen[#All],4,FALSE)</f>
        <v>V  (Verkeersruimte)</v>
      </c>
      <c r="R1025" s="184"/>
      <c r="S1025" s="185">
        <v>40</v>
      </c>
      <c r="T1025" s="185" t="s">
        <v>2</v>
      </c>
      <c r="U1025" s="185">
        <f>IF(S1025&gt;0,IF(RIGHT(Ruimtestaat[[#This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5" s="185">
        <f>IF(U1025&gt;0,VLOOKUP($K1025,Ruimtegroepen[],3,FALSE)*VLOOKUP($M1025,Vloersoorten[],3,FALSE)*VLOOKUP($T1025,Frequenties[],3,FALSE)*VLOOKUP($A1025,Locaties[],3,FALSE),0)</f>
        <v>0</v>
      </c>
      <c r="W1025" s="185">
        <f>Ruimtestaat[[#This Row],[Uitvoeringen werkdagen]]*Ruimtestaat[[#This Row],[Oppervlak (netto)]]</f>
        <v>1600</v>
      </c>
      <c r="X1025" s="220">
        <f>IF(V1025&gt;0,Ruimtestaat[[#This Row],[Prest. (m2 /jaar) werkdagen]]/Ruimtestaat[[#This Row],[Norm (m2/uur) werkdagen]],0)</f>
        <v>0</v>
      </c>
      <c r="Y1025" s="221">
        <f>Ruimtestaat[[#This Row],[uren / jaar werkdagen]]*Tariefsopbouw!$D$38</f>
        <v>0</v>
      </c>
      <c r="Z1025" s="33"/>
      <c r="AA1025" s="33">
        <f>IF(Ruimtestaat[[#This Row],[Frequentie weekend]]&gt;0,VALUE(LEFT(Z1025,1))*S1025,0)</f>
        <v>0</v>
      </c>
      <c r="AB1025" s="33">
        <f>IF($AA1025&gt;0,VLOOKUP($K1025,Ruimtegroepen[],3,FALSE)*VLOOKUP($M1025,Vloersoorten[],3,FALSE)*VLOOKUP($Z1025,Frequenties[],3,FALSE)*VLOOKUP(#REF!,Locaties[],3,FALSE),0)</f>
        <v>0</v>
      </c>
      <c r="AC1025" s="33"/>
      <c r="AD1025" s="33"/>
      <c r="AE1025" s="33">
        <f>Ruimtestaat[[#This Row],[uren / jaar weekend]]*Tariefsopbouw!$D$40</f>
        <v>0</v>
      </c>
      <c r="AF1025" s="79">
        <f>Ruimtestaat[[#This Row],[Prest. (m2 /jaar) weekend]]+Ruimtestaat[[#This Row],[Prest. (m2 /jaar) werkdagen]]</f>
        <v>1600</v>
      </c>
      <c r="AG1025" s="79">
        <f>Ruimtestaat[[#This Row],[uren / jaar weekend]]+Ruimtestaat[[#This Row],[uren / jaar werkdagen]]</f>
        <v>0</v>
      </c>
      <c r="AH1025" s="80">
        <f>Ruimtestaat[[#This Row],[kosten / jaar weekend]]+Ruimtestaat[[#This Row],[kosten / jaar werkdagen]]</f>
        <v>0</v>
      </c>
    </row>
    <row r="1026" spans="1:34" ht="15" customHeight="1">
      <c r="A1026" s="256">
        <v>12</v>
      </c>
      <c r="B1026" s="171" t="str">
        <f>VLOOKUP(Ruimtestaat[[#This Row],[Code]],Locaties[#All],2,FALSE)</f>
        <v>Onderwijscentrum Het Roessingh &amp; De Huifkar</v>
      </c>
      <c r="C1026" s="258" t="str">
        <f>VLOOKUP(Ruimtestaat[[#This Row],[Code]],Locaties[#All],4,FALSE)</f>
        <v>Roessinghsbleekweg 35</v>
      </c>
      <c r="D1026" s="258" t="str">
        <f>VLOOKUP(Ruimtestaat[[#This Row],[Code]],Locaties[#All],5,FALSE)</f>
        <v>7522 AH</v>
      </c>
      <c r="E1026" s="258" t="str">
        <f>VLOOKUP(Ruimtestaat[[#This Row],[Code]],Locaties[#All],6,FALSE)</f>
        <v>Enschede</v>
      </c>
      <c r="F1026" s="257"/>
      <c r="G1026" s="257" t="s">
        <v>564</v>
      </c>
      <c r="H1026" s="171"/>
      <c r="I1026" s="257">
        <v>123</v>
      </c>
      <c r="J1026" s="259" t="s">
        <v>569</v>
      </c>
      <c r="K1026" s="224">
        <v>5</v>
      </c>
      <c r="L1026" s="260" t="str">
        <f>VLOOKUP(Ruimtestaat[[#This Row],[Ruimte code]],Ruimtegroepen[#All],2,FALSE)</f>
        <v>Sanitair</v>
      </c>
      <c r="M1026" s="212" t="s">
        <v>111</v>
      </c>
      <c r="N1026" s="257" t="s">
        <v>606</v>
      </c>
      <c r="O1026" s="261">
        <v>9.1999999999999993</v>
      </c>
      <c r="P1026" s="183"/>
      <c r="Q1026" s="212" t="str">
        <f>VLOOKUP(Ruimtestaat[[#This Row],[Ruimte code]],Ruimtegroepen[#All],4,FALSE)</f>
        <v>S  (Sanitair)</v>
      </c>
      <c r="R1026" s="184"/>
      <c r="S1026" s="185">
        <v>40</v>
      </c>
      <c r="T1026" s="185" t="s">
        <v>2</v>
      </c>
      <c r="U1026" s="185">
        <f>IF(S1026&gt;0,IF(RIGHT(Ruimtestaat[[#This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6" s="185">
        <f>IF(U1026&gt;0,VLOOKUP($K1026,Ruimtegroepen[],3,FALSE)*VLOOKUP($M1026,Vloersoorten[],3,FALSE)*VLOOKUP($T1026,Frequenties[],3,FALSE)*VLOOKUP($A1026,Locaties[],3,FALSE),0)</f>
        <v>0</v>
      </c>
      <c r="W1026" s="185">
        <f>Ruimtestaat[[#This Row],[Uitvoeringen werkdagen]]*Ruimtestaat[[#This Row],[Oppervlak (netto)]]</f>
        <v>1839.9999999999998</v>
      </c>
      <c r="X1026" s="220">
        <f>IF(V1026&gt;0,Ruimtestaat[[#This Row],[Prest. (m2 /jaar) werkdagen]]/Ruimtestaat[[#This Row],[Norm (m2/uur) werkdagen]],0)</f>
        <v>0</v>
      </c>
      <c r="Y1026" s="221">
        <f>Ruimtestaat[[#This Row],[uren / jaar werkdagen]]*Tariefsopbouw!$D$38</f>
        <v>0</v>
      </c>
      <c r="Z1026" s="33"/>
      <c r="AA1026" s="33">
        <f>IF(Ruimtestaat[[#This Row],[Frequentie weekend]]&gt;0,VALUE(LEFT(Z1026,1))*S1026,0)</f>
        <v>0</v>
      </c>
      <c r="AB1026" s="33">
        <f>IF($AA1026&gt;0,VLOOKUP($K1026,Ruimtegroepen[],3,FALSE)*VLOOKUP($M1026,Vloersoorten[],3,FALSE)*VLOOKUP($Z1026,Frequenties[],3,FALSE)*VLOOKUP(#REF!,Locaties[],3,FALSE),0)</f>
        <v>0</v>
      </c>
      <c r="AC1026" s="33"/>
      <c r="AD1026" s="33"/>
      <c r="AE1026" s="33">
        <f>Ruimtestaat[[#This Row],[uren / jaar weekend]]*Tariefsopbouw!$D$40</f>
        <v>0</v>
      </c>
      <c r="AF1026" s="79">
        <f>Ruimtestaat[[#This Row],[Prest. (m2 /jaar) weekend]]+Ruimtestaat[[#This Row],[Prest. (m2 /jaar) werkdagen]]</f>
        <v>1839.9999999999998</v>
      </c>
      <c r="AG1026" s="79">
        <f>Ruimtestaat[[#This Row],[uren / jaar weekend]]+Ruimtestaat[[#This Row],[uren / jaar werkdagen]]</f>
        <v>0</v>
      </c>
      <c r="AH1026" s="80">
        <f>Ruimtestaat[[#This Row],[kosten / jaar weekend]]+Ruimtestaat[[#This Row],[kosten / jaar werkdagen]]</f>
        <v>0</v>
      </c>
    </row>
    <row r="1027" spans="1:34" ht="15" customHeight="1">
      <c r="A1027" s="256">
        <v>12</v>
      </c>
      <c r="B1027" s="171" t="str">
        <f>VLOOKUP(Ruimtestaat[[#This Row],[Code]],Locaties[#All],2,FALSE)</f>
        <v>Onderwijscentrum Het Roessingh &amp; De Huifkar</v>
      </c>
      <c r="C1027" s="258" t="str">
        <f>VLOOKUP(Ruimtestaat[[#This Row],[Code]],Locaties[#All],4,FALSE)</f>
        <v>Roessinghsbleekweg 35</v>
      </c>
      <c r="D1027" s="258" t="str">
        <f>VLOOKUP(Ruimtestaat[[#This Row],[Code]],Locaties[#All],5,FALSE)</f>
        <v>7522 AH</v>
      </c>
      <c r="E1027" s="258" t="str">
        <f>VLOOKUP(Ruimtestaat[[#This Row],[Code]],Locaties[#All],6,FALSE)</f>
        <v>Enschede</v>
      </c>
      <c r="F1027" s="257"/>
      <c r="G1027" s="257" t="s">
        <v>564</v>
      </c>
      <c r="H1027" s="171"/>
      <c r="I1027" s="257">
        <v>124</v>
      </c>
      <c r="J1027" s="259" t="s">
        <v>583</v>
      </c>
      <c r="K1027" s="258">
        <v>20</v>
      </c>
      <c r="L1027" s="260" t="str">
        <f>VLOOKUP(Ruimtestaat[[#This Row],[Ruimte code]],Ruimtegroepen[#All],2,FALSE)</f>
        <v>Niet in onderhoud</v>
      </c>
      <c r="M1027" s="258"/>
      <c r="N1027" s="257"/>
      <c r="O1027" s="261"/>
      <c r="P1027" s="183"/>
      <c r="Q1027" s="212" t="str">
        <f>VLOOKUP(Ruimtestaat[[#This Row],[Ruimte code]],Ruimtegroepen[#All],4,FALSE)</f>
        <v>niet in onderhoud</v>
      </c>
      <c r="R1027" s="184"/>
      <c r="S1027" s="185"/>
      <c r="T1027" s="185"/>
      <c r="U1027" s="185">
        <f>IF(S1027&gt;0,IF(RIGHT(Ruimtestaat[[#This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27" s="185">
        <f>IF(U1027&gt;0,VLOOKUP($K1027,Ruimtegroepen[],3,FALSE)*VLOOKUP($M1027,Vloersoorten[],3,FALSE)*VLOOKUP($T1027,Frequenties[],3,FALSE)*VLOOKUP($A1027,Locaties[],3,FALSE),0)</f>
        <v>0</v>
      </c>
      <c r="W1027" s="185">
        <f>Ruimtestaat[[#This Row],[Uitvoeringen werkdagen]]*Ruimtestaat[[#This Row],[Oppervlak (netto)]]</f>
        <v>0</v>
      </c>
      <c r="X1027" s="220">
        <f>IF(V1027&gt;0,Ruimtestaat[[#This Row],[Prest. (m2 /jaar) werkdagen]]/Ruimtestaat[[#This Row],[Norm (m2/uur) werkdagen]],0)</f>
        <v>0</v>
      </c>
      <c r="Y1027" s="221">
        <f>Ruimtestaat[[#This Row],[uren / jaar werkdagen]]*Tariefsopbouw!$D$38</f>
        <v>0</v>
      </c>
      <c r="Z1027" s="33"/>
      <c r="AA1027" s="33">
        <f>IF(Ruimtestaat[[#This Row],[Frequentie weekend]]&gt;0,VALUE(LEFT(Z1027,1))*S1027,0)</f>
        <v>0</v>
      </c>
      <c r="AB1027" s="33">
        <f>IF($AA1027&gt;0,VLOOKUP($K1027,Ruimtegroepen[],3,FALSE)*VLOOKUP($M1027,Vloersoorten[],3,FALSE)*VLOOKUP($Z1027,Frequenties[],3,FALSE)*VLOOKUP(#REF!,Locaties[],3,FALSE),0)</f>
        <v>0</v>
      </c>
      <c r="AC1027" s="33"/>
      <c r="AD1027" s="33"/>
      <c r="AE1027" s="33">
        <f>Ruimtestaat[[#This Row],[uren / jaar weekend]]*Tariefsopbouw!$D$40</f>
        <v>0</v>
      </c>
      <c r="AF1027" s="79">
        <f>Ruimtestaat[[#This Row],[Prest. (m2 /jaar) weekend]]+Ruimtestaat[[#This Row],[Prest. (m2 /jaar) werkdagen]]</f>
        <v>0</v>
      </c>
      <c r="AG1027" s="79">
        <f>Ruimtestaat[[#This Row],[uren / jaar weekend]]+Ruimtestaat[[#This Row],[uren / jaar werkdagen]]</f>
        <v>0</v>
      </c>
      <c r="AH1027" s="80">
        <f>Ruimtestaat[[#This Row],[kosten / jaar weekend]]+Ruimtestaat[[#This Row],[kosten / jaar werkdagen]]</f>
        <v>0</v>
      </c>
    </row>
    <row r="1028" spans="1:34" ht="15" customHeight="1">
      <c r="A1028" s="256">
        <v>12</v>
      </c>
      <c r="B1028" s="171" t="str">
        <f>VLOOKUP(Ruimtestaat[[#This Row],[Code]],Locaties[#All],2,FALSE)</f>
        <v>Onderwijscentrum Het Roessingh &amp; De Huifkar</v>
      </c>
      <c r="C1028" s="258" t="str">
        <f>VLOOKUP(Ruimtestaat[[#This Row],[Code]],Locaties[#All],4,FALSE)</f>
        <v>Roessinghsbleekweg 35</v>
      </c>
      <c r="D1028" s="258" t="str">
        <f>VLOOKUP(Ruimtestaat[[#This Row],[Code]],Locaties[#All],5,FALSE)</f>
        <v>7522 AH</v>
      </c>
      <c r="E1028" s="258" t="str">
        <f>VLOOKUP(Ruimtestaat[[#This Row],[Code]],Locaties[#All],6,FALSE)</f>
        <v>Enschede</v>
      </c>
      <c r="F1028" s="257"/>
      <c r="G1028" s="257" t="s">
        <v>564</v>
      </c>
      <c r="H1028" s="171"/>
      <c r="I1028" s="257">
        <v>125</v>
      </c>
      <c r="J1028" s="259" t="s">
        <v>574</v>
      </c>
      <c r="K1028" s="258">
        <v>6</v>
      </c>
      <c r="L1028" s="260" t="str">
        <f>VLOOKUP(Ruimtestaat[[#This Row],[Ruimte code]],Ruimtegroepen[#All],2,FALSE)</f>
        <v>Gangen/hallen</v>
      </c>
      <c r="M1028" s="258" t="s">
        <v>598</v>
      </c>
      <c r="N1028" s="257" t="s">
        <v>132</v>
      </c>
      <c r="O1028" s="261">
        <v>44</v>
      </c>
      <c r="P1028" s="183"/>
      <c r="Q1028" s="212" t="str">
        <f>VLOOKUP(Ruimtestaat[[#This Row],[Ruimte code]],Ruimtegroepen[#All],4,FALSE)</f>
        <v>V  (Verkeersruimte)</v>
      </c>
      <c r="R1028" s="184"/>
      <c r="S1028" s="185">
        <v>40</v>
      </c>
      <c r="T1028" s="185" t="s">
        <v>2</v>
      </c>
      <c r="U1028" s="185">
        <f>IF(S1028&gt;0,IF(RIGHT(Ruimtestaat[[#This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8" s="185">
        <f>IF(U1028&gt;0,VLOOKUP($K1028,Ruimtegroepen[],3,FALSE)*VLOOKUP($M1028,Vloersoorten[],3,FALSE)*VLOOKUP($T1028,Frequenties[],3,FALSE)*VLOOKUP($A1028,Locaties[],3,FALSE),0)</f>
        <v>0</v>
      </c>
      <c r="W1028" s="185">
        <f>Ruimtestaat[[#This Row],[Uitvoeringen werkdagen]]*Ruimtestaat[[#This Row],[Oppervlak (netto)]]</f>
        <v>8800</v>
      </c>
      <c r="X1028" s="220">
        <f>IF(V1028&gt;0,Ruimtestaat[[#This Row],[Prest. (m2 /jaar) werkdagen]]/Ruimtestaat[[#This Row],[Norm (m2/uur) werkdagen]],0)</f>
        <v>0</v>
      </c>
      <c r="Y1028" s="221">
        <f>Ruimtestaat[[#This Row],[uren / jaar werkdagen]]*Tariefsopbouw!$D$38</f>
        <v>0</v>
      </c>
      <c r="Z1028" s="33"/>
      <c r="AA1028" s="33">
        <f>IF(Ruimtestaat[[#This Row],[Frequentie weekend]]&gt;0,VALUE(LEFT(Z1028,1))*S1028,0)</f>
        <v>0</v>
      </c>
      <c r="AB1028" s="33">
        <f>IF($AA1028&gt;0,VLOOKUP($K1028,Ruimtegroepen[],3,FALSE)*VLOOKUP($M1028,Vloersoorten[],3,FALSE)*VLOOKUP($Z1028,Frequenties[],3,FALSE)*VLOOKUP(#REF!,Locaties[],3,FALSE),0)</f>
        <v>0</v>
      </c>
      <c r="AC1028" s="33"/>
      <c r="AD1028" s="33"/>
      <c r="AE1028" s="33">
        <f>Ruimtestaat[[#This Row],[uren / jaar weekend]]*Tariefsopbouw!$D$40</f>
        <v>0</v>
      </c>
      <c r="AF1028" s="79">
        <f>Ruimtestaat[[#This Row],[Prest. (m2 /jaar) weekend]]+Ruimtestaat[[#This Row],[Prest. (m2 /jaar) werkdagen]]</f>
        <v>8800</v>
      </c>
      <c r="AG1028" s="79">
        <f>Ruimtestaat[[#This Row],[uren / jaar weekend]]+Ruimtestaat[[#This Row],[uren / jaar werkdagen]]</f>
        <v>0</v>
      </c>
      <c r="AH1028" s="80">
        <f>Ruimtestaat[[#This Row],[kosten / jaar weekend]]+Ruimtestaat[[#This Row],[kosten / jaar werkdagen]]</f>
        <v>0</v>
      </c>
    </row>
    <row r="1029" spans="1:34" ht="15" customHeight="1">
      <c r="A1029" s="256">
        <v>12</v>
      </c>
      <c r="B1029" s="171" t="str">
        <f>VLOOKUP(Ruimtestaat[[#This Row],[Code]],Locaties[#All],2,FALSE)</f>
        <v>Onderwijscentrum Het Roessingh &amp; De Huifkar</v>
      </c>
      <c r="C1029" s="258" t="str">
        <f>VLOOKUP(Ruimtestaat[[#This Row],[Code]],Locaties[#All],4,FALSE)</f>
        <v>Roessinghsbleekweg 35</v>
      </c>
      <c r="D1029" s="258" t="str">
        <f>VLOOKUP(Ruimtestaat[[#This Row],[Code]],Locaties[#All],5,FALSE)</f>
        <v>7522 AH</v>
      </c>
      <c r="E1029" s="258" t="str">
        <f>VLOOKUP(Ruimtestaat[[#This Row],[Code]],Locaties[#All],6,FALSE)</f>
        <v>Enschede</v>
      </c>
      <c r="F1029" s="257"/>
      <c r="G1029" s="257" t="s">
        <v>564</v>
      </c>
      <c r="H1029" s="171"/>
      <c r="I1029" s="257">
        <v>126</v>
      </c>
      <c r="J1029" s="259" t="s">
        <v>1034</v>
      </c>
      <c r="K1029" s="171">
        <v>20</v>
      </c>
      <c r="L1029" s="260" t="str">
        <f>VLOOKUP(Ruimtestaat[[#This Row],[Ruimte code]],Ruimtegroepen[#All],2,FALSE)</f>
        <v>Niet in onderhoud</v>
      </c>
      <c r="M1029" s="258" t="s">
        <v>598</v>
      </c>
      <c r="N1029" s="257" t="s">
        <v>132</v>
      </c>
      <c r="O1029" s="261"/>
      <c r="P1029" s="183">
        <v>10</v>
      </c>
      <c r="Q1029" s="212" t="str">
        <f>VLOOKUP(Ruimtestaat[[#This Row],[Ruimte code]],Ruimtegroepen[#All],4,FALSE)</f>
        <v>niet in onderhoud</v>
      </c>
      <c r="R1029" s="184"/>
      <c r="S1029" s="185"/>
      <c r="T1029" s="185"/>
      <c r="U1029" s="185">
        <f>IF(S1029&gt;0,IF(RIGHT(Ruimtestaat[[#This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29" s="185">
        <f>IF(U1029&gt;0,VLOOKUP($K1029,Ruimtegroepen[],3,FALSE)*VLOOKUP($M1029,Vloersoorten[],3,FALSE)*VLOOKUP($T1029,Frequenties[],3,FALSE)*VLOOKUP($A1029,Locaties[],3,FALSE),0)</f>
        <v>0</v>
      </c>
      <c r="W1029" s="185">
        <f>Ruimtestaat[[#This Row],[Uitvoeringen werkdagen]]*Ruimtestaat[[#This Row],[Oppervlak (netto)]]</f>
        <v>0</v>
      </c>
      <c r="X1029" s="220">
        <f>IF(V1029&gt;0,Ruimtestaat[[#This Row],[Prest. (m2 /jaar) werkdagen]]/Ruimtestaat[[#This Row],[Norm (m2/uur) werkdagen]],0)</f>
        <v>0</v>
      </c>
      <c r="Y1029" s="221">
        <f>Ruimtestaat[[#This Row],[uren / jaar werkdagen]]*Tariefsopbouw!$D$38</f>
        <v>0</v>
      </c>
      <c r="Z1029" s="33"/>
      <c r="AA1029" s="33">
        <f>IF(Ruimtestaat[[#This Row],[Frequentie weekend]]&gt;0,VALUE(LEFT(Z1029,1))*S1029,0)</f>
        <v>0</v>
      </c>
      <c r="AB1029" s="33">
        <f>IF($AA1029&gt;0,VLOOKUP($K1029,Ruimtegroepen[],3,FALSE)*VLOOKUP($M1029,Vloersoorten[],3,FALSE)*VLOOKUP($Z1029,Frequenties[],3,FALSE)*VLOOKUP(#REF!,Locaties[],3,FALSE),0)</f>
        <v>0</v>
      </c>
      <c r="AC1029" s="33"/>
      <c r="AD1029" s="33"/>
      <c r="AE1029" s="33">
        <f>Ruimtestaat[[#This Row],[uren / jaar weekend]]*Tariefsopbouw!$D$40</f>
        <v>0</v>
      </c>
      <c r="AF1029" s="79">
        <f>Ruimtestaat[[#This Row],[Prest. (m2 /jaar) weekend]]+Ruimtestaat[[#This Row],[Prest. (m2 /jaar) werkdagen]]</f>
        <v>0</v>
      </c>
      <c r="AG1029" s="79">
        <f>Ruimtestaat[[#This Row],[uren / jaar weekend]]+Ruimtestaat[[#This Row],[uren / jaar werkdagen]]</f>
        <v>0</v>
      </c>
      <c r="AH1029" s="80">
        <f>Ruimtestaat[[#This Row],[kosten / jaar weekend]]+Ruimtestaat[[#This Row],[kosten / jaar werkdagen]]</f>
        <v>0</v>
      </c>
    </row>
    <row r="1030" spans="1:34" ht="15" customHeight="1">
      <c r="A1030" s="256">
        <v>12</v>
      </c>
      <c r="B1030" s="171" t="str">
        <f>VLOOKUP(Ruimtestaat[[#This Row],[Code]],Locaties[#All],2,FALSE)</f>
        <v>Onderwijscentrum Het Roessingh &amp; De Huifkar</v>
      </c>
      <c r="C1030" s="258" t="str">
        <f>VLOOKUP(Ruimtestaat[[#This Row],[Code]],Locaties[#All],4,FALSE)</f>
        <v>Roessinghsbleekweg 35</v>
      </c>
      <c r="D1030" s="258" t="str">
        <f>VLOOKUP(Ruimtestaat[[#This Row],[Code]],Locaties[#All],5,FALSE)</f>
        <v>7522 AH</v>
      </c>
      <c r="E1030" s="258" t="str">
        <f>VLOOKUP(Ruimtestaat[[#This Row],[Code]],Locaties[#All],6,FALSE)</f>
        <v>Enschede</v>
      </c>
      <c r="F1030" s="257"/>
      <c r="G1030" s="257" t="s">
        <v>564</v>
      </c>
      <c r="H1030" s="171"/>
      <c r="I1030" s="257">
        <v>127</v>
      </c>
      <c r="J1030" s="259" t="s">
        <v>585</v>
      </c>
      <c r="K1030" s="258">
        <v>20</v>
      </c>
      <c r="L1030" s="260" t="str">
        <f>VLOOKUP(Ruimtestaat[[#This Row],[Ruimte code]],Ruimtegroepen[#All],2,FALSE)</f>
        <v>Niet in onderhoud</v>
      </c>
      <c r="M1030" s="185"/>
      <c r="N1030" s="257"/>
      <c r="O1030" s="261"/>
      <c r="P1030" s="183"/>
      <c r="Q1030" s="212" t="str">
        <f>VLOOKUP(Ruimtestaat[[#This Row],[Ruimte code]],Ruimtegroepen[#All],4,FALSE)</f>
        <v>niet in onderhoud</v>
      </c>
      <c r="R1030" s="184"/>
      <c r="S1030" s="185"/>
      <c r="T1030" s="185"/>
      <c r="U1030" s="185">
        <f>IF(S1030&gt;0,IF(RIGHT(Ruimtestaat[[#This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0" s="185">
        <f>IF(U1030&gt;0,VLOOKUP($K1030,Ruimtegroepen[],3,FALSE)*VLOOKUP($M1030,Vloersoorten[],3,FALSE)*VLOOKUP($T1030,Frequenties[],3,FALSE)*VLOOKUP($A1030,Locaties[],3,FALSE),0)</f>
        <v>0</v>
      </c>
      <c r="W1030" s="185">
        <f>Ruimtestaat[[#This Row],[Uitvoeringen werkdagen]]*Ruimtestaat[[#This Row],[Oppervlak (netto)]]</f>
        <v>0</v>
      </c>
      <c r="X1030" s="220">
        <f>IF(V1030&gt;0,Ruimtestaat[[#This Row],[Prest. (m2 /jaar) werkdagen]]/Ruimtestaat[[#This Row],[Norm (m2/uur) werkdagen]],0)</f>
        <v>0</v>
      </c>
      <c r="Y1030" s="221">
        <f>Ruimtestaat[[#This Row],[uren / jaar werkdagen]]*Tariefsopbouw!$D$38</f>
        <v>0</v>
      </c>
      <c r="Z1030" s="33"/>
      <c r="AA1030" s="33">
        <f>IF(Ruimtestaat[[#This Row],[Frequentie weekend]]&gt;0,VALUE(LEFT(Z1030,1))*S1030,0)</f>
        <v>0</v>
      </c>
      <c r="AB1030" s="33">
        <f>IF($AA1030&gt;0,VLOOKUP($K1030,Ruimtegroepen[],3,FALSE)*VLOOKUP($M1030,Vloersoorten[],3,FALSE)*VLOOKUP($Z1030,Frequenties[],3,FALSE)*VLOOKUP(#REF!,Locaties[],3,FALSE),0)</f>
        <v>0</v>
      </c>
      <c r="AC1030" s="33"/>
      <c r="AD1030" s="33"/>
      <c r="AE1030" s="33">
        <f>Ruimtestaat[[#This Row],[uren / jaar weekend]]*Tariefsopbouw!$D$40</f>
        <v>0</v>
      </c>
      <c r="AF1030" s="79">
        <f>Ruimtestaat[[#This Row],[Prest. (m2 /jaar) weekend]]+Ruimtestaat[[#This Row],[Prest. (m2 /jaar) werkdagen]]</f>
        <v>0</v>
      </c>
      <c r="AG1030" s="79">
        <f>Ruimtestaat[[#This Row],[uren / jaar weekend]]+Ruimtestaat[[#This Row],[uren / jaar werkdagen]]</f>
        <v>0</v>
      </c>
      <c r="AH1030" s="80">
        <f>Ruimtestaat[[#This Row],[kosten / jaar weekend]]+Ruimtestaat[[#This Row],[kosten / jaar werkdagen]]</f>
        <v>0</v>
      </c>
    </row>
    <row r="1031" spans="1:34" ht="15" customHeight="1">
      <c r="A1031" s="256">
        <v>12</v>
      </c>
      <c r="B1031" s="171" t="str">
        <f>VLOOKUP(Ruimtestaat[[#This Row],[Code]],Locaties[#All],2,FALSE)</f>
        <v>Onderwijscentrum Het Roessingh &amp; De Huifkar</v>
      </c>
      <c r="C1031" s="258" t="str">
        <f>VLOOKUP(Ruimtestaat[[#This Row],[Code]],Locaties[#All],4,FALSE)</f>
        <v>Roessinghsbleekweg 35</v>
      </c>
      <c r="D1031" s="258" t="str">
        <f>VLOOKUP(Ruimtestaat[[#This Row],[Code]],Locaties[#All],5,FALSE)</f>
        <v>7522 AH</v>
      </c>
      <c r="E1031" s="258" t="str">
        <f>VLOOKUP(Ruimtestaat[[#This Row],[Code]],Locaties[#All],6,FALSE)</f>
        <v>Enschede</v>
      </c>
      <c r="F1031" s="257"/>
      <c r="G1031" s="257" t="s">
        <v>564</v>
      </c>
      <c r="H1031" s="171"/>
      <c r="I1031" s="257">
        <v>141</v>
      </c>
      <c r="J1031" s="259" t="s">
        <v>576</v>
      </c>
      <c r="K1031" s="258">
        <v>16</v>
      </c>
      <c r="L1031" s="260" t="str">
        <f>VLOOKUP(Ruimtestaat[[#This Row],[Ruimte code]],Ruimtegroepen[#All],2,FALSE)</f>
        <v>Leslokalen</v>
      </c>
      <c r="M1031" s="185" t="s">
        <v>598</v>
      </c>
      <c r="N1031" s="257" t="s">
        <v>132</v>
      </c>
      <c r="O1031" s="261">
        <v>57</v>
      </c>
      <c r="P1031" s="183"/>
      <c r="Q1031" s="212" t="str">
        <f>VLOOKUP(Ruimtestaat[[#This Row],[Ruimte code]],Ruimtegroepen[#All],4,FALSE)</f>
        <v>L  (Lesruimte)</v>
      </c>
      <c r="R1031" s="184"/>
      <c r="S1031" s="185">
        <v>40</v>
      </c>
      <c r="T1031" s="185" t="s">
        <v>2</v>
      </c>
      <c r="U1031" s="185">
        <f>IF(S1031&gt;0,IF(RIGHT(Ruimtestaat[[#This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1" s="185">
        <f>IF(U1031&gt;0,VLOOKUP($K1031,Ruimtegroepen[],3,FALSE)*VLOOKUP($M1031,Vloersoorten[],3,FALSE)*VLOOKUP($T1031,Frequenties[],3,FALSE)*VLOOKUP($A1031,Locaties[],3,FALSE),0)</f>
        <v>0</v>
      </c>
      <c r="W1031" s="185">
        <f>Ruimtestaat[[#This Row],[Uitvoeringen werkdagen]]*Ruimtestaat[[#This Row],[Oppervlak (netto)]]</f>
        <v>11400</v>
      </c>
      <c r="X1031" s="220">
        <f>IF(V1031&gt;0,Ruimtestaat[[#This Row],[Prest. (m2 /jaar) werkdagen]]/Ruimtestaat[[#This Row],[Norm (m2/uur) werkdagen]],0)</f>
        <v>0</v>
      </c>
      <c r="Y1031" s="221">
        <f>Ruimtestaat[[#This Row],[uren / jaar werkdagen]]*Tariefsopbouw!$D$38</f>
        <v>0</v>
      </c>
      <c r="Z1031" s="33"/>
      <c r="AA1031" s="33">
        <f>IF(Ruimtestaat[[#This Row],[Frequentie weekend]]&gt;0,VALUE(LEFT(Z1031,1))*S1031,0)</f>
        <v>0</v>
      </c>
      <c r="AB1031" s="33">
        <f>IF($AA1031&gt;0,VLOOKUP($K1031,Ruimtegroepen[],3,FALSE)*VLOOKUP($M1031,Vloersoorten[],3,FALSE)*VLOOKUP($Z1031,Frequenties[],3,FALSE)*VLOOKUP(#REF!,Locaties[],3,FALSE),0)</f>
        <v>0</v>
      </c>
      <c r="AC1031" s="33"/>
      <c r="AD1031" s="33"/>
      <c r="AE1031" s="33">
        <f>Ruimtestaat[[#This Row],[uren / jaar weekend]]*Tariefsopbouw!$D$40</f>
        <v>0</v>
      </c>
      <c r="AF1031" s="79">
        <f>Ruimtestaat[[#This Row],[Prest. (m2 /jaar) weekend]]+Ruimtestaat[[#This Row],[Prest. (m2 /jaar) werkdagen]]</f>
        <v>11400</v>
      </c>
      <c r="AG1031" s="79">
        <f>Ruimtestaat[[#This Row],[uren / jaar weekend]]+Ruimtestaat[[#This Row],[uren / jaar werkdagen]]</f>
        <v>0</v>
      </c>
      <c r="AH1031" s="80">
        <f>Ruimtestaat[[#This Row],[kosten / jaar weekend]]+Ruimtestaat[[#This Row],[kosten / jaar werkdagen]]</f>
        <v>0</v>
      </c>
    </row>
    <row r="1032" spans="1:34" ht="15" customHeight="1">
      <c r="A1032" s="256">
        <v>12</v>
      </c>
      <c r="B1032" s="171" t="str">
        <f>VLOOKUP(Ruimtestaat[[#This Row],[Code]],Locaties[#All],2,FALSE)</f>
        <v>Onderwijscentrum Het Roessingh &amp; De Huifkar</v>
      </c>
      <c r="C1032" s="258" t="str">
        <f>VLOOKUP(Ruimtestaat[[#This Row],[Code]],Locaties[#All],4,FALSE)</f>
        <v>Roessinghsbleekweg 35</v>
      </c>
      <c r="D1032" s="258" t="str">
        <f>VLOOKUP(Ruimtestaat[[#This Row],[Code]],Locaties[#All],5,FALSE)</f>
        <v>7522 AH</v>
      </c>
      <c r="E1032" s="258" t="str">
        <f>VLOOKUP(Ruimtestaat[[#This Row],[Code]],Locaties[#All],6,FALSE)</f>
        <v>Enschede</v>
      </c>
      <c r="F1032" s="257"/>
      <c r="G1032" s="257" t="s">
        <v>564</v>
      </c>
      <c r="H1032" s="171"/>
      <c r="I1032" s="257">
        <v>142</v>
      </c>
      <c r="J1032" s="259" t="s">
        <v>936</v>
      </c>
      <c r="K1032" s="258">
        <v>16</v>
      </c>
      <c r="L1032" s="260" t="str">
        <f>VLOOKUP(Ruimtestaat[[#This Row],[Ruimte code]],Ruimtegroepen[#All],2,FALSE)</f>
        <v>Leslokalen</v>
      </c>
      <c r="M1032" s="185" t="s">
        <v>598</v>
      </c>
      <c r="N1032" s="257" t="s">
        <v>132</v>
      </c>
      <c r="O1032" s="261">
        <v>31</v>
      </c>
      <c r="P1032" s="183"/>
      <c r="Q1032" s="212" t="str">
        <f>VLOOKUP(Ruimtestaat[[#This Row],[Ruimte code]],Ruimtegroepen[#All],4,FALSE)</f>
        <v>L  (Lesruimte)</v>
      </c>
      <c r="R1032" s="184"/>
      <c r="S1032" s="185">
        <v>40</v>
      </c>
      <c r="T1032" s="185" t="s">
        <v>2</v>
      </c>
      <c r="U1032" s="185">
        <f>IF(S1032&gt;0,IF(RIGHT(Ruimtestaat[[#This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2" s="185">
        <f>IF(U1032&gt;0,VLOOKUP($K1032,Ruimtegroepen[],3,FALSE)*VLOOKUP($M1032,Vloersoorten[],3,FALSE)*VLOOKUP($T1032,Frequenties[],3,FALSE)*VLOOKUP($A1032,Locaties[],3,FALSE),0)</f>
        <v>0</v>
      </c>
      <c r="W1032" s="185">
        <f>Ruimtestaat[[#This Row],[Uitvoeringen werkdagen]]*Ruimtestaat[[#This Row],[Oppervlak (netto)]]</f>
        <v>6200</v>
      </c>
      <c r="X1032" s="220">
        <f>IF(V1032&gt;0,Ruimtestaat[[#This Row],[Prest. (m2 /jaar) werkdagen]]/Ruimtestaat[[#This Row],[Norm (m2/uur) werkdagen]],0)</f>
        <v>0</v>
      </c>
      <c r="Y1032" s="221">
        <f>Ruimtestaat[[#This Row],[uren / jaar werkdagen]]*Tariefsopbouw!$D$38</f>
        <v>0</v>
      </c>
      <c r="Z1032" s="33"/>
      <c r="AA1032" s="33">
        <f>IF(Ruimtestaat[[#This Row],[Frequentie weekend]]&gt;0,VALUE(LEFT(Z1032,1))*S1032,0)</f>
        <v>0</v>
      </c>
      <c r="AB1032" s="33">
        <f>IF($AA1032&gt;0,VLOOKUP($K1032,Ruimtegroepen[],3,FALSE)*VLOOKUP($M1032,Vloersoorten[],3,FALSE)*VLOOKUP($Z1032,Frequenties[],3,FALSE)*VLOOKUP(#REF!,Locaties[],3,FALSE),0)</f>
        <v>0</v>
      </c>
      <c r="AC1032" s="33"/>
      <c r="AD1032" s="33"/>
      <c r="AE1032" s="33">
        <f>Ruimtestaat[[#This Row],[uren / jaar weekend]]*Tariefsopbouw!$D$40</f>
        <v>0</v>
      </c>
      <c r="AF1032" s="79">
        <f>Ruimtestaat[[#This Row],[Prest. (m2 /jaar) weekend]]+Ruimtestaat[[#This Row],[Prest. (m2 /jaar) werkdagen]]</f>
        <v>6200</v>
      </c>
      <c r="AG1032" s="79">
        <f>Ruimtestaat[[#This Row],[uren / jaar weekend]]+Ruimtestaat[[#This Row],[uren / jaar werkdagen]]</f>
        <v>0</v>
      </c>
      <c r="AH1032" s="80">
        <f>Ruimtestaat[[#This Row],[kosten / jaar weekend]]+Ruimtestaat[[#This Row],[kosten / jaar werkdagen]]</f>
        <v>0</v>
      </c>
    </row>
    <row r="1033" spans="1:34" ht="15" customHeight="1">
      <c r="A1033" s="256">
        <v>12</v>
      </c>
      <c r="B1033" s="171" t="str">
        <f>VLOOKUP(Ruimtestaat[[#This Row],[Code]],Locaties[#All],2,FALSE)</f>
        <v>Onderwijscentrum Het Roessingh &amp; De Huifkar</v>
      </c>
      <c r="C1033" s="258" t="str">
        <f>VLOOKUP(Ruimtestaat[[#This Row],[Code]],Locaties[#All],4,FALSE)</f>
        <v>Roessinghsbleekweg 35</v>
      </c>
      <c r="D1033" s="258" t="str">
        <f>VLOOKUP(Ruimtestaat[[#This Row],[Code]],Locaties[#All],5,FALSE)</f>
        <v>7522 AH</v>
      </c>
      <c r="E1033" s="258" t="str">
        <f>VLOOKUP(Ruimtestaat[[#This Row],[Code]],Locaties[#All],6,FALSE)</f>
        <v>Enschede</v>
      </c>
      <c r="F1033" s="257"/>
      <c r="G1033" s="257" t="s">
        <v>564</v>
      </c>
      <c r="H1033" s="171"/>
      <c r="I1033" s="257" t="s">
        <v>1035</v>
      </c>
      <c r="J1033" s="259" t="s">
        <v>574</v>
      </c>
      <c r="K1033" s="224">
        <v>6</v>
      </c>
      <c r="L1033" s="260" t="str">
        <f>VLOOKUP(Ruimtestaat[[#This Row],[Ruimte code]],Ruimtegroepen[#All],2,FALSE)</f>
        <v>Gangen/hallen</v>
      </c>
      <c r="M1033" s="258" t="s">
        <v>598</v>
      </c>
      <c r="N1033" s="257" t="s">
        <v>132</v>
      </c>
      <c r="O1033" s="261">
        <v>8</v>
      </c>
      <c r="P1033" s="183"/>
      <c r="Q1033" s="212" t="str">
        <f>VLOOKUP(Ruimtestaat[[#This Row],[Ruimte code]],Ruimtegroepen[#All],4,FALSE)</f>
        <v>V  (Verkeersruimte)</v>
      </c>
      <c r="R1033" s="184"/>
      <c r="S1033" s="185">
        <v>40</v>
      </c>
      <c r="T1033" s="185" t="s">
        <v>2</v>
      </c>
      <c r="U1033" s="185">
        <f>IF(S1033&gt;0,IF(RIGHT(Ruimtestaat[[#This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3" s="185">
        <f>IF(U1033&gt;0,VLOOKUP($K1033,Ruimtegroepen[],3,FALSE)*VLOOKUP($M1033,Vloersoorten[],3,FALSE)*VLOOKUP($T1033,Frequenties[],3,FALSE)*VLOOKUP($A1033,Locaties[],3,FALSE),0)</f>
        <v>0</v>
      </c>
      <c r="W1033" s="185">
        <f>Ruimtestaat[[#This Row],[Uitvoeringen werkdagen]]*Ruimtestaat[[#This Row],[Oppervlak (netto)]]</f>
        <v>1600</v>
      </c>
      <c r="X1033" s="220">
        <f>IF(V1033&gt;0,Ruimtestaat[[#This Row],[Prest. (m2 /jaar) werkdagen]]/Ruimtestaat[[#This Row],[Norm (m2/uur) werkdagen]],0)</f>
        <v>0</v>
      </c>
      <c r="Y1033" s="221">
        <f>Ruimtestaat[[#This Row],[uren / jaar werkdagen]]*Tariefsopbouw!$D$38</f>
        <v>0</v>
      </c>
      <c r="Z1033" s="33"/>
      <c r="AA1033" s="33">
        <f>IF(Ruimtestaat[[#This Row],[Frequentie weekend]]&gt;0,VALUE(LEFT(Z1033,1))*S1033,0)</f>
        <v>0</v>
      </c>
      <c r="AB1033" s="33">
        <f>IF($AA1033&gt;0,VLOOKUP($K1033,Ruimtegroepen[],3,FALSE)*VLOOKUP($M1033,Vloersoorten[],3,FALSE)*VLOOKUP($Z1033,Frequenties[],3,FALSE)*VLOOKUP(#REF!,Locaties[],3,FALSE),0)</f>
        <v>0</v>
      </c>
      <c r="AC1033" s="33"/>
      <c r="AD1033" s="33"/>
      <c r="AE1033" s="33">
        <f>Ruimtestaat[[#This Row],[uren / jaar weekend]]*Tariefsopbouw!$D$40</f>
        <v>0</v>
      </c>
      <c r="AF1033" s="79">
        <f>Ruimtestaat[[#This Row],[Prest. (m2 /jaar) weekend]]+Ruimtestaat[[#This Row],[Prest. (m2 /jaar) werkdagen]]</f>
        <v>1600</v>
      </c>
      <c r="AG1033" s="79">
        <f>Ruimtestaat[[#This Row],[uren / jaar weekend]]+Ruimtestaat[[#This Row],[uren / jaar werkdagen]]</f>
        <v>0</v>
      </c>
      <c r="AH1033" s="80">
        <f>Ruimtestaat[[#This Row],[kosten / jaar weekend]]+Ruimtestaat[[#This Row],[kosten / jaar werkdagen]]</f>
        <v>0</v>
      </c>
    </row>
    <row r="1034" spans="1:34" ht="15" customHeight="1">
      <c r="A1034" s="256">
        <v>12</v>
      </c>
      <c r="B1034" s="171" t="str">
        <f>VLOOKUP(Ruimtestaat[[#This Row],[Code]],Locaties[#All],2,FALSE)</f>
        <v>Onderwijscentrum Het Roessingh &amp; De Huifkar</v>
      </c>
      <c r="C1034" s="258" t="str">
        <f>VLOOKUP(Ruimtestaat[[#This Row],[Code]],Locaties[#All],4,FALSE)</f>
        <v>Roessinghsbleekweg 35</v>
      </c>
      <c r="D1034" s="258" t="str">
        <f>VLOOKUP(Ruimtestaat[[#This Row],[Code]],Locaties[#All],5,FALSE)</f>
        <v>7522 AH</v>
      </c>
      <c r="E1034" s="258" t="str">
        <f>VLOOKUP(Ruimtestaat[[#This Row],[Code]],Locaties[#All],6,FALSE)</f>
        <v>Enschede</v>
      </c>
      <c r="F1034" s="257"/>
      <c r="G1034" s="257" t="s">
        <v>564</v>
      </c>
      <c r="H1034" s="171"/>
      <c r="I1034" s="257">
        <v>143</v>
      </c>
      <c r="J1034" s="259" t="s">
        <v>569</v>
      </c>
      <c r="K1034" s="171">
        <v>5</v>
      </c>
      <c r="L1034" s="260" t="str">
        <f>VLOOKUP(Ruimtestaat[[#This Row],[Ruimte code]],Ruimtegroepen[#All],2,FALSE)</f>
        <v>Sanitair</v>
      </c>
      <c r="M1034" s="212" t="s">
        <v>111</v>
      </c>
      <c r="N1034" s="257" t="s">
        <v>606</v>
      </c>
      <c r="O1034" s="261">
        <v>9.1999999999999993</v>
      </c>
      <c r="P1034" s="183"/>
      <c r="Q1034" s="212" t="str">
        <f>VLOOKUP(Ruimtestaat[[#This Row],[Ruimte code]],Ruimtegroepen[#All],4,FALSE)</f>
        <v>S  (Sanitair)</v>
      </c>
      <c r="R1034" s="184"/>
      <c r="S1034" s="185">
        <v>40</v>
      </c>
      <c r="T1034" s="185" t="s">
        <v>2</v>
      </c>
      <c r="U1034" s="185">
        <f>IF(S1034&gt;0,IF(RIGHT(Ruimtestaat[[#This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4" s="185">
        <f>IF(U1034&gt;0,VLOOKUP($K1034,Ruimtegroepen[],3,FALSE)*VLOOKUP($M1034,Vloersoorten[],3,FALSE)*VLOOKUP($T1034,Frequenties[],3,FALSE)*VLOOKUP($A1034,Locaties[],3,FALSE),0)</f>
        <v>0</v>
      </c>
      <c r="W1034" s="185">
        <f>Ruimtestaat[[#This Row],[Uitvoeringen werkdagen]]*Ruimtestaat[[#This Row],[Oppervlak (netto)]]</f>
        <v>1839.9999999999998</v>
      </c>
      <c r="X1034" s="220">
        <f>IF(V1034&gt;0,Ruimtestaat[[#This Row],[Prest. (m2 /jaar) werkdagen]]/Ruimtestaat[[#This Row],[Norm (m2/uur) werkdagen]],0)</f>
        <v>0</v>
      </c>
      <c r="Y1034" s="221">
        <f>Ruimtestaat[[#This Row],[uren / jaar werkdagen]]*Tariefsopbouw!$D$38</f>
        <v>0</v>
      </c>
      <c r="Z1034" s="33"/>
      <c r="AA1034" s="33">
        <f>IF(Ruimtestaat[[#This Row],[Frequentie weekend]]&gt;0,VALUE(LEFT(Z1034,1))*S1034,0)</f>
        <v>0</v>
      </c>
      <c r="AB1034" s="33">
        <f>IF($AA1034&gt;0,VLOOKUP($K1034,Ruimtegroepen[],3,FALSE)*VLOOKUP($M1034,Vloersoorten[],3,FALSE)*VLOOKUP($Z1034,Frequenties[],3,FALSE)*VLOOKUP(#REF!,Locaties[],3,FALSE),0)</f>
        <v>0</v>
      </c>
      <c r="AC1034" s="33"/>
      <c r="AD1034" s="33"/>
      <c r="AE1034" s="33">
        <f>Ruimtestaat[[#This Row],[uren / jaar weekend]]*Tariefsopbouw!$D$40</f>
        <v>0</v>
      </c>
      <c r="AF1034" s="79">
        <f>Ruimtestaat[[#This Row],[Prest. (m2 /jaar) weekend]]+Ruimtestaat[[#This Row],[Prest. (m2 /jaar) werkdagen]]</f>
        <v>1839.9999999999998</v>
      </c>
      <c r="AG1034" s="79">
        <f>Ruimtestaat[[#This Row],[uren / jaar weekend]]+Ruimtestaat[[#This Row],[uren / jaar werkdagen]]</f>
        <v>0</v>
      </c>
      <c r="AH1034" s="80">
        <f>Ruimtestaat[[#This Row],[kosten / jaar weekend]]+Ruimtestaat[[#This Row],[kosten / jaar werkdagen]]</f>
        <v>0</v>
      </c>
    </row>
    <row r="1035" spans="1:34" ht="15" customHeight="1">
      <c r="A1035" s="256">
        <v>12</v>
      </c>
      <c r="B1035" s="171" t="str">
        <f>VLOOKUP(Ruimtestaat[[#This Row],[Code]],Locaties[#All],2,FALSE)</f>
        <v>Onderwijscentrum Het Roessingh &amp; De Huifkar</v>
      </c>
      <c r="C1035" s="258" t="str">
        <f>VLOOKUP(Ruimtestaat[[#This Row],[Code]],Locaties[#All],4,FALSE)</f>
        <v>Roessinghsbleekweg 35</v>
      </c>
      <c r="D1035" s="258" t="str">
        <f>VLOOKUP(Ruimtestaat[[#This Row],[Code]],Locaties[#All],5,FALSE)</f>
        <v>7522 AH</v>
      </c>
      <c r="E1035" s="258" t="str">
        <f>VLOOKUP(Ruimtestaat[[#This Row],[Code]],Locaties[#All],6,FALSE)</f>
        <v>Enschede</v>
      </c>
      <c r="F1035" s="257"/>
      <c r="G1035" s="257" t="s">
        <v>564</v>
      </c>
      <c r="H1035" s="171"/>
      <c r="I1035" s="257">
        <v>144</v>
      </c>
      <c r="J1035" s="259" t="s">
        <v>585</v>
      </c>
      <c r="K1035" s="171">
        <v>20</v>
      </c>
      <c r="L1035" s="260" t="str">
        <f>VLOOKUP(Ruimtestaat[[#This Row],[Ruimte code]],Ruimtegroepen[#All],2,FALSE)</f>
        <v>Niet in onderhoud</v>
      </c>
      <c r="M1035" s="212" t="s">
        <v>111</v>
      </c>
      <c r="N1035" s="257" t="s">
        <v>605</v>
      </c>
      <c r="O1035" s="261"/>
      <c r="P1035" s="183">
        <v>4.7</v>
      </c>
      <c r="Q1035" s="212" t="str">
        <f>VLOOKUP(Ruimtestaat[[#This Row],[Ruimte code]],Ruimtegroepen[#All],4,FALSE)</f>
        <v>niet in onderhoud</v>
      </c>
      <c r="R1035" s="184"/>
      <c r="S1035" s="185"/>
      <c r="T1035" s="185"/>
      <c r="U1035" s="185">
        <f>IF(S1035&gt;0,IF(RIGHT(Ruimtestaat[[#This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5" s="185">
        <f>IF(U1035&gt;0,VLOOKUP($K1035,Ruimtegroepen[],3,FALSE)*VLOOKUP($M1035,Vloersoorten[],3,FALSE)*VLOOKUP($T1035,Frequenties[],3,FALSE)*VLOOKUP($A1035,Locaties[],3,FALSE),0)</f>
        <v>0</v>
      </c>
      <c r="W1035" s="185">
        <f>Ruimtestaat[[#This Row],[Uitvoeringen werkdagen]]*Ruimtestaat[[#This Row],[Oppervlak (netto)]]</f>
        <v>0</v>
      </c>
      <c r="X1035" s="220">
        <f>IF(V1035&gt;0,Ruimtestaat[[#This Row],[Prest. (m2 /jaar) werkdagen]]/Ruimtestaat[[#This Row],[Norm (m2/uur) werkdagen]],0)</f>
        <v>0</v>
      </c>
      <c r="Y1035" s="221">
        <f>Ruimtestaat[[#This Row],[uren / jaar werkdagen]]*Tariefsopbouw!$D$38</f>
        <v>0</v>
      </c>
      <c r="Z1035" s="33"/>
      <c r="AA1035" s="33">
        <f>IF(Ruimtestaat[[#This Row],[Frequentie weekend]]&gt;0,VALUE(LEFT(Z1035,1))*S1035,0)</f>
        <v>0</v>
      </c>
      <c r="AB1035" s="33">
        <f>IF($AA1035&gt;0,VLOOKUP($K1035,Ruimtegroepen[],3,FALSE)*VLOOKUP($M1035,Vloersoorten[],3,FALSE)*VLOOKUP($Z1035,Frequenties[],3,FALSE)*VLOOKUP(#REF!,Locaties[],3,FALSE),0)</f>
        <v>0</v>
      </c>
      <c r="AC1035" s="33"/>
      <c r="AD1035" s="33"/>
      <c r="AE1035" s="33">
        <f>Ruimtestaat[[#This Row],[uren / jaar weekend]]*Tariefsopbouw!$D$40</f>
        <v>0</v>
      </c>
      <c r="AF1035" s="79">
        <f>Ruimtestaat[[#This Row],[Prest. (m2 /jaar) weekend]]+Ruimtestaat[[#This Row],[Prest. (m2 /jaar) werkdagen]]</f>
        <v>0</v>
      </c>
      <c r="AG1035" s="79">
        <f>Ruimtestaat[[#This Row],[uren / jaar weekend]]+Ruimtestaat[[#This Row],[uren / jaar werkdagen]]</f>
        <v>0</v>
      </c>
      <c r="AH1035" s="80">
        <f>Ruimtestaat[[#This Row],[kosten / jaar weekend]]+Ruimtestaat[[#This Row],[kosten / jaar werkdagen]]</f>
        <v>0</v>
      </c>
    </row>
    <row r="1036" spans="1:34" ht="15" customHeight="1">
      <c r="A1036" s="256">
        <v>12</v>
      </c>
      <c r="B1036" s="171" t="str">
        <f>VLOOKUP(Ruimtestaat[[#This Row],[Code]],Locaties[#All],2,FALSE)</f>
        <v>Onderwijscentrum Het Roessingh &amp; De Huifkar</v>
      </c>
      <c r="C1036" s="258" t="str">
        <f>VLOOKUP(Ruimtestaat[[#This Row],[Code]],Locaties[#All],4,FALSE)</f>
        <v>Roessinghsbleekweg 35</v>
      </c>
      <c r="D1036" s="258" t="str">
        <f>VLOOKUP(Ruimtestaat[[#This Row],[Code]],Locaties[#All],5,FALSE)</f>
        <v>7522 AH</v>
      </c>
      <c r="E1036" s="258" t="str">
        <f>VLOOKUP(Ruimtestaat[[#This Row],[Code]],Locaties[#All],6,FALSE)</f>
        <v>Enschede</v>
      </c>
      <c r="F1036" s="257"/>
      <c r="G1036" s="257" t="s">
        <v>564</v>
      </c>
      <c r="H1036" s="171"/>
      <c r="I1036" s="257">
        <v>145</v>
      </c>
      <c r="J1036" s="259" t="s">
        <v>586</v>
      </c>
      <c r="K1036" s="258">
        <v>20</v>
      </c>
      <c r="L1036" s="260" t="str">
        <f>VLOOKUP(Ruimtestaat[[#This Row],[Ruimte code]],Ruimtegroepen[#All],2,FALSE)</f>
        <v>Niet in onderhoud</v>
      </c>
      <c r="M1036" s="258"/>
      <c r="N1036" s="257"/>
      <c r="O1036" s="261"/>
      <c r="P1036" s="183"/>
      <c r="Q1036" s="212" t="str">
        <f>VLOOKUP(Ruimtestaat[[#This Row],[Ruimte code]],Ruimtegroepen[#All],4,FALSE)</f>
        <v>niet in onderhoud</v>
      </c>
      <c r="R1036" s="184"/>
      <c r="S1036" s="185"/>
      <c r="T1036" s="185"/>
      <c r="U1036" s="185">
        <f>IF(S1036&gt;0,IF(RIGHT(Ruimtestaat[[#This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6" s="185">
        <f>IF(U1036&gt;0,VLOOKUP($K1036,Ruimtegroepen[],3,FALSE)*VLOOKUP($M1036,Vloersoorten[],3,FALSE)*VLOOKUP($T1036,Frequenties[],3,FALSE)*VLOOKUP($A1036,Locaties[],3,FALSE),0)</f>
        <v>0</v>
      </c>
      <c r="W1036" s="185">
        <f>Ruimtestaat[[#This Row],[Uitvoeringen werkdagen]]*Ruimtestaat[[#This Row],[Oppervlak (netto)]]</f>
        <v>0</v>
      </c>
      <c r="X1036" s="220">
        <f>IF(V1036&gt;0,Ruimtestaat[[#This Row],[Prest. (m2 /jaar) werkdagen]]/Ruimtestaat[[#This Row],[Norm (m2/uur) werkdagen]],0)</f>
        <v>0</v>
      </c>
      <c r="Y1036" s="221">
        <f>Ruimtestaat[[#This Row],[uren / jaar werkdagen]]*Tariefsopbouw!$D$38</f>
        <v>0</v>
      </c>
      <c r="Z1036" s="33"/>
      <c r="AA1036" s="33">
        <f>IF(Ruimtestaat[[#This Row],[Frequentie weekend]]&gt;0,VALUE(LEFT(Z1036,1))*S1036,0)</f>
        <v>0</v>
      </c>
      <c r="AB1036" s="33">
        <f>IF($AA1036&gt;0,VLOOKUP($K1036,Ruimtegroepen[],3,FALSE)*VLOOKUP($M1036,Vloersoorten[],3,FALSE)*VLOOKUP($Z1036,Frequenties[],3,FALSE)*VLOOKUP(#REF!,Locaties[],3,FALSE),0)</f>
        <v>0</v>
      </c>
      <c r="AC1036" s="33"/>
      <c r="AD1036" s="33"/>
      <c r="AE1036" s="33">
        <f>Ruimtestaat[[#This Row],[uren / jaar weekend]]*Tariefsopbouw!$D$40</f>
        <v>0</v>
      </c>
      <c r="AF1036" s="79">
        <f>Ruimtestaat[[#This Row],[Prest. (m2 /jaar) weekend]]+Ruimtestaat[[#This Row],[Prest. (m2 /jaar) werkdagen]]</f>
        <v>0</v>
      </c>
      <c r="AG1036" s="79">
        <f>Ruimtestaat[[#This Row],[uren / jaar weekend]]+Ruimtestaat[[#This Row],[uren / jaar werkdagen]]</f>
        <v>0</v>
      </c>
      <c r="AH1036" s="80">
        <f>Ruimtestaat[[#This Row],[kosten / jaar weekend]]+Ruimtestaat[[#This Row],[kosten / jaar werkdagen]]</f>
        <v>0</v>
      </c>
    </row>
    <row r="1037" spans="1:34" ht="15" customHeight="1">
      <c r="A1037" s="256">
        <v>12</v>
      </c>
      <c r="B1037" s="171" t="str">
        <f>VLOOKUP(Ruimtestaat[[#This Row],[Code]],Locaties[#All],2,FALSE)</f>
        <v>Onderwijscentrum Het Roessingh &amp; De Huifkar</v>
      </c>
      <c r="C1037" s="258" t="str">
        <f>VLOOKUP(Ruimtestaat[[#This Row],[Code]],Locaties[#All],4,FALSE)</f>
        <v>Roessinghsbleekweg 35</v>
      </c>
      <c r="D1037" s="258" t="str">
        <f>VLOOKUP(Ruimtestaat[[#This Row],[Code]],Locaties[#All],5,FALSE)</f>
        <v>7522 AH</v>
      </c>
      <c r="E1037" s="258" t="str">
        <f>VLOOKUP(Ruimtestaat[[#This Row],[Code]],Locaties[#All],6,FALSE)</f>
        <v>Enschede</v>
      </c>
      <c r="F1037" s="257"/>
      <c r="G1037" s="257" t="s">
        <v>564</v>
      </c>
      <c r="H1037" s="171"/>
      <c r="I1037" s="257">
        <v>146</v>
      </c>
      <c r="J1037" s="259" t="s">
        <v>583</v>
      </c>
      <c r="K1037" s="171">
        <v>20</v>
      </c>
      <c r="L1037" s="260" t="str">
        <f>VLOOKUP(Ruimtestaat[[#This Row],[Ruimte code]],Ruimtegroepen[#All],2,FALSE)</f>
        <v>Niet in onderhoud</v>
      </c>
      <c r="M1037" s="258"/>
      <c r="N1037" s="257"/>
      <c r="O1037" s="261"/>
      <c r="P1037" s="183"/>
      <c r="Q1037" s="212" t="str">
        <f>VLOOKUP(Ruimtestaat[[#This Row],[Ruimte code]],Ruimtegroepen[#All],4,FALSE)</f>
        <v>niet in onderhoud</v>
      </c>
      <c r="R1037" s="184"/>
      <c r="S1037" s="185"/>
      <c r="T1037" s="185"/>
      <c r="U1037" s="185">
        <f>IF(S1037&gt;0,IF(RIGHT(Ruimtestaat[[#This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7" s="185">
        <f>IF(U1037&gt;0,VLOOKUP($K1037,Ruimtegroepen[],3,FALSE)*VLOOKUP($M1037,Vloersoorten[],3,FALSE)*VLOOKUP($T1037,Frequenties[],3,FALSE)*VLOOKUP($A1037,Locaties[],3,FALSE),0)</f>
        <v>0</v>
      </c>
      <c r="W1037" s="185">
        <f>Ruimtestaat[[#This Row],[Uitvoeringen werkdagen]]*Ruimtestaat[[#This Row],[Oppervlak (netto)]]</f>
        <v>0</v>
      </c>
      <c r="X1037" s="220">
        <f>IF(V1037&gt;0,Ruimtestaat[[#This Row],[Prest. (m2 /jaar) werkdagen]]/Ruimtestaat[[#This Row],[Norm (m2/uur) werkdagen]],0)</f>
        <v>0</v>
      </c>
      <c r="Y1037" s="221">
        <f>Ruimtestaat[[#This Row],[uren / jaar werkdagen]]*Tariefsopbouw!$D$38</f>
        <v>0</v>
      </c>
      <c r="Z1037" s="33"/>
      <c r="AA1037" s="33">
        <f>IF(Ruimtestaat[[#This Row],[Frequentie weekend]]&gt;0,VALUE(LEFT(Z1037,1))*S1037,0)</f>
        <v>0</v>
      </c>
      <c r="AB1037" s="33">
        <f>IF($AA1037&gt;0,VLOOKUP($K1037,Ruimtegroepen[],3,FALSE)*VLOOKUP($M1037,Vloersoorten[],3,FALSE)*VLOOKUP($Z1037,Frequenties[],3,FALSE)*VLOOKUP(#REF!,Locaties[],3,FALSE),0)</f>
        <v>0</v>
      </c>
      <c r="AC1037" s="33"/>
      <c r="AD1037" s="33"/>
      <c r="AE1037" s="33">
        <f>Ruimtestaat[[#This Row],[uren / jaar weekend]]*Tariefsopbouw!$D$40</f>
        <v>0</v>
      </c>
      <c r="AF1037" s="79">
        <f>Ruimtestaat[[#This Row],[Prest. (m2 /jaar) weekend]]+Ruimtestaat[[#This Row],[Prest. (m2 /jaar) werkdagen]]</f>
        <v>0</v>
      </c>
      <c r="AG1037" s="79">
        <f>Ruimtestaat[[#This Row],[uren / jaar weekend]]+Ruimtestaat[[#This Row],[uren / jaar werkdagen]]</f>
        <v>0</v>
      </c>
      <c r="AH1037" s="80">
        <f>Ruimtestaat[[#This Row],[kosten / jaar weekend]]+Ruimtestaat[[#This Row],[kosten / jaar werkdagen]]</f>
        <v>0</v>
      </c>
    </row>
    <row r="1038" spans="1:34" ht="15" customHeight="1">
      <c r="A1038" s="256">
        <v>12</v>
      </c>
      <c r="B1038" s="171" t="str">
        <f>VLOOKUP(Ruimtestaat[[#This Row],[Code]],Locaties[#All],2,FALSE)</f>
        <v>Onderwijscentrum Het Roessingh &amp; De Huifkar</v>
      </c>
      <c r="C1038" s="258" t="str">
        <f>VLOOKUP(Ruimtestaat[[#This Row],[Code]],Locaties[#All],4,FALSE)</f>
        <v>Roessinghsbleekweg 35</v>
      </c>
      <c r="D1038" s="258" t="str">
        <f>VLOOKUP(Ruimtestaat[[#This Row],[Code]],Locaties[#All],5,FALSE)</f>
        <v>7522 AH</v>
      </c>
      <c r="E1038" s="258" t="str">
        <f>VLOOKUP(Ruimtestaat[[#This Row],[Code]],Locaties[#All],6,FALSE)</f>
        <v>Enschede</v>
      </c>
      <c r="F1038" s="257"/>
      <c r="G1038" s="257" t="s">
        <v>564</v>
      </c>
      <c r="H1038" s="171"/>
      <c r="I1038" s="257">
        <v>147</v>
      </c>
      <c r="J1038" s="259" t="s">
        <v>574</v>
      </c>
      <c r="K1038" s="258">
        <v>6</v>
      </c>
      <c r="L1038" s="260" t="str">
        <f>VLOOKUP(Ruimtestaat[[#This Row],[Ruimte code]],Ruimtegroepen[#All],2,FALSE)</f>
        <v>Gangen/hallen</v>
      </c>
      <c r="M1038" s="258" t="s">
        <v>598</v>
      </c>
      <c r="N1038" s="257" t="s">
        <v>132</v>
      </c>
      <c r="O1038" s="261">
        <v>35</v>
      </c>
      <c r="P1038" s="183"/>
      <c r="Q1038" s="212" t="str">
        <f>VLOOKUP(Ruimtestaat[[#This Row],[Ruimte code]],Ruimtegroepen[#All],4,FALSE)</f>
        <v>V  (Verkeersruimte)</v>
      </c>
      <c r="R1038" s="184"/>
      <c r="S1038" s="185">
        <v>40</v>
      </c>
      <c r="T1038" s="185" t="s">
        <v>2</v>
      </c>
      <c r="U1038" s="185">
        <f>IF(S1038&gt;0,IF(RIGHT(Ruimtestaat[[#This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8" s="185">
        <f>IF(U1038&gt;0,VLOOKUP($K1038,Ruimtegroepen[],3,FALSE)*VLOOKUP($M1038,Vloersoorten[],3,FALSE)*VLOOKUP($T1038,Frequenties[],3,FALSE)*VLOOKUP($A1038,Locaties[],3,FALSE),0)</f>
        <v>0</v>
      </c>
      <c r="W1038" s="185">
        <f>Ruimtestaat[[#This Row],[Uitvoeringen werkdagen]]*Ruimtestaat[[#This Row],[Oppervlak (netto)]]</f>
        <v>7000</v>
      </c>
      <c r="X1038" s="220">
        <f>IF(V1038&gt;0,Ruimtestaat[[#This Row],[Prest. (m2 /jaar) werkdagen]]/Ruimtestaat[[#This Row],[Norm (m2/uur) werkdagen]],0)</f>
        <v>0</v>
      </c>
      <c r="Y1038" s="221">
        <f>Ruimtestaat[[#This Row],[uren / jaar werkdagen]]*Tariefsopbouw!$D$38</f>
        <v>0</v>
      </c>
      <c r="Z1038" s="33"/>
      <c r="AA1038" s="33">
        <f>IF(Ruimtestaat[[#This Row],[Frequentie weekend]]&gt;0,VALUE(LEFT(Z1038,1))*S1038,0)</f>
        <v>0</v>
      </c>
      <c r="AB1038" s="33">
        <f>IF($AA1038&gt;0,VLOOKUP($K1038,Ruimtegroepen[],3,FALSE)*VLOOKUP($M1038,Vloersoorten[],3,FALSE)*VLOOKUP($Z1038,Frequenties[],3,FALSE)*VLOOKUP(#REF!,Locaties[],3,FALSE),0)</f>
        <v>0</v>
      </c>
      <c r="AC1038" s="33"/>
      <c r="AD1038" s="33"/>
      <c r="AE1038" s="33">
        <f>Ruimtestaat[[#This Row],[uren / jaar weekend]]*Tariefsopbouw!$D$40</f>
        <v>0</v>
      </c>
      <c r="AF1038" s="79">
        <f>Ruimtestaat[[#This Row],[Prest. (m2 /jaar) weekend]]+Ruimtestaat[[#This Row],[Prest. (m2 /jaar) werkdagen]]</f>
        <v>7000</v>
      </c>
      <c r="AG1038" s="79">
        <f>Ruimtestaat[[#This Row],[uren / jaar weekend]]+Ruimtestaat[[#This Row],[uren / jaar werkdagen]]</f>
        <v>0</v>
      </c>
      <c r="AH1038" s="80">
        <f>Ruimtestaat[[#This Row],[kosten / jaar weekend]]+Ruimtestaat[[#This Row],[kosten / jaar werkdagen]]</f>
        <v>0</v>
      </c>
    </row>
    <row r="1039" spans="1:34" ht="15" customHeight="1">
      <c r="A1039" s="256">
        <v>12</v>
      </c>
      <c r="B1039" s="171" t="str">
        <f>VLOOKUP(Ruimtestaat[[#This Row],[Code]],Locaties[#All],2,FALSE)</f>
        <v>Onderwijscentrum Het Roessingh &amp; De Huifkar</v>
      </c>
      <c r="C1039" s="258" t="str">
        <f>VLOOKUP(Ruimtestaat[[#This Row],[Code]],Locaties[#All],4,FALSE)</f>
        <v>Roessinghsbleekweg 35</v>
      </c>
      <c r="D1039" s="258" t="str">
        <f>VLOOKUP(Ruimtestaat[[#This Row],[Code]],Locaties[#All],5,FALSE)</f>
        <v>7522 AH</v>
      </c>
      <c r="E1039" s="258" t="str">
        <f>VLOOKUP(Ruimtestaat[[#This Row],[Code]],Locaties[#All],6,FALSE)</f>
        <v>Enschede</v>
      </c>
      <c r="F1039" s="257"/>
      <c r="G1039" s="257" t="s">
        <v>564</v>
      </c>
      <c r="H1039" s="171"/>
      <c r="I1039" s="257">
        <v>161</v>
      </c>
      <c r="J1039" s="259" t="s">
        <v>576</v>
      </c>
      <c r="K1039" s="171">
        <v>16</v>
      </c>
      <c r="L1039" s="260" t="str">
        <f>VLOOKUP(Ruimtestaat[[#This Row],[Ruimte code]],Ruimtegroepen[#All],2,FALSE)</f>
        <v>Leslokalen</v>
      </c>
      <c r="M1039" s="258" t="s">
        <v>598</v>
      </c>
      <c r="N1039" s="257" t="s">
        <v>132</v>
      </c>
      <c r="O1039" s="261">
        <v>57</v>
      </c>
      <c r="P1039" s="183"/>
      <c r="Q1039" s="212" t="str">
        <f>VLOOKUP(Ruimtestaat[[#This Row],[Ruimte code]],Ruimtegroepen[#All],4,FALSE)</f>
        <v>L  (Lesruimte)</v>
      </c>
      <c r="R1039" s="184"/>
      <c r="S1039" s="185">
        <v>40</v>
      </c>
      <c r="T1039" s="185" t="s">
        <v>2</v>
      </c>
      <c r="U1039" s="185">
        <f>IF(S1039&gt;0,IF(RIGHT(Ruimtestaat[[#This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9" s="185">
        <f>IF(U1039&gt;0,VLOOKUP($K1039,Ruimtegroepen[],3,FALSE)*VLOOKUP($M1039,Vloersoorten[],3,FALSE)*VLOOKUP($T1039,Frequenties[],3,FALSE)*VLOOKUP($A1039,Locaties[],3,FALSE),0)</f>
        <v>0</v>
      </c>
      <c r="W1039" s="185">
        <f>Ruimtestaat[[#This Row],[Uitvoeringen werkdagen]]*Ruimtestaat[[#This Row],[Oppervlak (netto)]]</f>
        <v>11400</v>
      </c>
      <c r="X1039" s="220">
        <f>IF(V1039&gt;0,Ruimtestaat[[#This Row],[Prest. (m2 /jaar) werkdagen]]/Ruimtestaat[[#This Row],[Norm (m2/uur) werkdagen]],0)</f>
        <v>0</v>
      </c>
      <c r="Y1039" s="221">
        <f>Ruimtestaat[[#This Row],[uren / jaar werkdagen]]*Tariefsopbouw!$D$38</f>
        <v>0</v>
      </c>
      <c r="Z1039" s="33"/>
      <c r="AA1039" s="33">
        <f>IF(Ruimtestaat[[#This Row],[Frequentie weekend]]&gt;0,VALUE(LEFT(Z1039,1))*S1039,0)</f>
        <v>0</v>
      </c>
      <c r="AB1039" s="33">
        <f>IF($AA1039&gt;0,VLOOKUP($K1039,Ruimtegroepen[],3,FALSE)*VLOOKUP($M1039,Vloersoorten[],3,FALSE)*VLOOKUP($Z1039,Frequenties[],3,FALSE)*VLOOKUP(#REF!,Locaties[],3,FALSE),0)</f>
        <v>0</v>
      </c>
      <c r="AC1039" s="33"/>
      <c r="AD1039" s="33"/>
      <c r="AE1039" s="33">
        <f>Ruimtestaat[[#This Row],[uren / jaar weekend]]*Tariefsopbouw!$D$40</f>
        <v>0</v>
      </c>
      <c r="AF1039" s="79">
        <f>Ruimtestaat[[#This Row],[Prest. (m2 /jaar) weekend]]+Ruimtestaat[[#This Row],[Prest. (m2 /jaar) werkdagen]]</f>
        <v>11400</v>
      </c>
      <c r="AG1039" s="79">
        <f>Ruimtestaat[[#This Row],[uren / jaar weekend]]+Ruimtestaat[[#This Row],[uren / jaar werkdagen]]</f>
        <v>0</v>
      </c>
      <c r="AH1039" s="80">
        <f>Ruimtestaat[[#This Row],[kosten / jaar weekend]]+Ruimtestaat[[#This Row],[kosten / jaar werkdagen]]</f>
        <v>0</v>
      </c>
    </row>
    <row r="1040" spans="1:34" ht="15" customHeight="1">
      <c r="A1040" s="256">
        <v>12</v>
      </c>
      <c r="B1040" s="171" t="str">
        <f>VLOOKUP(Ruimtestaat[[#This Row],[Code]],Locaties[#All],2,FALSE)</f>
        <v>Onderwijscentrum Het Roessingh &amp; De Huifkar</v>
      </c>
      <c r="C1040" s="258" t="str">
        <f>VLOOKUP(Ruimtestaat[[#This Row],[Code]],Locaties[#All],4,FALSE)</f>
        <v>Roessinghsbleekweg 35</v>
      </c>
      <c r="D1040" s="258" t="str">
        <f>VLOOKUP(Ruimtestaat[[#This Row],[Code]],Locaties[#All],5,FALSE)</f>
        <v>7522 AH</v>
      </c>
      <c r="E1040" s="258" t="str">
        <f>VLOOKUP(Ruimtestaat[[#This Row],[Code]],Locaties[#All],6,FALSE)</f>
        <v>Enschede</v>
      </c>
      <c r="F1040" s="257"/>
      <c r="G1040" s="257" t="s">
        <v>564</v>
      </c>
      <c r="H1040" s="171"/>
      <c r="I1040" s="257">
        <v>162</v>
      </c>
      <c r="J1040" s="259" t="s">
        <v>936</v>
      </c>
      <c r="K1040" s="258">
        <v>16</v>
      </c>
      <c r="L1040" s="260" t="str">
        <f>VLOOKUP(Ruimtestaat[[#This Row],[Ruimte code]],Ruimtegroepen[#All],2,FALSE)</f>
        <v>Leslokalen</v>
      </c>
      <c r="M1040" s="185" t="s">
        <v>598</v>
      </c>
      <c r="N1040" s="257" t="s">
        <v>132</v>
      </c>
      <c r="O1040" s="261">
        <v>31</v>
      </c>
      <c r="P1040" s="183"/>
      <c r="Q1040" s="212" t="str">
        <f>VLOOKUP(Ruimtestaat[[#This Row],[Ruimte code]],Ruimtegroepen[#All],4,FALSE)</f>
        <v>L  (Lesruimte)</v>
      </c>
      <c r="R1040" s="184"/>
      <c r="S1040" s="185">
        <v>40</v>
      </c>
      <c r="T1040" s="185" t="s">
        <v>2</v>
      </c>
      <c r="U1040" s="185">
        <f>IF(S1040&gt;0,IF(RIGHT(Ruimtestaat[[#This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0" s="185">
        <f>IF(U1040&gt;0,VLOOKUP($K1040,Ruimtegroepen[],3,FALSE)*VLOOKUP($M1040,Vloersoorten[],3,FALSE)*VLOOKUP($T1040,Frequenties[],3,FALSE)*VLOOKUP($A1040,Locaties[],3,FALSE),0)</f>
        <v>0</v>
      </c>
      <c r="W1040" s="185">
        <f>Ruimtestaat[[#This Row],[Uitvoeringen werkdagen]]*Ruimtestaat[[#This Row],[Oppervlak (netto)]]</f>
        <v>6200</v>
      </c>
      <c r="X1040" s="220">
        <f>IF(V1040&gt;0,Ruimtestaat[[#This Row],[Prest. (m2 /jaar) werkdagen]]/Ruimtestaat[[#This Row],[Norm (m2/uur) werkdagen]],0)</f>
        <v>0</v>
      </c>
      <c r="Y1040" s="221">
        <f>Ruimtestaat[[#This Row],[uren / jaar werkdagen]]*Tariefsopbouw!$D$38</f>
        <v>0</v>
      </c>
      <c r="Z1040" s="33"/>
      <c r="AA1040" s="33">
        <f>IF(Ruimtestaat[[#This Row],[Frequentie weekend]]&gt;0,VALUE(LEFT(Z1040,1))*S1040,0)</f>
        <v>0</v>
      </c>
      <c r="AB1040" s="33">
        <f>IF($AA1040&gt;0,VLOOKUP($K1040,Ruimtegroepen[],3,FALSE)*VLOOKUP($M1040,Vloersoorten[],3,FALSE)*VLOOKUP($Z1040,Frequenties[],3,FALSE)*VLOOKUP(#REF!,Locaties[],3,FALSE),0)</f>
        <v>0</v>
      </c>
      <c r="AC1040" s="33"/>
      <c r="AD1040" s="33"/>
      <c r="AE1040" s="33">
        <f>Ruimtestaat[[#This Row],[uren / jaar weekend]]*Tariefsopbouw!$D$40</f>
        <v>0</v>
      </c>
      <c r="AF1040" s="79">
        <f>Ruimtestaat[[#This Row],[Prest. (m2 /jaar) weekend]]+Ruimtestaat[[#This Row],[Prest. (m2 /jaar) werkdagen]]</f>
        <v>6200</v>
      </c>
      <c r="AG1040" s="79">
        <f>Ruimtestaat[[#This Row],[uren / jaar weekend]]+Ruimtestaat[[#This Row],[uren / jaar werkdagen]]</f>
        <v>0</v>
      </c>
      <c r="AH1040" s="80">
        <f>Ruimtestaat[[#This Row],[kosten / jaar weekend]]+Ruimtestaat[[#This Row],[kosten / jaar werkdagen]]</f>
        <v>0</v>
      </c>
    </row>
    <row r="1041" spans="1:34" ht="15" customHeight="1">
      <c r="A1041" s="256">
        <v>12</v>
      </c>
      <c r="B1041" s="171" t="str">
        <f>VLOOKUP(Ruimtestaat[[#This Row],[Code]],Locaties[#All],2,FALSE)</f>
        <v>Onderwijscentrum Het Roessingh &amp; De Huifkar</v>
      </c>
      <c r="C1041" s="258" t="str">
        <f>VLOOKUP(Ruimtestaat[[#This Row],[Code]],Locaties[#All],4,FALSE)</f>
        <v>Roessinghsbleekweg 35</v>
      </c>
      <c r="D1041" s="258" t="str">
        <f>VLOOKUP(Ruimtestaat[[#This Row],[Code]],Locaties[#All],5,FALSE)</f>
        <v>7522 AH</v>
      </c>
      <c r="E1041" s="258" t="str">
        <f>VLOOKUP(Ruimtestaat[[#This Row],[Code]],Locaties[#All],6,FALSE)</f>
        <v>Enschede</v>
      </c>
      <c r="F1041" s="257"/>
      <c r="G1041" s="257" t="s">
        <v>564</v>
      </c>
      <c r="H1041" s="171"/>
      <c r="I1041" s="257">
        <v>163</v>
      </c>
      <c r="J1041" s="259" t="s">
        <v>569</v>
      </c>
      <c r="K1041" s="258">
        <v>5</v>
      </c>
      <c r="L1041" s="260" t="str">
        <f>VLOOKUP(Ruimtestaat[[#This Row],[Ruimte code]],Ruimtegroepen[#All],2,FALSE)</f>
        <v>Sanitair</v>
      </c>
      <c r="M1041" s="212" t="s">
        <v>111</v>
      </c>
      <c r="N1041" s="257" t="s">
        <v>606</v>
      </c>
      <c r="O1041" s="261">
        <v>9.1999999999999993</v>
      </c>
      <c r="P1041" s="183"/>
      <c r="Q1041" s="212" t="str">
        <f>VLOOKUP(Ruimtestaat[[#This Row],[Ruimte code]],Ruimtegroepen[#All],4,FALSE)</f>
        <v>S  (Sanitair)</v>
      </c>
      <c r="R1041" s="184"/>
      <c r="S1041" s="185">
        <v>40</v>
      </c>
      <c r="T1041" s="185" t="s">
        <v>2</v>
      </c>
      <c r="U1041" s="185">
        <f>IF(S1041&gt;0,IF(RIGHT(Ruimtestaat[[#This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1" s="185">
        <f>IF(U1041&gt;0,VLOOKUP($K1041,Ruimtegroepen[],3,FALSE)*VLOOKUP($M1041,Vloersoorten[],3,FALSE)*VLOOKUP($T1041,Frequenties[],3,FALSE)*VLOOKUP($A1041,Locaties[],3,FALSE),0)</f>
        <v>0</v>
      </c>
      <c r="W1041" s="185">
        <f>Ruimtestaat[[#This Row],[Uitvoeringen werkdagen]]*Ruimtestaat[[#This Row],[Oppervlak (netto)]]</f>
        <v>1839.9999999999998</v>
      </c>
      <c r="X1041" s="220">
        <f>IF(V1041&gt;0,Ruimtestaat[[#This Row],[Prest. (m2 /jaar) werkdagen]]/Ruimtestaat[[#This Row],[Norm (m2/uur) werkdagen]],0)</f>
        <v>0</v>
      </c>
      <c r="Y1041" s="221">
        <f>Ruimtestaat[[#This Row],[uren / jaar werkdagen]]*Tariefsopbouw!$D$38</f>
        <v>0</v>
      </c>
      <c r="Z1041" s="33"/>
      <c r="AA1041" s="33">
        <f>IF(Ruimtestaat[[#This Row],[Frequentie weekend]]&gt;0,VALUE(LEFT(Z1041,1))*S1041,0)</f>
        <v>0</v>
      </c>
      <c r="AB1041" s="33">
        <f>IF($AA1041&gt;0,VLOOKUP($K1041,Ruimtegroepen[],3,FALSE)*VLOOKUP($M1041,Vloersoorten[],3,FALSE)*VLOOKUP($Z1041,Frequenties[],3,FALSE)*VLOOKUP(#REF!,Locaties[],3,FALSE),0)</f>
        <v>0</v>
      </c>
      <c r="AC1041" s="33"/>
      <c r="AD1041" s="33"/>
      <c r="AE1041" s="33">
        <f>Ruimtestaat[[#This Row],[uren / jaar weekend]]*Tariefsopbouw!$D$40</f>
        <v>0</v>
      </c>
      <c r="AF1041" s="79">
        <f>Ruimtestaat[[#This Row],[Prest. (m2 /jaar) weekend]]+Ruimtestaat[[#This Row],[Prest. (m2 /jaar) werkdagen]]</f>
        <v>1839.9999999999998</v>
      </c>
      <c r="AG1041" s="79">
        <f>Ruimtestaat[[#This Row],[uren / jaar weekend]]+Ruimtestaat[[#This Row],[uren / jaar werkdagen]]</f>
        <v>0</v>
      </c>
      <c r="AH1041" s="80">
        <f>Ruimtestaat[[#This Row],[kosten / jaar weekend]]+Ruimtestaat[[#This Row],[kosten / jaar werkdagen]]</f>
        <v>0</v>
      </c>
    </row>
    <row r="1042" spans="1:34" ht="15" customHeight="1">
      <c r="A1042" s="256">
        <v>12</v>
      </c>
      <c r="B1042" s="171" t="str">
        <f>VLOOKUP(Ruimtestaat[[#This Row],[Code]],Locaties[#All],2,FALSE)</f>
        <v>Onderwijscentrum Het Roessingh &amp; De Huifkar</v>
      </c>
      <c r="C1042" s="258" t="str">
        <f>VLOOKUP(Ruimtestaat[[#This Row],[Code]],Locaties[#All],4,FALSE)</f>
        <v>Roessinghsbleekweg 35</v>
      </c>
      <c r="D1042" s="258" t="str">
        <f>VLOOKUP(Ruimtestaat[[#This Row],[Code]],Locaties[#All],5,FALSE)</f>
        <v>7522 AH</v>
      </c>
      <c r="E1042" s="258" t="str">
        <f>VLOOKUP(Ruimtestaat[[#This Row],[Code]],Locaties[#All],6,FALSE)</f>
        <v>Enschede</v>
      </c>
      <c r="F1042" s="257"/>
      <c r="G1042" s="257" t="s">
        <v>564</v>
      </c>
      <c r="H1042" s="171"/>
      <c r="I1042" s="257" t="s">
        <v>1036</v>
      </c>
      <c r="J1042" s="259" t="s">
        <v>22</v>
      </c>
      <c r="K1042" s="258">
        <v>5</v>
      </c>
      <c r="L1042" s="260" t="str">
        <f>VLOOKUP(Ruimtestaat[[#This Row],[Ruimte code]],Ruimtegroepen[#All],2,FALSE)</f>
        <v>Sanitair</v>
      </c>
      <c r="M1042" s="212" t="s">
        <v>111</v>
      </c>
      <c r="N1042" s="257" t="s">
        <v>606</v>
      </c>
      <c r="O1042" s="261">
        <v>8</v>
      </c>
      <c r="P1042" s="183"/>
      <c r="Q1042" s="212" t="str">
        <f>VLOOKUP(Ruimtestaat[[#This Row],[Ruimte code]],Ruimtegroepen[#All],4,FALSE)</f>
        <v>S  (Sanitair)</v>
      </c>
      <c r="R1042" s="184"/>
      <c r="S1042" s="185">
        <v>40</v>
      </c>
      <c r="T1042" s="185" t="s">
        <v>2</v>
      </c>
      <c r="U1042" s="185">
        <f>IF(S1042&gt;0,IF(RIGHT(Ruimtestaat[[#This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2" s="185">
        <f>IF(U1042&gt;0,VLOOKUP($K1042,Ruimtegroepen[],3,FALSE)*VLOOKUP($M1042,Vloersoorten[],3,FALSE)*VLOOKUP($T1042,Frequenties[],3,FALSE)*VLOOKUP($A1042,Locaties[],3,FALSE),0)</f>
        <v>0</v>
      </c>
      <c r="W1042" s="185">
        <f>Ruimtestaat[[#This Row],[Uitvoeringen werkdagen]]*Ruimtestaat[[#This Row],[Oppervlak (netto)]]</f>
        <v>1600</v>
      </c>
      <c r="X1042" s="220">
        <f>IF(V1042&gt;0,Ruimtestaat[[#This Row],[Prest. (m2 /jaar) werkdagen]]/Ruimtestaat[[#This Row],[Norm (m2/uur) werkdagen]],0)</f>
        <v>0</v>
      </c>
      <c r="Y1042" s="221">
        <f>Ruimtestaat[[#This Row],[uren / jaar werkdagen]]*Tariefsopbouw!$D$38</f>
        <v>0</v>
      </c>
      <c r="Z1042" s="33"/>
      <c r="AA1042" s="33">
        <f>IF(Ruimtestaat[[#This Row],[Frequentie weekend]]&gt;0,VALUE(LEFT(Z1042,1))*S1042,0)</f>
        <v>0</v>
      </c>
      <c r="AB1042" s="33">
        <f>IF($AA1042&gt;0,VLOOKUP($K1042,Ruimtegroepen[],3,FALSE)*VLOOKUP($M1042,Vloersoorten[],3,FALSE)*VLOOKUP($Z1042,Frequenties[],3,FALSE)*VLOOKUP(#REF!,Locaties[],3,FALSE),0)</f>
        <v>0</v>
      </c>
      <c r="AC1042" s="33"/>
      <c r="AD1042" s="33"/>
      <c r="AE1042" s="33">
        <f>Ruimtestaat[[#This Row],[uren / jaar weekend]]*Tariefsopbouw!$D$40</f>
        <v>0</v>
      </c>
      <c r="AF1042" s="79">
        <f>Ruimtestaat[[#This Row],[Prest. (m2 /jaar) weekend]]+Ruimtestaat[[#This Row],[Prest. (m2 /jaar) werkdagen]]</f>
        <v>1600</v>
      </c>
      <c r="AG1042" s="79">
        <f>Ruimtestaat[[#This Row],[uren / jaar weekend]]+Ruimtestaat[[#This Row],[uren / jaar werkdagen]]</f>
        <v>0</v>
      </c>
      <c r="AH1042" s="80">
        <f>Ruimtestaat[[#This Row],[kosten / jaar weekend]]+Ruimtestaat[[#This Row],[kosten / jaar werkdagen]]</f>
        <v>0</v>
      </c>
    </row>
    <row r="1043" spans="1:34" ht="15" customHeight="1">
      <c r="A1043" s="256">
        <v>12</v>
      </c>
      <c r="B1043" s="171" t="str">
        <f>VLOOKUP(Ruimtestaat[[#This Row],[Code]],Locaties[#All],2,FALSE)</f>
        <v>Onderwijscentrum Het Roessingh &amp; De Huifkar</v>
      </c>
      <c r="C1043" s="258" t="str">
        <f>VLOOKUP(Ruimtestaat[[#This Row],[Code]],Locaties[#All],4,FALSE)</f>
        <v>Roessinghsbleekweg 35</v>
      </c>
      <c r="D1043" s="258" t="str">
        <f>VLOOKUP(Ruimtestaat[[#This Row],[Code]],Locaties[#All],5,FALSE)</f>
        <v>7522 AH</v>
      </c>
      <c r="E1043" s="258" t="str">
        <f>VLOOKUP(Ruimtestaat[[#This Row],[Code]],Locaties[#All],6,FALSE)</f>
        <v>Enschede</v>
      </c>
      <c r="F1043" s="257"/>
      <c r="G1043" s="257" t="s">
        <v>564</v>
      </c>
      <c r="H1043" s="171"/>
      <c r="I1043" s="257">
        <v>164</v>
      </c>
      <c r="J1043" s="259" t="s">
        <v>770</v>
      </c>
      <c r="K1043" s="171">
        <v>5</v>
      </c>
      <c r="L1043" s="260" t="str">
        <f>VLOOKUP(Ruimtestaat[[#This Row],[Ruimte code]],Ruimtegroepen[#All],2,FALSE)</f>
        <v>Sanitair</v>
      </c>
      <c r="M1043" s="212" t="s">
        <v>111</v>
      </c>
      <c r="N1043" s="257" t="s">
        <v>606</v>
      </c>
      <c r="O1043" s="261">
        <v>11</v>
      </c>
      <c r="P1043" s="183"/>
      <c r="Q1043" s="212" t="str">
        <f>VLOOKUP(Ruimtestaat[[#This Row],[Ruimte code]],Ruimtegroepen[#All],4,FALSE)</f>
        <v>S  (Sanitair)</v>
      </c>
      <c r="R1043" s="184"/>
      <c r="S1043" s="185">
        <v>40</v>
      </c>
      <c r="T1043" s="185" t="s">
        <v>2</v>
      </c>
      <c r="U1043" s="185">
        <f>IF(S1043&gt;0,IF(RIGHT(Ruimtestaat[[#This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3" s="185">
        <f>IF(U1043&gt;0,VLOOKUP($K1043,Ruimtegroepen[],3,FALSE)*VLOOKUP($M1043,Vloersoorten[],3,FALSE)*VLOOKUP($T1043,Frequenties[],3,FALSE)*VLOOKUP($A1043,Locaties[],3,FALSE),0)</f>
        <v>0</v>
      </c>
      <c r="W1043" s="185">
        <f>Ruimtestaat[[#This Row],[Uitvoeringen werkdagen]]*Ruimtestaat[[#This Row],[Oppervlak (netto)]]</f>
        <v>2200</v>
      </c>
      <c r="X1043" s="220">
        <f>IF(V1043&gt;0,Ruimtestaat[[#This Row],[Prest. (m2 /jaar) werkdagen]]/Ruimtestaat[[#This Row],[Norm (m2/uur) werkdagen]],0)</f>
        <v>0</v>
      </c>
      <c r="Y1043" s="221">
        <f>Ruimtestaat[[#This Row],[uren / jaar werkdagen]]*Tariefsopbouw!$D$38</f>
        <v>0</v>
      </c>
      <c r="Z1043" s="33"/>
      <c r="AA1043" s="33">
        <f>IF(Ruimtestaat[[#This Row],[Frequentie weekend]]&gt;0,VALUE(LEFT(Z1043,1))*S1043,0)</f>
        <v>0</v>
      </c>
      <c r="AB1043" s="33">
        <f>IF($AA1043&gt;0,VLOOKUP($K1043,Ruimtegroepen[],3,FALSE)*VLOOKUP($M1043,Vloersoorten[],3,FALSE)*VLOOKUP($Z1043,Frequenties[],3,FALSE)*VLOOKUP(#REF!,Locaties[],3,FALSE),0)</f>
        <v>0</v>
      </c>
      <c r="AC1043" s="33"/>
      <c r="AD1043" s="33"/>
      <c r="AE1043" s="33">
        <f>Ruimtestaat[[#This Row],[uren / jaar weekend]]*Tariefsopbouw!$D$40</f>
        <v>0</v>
      </c>
      <c r="AF1043" s="79">
        <f>Ruimtestaat[[#This Row],[Prest. (m2 /jaar) weekend]]+Ruimtestaat[[#This Row],[Prest. (m2 /jaar) werkdagen]]</f>
        <v>2200</v>
      </c>
      <c r="AG1043" s="79">
        <f>Ruimtestaat[[#This Row],[uren / jaar weekend]]+Ruimtestaat[[#This Row],[uren / jaar werkdagen]]</f>
        <v>0</v>
      </c>
      <c r="AH1043" s="80">
        <f>Ruimtestaat[[#This Row],[kosten / jaar weekend]]+Ruimtestaat[[#This Row],[kosten / jaar werkdagen]]</f>
        <v>0</v>
      </c>
    </row>
    <row r="1044" spans="1:34" ht="15" customHeight="1">
      <c r="A1044" s="256">
        <v>12</v>
      </c>
      <c r="B1044" s="171" t="str">
        <f>VLOOKUP(Ruimtestaat[[#This Row],[Code]],Locaties[#All],2,FALSE)</f>
        <v>Onderwijscentrum Het Roessingh &amp; De Huifkar</v>
      </c>
      <c r="C1044" s="258" t="str">
        <f>VLOOKUP(Ruimtestaat[[#This Row],[Code]],Locaties[#All],4,FALSE)</f>
        <v>Roessinghsbleekweg 35</v>
      </c>
      <c r="D1044" s="258" t="str">
        <f>VLOOKUP(Ruimtestaat[[#This Row],[Code]],Locaties[#All],5,FALSE)</f>
        <v>7522 AH</v>
      </c>
      <c r="E1044" s="258" t="str">
        <f>VLOOKUP(Ruimtestaat[[#This Row],[Code]],Locaties[#All],6,FALSE)</f>
        <v>Enschede</v>
      </c>
      <c r="F1044" s="257"/>
      <c r="G1044" s="257" t="s">
        <v>564</v>
      </c>
      <c r="H1044" s="171"/>
      <c r="I1044" s="257">
        <v>165</v>
      </c>
      <c r="J1044" s="259" t="s">
        <v>583</v>
      </c>
      <c r="K1044" s="224">
        <v>20</v>
      </c>
      <c r="L1044" s="260" t="str">
        <f>VLOOKUP(Ruimtestaat[[#This Row],[Ruimte code]],Ruimtegroepen[#All],2,FALSE)</f>
        <v>Niet in onderhoud</v>
      </c>
      <c r="M1044" s="258"/>
      <c r="N1044" s="257"/>
      <c r="O1044" s="261"/>
      <c r="P1044" s="183"/>
      <c r="Q1044" s="212" t="str">
        <f>VLOOKUP(Ruimtestaat[[#This Row],[Ruimte code]],Ruimtegroepen[#All],4,FALSE)</f>
        <v>niet in onderhoud</v>
      </c>
      <c r="R1044" s="184"/>
      <c r="S1044" s="185"/>
      <c r="T1044" s="185"/>
      <c r="U1044" s="185">
        <f>IF(S1044&gt;0,IF(RIGHT(Ruimtestaat[[#This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44" s="185">
        <f>IF(U1044&gt;0,VLOOKUP($K1044,Ruimtegroepen[],3,FALSE)*VLOOKUP($M1044,Vloersoorten[],3,FALSE)*VLOOKUP($T1044,Frequenties[],3,FALSE)*VLOOKUP($A1044,Locaties[],3,FALSE),0)</f>
        <v>0</v>
      </c>
      <c r="W1044" s="185">
        <f>Ruimtestaat[[#This Row],[Uitvoeringen werkdagen]]*Ruimtestaat[[#This Row],[Oppervlak (netto)]]</f>
        <v>0</v>
      </c>
      <c r="X1044" s="220">
        <f>IF(V1044&gt;0,Ruimtestaat[[#This Row],[Prest. (m2 /jaar) werkdagen]]/Ruimtestaat[[#This Row],[Norm (m2/uur) werkdagen]],0)</f>
        <v>0</v>
      </c>
      <c r="Y1044" s="221">
        <f>Ruimtestaat[[#This Row],[uren / jaar werkdagen]]*Tariefsopbouw!$D$38</f>
        <v>0</v>
      </c>
      <c r="Z1044" s="33"/>
      <c r="AA1044" s="33">
        <f>IF(Ruimtestaat[[#This Row],[Frequentie weekend]]&gt;0,VALUE(LEFT(Z1044,1))*S1044,0)</f>
        <v>0</v>
      </c>
      <c r="AB1044" s="33">
        <f>IF($AA1044&gt;0,VLOOKUP($K1044,Ruimtegroepen[],3,FALSE)*VLOOKUP($M1044,Vloersoorten[],3,FALSE)*VLOOKUP($Z1044,Frequenties[],3,FALSE)*VLOOKUP(#REF!,Locaties[],3,FALSE),0)</f>
        <v>0</v>
      </c>
      <c r="AC1044" s="33"/>
      <c r="AD1044" s="33"/>
      <c r="AE1044" s="33">
        <f>Ruimtestaat[[#This Row],[uren / jaar weekend]]*Tariefsopbouw!$D$40</f>
        <v>0</v>
      </c>
      <c r="AF1044" s="79">
        <f>Ruimtestaat[[#This Row],[Prest. (m2 /jaar) weekend]]+Ruimtestaat[[#This Row],[Prest. (m2 /jaar) werkdagen]]</f>
        <v>0</v>
      </c>
      <c r="AG1044" s="79">
        <f>Ruimtestaat[[#This Row],[uren / jaar weekend]]+Ruimtestaat[[#This Row],[uren / jaar werkdagen]]</f>
        <v>0</v>
      </c>
      <c r="AH1044" s="80">
        <f>Ruimtestaat[[#This Row],[kosten / jaar weekend]]+Ruimtestaat[[#This Row],[kosten / jaar werkdagen]]</f>
        <v>0</v>
      </c>
    </row>
    <row r="1045" spans="1:34" ht="15" customHeight="1">
      <c r="A1045" s="256">
        <v>12</v>
      </c>
      <c r="B1045" s="171" t="str">
        <f>VLOOKUP(Ruimtestaat[[#This Row],[Code]],Locaties[#All],2,FALSE)</f>
        <v>Onderwijscentrum Het Roessingh &amp; De Huifkar</v>
      </c>
      <c r="C1045" s="258" t="str">
        <f>VLOOKUP(Ruimtestaat[[#This Row],[Code]],Locaties[#All],4,FALSE)</f>
        <v>Roessinghsbleekweg 35</v>
      </c>
      <c r="D1045" s="258" t="str">
        <f>VLOOKUP(Ruimtestaat[[#This Row],[Code]],Locaties[#All],5,FALSE)</f>
        <v>7522 AH</v>
      </c>
      <c r="E1045" s="258" t="str">
        <f>VLOOKUP(Ruimtestaat[[#This Row],[Code]],Locaties[#All],6,FALSE)</f>
        <v>Enschede</v>
      </c>
      <c r="F1045" s="257"/>
      <c r="G1045" s="257" t="s">
        <v>564</v>
      </c>
      <c r="H1045" s="171"/>
      <c r="I1045" s="257">
        <v>167</v>
      </c>
      <c r="J1045" s="259" t="s">
        <v>574</v>
      </c>
      <c r="K1045" s="171">
        <v>6</v>
      </c>
      <c r="L1045" s="260" t="str">
        <f>VLOOKUP(Ruimtestaat[[#This Row],[Ruimte code]],Ruimtegroepen[#All],2,FALSE)</f>
        <v>Gangen/hallen</v>
      </c>
      <c r="M1045" s="258" t="s">
        <v>598</v>
      </c>
      <c r="N1045" s="257" t="s">
        <v>132</v>
      </c>
      <c r="O1045" s="261">
        <v>5</v>
      </c>
      <c r="P1045" s="183"/>
      <c r="Q1045" s="212" t="str">
        <f>VLOOKUP(Ruimtestaat[[#This Row],[Ruimte code]],Ruimtegroepen[#All],4,FALSE)</f>
        <v>V  (Verkeersruimte)</v>
      </c>
      <c r="R1045" s="184"/>
      <c r="S1045" s="185">
        <v>40</v>
      </c>
      <c r="T1045" s="185" t="s">
        <v>2</v>
      </c>
      <c r="U1045" s="185">
        <f>IF(S1045&gt;0,IF(RIGHT(Ruimtestaat[[#This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5" s="185">
        <f>IF(U1045&gt;0,VLOOKUP($K1045,Ruimtegroepen[],3,FALSE)*VLOOKUP($M1045,Vloersoorten[],3,FALSE)*VLOOKUP($T1045,Frequenties[],3,FALSE)*VLOOKUP($A1045,Locaties[],3,FALSE),0)</f>
        <v>0</v>
      </c>
      <c r="W1045" s="185">
        <f>Ruimtestaat[[#This Row],[Uitvoeringen werkdagen]]*Ruimtestaat[[#This Row],[Oppervlak (netto)]]</f>
        <v>1000</v>
      </c>
      <c r="X1045" s="220">
        <f>IF(V1045&gt;0,Ruimtestaat[[#This Row],[Prest. (m2 /jaar) werkdagen]]/Ruimtestaat[[#This Row],[Norm (m2/uur) werkdagen]],0)</f>
        <v>0</v>
      </c>
      <c r="Y1045" s="221">
        <f>Ruimtestaat[[#This Row],[uren / jaar werkdagen]]*Tariefsopbouw!$D$38</f>
        <v>0</v>
      </c>
      <c r="Z1045" s="33"/>
      <c r="AA1045" s="33">
        <f>IF(Ruimtestaat[[#This Row],[Frequentie weekend]]&gt;0,VALUE(LEFT(Z1045,1))*S1045,0)</f>
        <v>0</v>
      </c>
      <c r="AB1045" s="33">
        <f>IF($AA1045&gt;0,VLOOKUP($K1045,Ruimtegroepen[],3,FALSE)*VLOOKUP($M1045,Vloersoorten[],3,FALSE)*VLOOKUP($Z1045,Frequenties[],3,FALSE)*VLOOKUP(#REF!,Locaties[],3,FALSE),0)</f>
        <v>0</v>
      </c>
      <c r="AC1045" s="33"/>
      <c r="AD1045" s="33"/>
      <c r="AE1045" s="33">
        <f>Ruimtestaat[[#This Row],[uren / jaar weekend]]*Tariefsopbouw!$D$40</f>
        <v>0</v>
      </c>
      <c r="AF1045" s="79">
        <f>Ruimtestaat[[#This Row],[Prest. (m2 /jaar) weekend]]+Ruimtestaat[[#This Row],[Prest. (m2 /jaar) werkdagen]]</f>
        <v>1000</v>
      </c>
      <c r="AG1045" s="79">
        <f>Ruimtestaat[[#This Row],[uren / jaar weekend]]+Ruimtestaat[[#This Row],[uren / jaar werkdagen]]</f>
        <v>0</v>
      </c>
      <c r="AH1045" s="80">
        <f>Ruimtestaat[[#This Row],[kosten / jaar weekend]]+Ruimtestaat[[#This Row],[kosten / jaar werkdagen]]</f>
        <v>0</v>
      </c>
    </row>
    <row r="1046" spans="1:34" ht="15" customHeight="1">
      <c r="A1046" s="256">
        <v>12</v>
      </c>
      <c r="B1046" s="171" t="str">
        <f>VLOOKUP(Ruimtestaat[[#This Row],[Code]],Locaties[#All],2,FALSE)</f>
        <v>Onderwijscentrum Het Roessingh &amp; De Huifkar</v>
      </c>
      <c r="C1046" s="258" t="str">
        <f>VLOOKUP(Ruimtestaat[[#This Row],[Code]],Locaties[#All],4,FALSE)</f>
        <v>Roessinghsbleekweg 35</v>
      </c>
      <c r="D1046" s="258" t="str">
        <f>VLOOKUP(Ruimtestaat[[#This Row],[Code]],Locaties[#All],5,FALSE)</f>
        <v>7522 AH</v>
      </c>
      <c r="E1046" s="258" t="str">
        <f>VLOOKUP(Ruimtestaat[[#This Row],[Code]],Locaties[#All],6,FALSE)</f>
        <v>Enschede</v>
      </c>
      <c r="F1046" s="257"/>
      <c r="G1046" s="257" t="s">
        <v>564</v>
      </c>
      <c r="H1046" s="171"/>
      <c r="I1046" s="257">
        <v>168</v>
      </c>
      <c r="J1046" s="259" t="s">
        <v>571</v>
      </c>
      <c r="K1046" s="185">
        <v>2</v>
      </c>
      <c r="L1046" s="260" t="str">
        <f>VLOOKUP(Ruimtestaat[[#This Row],[Ruimte code]],Ruimtegroepen[#All],2,FALSE)</f>
        <v>Kantoren</v>
      </c>
      <c r="M1046" s="212" t="s">
        <v>597</v>
      </c>
      <c r="N1046" s="257" t="s">
        <v>38</v>
      </c>
      <c r="O1046" s="261">
        <v>18</v>
      </c>
      <c r="P1046" s="183"/>
      <c r="Q1046" s="212" t="str">
        <f>VLOOKUP(Ruimtestaat[[#This Row],[Ruimte code]],Ruimtegroepen[#All],4,FALSE)</f>
        <v>B  (Bureauruimte)</v>
      </c>
      <c r="R1046" s="184"/>
      <c r="S1046" s="185">
        <v>40</v>
      </c>
      <c r="T1046" s="185" t="s">
        <v>2</v>
      </c>
      <c r="U1046" s="185">
        <f>IF(S1046&gt;0,IF(RIGHT(Ruimtestaat[[#This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6" s="185">
        <f>IF(U1046&gt;0,VLOOKUP($K1046,Ruimtegroepen[],3,FALSE)*VLOOKUP($M1046,Vloersoorten[],3,FALSE)*VLOOKUP($T1046,Frequenties[],3,FALSE)*VLOOKUP($A1046,Locaties[],3,FALSE),0)</f>
        <v>0</v>
      </c>
      <c r="W1046" s="185">
        <f>Ruimtestaat[[#This Row],[Uitvoeringen werkdagen]]*Ruimtestaat[[#This Row],[Oppervlak (netto)]]</f>
        <v>3600</v>
      </c>
      <c r="X1046" s="220">
        <f>IF(V1046&gt;0,Ruimtestaat[[#This Row],[Prest. (m2 /jaar) werkdagen]]/Ruimtestaat[[#This Row],[Norm (m2/uur) werkdagen]],0)</f>
        <v>0</v>
      </c>
      <c r="Y1046" s="221">
        <f>Ruimtestaat[[#This Row],[uren / jaar werkdagen]]*Tariefsopbouw!$D$38</f>
        <v>0</v>
      </c>
      <c r="Z1046" s="33"/>
      <c r="AA1046" s="33">
        <f>IF(Ruimtestaat[[#This Row],[Frequentie weekend]]&gt;0,VALUE(LEFT(Z1046,1))*S1046,0)</f>
        <v>0</v>
      </c>
      <c r="AB1046" s="33">
        <f>IF($AA1046&gt;0,VLOOKUP($K1046,Ruimtegroepen[],3,FALSE)*VLOOKUP($M1046,Vloersoorten[],3,FALSE)*VLOOKUP($Z1046,Frequenties[],3,FALSE)*VLOOKUP(#REF!,Locaties[],3,FALSE),0)</f>
        <v>0</v>
      </c>
      <c r="AC1046" s="33"/>
      <c r="AD1046" s="33"/>
      <c r="AE1046" s="33">
        <f>Ruimtestaat[[#This Row],[uren / jaar weekend]]*Tariefsopbouw!$D$40</f>
        <v>0</v>
      </c>
      <c r="AF1046" s="79">
        <f>Ruimtestaat[[#This Row],[Prest. (m2 /jaar) weekend]]+Ruimtestaat[[#This Row],[Prest. (m2 /jaar) werkdagen]]</f>
        <v>3600</v>
      </c>
      <c r="AG1046" s="79">
        <f>Ruimtestaat[[#This Row],[uren / jaar weekend]]+Ruimtestaat[[#This Row],[uren / jaar werkdagen]]</f>
        <v>0</v>
      </c>
      <c r="AH1046" s="80">
        <f>Ruimtestaat[[#This Row],[kosten / jaar weekend]]+Ruimtestaat[[#This Row],[kosten / jaar werkdagen]]</f>
        <v>0</v>
      </c>
    </row>
    <row r="1047" spans="1:34" ht="15" customHeight="1">
      <c r="A1047" s="256">
        <v>12</v>
      </c>
      <c r="B1047" s="171" t="str">
        <f>VLOOKUP(Ruimtestaat[[#This Row],[Code]],Locaties[#All],2,FALSE)</f>
        <v>Onderwijscentrum Het Roessingh &amp; De Huifkar</v>
      </c>
      <c r="C1047" s="258" t="str">
        <f>VLOOKUP(Ruimtestaat[[#This Row],[Code]],Locaties[#All],4,FALSE)</f>
        <v>Roessinghsbleekweg 35</v>
      </c>
      <c r="D1047" s="258" t="str">
        <f>VLOOKUP(Ruimtestaat[[#This Row],[Code]],Locaties[#All],5,FALSE)</f>
        <v>7522 AH</v>
      </c>
      <c r="E1047" s="258" t="str">
        <f>VLOOKUP(Ruimtestaat[[#This Row],[Code]],Locaties[#All],6,FALSE)</f>
        <v>Enschede</v>
      </c>
      <c r="F1047" s="257"/>
      <c r="G1047" s="257" t="s">
        <v>564</v>
      </c>
      <c r="H1047" s="171"/>
      <c r="I1047" s="257">
        <v>181</v>
      </c>
      <c r="J1047" s="259" t="s">
        <v>576</v>
      </c>
      <c r="K1047" s="258">
        <v>16</v>
      </c>
      <c r="L1047" s="260" t="str">
        <f>VLOOKUP(Ruimtestaat[[#This Row],[Ruimte code]],Ruimtegroepen[#All],2,FALSE)</f>
        <v>Leslokalen</v>
      </c>
      <c r="M1047" s="258" t="s">
        <v>598</v>
      </c>
      <c r="N1047" s="257" t="s">
        <v>132</v>
      </c>
      <c r="O1047" s="261">
        <v>57</v>
      </c>
      <c r="P1047" s="183"/>
      <c r="Q1047" s="212" t="str">
        <f>VLOOKUP(Ruimtestaat[[#This Row],[Ruimte code]],Ruimtegroepen[#All],4,FALSE)</f>
        <v>L  (Lesruimte)</v>
      </c>
      <c r="R1047" s="184"/>
      <c r="S1047" s="185">
        <v>40</v>
      </c>
      <c r="T1047" s="185" t="s">
        <v>2</v>
      </c>
      <c r="U1047" s="185">
        <f>IF(S1047&gt;0,IF(RIGHT(Ruimtestaat[[#This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7" s="185">
        <f>IF(U1047&gt;0,VLOOKUP($K1047,Ruimtegroepen[],3,FALSE)*VLOOKUP($M1047,Vloersoorten[],3,FALSE)*VLOOKUP($T1047,Frequenties[],3,FALSE)*VLOOKUP($A1047,Locaties[],3,FALSE),0)</f>
        <v>0</v>
      </c>
      <c r="W1047" s="185">
        <f>Ruimtestaat[[#This Row],[Uitvoeringen werkdagen]]*Ruimtestaat[[#This Row],[Oppervlak (netto)]]</f>
        <v>11400</v>
      </c>
      <c r="X1047" s="220">
        <f>IF(V1047&gt;0,Ruimtestaat[[#This Row],[Prest. (m2 /jaar) werkdagen]]/Ruimtestaat[[#This Row],[Norm (m2/uur) werkdagen]],0)</f>
        <v>0</v>
      </c>
      <c r="Y1047" s="221">
        <f>Ruimtestaat[[#This Row],[uren / jaar werkdagen]]*Tariefsopbouw!$D$38</f>
        <v>0</v>
      </c>
      <c r="Z1047" s="33"/>
      <c r="AA1047" s="33">
        <f>IF(Ruimtestaat[[#This Row],[Frequentie weekend]]&gt;0,VALUE(LEFT(Z1047,1))*S1047,0)</f>
        <v>0</v>
      </c>
      <c r="AB1047" s="33">
        <f>IF($AA1047&gt;0,VLOOKUP($K1047,Ruimtegroepen[],3,FALSE)*VLOOKUP($M1047,Vloersoorten[],3,FALSE)*VLOOKUP($Z1047,Frequenties[],3,FALSE)*VLOOKUP(#REF!,Locaties[],3,FALSE),0)</f>
        <v>0</v>
      </c>
      <c r="AC1047" s="33"/>
      <c r="AD1047" s="33"/>
      <c r="AE1047" s="33">
        <f>Ruimtestaat[[#This Row],[uren / jaar weekend]]*Tariefsopbouw!$D$40</f>
        <v>0</v>
      </c>
      <c r="AF1047" s="79">
        <f>Ruimtestaat[[#This Row],[Prest. (m2 /jaar) weekend]]+Ruimtestaat[[#This Row],[Prest. (m2 /jaar) werkdagen]]</f>
        <v>11400</v>
      </c>
      <c r="AG1047" s="79">
        <f>Ruimtestaat[[#This Row],[uren / jaar weekend]]+Ruimtestaat[[#This Row],[uren / jaar werkdagen]]</f>
        <v>0</v>
      </c>
      <c r="AH1047" s="80">
        <f>Ruimtestaat[[#This Row],[kosten / jaar weekend]]+Ruimtestaat[[#This Row],[kosten / jaar werkdagen]]</f>
        <v>0</v>
      </c>
    </row>
    <row r="1048" spans="1:34" ht="15" customHeight="1">
      <c r="A1048" s="256">
        <v>12</v>
      </c>
      <c r="B1048" s="171" t="str">
        <f>VLOOKUP(Ruimtestaat[[#This Row],[Code]],Locaties[#All],2,FALSE)</f>
        <v>Onderwijscentrum Het Roessingh &amp; De Huifkar</v>
      </c>
      <c r="C1048" s="258" t="str">
        <f>VLOOKUP(Ruimtestaat[[#This Row],[Code]],Locaties[#All],4,FALSE)</f>
        <v>Roessinghsbleekweg 35</v>
      </c>
      <c r="D1048" s="258" t="str">
        <f>VLOOKUP(Ruimtestaat[[#This Row],[Code]],Locaties[#All],5,FALSE)</f>
        <v>7522 AH</v>
      </c>
      <c r="E1048" s="258" t="str">
        <f>VLOOKUP(Ruimtestaat[[#This Row],[Code]],Locaties[#All],6,FALSE)</f>
        <v>Enschede</v>
      </c>
      <c r="F1048" s="257"/>
      <c r="G1048" s="257" t="s">
        <v>564</v>
      </c>
      <c r="H1048" s="171"/>
      <c r="I1048" s="257">
        <v>182</v>
      </c>
      <c r="J1048" s="259" t="s">
        <v>574</v>
      </c>
      <c r="K1048" s="258">
        <v>6</v>
      </c>
      <c r="L1048" s="260" t="str">
        <f>VLOOKUP(Ruimtestaat[[#This Row],[Ruimte code]],Ruimtegroepen[#All],2,FALSE)</f>
        <v>Gangen/hallen</v>
      </c>
      <c r="M1048" s="258" t="s">
        <v>598</v>
      </c>
      <c r="N1048" s="257" t="s">
        <v>132</v>
      </c>
      <c r="O1048" s="261">
        <v>35</v>
      </c>
      <c r="P1048" s="183"/>
      <c r="Q1048" s="212" t="str">
        <f>VLOOKUP(Ruimtestaat[[#This Row],[Ruimte code]],Ruimtegroepen[#All],4,FALSE)</f>
        <v>V  (Verkeersruimte)</v>
      </c>
      <c r="R1048" s="184"/>
      <c r="S1048" s="185">
        <v>40</v>
      </c>
      <c r="T1048" s="185" t="s">
        <v>2</v>
      </c>
      <c r="U1048" s="185">
        <f>IF(S1048&gt;0,IF(RIGHT(Ruimtestaat[[#This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8" s="185">
        <f>IF(U1048&gt;0,VLOOKUP($K1048,Ruimtegroepen[],3,FALSE)*VLOOKUP($M1048,Vloersoorten[],3,FALSE)*VLOOKUP($T1048,Frequenties[],3,FALSE)*VLOOKUP($A1048,Locaties[],3,FALSE),0)</f>
        <v>0</v>
      </c>
      <c r="W1048" s="185">
        <f>Ruimtestaat[[#This Row],[Uitvoeringen werkdagen]]*Ruimtestaat[[#This Row],[Oppervlak (netto)]]</f>
        <v>7000</v>
      </c>
      <c r="X1048" s="220">
        <f>IF(V1048&gt;0,Ruimtestaat[[#This Row],[Prest. (m2 /jaar) werkdagen]]/Ruimtestaat[[#This Row],[Norm (m2/uur) werkdagen]],0)</f>
        <v>0</v>
      </c>
      <c r="Y1048" s="221">
        <f>Ruimtestaat[[#This Row],[uren / jaar werkdagen]]*Tariefsopbouw!$D$38</f>
        <v>0</v>
      </c>
      <c r="Z1048" s="33"/>
      <c r="AA1048" s="33">
        <f>IF(Ruimtestaat[[#This Row],[Frequentie weekend]]&gt;0,VALUE(LEFT(Z1048,1))*S1048,0)</f>
        <v>0</v>
      </c>
      <c r="AB1048" s="33">
        <f>IF($AA1048&gt;0,VLOOKUP($K1048,Ruimtegroepen[],3,FALSE)*VLOOKUP($M1048,Vloersoorten[],3,FALSE)*VLOOKUP($Z1048,Frequenties[],3,FALSE)*VLOOKUP(#REF!,Locaties[],3,FALSE),0)</f>
        <v>0</v>
      </c>
      <c r="AC1048" s="33"/>
      <c r="AD1048" s="33"/>
      <c r="AE1048" s="33">
        <f>Ruimtestaat[[#This Row],[uren / jaar weekend]]*Tariefsopbouw!$D$40</f>
        <v>0</v>
      </c>
      <c r="AF1048" s="79">
        <f>Ruimtestaat[[#This Row],[Prest. (m2 /jaar) weekend]]+Ruimtestaat[[#This Row],[Prest. (m2 /jaar) werkdagen]]</f>
        <v>7000</v>
      </c>
      <c r="AG1048" s="79">
        <f>Ruimtestaat[[#This Row],[uren / jaar weekend]]+Ruimtestaat[[#This Row],[uren / jaar werkdagen]]</f>
        <v>0</v>
      </c>
      <c r="AH1048" s="80">
        <f>Ruimtestaat[[#This Row],[kosten / jaar weekend]]+Ruimtestaat[[#This Row],[kosten / jaar werkdagen]]</f>
        <v>0</v>
      </c>
    </row>
    <row r="1049" spans="1:34" ht="15" customHeight="1">
      <c r="A1049" s="256">
        <v>12</v>
      </c>
      <c r="B1049" s="171" t="str">
        <f>VLOOKUP(Ruimtestaat[[#This Row],[Code]],Locaties[#All],2,FALSE)</f>
        <v>Onderwijscentrum Het Roessingh &amp; De Huifkar</v>
      </c>
      <c r="C1049" s="258" t="str">
        <f>VLOOKUP(Ruimtestaat[[#This Row],[Code]],Locaties[#All],4,FALSE)</f>
        <v>Roessinghsbleekweg 35</v>
      </c>
      <c r="D1049" s="258" t="str">
        <f>VLOOKUP(Ruimtestaat[[#This Row],[Code]],Locaties[#All],5,FALSE)</f>
        <v>7522 AH</v>
      </c>
      <c r="E1049" s="258" t="str">
        <f>VLOOKUP(Ruimtestaat[[#This Row],[Code]],Locaties[#All],6,FALSE)</f>
        <v>Enschede</v>
      </c>
      <c r="F1049" s="257"/>
      <c r="G1049" s="257" t="s">
        <v>564</v>
      </c>
      <c r="H1049" s="171"/>
      <c r="I1049" s="257" t="s">
        <v>1037</v>
      </c>
      <c r="J1049" s="259" t="s">
        <v>250</v>
      </c>
      <c r="K1049" s="171">
        <v>11</v>
      </c>
      <c r="L1049" s="260" t="str">
        <f>VLOOKUP(Ruimtestaat[[#This Row],[Ruimte code]],Ruimtegroepen[#All],2,FALSE)</f>
        <v>Garderobes</v>
      </c>
      <c r="M1049" s="258" t="s">
        <v>598</v>
      </c>
      <c r="N1049" s="257" t="s">
        <v>132</v>
      </c>
      <c r="O1049" s="261">
        <v>13</v>
      </c>
      <c r="P1049" s="183"/>
      <c r="Q1049" s="212" t="str">
        <f>VLOOKUP(Ruimtestaat[[#This Row],[Ruimte code]],Ruimtegroepen[#All],4,FALSE)</f>
        <v>V  (Verkeersruimte)</v>
      </c>
      <c r="R1049" s="184"/>
      <c r="S1049" s="185">
        <v>40</v>
      </c>
      <c r="T1049" s="185" t="s">
        <v>2</v>
      </c>
      <c r="U1049" s="185">
        <f>IF(S1049&gt;0,IF(RIGHT(Ruimtestaat[[#This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9" s="185">
        <f>IF(U1049&gt;0,VLOOKUP($K1049,Ruimtegroepen[],3,FALSE)*VLOOKUP($M1049,Vloersoorten[],3,FALSE)*VLOOKUP($T1049,Frequenties[],3,FALSE)*VLOOKUP($A1049,Locaties[],3,FALSE),0)</f>
        <v>0</v>
      </c>
      <c r="W1049" s="185">
        <f>Ruimtestaat[[#This Row],[Uitvoeringen werkdagen]]*Ruimtestaat[[#This Row],[Oppervlak (netto)]]</f>
        <v>2600</v>
      </c>
      <c r="X1049" s="220">
        <f>IF(V1049&gt;0,Ruimtestaat[[#This Row],[Prest. (m2 /jaar) werkdagen]]/Ruimtestaat[[#This Row],[Norm (m2/uur) werkdagen]],0)</f>
        <v>0</v>
      </c>
      <c r="Y1049" s="221">
        <f>Ruimtestaat[[#This Row],[uren / jaar werkdagen]]*Tariefsopbouw!$D$38</f>
        <v>0</v>
      </c>
      <c r="Z1049" s="33"/>
      <c r="AA1049" s="33">
        <f>IF(Ruimtestaat[[#This Row],[Frequentie weekend]]&gt;0,VALUE(LEFT(Z1049,1))*S1049,0)</f>
        <v>0</v>
      </c>
      <c r="AB1049" s="33">
        <f>IF($AA1049&gt;0,VLOOKUP($K1049,Ruimtegroepen[],3,FALSE)*VLOOKUP($M1049,Vloersoorten[],3,FALSE)*VLOOKUP($Z1049,Frequenties[],3,FALSE)*VLOOKUP(#REF!,Locaties[],3,FALSE),0)</f>
        <v>0</v>
      </c>
      <c r="AC1049" s="33"/>
      <c r="AD1049" s="33"/>
      <c r="AE1049" s="33">
        <f>Ruimtestaat[[#This Row],[uren / jaar weekend]]*Tariefsopbouw!$D$40</f>
        <v>0</v>
      </c>
      <c r="AF1049" s="79">
        <f>Ruimtestaat[[#This Row],[Prest. (m2 /jaar) weekend]]+Ruimtestaat[[#This Row],[Prest. (m2 /jaar) werkdagen]]</f>
        <v>2600</v>
      </c>
      <c r="AG1049" s="79">
        <f>Ruimtestaat[[#This Row],[uren / jaar weekend]]+Ruimtestaat[[#This Row],[uren / jaar werkdagen]]</f>
        <v>0</v>
      </c>
      <c r="AH1049" s="80">
        <f>Ruimtestaat[[#This Row],[kosten / jaar weekend]]+Ruimtestaat[[#This Row],[kosten / jaar werkdagen]]</f>
        <v>0</v>
      </c>
    </row>
    <row r="1050" spans="1:34" ht="15" customHeight="1">
      <c r="A1050" s="256">
        <v>12</v>
      </c>
      <c r="B1050" s="171" t="str">
        <f>VLOOKUP(Ruimtestaat[[#This Row],[Code]],Locaties[#All],2,FALSE)</f>
        <v>Onderwijscentrum Het Roessingh &amp; De Huifkar</v>
      </c>
      <c r="C1050" s="258" t="str">
        <f>VLOOKUP(Ruimtestaat[[#This Row],[Code]],Locaties[#All],4,FALSE)</f>
        <v>Roessinghsbleekweg 35</v>
      </c>
      <c r="D1050" s="258" t="str">
        <f>VLOOKUP(Ruimtestaat[[#This Row],[Code]],Locaties[#All],5,FALSE)</f>
        <v>7522 AH</v>
      </c>
      <c r="E1050" s="258" t="str">
        <f>VLOOKUP(Ruimtestaat[[#This Row],[Code]],Locaties[#All],6,FALSE)</f>
        <v>Enschede</v>
      </c>
      <c r="F1050" s="257"/>
      <c r="G1050" s="257" t="s">
        <v>564</v>
      </c>
      <c r="H1050" s="171"/>
      <c r="I1050" s="257" t="s">
        <v>1038</v>
      </c>
      <c r="J1050" s="259" t="s">
        <v>574</v>
      </c>
      <c r="K1050" s="258">
        <v>6</v>
      </c>
      <c r="L1050" s="260" t="str">
        <f>VLOOKUP(Ruimtestaat[[#This Row],[Ruimte code]],Ruimtegroepen[#All],2,FALSE)</f>
        <v>Gangen/hallen</v>
      </c>
      <c r="M1050" s="185" t="s">
        <v>598</v>
      </c>
      <c r="N1050" s="257" t="s">
        <v>132</v>
      </c>
      <c r="O1050" s="261">
        <v>8</v>
      </c>
      <c r="P1050" s="183"/>
      <c r="Q1050" s="212" t="str">
        <f>VLOOKUP(Ruimtestaat[[#This Row],[Ruimte code]],Ruimtegroepen[#All],4,FALSE)</f>
        <v>V  (Verkeersruimte)</v>
      </c>
      <c r="R1050" s="184"/>
      <c r="S1050" s="185">
        <v>40</v>
      </c>
      <c r="T1050" s="185" t="s">
        <v>2</v>
      </c>
      <c r="U1050" s="185">
        <f>IF(S1050&gt;0,IF(RIGHT(Ruimtestaat[[#This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0" s="185">
        <f>IF(U1050&gt;0,VLOOKUP($K1050,Ruimtegroepen[],3,FALSE)*VLOOKUP($M1050,Vloersoorten[],3,FALSE)*VLOOKUP($T1050,Frequenties[],3,FALSE)*VLOOKUP($A1050,Locaties[],3,FALSE),0)</f>
        <v>0</v>
      </c>
      <c r="W1050" s="185">
        <f>Ruimtestaat[[#This Row],[Uitvoeringen werkdagen]]*Ruimtestaat[[#This Row],[Oppervlak (netto)]]</f>
        <v>1600</v>
      </c>
      <c r="X1050" s="220">
        <f>IF(V1050&gt;0,Ruimtestaat[[#This Row],[Prest. (m2 /jaar) werkdagen]]/Ruimtestaat[[#This Row],[Norm (m2/uur) werkdagen]],0)</f>
        <v>0</v>
      </c>
      <c r="Y1050" s="221">
        <f>Ruimtestaat[[#This Row],[uren / jaar werkdagen]]*Tariefsopbouw!$D$38</f>
        <v>0</v>
      </c>
      <c r="Z1050" s="33"/>
      <c r="AA1050" s="33">
        <f>IF(Ruimtestaat[[#This Row],[Frequentie weekend]]&gt;0,VALUE(LEFT(Z1050,1))*S1050,0)</f>
        <v>0</v>
      </c>
      <c r="AB1050" s="33">
        <f>IF($AA1050&gt;0,VLOOKUP($K1050,Ruimtegroepen[],3,FALSE)*VLOOKUP($M1050,Vloersoorten[],3,FALSE)*VLOOKUP($Z1050,Frequenties[],3,FALSE)*VLOOKUP(#REF!,Locaties[],3,FALSE),0)</f>
        <v>0</v>
      </c>
      <c r="AC1050" s="33"/>
      <c r="AD1050" s="33"/>
      <c r="AE1050" s="33">
        <f>Ruimtestaat[[#This Row],[uren / jaar weekend]]*Tariefsopbouw!$D$40</f>
        <v>0</v>
      </c>
      <c r="AF1050" s="79">
        <f>Ruimtestaat[[#This Row],[Prest. (m2 /jaar) weekend]]+Ruimtestaat[[#This Row],[Prest. (m2 /jaar) werkdagen]]</f>
        <v>1600</v>
      </c>
      <c r="AG1050" s="79">
        <f>Ruimtestaat[[#This Row],[uren / jaar weekend]]+Ruimtestaat[[#This Row],[uren / jaar werkdagen]]</f>
        <v>0</v>
      </c>
      <c r="AH1050" s="80">
        <f>Ruimtestaat[[#This Row],[kosten / jaar weekend]]+Ruimtestaat[[#This Row],[kosten / jaar werkdagen]]</f>
        <v>0</v>
      </c>
    </row>
    <row r="1051" spans="1:34" ht="15" customHeight="1">
      <c r="A1051" s="256">
        <v>12</v>
      </c>
      <c r="B1051" s="171" t="str">
        <f>VLOOKUP(Ruimtestaat[[#This Row],[Code]],Locaties[#All],2,FALSE)</f>
        <v>Onderwijscentrum Het Roessingh &amp; De Huifkar</v>
      </c>
      <c r="C1051" s="258" t="str">
        <f>VLOOKUP(Ruimtestaat[[#This Row],[Code]],Locaties[#All],4,FALSE)</f>
        <v>Roessinghsbleekweg 35</v>
      </c>
      <c r="D1051" s="258" t="str">
        <f>VLOOKUP(Ruimtestaat[[#This Row],[Code]],Locaties[#All],5,FALSE)</f>
        <v>7522 AH</v>
      </c>
      <c r="E1051" s="258" t="str">
        <f>VLOOKUP(Ruimtestaat[[#This Row],[Code]],Locaties[#All],6,FALSE)</f>
        <v>Enschede</v>
      </c>
      <c r="F1051" s="257"/>
      <c r="G1051" s="257" t="s">
        <v>564</v>
      </c>
      <c r="H1051" s="171"/>
      <c r="I1051" s="257">
        <v>183</v>
      </c>
      <c r="J1051" s="259" t="s">
        <v>569</v>
      </c>
      <c r="K1051" s="258">
        <v>5</v>
      </c>
      <c r="L1051" s="260" t="str">
        <f>VLOOKUP(Ruimtestaat[[#This Row],[Ruimte code]],Ruimtegroepen[#All],2,FALSE)</f>
        <v>Sanitair</v>
      </c>
      <c r="M1051" s="212" t="s">
        <v>111</v>
      </c>
      <c r="N1051" s="257" t="s">
        <v>606</v>
      </c>
      <c r="O1051" s="261">
        <v>9.1999999999999993</v>
      </c>
      <c r="P1051" s="183"/>
      <c r="Q1051" s="212" t="str">
        <f>VLOOKUP(Ruimtestaat[[#This Row],[Ruimte code]],Ruimtegroepen[#All],4,FALSE)</f>
        <v>S  (Sanitair)</v>
      </c>
      <c r="R1051" s="184"/>
      <c r="S1051" s="185">
        <v>40</v>
      </c>
      <c r="T1051" s="185" t="s">
        <v>2</v>
      </c>
      <c r="U1051" s="185">
        <f>IF(S1051&gt;0,IF(RIGHT(Ruimtestaat[[#This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1" s="185">
        <f>IF(U1051&gt;0,VLOOKUP($K1051,Ruimtegroepen[],3,FALSE)*VLOOKUP($M1051,Vloersoorten[],3,FALSE)*VLOOKUP($T1051,Frequenties[],3,FALSE)*VLOOKUP($A1051,Locaties[],3,FALSE),0)</f>
        <v>0</v>
      </c>
      <c r="W1051" s="185">
        <f>Ruimtestaat[[#This Row],[Uitvoeringen werkdagen]]*Ruimtestaat[[#This Row],[Oppervlak (netto)]]</f>
        <v>1839.9999999999998</v>
      </c>
      <c r="X1051" s="220">
        <f>IF(V1051&gt;0,Ruimtestaat[[#This Row],[Prest. (m2 /jaar) werkdagen]]/Ruimtestaat[[#This Row],[Norm (m2/uur) werkdagen]],0)</f>
        <v>0</v>
      </c>
      <c r="Y1051" s="221">
        <f>Ruimtestaat[[#This Row],[uren / jaar werkdagen]]*Tariefsopbouw!$D$38</f>
        <v>0</v>
      </c>
      <c r="Z1051" s="33"/>
      <c r="AA1051" s="33">
        <f>IF(Ruimtestaat[[#This Row],[Frequentie weekend]]&gt;0,VALUE(LEFT(Z1051,1))*S1051,0)</f>
        <v>0</v>
      </c>
      <c r="AB1051" s="33">
        <f>IF($AA1051&gt;0,VLOOKUP($K1051,Ruimtegroepen[],3,FALSE)*VLOOKUP($M1051,Vloersoorten[],3,FALSE)*VLOOKUP($Z1051,Frequenties[],3,FALSE)*VLOOKUP(#REF!,Locaties[],3,FALSE),0)</f>
        <v>0</v>
      </c>
      <c r="AC1051" s="33"/>
      <c r="AD1051" s="33"/>
      <c r="AE1051" s="33">
        <f>Ruimtestaat[[#This Row],[uren / jaar weekend]]*Tariefsopbouw!$D$40</f>
        <v>0</v>
      </c>
      <c r="AF1051" s="79">
        <f>Ruimtestaat[[#This Row],[Prest. (m2 /jaar) weekend]]+Ruimtestaat[[#This Row],[Prest. (m2 /jaar) werkdagen]]</f>
        <v>1839.9999999999998</v>
      </c>
      <c r="AG1051" s="79">
        <f>Ruimtestaat[[#This Row],[uren / jaar weekend]]+Ruimtestaat[[#This Row],[uren / jaar werkdagen]]</f>
        <v>0</v>
      </c>
      <c r="AH1051" s="80">
        <f>Ruimtestaat[[#This Row],[kosten / jaar weekend]]+Ruimtestaat[[#This Row],[kosten / jaar werkdagen]]</f>
        <v>0</v>
      </c>
    </row>
    <row r="1052" spans="1:34" ht="15" customHeight="1">
      <c r="A1052" s="256">
        <v>12</v>
      </c>
      <c r="B1052" s="171" t="str">
        <f>VLOOKUP(Ruimtestaat[[#This Row],[Code]],Locaties[#All],2,FALSE)</f>
        <v>Onderwijscentrum Het Roessingh &amp; De Huifkar</v>
      </c>
      <c r="C1052" s="258" t="str">
        <f>VLOOKUP(Ruimtestaat[[#This Row],[Code]],Locaties[#All],4,FALSE)</f>
        <v>Roessinghsbleekweg 35</v>
      </c>
      <c r="D1052" s="258" t="str">
        <f>VLOOKUP(Ruimtestaat[[#This Row],[Code]],Locaties[#All],5,FALSE)</f>
        <v>7522 AH</v>
      </c>
      <c r="E1052" s="258" t="str">
        <f>VLOOKUP(Ruimtestaat[[#This Row],[Code]],Locaties[#All],6,FALSE)</f>
        <v>Enschede</v>
      </c>
      <c r="F1052" s="257"/>
      <c r="G1052" s="257" t="s">
        <v>564</v>
      </c>
      <c r="H1052" s="171"/>
      <c r="I1052" s="257">
        <v>184</v>
      </c>
      <c r="J1052" s="259" t="s">
        <v>585</v>
      </c>
      <c r="K1052" s="171">
        <v>20</v>
      </c>
      <c r="L1052" s="260" t="str">
        <f>VLOOKUP(Ruimtestaat[[#This Row],[Ruimte code]],Ruimtegroepen[#All],2,FALSE)</f>
        <v>Niet in onderhoud</v>
      </c>
      <c r="M1052" s="258" t="s">
        <v>598</v>
      </c>
      <c r="N1052" s="257" t="s">
        <v>132</v>
      </c>
      <c r="O1052" s="261"/>
      <c r="P1052" s="183">
        <v>6</v>
      </c>
      <c r="Q1052" s="212" t="str">
        <f>VLOOKUP(Ruimtestaat[[#This Row],[Ruimte code]],Ruimtegroepen[#All],4,FALSE)</f>
        <v>niet in onderhoud</v>
      </c>
      <c r="R1052" s="184"/>
      <c r="S1052" s="185"/>
      <c r="T1052" s="185"/>
      <c r="U1052" s="185">
        <f>IF(S1052&gt;0,IF(RIGHT(Ruimtestaat[[#This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52" s="185">
        <f>IF(U1052&gt;0,VLOOKUP($K1052,Ruimtegroepen[],3,FALSE)*VLOOKUP($M1052,Vloersoorten[],3,FALSE)*VLOOKUP($T1052,Frequenties[],3,FALSE)*VLOOKUP($A1052,Locaties[],3,FALSE),0)</f>
        <v>0</v>
      </c>
      <c r="W1052" s="185">
        <f>Ruimtestaat[[#This Row],[Uitvoeringen werkdagen]]*Ruimtestaat[[#This Row],[Oppervlak (netto)]]</f>
        <v>0</v>
      </c>
      <c r="X1052" s="220">
        <f>IF(V1052&gt;0,Ruimtestaat[[#This Row],[Prest. (m2 /jaar) werkdagen]]/Ruimtestaat[[#This Row],[Norm (m2/uur) werkdagen]],0)</f>
        <v>0</v>
      </c>
      <c r="Y1052" s="221">
        <f>Ruimtestaat[[#This Row],[uren / jaar werkdagen]]*Tariefsopbouw!$D$38</f>
        <v>0</v>
      </c>
      <c r="Z1052" s="33"/>
      <c r="AA1052" s="33">
        <f>IF(Ruimtestaat[[#This Row],[Frequentie weekend]]&gt;0,VALUE(LEFT(Z1052,1))*S1052,0)</f>
        <v>0</v>
      </c>
      <c r="AB1052" s="33">
        <f>IF($AA1052&gt;0,VLOOKUP($K1052,Ruimtegroepen[],3,FALSE)*VLOOKUP($M1052,Vloersoorten[],3,FALSE)*VLOOKUP($Z1052,Frequenties[],3,FALSE)*VLOOKUP(#REF!,Locaties[],3,FALSE),0)</f>
        <v>0</v>
      </c>
      <c r="AC1052" s="33"/>
      <c r="AD1052" s="33"/>
      <c r="AE1052" s="33">
        <f>Ruimtestaat[[#This Row],[uren / jaar weekend]]*Tariefsopbouw!$D$40</f>
        <v>0</v>
      </c>
      <c r="AF1052" s="79">
        <f>Ruimtestaat[[#This Row],[Prest. (m2 /jaar) weekend]]+Ruimtestaat[[#This Row],[Prest. (m2 /jaar) werkdagen]]</f>
        <v>0</v>
      </c>
      <c r="AG1052" s="79">
        <f>Ruimtestaat[[#This Row],[uren / jaar weekend]]+Ruimtestaat[[#This Row],[uren / jaar werkdagen]]</f>
        <v>0</v>
      </c>
      <c r="AH1052" s="80">
        <f>Ruimtestaat[[#This Row],[kosten / jaar weekend]]+Ruimtestaat[[#This Row],[kosten / jaar werkdagen]]</f>
        <v>0</v>
      </c>
    </row>
    <row r="1053" spans="1:34" ht="15" customHeight="1">
      <c r="A1053" s="256">
        <v>12</v>
      </c>
      <c r="B1053" s="171" t="str">
        <f>VLOOKUP(Ruimtestaat[[#This Row],[Code]],Locaties[#All],2,FALSE)</f>
        <v>Onderwijscentrum Het Roessingh &amp; De Huifkar</v>
      </c>
      <c r="C1053" s="258" t="str">
        <f>VLOOKUP(Ruimtestaat[[#This Row],[Code]],Locaties[#All],4,FALSE)</f>
        <v>Roessinghsbleekweg 35</v>
      </c>
      <c r="D1053" s="258" t="str">
        <f>VLOOKUP(Ruimtestaat[[#This Row],[Code]],Locaties[#All],5,FALSE)</f>
        <v>7522 AH</v>
      </c>
      <c r="E1053" s="258" t="str">
        <f>VLOOKUP(Ruimtestaat[[#This Row],[Code]],Locaties[#All],6,FALSE)</f>
        <v>Enschede</v>
      </c>
      <c r="F1053" s="257"/>
      <c r="G1053" s="257" t="s">
        <v>564</v>
      </c>
      <c r="H1053" s="171"/>
      <c r="I1053" s="257">
        <v>185</v>
      </c>
      <c r="J1053" s="259" t="s">
        <v>770</v>
      </c>
      <c r="K1053" s="171">
        <v>5</v>
      </c>
      <c r="L1053" s="260" t="str">
        <f>VLOOKUP(Ruimtestaat[[#This Row],[Ruimte code]],Ruimtegroepen[#All],2,FALSE)</f>
        <v>Sanitair</v>
      </c>
      <c r="M1053" s="212" t="s">
        <v>111</v>
      </c>
      <c r="N1053" s="257" t="s">
        <v>606</v>
      </c>
      <c r="O1053" s="261">
        <v>23</v>
      </c>
      <c r="P1053" s="183"/>
      <c r="Q1053" s="212" t="str">
        <f>VLOOKUP(Ruimtestaat[[#This Row],[Ruimte code]],Ruimtegroepen[#All],4,FALSE)</f>
        <v>S  (Sanitair)</v>
      </c>
      <c r="R1053" s="184"/>
      <c r="S1053" s="185">
        <v>40</v>
      </c>
      <c r="T1053" s="185" t="s">
        <v>2</v>
      </c>
      <c r="U1053" s="185">
        <f>IF(S1053&gt;0,IF(RIGHT(Ruimtestaat[[#This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3" s="185">
        <f>IF(U1053&gt;0,VLOOKUP($K1053,Ruimtegroepen[],3,FALSE)*VLOOKUP($M1053,Vloersoorten[],3,FALSE)*VLOOKUP($T1053,Frequenties[],3,FALSE)*VLOOKUP($A1053,Locaties[],3,FALSE),0)</f>
        <v>0</v>
      </c>
      <c r="W1053" s="185">
        <f>Ruimtestaat[[#This Row],[Uitvoeringen werkdagen]]*Ruimtestaat[[#This Row],[Oppervlak (netto)]]</f>
        <v>4600</v>
      </c>
      <c r="X1053" s="220">
        <f>IF(V1053&gt;0,Ruimtestaat[[#This Row],[Prest. (m2 /jaar) werkdagen]]/Ruimtestaat[[#This Row],[Norm (m2/uur) werkdagen]],0)</f>
        <v>0</v>
      </c>
      <c r="Y1053" s="221">
        <f>Ruimtestaat[[#This Row],[uren / jaar werkdagen]]*Tariefsopbouw!$D$38</f>
        <v>0</v>
      </c>
      <c r="Z1053" s="33"/>
      <c r="AA1053" s="33">
        <f>IF(Ruimtestaat[[#This Row],[Frequentie weekend]]&gt;0,VALUE(LEFT(Z1053,1))*S1053,0)</f>
        <v>0</v>
      </c>
      <c r="AB1053" s="33">
        <f>IF($AA1053&gt;0,VLOOKUP($K1053,Ruimtegroepen[],3,FALSE)*VLOOKUP($M1053,Vloersoorten[],3,FALSE)*VLOOKUP($Z1053,Frequenties[],3,FALSE)*VLOOKUP(#REF!,Locaties[],3,FALSE),0)</f>
        <v>0</v>
      </c>
      <c r="AC1053" s="33"/>
      <c r="AD1053" s="33"/>
      <c r="AE1053" s="33">
        <f>Ruimtestaat[[#This Row],[uren / jaar weekend]]*Tariefsopbouw!$D$40</f>
        <v>0</v>
      </c>
      <c r="AF1053" s="79">
        <f>Ruimtestaat[[#This Row],[Prest. (m2 /jaar) weekend]]+Ruimtestaat[[#This Row],[Prest. (m2 /jaar) werkdagen]]</f>
        <v>4600</v>
      </c>
      <c r="AG1053" s="79">
        <f>Ruimtestaat[[#This Row],[uren / jaar weekend]]+Ruimtestaat[[#This Row],[uren / jaar werkdagen]]</f>
        <v>0</v>
      </c>
      <c r="AH1053" s="80">
        <f>Ruimtestaat[[#This Row],[kosten / jaar weekend]]+Ruimtestaat[[#This Row],[kosten / jaar werkdagen]]</f>
        <v>0</v>
      </c>
    </row>
    <row r="1054" spans="1:34" ht="15" customHeight="1">
      <c r="A1054" s="256">
        <v>12</v>
      </c>
      <c r="B1054" s="171" t="str">
        <f>VLOOKUP(Ruimtestaat[[#This Row],[Code]],Locaties[#All],2,FALSE)</f>
        <v>Onderwijscentrum Het Roessingh &amp; De Huifkar</v>
      </c>
      <c r="C1054" s="258" t="str">
        <f>VLOOKUP(Ruimtestaat[[#This Row],[Code]],Locaties[#All],4,FALSE)</f>
        <v>Roessinghsbleekweg 35</v>
      </c>
      <c r="D1054" s="258" t="str">
        <f>VLOOKUP(Ruimtestaat[[#This Row],[Code]],Locaties[#All],5,FALSE)</f>
        <v>7522 AH</v>
      </c>
      <c r="E1054" s="258" t="str">
        <f>VLOOKUP(Ruimtestaat[[#This Row],[Code]],Locaties[#All],6,FALSE)</f>
        <v>Enschede</v>
      </c>
      <c r="F1054" s="257"/>
      <c r="G1054" s="257" t="s">
        <v>564</v>
      </c>
      <c r="H1054" s="171"/>
      <c r="I1054" s="257" t="s">
        <v>1039</v>
      </c>
      <c r="J1054" s="259" t="s">
        <v>22</v>
      </c>
      <c r="K1054" s="258">
        <v>5</v>
      </c>
      <c r="L1054" s="260" t="str">
        <f>VLOOKUP(Ruimtestaat[[#This Row],[Ruimte code]],Ruimtegroepen[#All],2,FALSE)</f>
        <v>Sanitair</v>
      </c>
      <c r="M1054" s="212" t="s">
        <v>111</v>
      </c>
      <c r="N1054" s="257" t="s">
        <v>606</v>
      </c>
      <c r="O1054" s="261">
        <v>5</v>
      </c>
      <c r="P1054" s="183"/>
      <c r="Q1054" s="212" t="str">
        <f>VLOOKUP(Ruimtestaat[[#This Row],[Ruimte code]],Ruimtegroepen[#All],4,FALSE)</f>
        <v>S  (Sanitair)</v>
      </c>
      <c r="R1054" s="184"/>
      <c r="S1054" s="185">
        <v>40</v>
      </c>
      <c r="T1054" s="185" t="s">
        <v>2</v>
      </c>
      <c r="U1054" s="185">
        <f>IF(S1054&gt;0,IF(RIGHT(Ruimtestaat[[#This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4" s="185">
        <f>IF(U1054&gt;0,VLOOKUP($K1054,Ruimtegroepen[],3,FALSE)*VLOOKUP($M1054,Vloersoorten[],3,FALSE)*VLOOKUP($T1054,Frequenties[],3,FALSE)*VLOOKUP($A1054,Locaties[],3,FALSE),0)</f>
        <v>0</v>
      </c>
      <c r="W1054" s="185">
        <f>Ruimtestaat[[#This Row],[Uitvoeringen werkdagen]]*Ruimtestaat[[#This Row],[Oppervlak (netto)]]</f>
        <v>1000</v>
      </c>
      <c r="X1054" s="220">
        <f>IF(V1054&gt;0,Ruimtestaat[[#This Row],[Prest. (m2 /jaar) werkdagen]]/Ruimtestaat[[#This Row],[Norm (m2/uur) werkdagen]],0)</f>
        <v>0</v>
      </c>
      <c r="Y1054" s="221">
        <f>Ruimtestaat[[#This Row],[uren / jaar werkdagen]]*Tariefsopbouw!$D$38</f>
        <v>0</v>
      </c>
      <c r="Z1054" s="33"/>
      <c r="AA1054" s="33">
        <f>IF(Ruimtestaat[[#This Row],[Frequentie weekend]]&gt;0,VALUE(LEFT(Z1054,1))*S1054,0)</f>
        <v>0</v>
      </c>
      <c r="AB1054" s="33">
        <f>IF($AA1054&gt;0,VLOOKUP($K1054,Ruimtegroepen[],3,FALSE)*VLOOKUP($M1054,Vloersoorten[],3,FALSE)*VLOOKUP($Z1054,Frequenties[],3,FALSE)*VLOOKUP(#REF!,Locaties[],3,FALSE),0)</f>
        <v>0</v>
      </c>
      <c r="AC1054" s="33"/>
      <c r="AD1054" s="33"/>
      <c r="AE1054" s="33">
        <f>Ruimtestaat[[#This Row],[uren / jaar weekend]]*Tariefsopbouw!$D$40</f>
        <v>0</v>
      </c>
      <c r="AF1054" s="79">
        <f>Ruimtestaat[[#This Row],[Prest. (m2 /jaar) weekend]]+Ruimtestaat[[#This Row],[Prest. (m2 /jaar) werkdagen]]</f>
        <v>1000</v>
      </c>
      <c r="AG1054" s="79">
        <f>Ruimtestaat[[#This Row],[uren / jaar weekend]]+Ruimtestaat[[#This Row],[uren / jaar werkdagen]]</f>
        <v>0</v>
      </c>
      <c r="AH1054" s="80">
        <f>Ruimtestaat[[#This Row],[kosten / jaar weekend]]+Ruimtestaat[[#This Row],[kosten / jaar werkdagen]]</f>
        <v>0</v>
      </c>
    </row>
    <row r="1055" spans="1:34" ht="15" customHeight="1">
      <c r="A1055" s="256">
        <v>12</v>
      </c>
      <c r="B1055" s="171" t="str">
        <f>VLOOKUP(Ruimtestaat[[#This Row],[Code]],Locaties[#All],2,FALSE)</f>
        <v>Onderwijscentrum Het Roessingh &amp; De Huifkar</v>
      </c>
      <c r="C1055" s="258" t="str">
        <f>VLOOKUP(Ruimtestaat[[#This Row],[Code]],Locaties[#All],4,FALSE)</f>
        <v>Roessinghsbleekweg 35</v>
      </c>
      <c r="D1055" s="258" t="str">
        <f>VLOOKUP(Ruimtestaat[[#This Row],[Code]],Locaties[#All],5,FALSE)</f>
        <v>7522 AH</v>
      </c>
      <c r="E1055" s="258" t="str">
        <f>VLOOKUP(Ruimtestaat[[#This Row],[Code]],Locaties[#All],6,FALSE)</f>
        <v>Enschede</v>
      </c>
      <c r="F1055" s="257"/>
      <c r="G1055" s="257" t="s">
        <v>564</v>
      </c>
      <c r="H1055" s="171"/>
      <c r="I1055" s="257">
        <v>186</v>
      </c>
      <c r="J1055" s="259" t="s">
        <v>587</v>
      </c>
      <c r="K1055" s="171">
        <v>6</v>
      </c>
      <c r="L1055" s="260" t="str">
        <f>VLOOKUP(Ruimtestaat[[#This Row],[Ruimte code]],Ruimtegroepen[#All],2,FALSE)</f>
        <v>Gangen/hallen</v>
      </c>
      <c r="M1055" s="258" t="s">
        <v>598</v>
      </c>
      <c r="N1055" s="257" t="s">
        <v>132</v>
      </c>
      <c r="O1055" s="261">
        <v>100</v>
      </c>
      <c r="P1055" s="183"/>
      <c r="Q1055" s="212" t="str">
        <f>VLOOKUP(Ruimtestaat[[#This Row],[Ruimte code]],Ruimtegroepen[#All],4,FALSE)</f>
        <v>V  (Verkeersruimte)</v>
      </c>
      <c r="R1055" s="184"/>
      <c r="S1055" s="185">
        <v>40</v>
      </c>
      <c r="T1055" s="185" t="s">
        <v>2</v>
      </c>
      <c r="U1055" s="185">
        <f>IF(S1055&gt;0,IF(RIGHT(Ruimtestaat[[#This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5" s="185">
        <f>IF(U1055&gt;0,VLOOKUP($K1055,Ruimtegroepen[],3,FALSE)*VLOOKUP($M1055,Vloersoorten[],3,FALSE)*VLOOKUP($T1055,Frequenties[],3,FALSE)*VLOOKUP($A1055,Locaties[],3,FALSE),0)</f>
        <v>0</v>
      </c>
      <c r="W1055" s="185">
        <f>Ruimtestaat[[#This Row],[Uitvoeringen werkdagen]]*Ruimtestaat[[#This Row],[Oppervlak (netto)]]</f>
        <v>20000</v>
      </c>
      <c r="X1055" s="220">
        <f>IF(V1055&gt;0,Ruimtestaat[[#This Row],[Prest. (m2 /jaar) werkdagen]]/Ruimtestaat[[#This Row],[Norm (m2/uur) werkdagen]],0)</f>
        <v>0</v>
      </c>
      <c r="Y1055" s="221">
        <f>Ruimtestaat[[#This Row],[uren / jaar werkdagen]]*Tariefsopbouw!$D$38</f>
        <v>0</v>
      </c>
      <c r="Z1055" s="33"/>
      <c r="AA1055" s="33">
        <f>IF(Ruimtestaat[[#This Row],[Frequentie weekend]]&gt;0,VALUE(LEFT(Z1055,1))*S1055,0)</f>
        <v>0</v>
      </c>
      <c r="AB1055" s="33">
        <f>IF($AA1055&gt;0,VLOOKUP($K1055,Ruimtegroepen[],3,FALSE)*VLOOKUP($M1055,Vloersoorten[],3,FALSE)*VLOOKUP($Z1055,Frequenties[],3,FALSE)*VLOOKUP(#REF!,Locaties[],3,FALSE),0)</f>
        <v>0</v>
      </c>
      <c r="AC1055" s="33"/>
      <c r="AD1055" s="33"/>
      <c r="AE1055" s="33">
        <f>Ruimtestaat[[#This Row],[uren / jaar weekend]]*Tariefsopbouw!$D$40</f>
        <v>0</v>
      </c>
      <c r="AF1055" s="79">
        <f>Ruimtestaat[[#This Row],[Prest. (m2 /jaar) weekend]]+Ruimtestaat[[#This Row],[Prest. (m2 /jaar) werkdagen]]</f>
        <v>20000</v>
      </c>
      <c r="AG1055" s="79">
        <f>Ruimtestaat[[#This Row],[uren / jaar weekend]]+Ruimtestaat[[#This Row],[uren / jaar werkdagen]]</f>
        <v>0</v>
      </c>
      <c r="AH1055" s="80">
        <f>Ruimtestaat[[#This Row],[kosten / jaar weekend]]+Ruimtestaat[[#This Row],[kosten / jaar werkdagen]]</f>
        <v>0</v>
      </c>
    </row>
    <row r="1056" spans="1:34" ht="15" customHeight="1">
      <c r="A1056" s="256">
        <v>12</v>
      </c>
      <c r="B1056" s="171" t="str">
        <f>VLOOKUP(Ruimtestaat[[#This Row],[Code]],Locaties[#All],2,FALSE)</f>
        <v>Onderwijscentrum Het Roessingh &amp; De Huifkar</v>
      </c>
      <c r="C1056" s="258" t="str">
        <f>VLOOKUP(Ruimtestaat[[#This Row],[Code]],Locaties[#All],4,FALSE)</f>
        <v>Roessinghsbleekweg 35</v>
      </c>
      <c r="D1056" s="258" t="str">
        <f>VLOOKUP(Ruimtestaat[[#This Row],[Code]],Locaties[#All],5,FALSE)</f>
        <v>7522 AH</v>
      </c>
      <c r="E1056" s="258" t="str">
        <f>VLOOKUP(Ruimtestaat[[#This Row],[Code]],Locaties[#All],6,FALSE)</f>
        <v>Enschede</v>
      </c>
      <c r="F1056" s="257"/>
      <c r="G1056" s="257" t="s">
        <v>564</v>
      </c>
      <c r="H1056" s="171"/>
      <c r="I1056" s="257">
        <v>187</v>
      </c>
      <c r="J1056" s="259" t="s">
        <v>591</v>
      </c>
      <c r="K1056" s="185">
        <v>4</v>
      </c>
      <c r="L1056" s="260" t="str">
        <f>VLOOKUP(Ruimtestaat[[#This Row],[Ruimte code]],Ruimtegroepen[#All],2,FALSE)</f>
        <v>Vergader/spreekkamers</v>
      </c>
      <c r="M1056" s="258" t="s">
        <v>597</v>
      </c>
      <c r="N1056" s="257" t="s">
        <v>38</v>
      </c>
      <c r="O1056" s="261">
        <v>23</v>
      </c>
      <c r="P1056" s="183"/>
      <c r="Q1056" s="212" t="str">
        <f>VLOOKUP(Ruimtestaat[[#This Row],[Ruimte code]],Ruimtegroepen[#All],4,FALSE)</f>
        <v>B  (Bureauruimte)</v>
      </c>
      <c r="R1056" s="184"/>
      <c r="S1056" s="185">
        <v>40</v>
      </c>
      <c r="T1056" s="185" t="s">
        <v>18</v>
      </c>
      <c r="U1056" s="185">
        <f>IF(S1056&gt;0,IF(RIGHT(Ruimtestaat[[#This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056" s="185">
        <f>IF(U1056&gt;0,VLOOKUP($K1056,Ruimtegroepen[],3,FALSE)*VLOOKUP($M1056,Vloersoorten[],3,FALSE)*VLOOKUP($T1056,Frequenties[],3,FALSE)*VLOOKUP($A1056,Locaties[],3,FALSE),0)</f>
        <v>0</v>
      </c>
      <c r="W1056" s="185">
        <f>Ruimtestaat[[#This Row],[Uitvoeringen werkdagen]]*Ruimtestaat[[#This Row],[Oppervlak (netto)]]</f>
        <v>2760</v>
      </c>
      <c r="X1056" s="220">
        <f>IF(V1056&gt;0,Ruimtestaat[[#This Row],[Prest. (m2 /jaar) werkdagen]]/Ruimtestaat[[#This Row],[Norm (m2/uur) werkdagen]],0)</f>
        <v>0</v>
      </c>
      <c r="Y1056" s="221">
        <f>Ruimtestaat[[#This Row],[uren / jaar werkdagen]]*Tariefsopbouw!$D$38</f>
        <v>0</v>
      </c>
      <c r="Z1056" s="33"/>
      <c r="AA1056" s="33">
        <f>IF(Ruimtestaat[[#This Row],[Frequentie weekend]]&gt;0,VALUE(LEFT(Z1056,1))*S1056,0)</f>
        <v>0</v>
      </c>
      <c r="AB1056" s="33">
        <f>IF($AA1056&gt;0,VLOOKUP($K1056,Ruimtegroepen[],3,FALSE)*VLOOKUP($M1056,Vloersoorten[],3,FALSE)*VLOOKUP($Z1056,Frequenties[],3,FALSE)*VLOOKUP(#REF!,Locaties[],3,FALSE),0)</f>
        <v>0</v>
      </c>
      <c r="AC1056" s="33"/>
      <c r="AD1056" s="33"/>
      <c r="AE1056" s="33">
        <f>Ruimtestaat[[#This Row],[uren / jaar weekend]]*Tariefsopbouw!$D$40</f>
        <v>0</v>
      </c>
      <c r="AF1056" s="79">
        <f>Ruimtestaat[[#This Row],[Prest. (m2 /jaar) weekend]]+Ruimtestaat[[#This Row],[Prest. (m2 /jaar) werkdagen]]</f>
        <v>2760</v>
      </c>
      <c r="AG1056" s="79">
        <f>Ruimtestaat[[#This Row],[uren / jaar weekend]]+Ruimtestaat[[#This Row],[uren / jaar werkdagen]]</f>
        <v>0</v>
      </c>
      <c r="AH1056" s="80">
        <f>Ruimtestaat[[#This Row],[kosten / jaar weekend]]+Ruimtestaat[[#This Row],[kosten / jaar werkdagen]]</f>
        <v>0</v>
      </c>
    </row>
    <row r="1057" spans="1:34" ht="15" customHeight="1">
      <c r="A1057" s="256">
        <v>12</v>
      </c>
      <c r="B1057" s="171" t="str">
        <f>VLOOKUP(Ruimtestaat[[#This Row],[Code]],Locaties[#All],2,FALSE)</f>
        <v>Onderwijscentrum Het Roessingh &amp; De Huifkar</v>
      </c>
      <c r="C1057" s="258" t="str">
        <f>VLOOKUP(Ruimtestaat[[#This Row],[Code]],Locaties[#All],4,FALSE)</f>
        <v>Roessinghsbleekweg 35</v>
      </c>
      <c r="D1057" s="258" t="str">
        <f>VLOOKUP(Ruimtestaat[[#This Row],[Code]],Locaties[#All],5,FALSE)</f>
        <v>7522 AH</v>
      </c>
      <c r="E1057" s="258" t="str">
        <f>VLOOKUP(Ruimtestaat[[#This Row],[Code]],Locaties[#All],6,FALSE)</f>
        <v>Enschede</v>
      </c>
      <c r="F1057" s="257"/>
      <c r="G1057" s="257" t="s">
        <v>564</v>
      </c>
      <c r="H1057" s="171"/>
      <c r="I1057" s="257">
        <v>190</v>
      </c>
      <c r="J1057" s="259" t="s">
        <v>574</v>
      </c>
      <c r="K1057" s="171">
        <v>6</v>
      </c>
      <c r="L1057" s="260" t="str">
        <f>VLOOKUP(Ruimtestaat[[#This Row],[Ruimte code]],Ruimtegroepen[#All],2,FALSE)</f>
        <v>Gangen/hallen</v>
      </c>
      <c r="M1057" s="212" t="s">
        <v>112</v>
      </c>
      <c r="N1057" s="257" t="s">
        <v>776</v>
      </c>
      <c r="O1057" s="261">
        <v>15</v>
      </c>
      <c r="P1057" s="183"/>
      <c r="Q1057" s="212" t="str">
        <f>VLOOKUP(Ruimtestaat[[#This Row],[Ruimte code]],Ruimtegroepen[#All],4,FALSE)</f>
        <v>V  (Verkeersruimte)</v>
      </c>
      <c r="R1057" s="184"/>
      <c r="S1057" s="185">
        <v>40</v>
      </c>
      <c r="T1057" s="185" t="s">
        <v>2</v>
      </c>
      <c r="U1057" s="185">
        <f>IF(S1057&gt;0,IF(RIGHT(Ruimtestaat[[#This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7" s="185">
        <f>IF(U1057&gt;0,VLOOKUP($K1057,Ruimtegroepen[],3,FALSE)*VLOOKUP($M1057,Vloersoorten[],3,FALSE)*VLOOKUP($T1057,Frequenties[],3,FALSE)*VLOOKUP($A1057,Locaties[],3,FALSE),0)</f>
        <v>0</v>
      </c>
      <c r="W1057" s="185">
        <f>Ruimtestaat[[#This Row],[Uitvoeringen werkdagen]]*Ruimtestaat[[#This Row],[Oppervlak (netto)]]</f>
        <v>3000</v>
      </c>
      <c r="X1057" s="220">
        <f>IF(V1057&gt;0,Ruimtestaat[[#This Row],[Prest. (m2 /jaar) werkdagen]]/Ruimtestaat[[#This Row],[Norm (m2/uur) werkdagen]],0)</f>
        <v>0</v>
      </c>
      <c r="Y1057" s="221">
        <f>Ruimtestaat[[#This Row],[uren / jaar werkdagen]]*Tariefsopbouw!$D$38</f>
        <v>0</v>
      </c>
      <c r="Z1057" s="33"/>
      <c r="AA1057" s="33">
        <f>IF(Ruimtestaat[[#This Row],[Frequentie weekend]]&gt;0,VALUE(LEFT(Z1057,1))*S1057,0)</f>
        <v>0</v>
      </c>
      <c r="AB1057" s="33">
        <f>IF($AA1057&gt;0,VLOOKUP($K1057,Ruimtegroepen[],3,FALSE)*VLOOKUP($M1057,Vloersoorten[],3,FALSE)*VLOOKUP($Z1057,Frequenties[],3,FALSE)*VLOOKUP(#REF!,Locaties[],3,FALSE),0)</f>
        <v>0</v>
      </c>
      <c r="AC1057" s="33"/>
      <c r="AD1057" s="33"/>
      <c r="AE1057" s="33">
        <f>Ruimtestaat[[#This Row],[uren / jaar weekend]]*Tariefsopbouw!$D$40</f>
        <v>0</v>
      </c>
      <c r="AF1057" s="79">
        <f>Ruimtestaat[[#This Row],[Prest. (m2 /jaar) weekend]]+Ruimtestaat[[#This Row],[Prest. (m2 /jaar) werkdagen]]</f>
        <v>3000</v>
      </c>
      <c r="AG1057" s="79">
        <f>Ruimtestaat[[#This Row],[uren / jaar weekend]]+Ruimtestaat[[#This Row],[uren / jaar werkdagen]]</f>
        <v>0</v>
      </c>
      <c r="AH1057" s="80">
        <f>Ruimtestaat[[#This Row],[kosten / jaar weekend]]+Ruimtestaat[[#This Row],[kosten / jaar werkdagen]]</f>
        <v>0</v>
      </c>
    </row>
    <row r="1058" spans="1:34" ht="15" customHeight="1">
      <c r="A1058" s="256">
        <v>12</v>
      </c>
      <c r="B1058" s="171" t="str">
        <f>VLOOKUP(Ruimtestaat[[#This Row],[Code]],Locaties[#All],2,FALSE)</f>
        <v>Onderwijscentrum Het Roessingh &amp; De Huifkar</v>
      </c>
      <c r="C1058" s="258" t="str">
        <f>VLOOKUP(Ruimtestaat[[#This Row],[Code]],Locaties[#All],4,FALSE)</f>
        <v>Roessinghsbleekweg 35</v>
      </c>
      <c r="D1058" s="258" t="str">
        <f>VLOOKUP(Ruimtestaat[[#This Row],[Code]],Locaties[#All],5,FALSE)</f>
        <v>7522 AH</v>
      </c>
      <c r="E1058" s="258" t="str">
        <f>VLOOKUP(Ruimtestaat[[#This Row],[Code]],Locaties[#All],6,FALSE)</f>
        <v>Enschede</v>
      </c>
      <c r="F1058" s="257"/>
      <c r="G1058" s="257" t="s">
        <v>564</v>
      </c>
      <c r="H1058" s="171"/>
      <c r="I1058" s="257" t="s">
        <v>1040</v>
      </c>
      <c r="J1058" s="259" t="s">
        <v>810</v>
      </c>
      <c r="K1058" s="258">
        <v>10</v>
      </c>
      <c r="L1058" s="260" t="str">
        <f>VLOOKUP(Ruimtestaat[[#This Row],[Ruimte code]],Ruimtegroepen[#All],2,FALSE)</f>
        <v>Trappenhuizen/lift</v>
      </c>
      <c r="M1058" s="212" t="s">
        <v>112</v>
      </c>
      <c r="N1058" s="257" t="s">
        <v>776</v>
      </c>
      <c r="O1058" s="261">
        <v>20</v>
      </c>
      <c r="P1058" s="183"/>
      <c r="Q1058" s="212" t="str">
        <f>VLOOKUP(Ruimtestaat[[#This Row],[Ruimte code]],Ruimtegroepen[#All],4,FALSE)</f>
        <v>V  (Verkeersruimte)</v>
      </c>
      <c r="R1058" s="184"/>
      <c r="S1058" s="185">
        <v>40</v>
      </c>
      <c r="T1058" s="185" t="s">
        <v>2</v>
      </c>
      <c r="U1058" s="185">
        <f>IF(S1058&gt;0,IF(RIGHT(Ruimtestaat[[#This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8" s="185">
        <f>IF(U1058&gt;0,VLOOKUP($K1058,Ruimtegroepen[],3,FALSE)*VLOOKUP($M1058,Vloersoorten[],3,FALSE)*VLOOKUP($T1058,Frequenties[],3,FALSE)*VLOOKUP($A1058,Locaties[],3,FALSE),0)</f>
        <v>0</v>
      </c>
      <c r="W1058" s="185">
        <f>Ruimtestaat[[#This Row],[Uitvoeringen werkdagen]]*Ruimtestaat[[#This Row],[Oppervlak (netto)]]</f>
        <v>4000</v>
      </c>
      <c r="X1058" s="220">
        <f>IF(V1058&gt;0,Ruimtestaat[[#This Row],[Prest. (m2 /jaar) werkdagen]]/Ruimtestaat[[#This Row],[Norm (m2/uur) werkdagen]],0)</f>
        <v>0</v>
      </c>
      <c r="Y1058" s="221">
        <f>Ruimtestaat[[#This Row],[uren / jaar werkdagen]]*Tariefsopbouw!$D$38</f>
        <v>0</v>
      </c>
      <c r="Z1058" s="33"/>
      <c r="AA1058" s="33">
        <f>IF(Ruimtestaat[[#This Row],[Frequentie weekend]]&gt;0,VALUE(LEFT(Z1058,1))*S1058,0)</f>
        <v>0</v>
      </c>
      <c r="AB1058" s="33">
        <f>IF($AA1058&gt;0,VLOOKUP($K1058,Ruimtegroepen[],3,FALSE)*VLOOKUP($M1058,Vloersoorten[],3,FALSE)*VLOOKUP($Z1058,Frequenties[],3,FALSE)*VLOOKUP(#REF!,Locaties[],3,FALSE),0)</f>
        <v>0</v>
      </c>
      <c r="AC1058" s="33"/>
      <c r="AD1058" s="33"/>
      <c r="AE1058" s="33">
        <f>Ruimtestaat[[#This Row],[uren / jaar weekend]]*Tariefsopbouw!$D$40</f>
        <v>0</v>
      </c>
      <c r="AF1058" s="79">
        <f>Ruimtestaat[[#This Row],[Prest. (m2 /jaar) weekend]]+Ruimtestaat[[#This Row],[Prest. (m2 /jaar) werkdagen]]</f>
        <v>4000</v>
      </c>
      <c r="AG1058" s="79">
        <f>Ruimtestaat[[#This Row],[uren / jaar weekend]]+Ruimtestaat[[#This Row],[uren / jaar werkdagen]]</f>
        <v>0</v>
      </c>
      <c r="AH1058" s="80">
        <f>Ruimtestaat[[#This Row],[kosten / jaar weekend]]+Ruimtestaat[[#This Row],[kosten / jaar werkdagen]]</f>
        <v>0</v>
      </c>
    </row>
    <row r="1059" spans="1:34" ht="15" customHeight="1">
      <c r="A1059" s="256">
        <v>12</v>
      </c>
      <c r="B1059" s="171" t="str">
        <f>VLOOKUP(Ruimtestaat[[#This Row],[Code]],Locaties[#All],2,FALSE)</f>
        <v>Onderwijscentrum Het Roessingh &amp; De Huifkar</v>
      </c>
      <c r="C1059" s="258" t="str">
        <f>VLOOKUP(Ruimtestaat[[#This Row],[Code]],Locaties[#All],4,FALSE)</f>
        <v>Roessinghsbleekweg 35</v>
      </c>
      <c r="D1059" s="258" t="str">
        <f>VLOOKUP(Ruimtestaat[[#This Row],[Code]],Locaties[#All],5,FALSE)</f>
        <v>7522 AH</v>
      </c>
      <c r="E1059" s="258" t="str">
        <f>VLOOKUP(Ruimtestaat[[#This Row],[Code]],Locaties[#All],6,FALSE)</f>
        <v>Enschede</v>
      </c>
      <c r="F1059" s="257"/>
      <c r="G1059" s="257" t="s">
        <v>564</v>
      </c>
      <c r="H1059" s="171"/>
      <c r="I1059" s="257" t="s">
        <v>1041</v>
      </c>
      <c r="J1059" s="259" t="s">
        <v>574</v>
      </c>
      <c r="K1059" s="258">
        <v>6</v>
      </c>
      <c r="L1059" s="260" t="str">
        <f>VLOOKUP(Ruimtestaat[[#This Row],[Ruimte code]],Ruimtegroepen[#All],2,FALSE)</f>
        <v>Gangen/hallen</v>
      </c>
      <c r="M1059" s="212" t="s">
        <v>112</v>
      </c>
      <c r="N1059" s="257" t="s">
        <v>776</v>
      </c>
      <c r="O1059" s="261">
        <v>4</v>
      </c>
      <c r="P1059" s="183"/>
      <c r="Q1059" s="212" t="str">
        <f>VLOOKUP(Ruimtestaat[[#This Row],[Ruimte code]],Ruimtegroepen[#All],4,FALSE)</f>
        <v>V  (Verkeersruimte)</v>
      </c>
      <c r="R1059" s="184"/>
      <c r="S1059" s="185">
        <v>40</v>
      </c>
      <c r="T1059" s="185" t="s">
        <v>2</v>
      </c>
      <c r="U1059" s="185">
        <f>IF(S1059&gt;0,IF(RIGHT(Ruimtestaat[[#This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9" s="185">
        <f>IF(U1059&gt;0,VLOOKUP($K1059,Ruimtegroepen[],3,FALSE)*VLOOKUP($M1059,Vloersoorten[],3,FALSE)*VLOOKUP($T1059,Frequenties[],3,FALSE)*VLOOKUP($A1059,Locaties[],3,FALSE),0)</f>
        <v>0</v>
      </c>
      <c r="W1059" s="185">
        <f>Ruimtestaat[[#This Row],[Uitvoeringen werkdagen]]*Ruimtestaat[[#This Row],[Oppervlak (netto)]]</f>
        <v>800</v>
      </c>
      <c r="X1059" s="220">
        <f>IF(V1059&gt;0,Ruimtestaat[[#This Row],[Prest. (m2 /jaar) werkdagen]]/Ruimtestaat[[#This Row],[Norm (m2/uur) werkdagen]],0)</f>
        <v>0</v>
      </c>
      <c r="Y1059" s="221">
        <f>Ruimtestaat[[#This Row],[uren / jaar werkdagen]]*Tariefsopbouw!$D$38</f>
        <v>0</v>
      </c>
      <c r="Z1059" s="33"/>
      <c r="AA1059" s="33">
        <f>IF(Ruimtestaat[[#This Row],[Frequentie weekend]]&gt;0,VALUE(LEFT(Z1059,1))*S1059,0)</f>
        <v>0</v>
      </c>
      <c r="AB1059" s="33">
        <f>IF($AA1059&gt;0,VLOOKUP($K1059,Ruimtegroepen[],3,FALSE)*VLOOKUP($M1059,Vloersoorten[],3,FALSE)*VLOOKUP($Z1059,Frequenties[],3,FALSE)*VLOOKUP(#REF!,Locaties[],3,FALSE),0)</f>
        <v>0</v>
      </c>
      <c r="AC1059" s="33"/>
      <c r="AD1059" s="33"/>
      <c r="AE1059" s="33">
        <f>Ruimtestaat[[#This Row],[uren / jaar weekend]]*Tariefsopbouw!$D$40</f>
        <v>0</v>
      </c>
      <c r="AF1059" s="79">
        <f>Ruimtestaat[[#This Row],[Prest. (m2 /jaar) weekend]]+Ruimtestaat[[#This Row],[Prest. (m2 /jaar) werkdagen]]</f>
        <v>800</v>
      </c>
      <c r="AG1059" s="79">
        <f>Ruimtestaat[[#This Row],[uren / jaar weekend]]+Ruimtestaat[[#This Row],[uren / jaar werkdagen]]</f>
        <v>0</v>
      </c>
      <c r="AH1059" s="80">
        <f>Ruimtestaat[[#This Row],[kosten / jaar weekend]]+Ruimtestaat[[#This Row],[kosten / jaar werkdagen]]</f>
        <v>0</v>
      </c>
    </row>
    <row r="1060" spans="1:34" ht="15" customHeight="1">
      <c r="A1060" s="256">
        <v>12</v>
      </c>
      <c r="B1060" s="171" t="str">
        <f>VLOOKUP(Ruimtestaat[[#This Row],[Code]],Locaties[#All],2,FALSE)</f>
        <v>Onderwijscentrum Het Roessingh &amp; De Huifkar</v>
      </c>
      <c r="C1060" s="258" t="str">
        <f>VLOOKUP(Ruimtestaat[[#This Row],[Code]],Locaties[#All],4,FALSE)</f>
        <v>Roessinghsbleekweg 35</v>
      </c>
      <c r="D1060" s="258" t="str">
        <f>VLOOKUP(Ruimtestaat[[#This Row],[Code]],Locaties[#All],5,FALSE)</f>
        <v>7522 AH</v>
      </c>
      <c r="E1060" s="258" t="str">
        <f>VLOOKUP(Ruimtestaat[[#This Row],[Code]],Locaties[#All],6,FALSE)</f>
        <v>Enschede</v>
      </c>
      <c r="F1060" s="257"/>
      <c r="G1060" s="257" t="s">
        <v>564</v>
      </c>
      <c r="H1060" s="171"/>
      <c r="I1060" s="257">
        <v>191</v>
      </c>
      <c r="J1060" s="259" t="s">
        <v>574</v>
      </c>
      <c r="K1060" s="171">
        <v>6</v>
      </c>
      <c r="L1060" s="260" t="str">
        <f>VLOOKUP(Ruimtestaat[[#This Row],[Ruimte code]],Ruimtegroepen[#All],2,FALSE)</f>
        <v>Gangen/hallen</v>
      </c>
      <c r="M1060" s="258" t="s">
        <v>597</v>
      </c>
      <c r="N1060" s="257" t="s">
        <v>38</v>
      </c>
      <c r="O1060" s="261">
        <v>7.5</v>
      </c>
      <c r="P1060" s="183"/>
      <c r="Q1060" s="212" t="str">
        <f>VLOOKUP(Ruimtestaat[[#This Row],[Ruimte code]],Ruimtegroepen[#All],4,FALSE)</f>
        <v>V  (Verkeersruimte)</v>
      </c>
      <c r="R1060" s="184"/>
      <c r="S1060" s="185">
        <v>40</v>
      </c>
      <c r="T1060" s="185" t="s">
        <v>2</v>
      </c>
      <c r="U1060" s="185">
        <f>IF(S1060&gt;0,IF(RIGHT(Ruimtestaat[[#This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0" s="185">
        <f>IF(U1060&gt;0,VLOOKUP($K1060,Ruimtegroepen[],3,FALSE)*VLOOKUP($M1060,Vloersoorten[],3,FALSE)*VLOOKUP($T1060,Frequenties[],3,FALSE)*VLOOKUP($A1060,Locaties[],3,FALSE),0)</f>
        <v>0</v>
      </c>
      <c r="W1060" s="185">
        <f>Ruimtestaat[[#This Row],[Uitvoeringen werkdagen]]*Ruimtestaat[[#This Row],[Oppervlak (netto)]]</f>
        <v>1500</v>
      </c>
      <c r="X1060" s="220">
        <f>IF(V1060&gt;0,Ruimtestaat[[#This Row],[Prest. (m2 /jaar) werkdagen]]/Ruimtestaat[[#This Row],[Norm (m2/uur) werkdagen]],0)</f>
        <v>0</v>
      </c>
      <c r="Y1060" s="221">
        <f>Ruimtestaat[[#This Row],[uren / jaar werkdagen]]*Tariefsopbouw!$D$38</f>
        <v>0</v>
      </c>
      <c r="Z1060" s="33"/>
      <c r="AA1060" s="33">
        <f>IF(Ruimtestaat[[#This Row],[Frequentie weekend]]&gt;0,VALUE(LEFT(Z1060,1))*S1060,0)</f>
        <v>0</v>
      </c>
      <c r="AB1060" s="33">
        <f>IF($AA1060&gt;0,VLOOKUP($K1060,Ruimtegroepen[],3,FALSE)*VLOOKUP($M1060,Vloersoorten[],3,FALSE)*VLOOKUP($Z1060,Frequenties[],3,FALSE)*VLOOKUP(#REF!,Locaties[],3,FALSE),0)</f>
        <v>0</v>
      </c>
      <c r="AC1060" s="33"/>
      <c r="AD1060" s="33"/>
      <c r="AE1060" s="33">
        <f>Ruimtestaat[[#This Row],[uren / jaar weekend]]*Tariefsopbouw!$D$40</f>
        <v>0</v>
      </c>
      <c r="AF1060" s="79">
        <f>Ruimtestaat[[#This Row],[Prest. (m2 /jaar) weekend]]+Ruimtestaat[[#This Row],[Prest. (m2 /jaar) werkdagen]]</f>
        <v>1500</v>
      </c>
      <c r="AG1060" s="79">
        <f>Ruimtestaat[[#This Row],[uren / jaar weekend]]+Ruimtestaat[[#This Row],[uren / jaar werkdagen]]</f>
        <v>0</v>
      </c>
      <c r="AH1060" s="80">
        <f>Ruimtestaat[[#This Row],[kosten / jaar weekend]]+Ruimtestaat[[#This Row],[kosten / jaar werkdagen]]</f>
        <v>0</v>
      </c>
    </row>
    <row r="1061" spans="1:34" ht="15" customHeight="1">
      <c r="A1061" s="256">
        <v>12</v>
      </c>
      <c r="B1061" s="171" t="str">
        <f>VLOOKUP(Ruimtestaat[[#This Row],[Code]],Locaties[#All],2,FALSE)</f>
        <v>Onderwijscentrum Het Roessingh &amp; De Huifkar</v>
      </c>
      <c r="C1061" s="258" t="str">
        <f>VLOOKUP(Ruimtestaat[[#This Row],[Code]],Locaties[#All],4,FALSE)</f>
        <v>Roessinghsbleekweg 35</v>
      </c>
      <c r="D1061" s="258" t="str">
        <f>VLOOKUP(Ruimtestaat[[#This Row],[Code]],Locaties[#All],5,FALSE)</f>
        <v>7522 AH</v>
      </c>
      <c r="E1061" s="258" t="str">
        <f>VLOOKUP(Ruimtestaat[[#This Row],[Code]],Locaties[#All],6,FALSE)</f>
        <v>Enschede</v>
      </c>
      <c r="F1061" s="257"/>
      <c r="G1061" s="257" t="s">
        <v>564</v>
      </c>
      <c r="H1061" s="171"/>
      <c r="I1061" s="257">
        <v>192</v>
      </c>
      <c r="J1061" s="259" t="s">
        <v>571</v>
      </c>
      <c r="K1061" s="171">
        <v>2</v>
      </c>
      <c r="L1061" s="260" t="str">
        <f>VLOOKUP(Ruimtestaat[[#This Row],[Ruimte code]],Ruimtegroepen[#All],2,FALSE)</f>
        <v>Kantoren</v>
      </c>
      <c r="M1061" s="258" t="s">
        <v>598</v>
      </c>
      <c r="N1061" s="257" t="s">
        <v>132</v>
      </c>
      <c r="O1061" s="261">
        <v>22</v>
      </c>
      <c r="P1061" s="183"/>
      <c r="Q1061" s="212" t="str">
        <f>VLOOKUP(Ruimtestaat[[#This Row],[Ruimte code]],Ruimtegroepen[#All],4,FALSE)</f>
        <v>B  (Bureauruimte)</v>
      </c>
      <c r="R1061" s="184"/>
      <c r="S1061" s="185">
        <v>40</v>
      </c>
      <c r="T1061" s="185" t="s">
        <v>2</v>
      </c>
      <c r="U1061" s="185">
        <f>IF(S1061&gt;0,IF(RIGHT(Ruimtestaat[[#This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1" s="185">
        <f>IF(U1061&gt;0,VLOOKUP($K1061,Ruimtegroepen[],3,FALSE)*VLOOKUP($M1061,Vloersoorten[],3,FALSE)*VLOOKUP($T1061,Frequenties[],3,FALSE)*VLOOKUP($A1061,Locaties[],3,FALSE),0)</f>
        <v>0</v>
      </c>
      <c r="W1061" s="185">
        <f>Ruimtestaat[[#This Row],[Uitvoeringen werkdagen]]*Ruimtestaat[[#This Row],[Oppervlak (netto)]]</f>
        <v>4400</v>
      </c>
      <c r="X1061" s="220">
        <f>IF(V1061&gt;0,Ruimtestaat[[#This Row],[Prest. (m2 /jaar) werkdagen]]/Ruimtestaat[[#This Row],[Norm (m2/uur) werkdagen]],0)</f>
        <v>0</v>
      </c>
      <c r="Y1061" s="221">
        <f>Ruimtestaat[[#This Row],[uren / jaar werkdagen]]*Tariefsopbouw!$D$38</f>
        <v>0</v>
      </c>
      <c r="Z1061" s="33"/>
      <c r="AA1061" s="33">
        <f>IF(Ruimtestaat[[#This Row],[Frequentie weekend]]&gt;0,VALUE(LEFT(Z1061,1))*S1061,0)</f>
        <v>0</v>
      </c>
      <c r="AB1061" s="33">
        <f>IF($AA1061&gt;0,VLOOKUP($K1061,Ruimtegroepen[],3,FALSE)*VLOOKUP($M1061,Vloersoorten[],3,FALSE)*VLOOKUP($Z1061,Frequenties[],3,FALSE)*VLOOKUP(#REF!,Locaties[],3,FALSE),0)</f>
        <v>0</v>
      </c>
      <c r="AC1061" s="33"/>
      <c r="AD1061" s="33"/>
      <c r="AE1061" s="33">
        <f>Ruimtestaat[[#This Row],[uren / jaar weekend]]*Tariefsopbouw!$D$40</f>
        <v>0</v>
      </c>
      <c r="AF1061" s="79">
        <f>Ruimtestaat[[#This Row],[Prest. (m2 /jaar) weekend]]+Ruimtestaat[[#This Row],[Prest. (m2 /jaar) werkdagen]]</f>
        <v>4400</v>
      </c>
      <c r="AG1061" s="79">
        <f>Ruimtestaat[[#This Row],[uren / jaar weekend]]+Ruimtestaat[[#This Row],[uren / jaar werkdagen]]</f>
        <v>0</v>
      </c>
      <c r="AH1061" s="80">
        <f>Ruimtestaat[[#This Row],[kosten / jaar weekend]]+Ruimtestaat[[#This Row],[kosten / jaar werkdagen]]</f>
        <v>0</v>
      </c>
    </row>
    <row r="1062" spans="1:34" ht="15" customHeight="1">
      <c r="A1062" s="256">
        <v>12</v>
      </c>
      <c r="B1062" s="171" t="str">
        <f>VLOOKUP(Ruimtestaat[[#This Row],[Code]],Locaties[#All],2,FALSE)</f>
        <v>Onderwijscentrum Het Roessingh &amp; De Huifkar</v>
      </c>
      <c r="C1062" s="258" t="str">
        <f>VLOOKUP(Ruimtestaat[[#This Row],[Code]],Locaties[#All],4,FALSE)</f>
        <v>Roessinghsbleekweg 35</v>
      </c>
      <c r="D1062" s="258" t="str">
        <f>VLOOKUP(Ruimtestaat[[#This Row],[Code]],Locaties[#All],5,FALSE)</f>
        <v>7522 AH</v>
      </c>
      <c r="E1062" s="258" t="str">
        <f>VLOOKUP(Ruimtestaat[[#This Row],[Code]],Locaties[#All],6,FALSE)</f>
        <v>Enschede</v>
      </c>
      <c r="F1062" s="257"/>
      <c r="G1062" s="257" t="s">
        <v>564</v>
      </c>
      <c r="H1062" s="171"/>
      <c r="I1062" s="257">
        <v>193</v>
      </c>
      <c r="J1062" s="259" t="s">
        <v>571</v>
      </c>
      <c r="K1062" s="258">
        <v>2</v>
      </c>
      <c r="L1062" s="260" t="str">
        <f>VLOOKUP(Ruimtestaat[[#This Row],[Ruimte code]],Ruimtegroepen[#All],2,FALSE)</f>
        <v>Kantoren</v>
      </c>
      <c r="M1062" s="212" t="s">
        <v>597</v>
      </c>
      <c r="N1062" s="257" t="s">
        <v>38</v>
      </c>
      <c r="O1062" s="261">
        <v>29</v>
      </c>
      <c r="P1062" s="183"/>
      <c r="Q1062" s="212" t="str">
        <f>VLOOKUP(Ruimtestaat[[#This Row],[Ruimte code]],Ruimtegroepen[#All],4,FALSE)</f>
        <v>B  (Bureauruimte)</v>
      </c>
      <c r="R1062" s="184"/>
      <c r="S1062" s="185">
        <v>40</v>
      </c>
      <c r="T1062" s="185" t="s">
        <v>2</v>
      </c>
      <c r="U1062" s="185">
        <f>IF(S1062&gt;0,IF(RIGHT(Ruimtestaat[[#This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2" s="185">
        <f>IF(U1062&gt;0,VLOOKUP($K1062,Ruimtegroepen[],3,FALSE)*VLOOKUP($M1062,Vloersoorten[],3,FALSE)*VLOOKUP($T1062,Frequenties[],3,FALSE)*VLOOKUP($A1062,Locaties[],3,FALSE),0)</f>
        <v>0</v>
      </c>
      <c r="W1062" s="185">
        <f>Ruimtestaat[[#This Row],[Uitvoeringen werkdagen]]*Ruimtestaat[[#This Row],[Oppervlak (netto)]]</f>
        <v>5800</v>
      </c>
      <c r="X1062" s="220">
        <f>IF(V1062&gt;0,Ruimtestaat[[#This Row],[Prest. (m2 /jaar) werkdagen]]/Ruimtestaat[[#This Row],[Norm (m2/uur) werkdagen]],0)</f>
        <v>0</v>
      </c>
      <c r="Y1062" s="221">
        <f>Ruimtestaat[[#This Row],[uren / jaar werkdagen]]*Tariefsopbouw!$D$38</f>
        <v>0</v>
      </c>
      <c r="Z1062" s="33"/>
      <c r="AA1062" s="33">
        <f>IF(Ruimtestaat[[#This Row],[Frequentie weekend]]&gt;0,VALUE(LEFT(Z1062,1))*S1062,0)</f>
        <v>0</v>
      </c>
      <c r="AB1062" s="33">
        <f>IF($AA1062&gt;0,VLOOKUP($K1062,Ruimtegroepen[],3,FALSE)*VLOOKUP($M1062,Vloersoorten[],3,FALSE)*VLOOKUP($Z1062,Frequenties[],3,FALSE)*VLOOKUP(#REF!,Locaties[],3,FALSE),0)</f>
        <v>0</v>
      </c>
      <c r="AC1062" s="33"/>
      <c r="AD1062" s="33"/>
      <c r="AE1062" s="33">
        <f>Ruimtestaat[[#This Row],[uren / jaar weekend]]*Tariefsopbouw!$D$40</f>
        <v>0</v>
      </c>
      <c r="AF1062" s="79">
        <f>Ruimtestaat[[#This Row],[Prest. (m2 /jaar) weekend]]+Ruimtestaat[[#This Row],[Prest. (m2 /jaar) werkdagen]]</f>
        <v>5800</v>
      </c>
      <c r="AG1062" s="79">
        <f>Ruimtestaat[[#This Row],[uren / jaar weekend]]+Ruimtestaat[[#This Row],[uren / jaar werkdagen]]</f>
        <v>0</v>
      </c>
      <c r="AH1062" s="80">
        <f>Ruimtestaat[[#This Row],[kosten / jaar weekend]]+Ruimtestaat[[#This Row],[kosten / jaar werkdagen]]</f>
        <v>0</v>
      </c>
    </row>
    <row r="1063" spans="1:34" ht="15" customHeight="1">
      <c r="A1063" s="256">
        <v>12</v>
      </c>
      <c r="B1063" s="171" t="str">
        <f>VLOOKUP(Ruimtestaat[[#This Row],[Code]],Locaties[#All],2,FALSE)</f>
        <v>Onderwijscentrum Het Roessingh &amp; De Huifkar</v>
      </c>
      <c r="C1063" s="258" t="str">
        <f>VLOOKUP(Ruimtestaat[[#This Row],[Code]],Locaties[#All],4,FALSE)</f>
        <v>Roessinghsbleekweg 35</v>
      </c>
      <c r="D1063" s="258" t="str">
        <f>VLOOKUP(Ruimtestaat[[#This Row],[Code]],Locaties[#All],5,FALSE)</f>
        <v>7522 AH</v>
      </c>
      <c r="E1063" s="258" t="str">
        <f>VLOOKUP(Ruimtestaat[[#This Row],[Code]],Locaties[#All],6,FALSE)</f>
        <v>Enschede</v>
      </c>
      <c r="F1063" s="257"/>
      <c r="G1063" s="257" t="s">
        <v>564</v>
      </c>
      <c r="H1063" s="171"/>
      <c r="I1063" s="257">
        <v>1101</v>
      </c>
      <c r="J1063" s="259" t="s">
        <v>576</v>
      </c>
      <c r="K1063" s="258">
        <v>16</v>
      </c>
      <c r="L1063" s="260" t="str">
        <f>VLOOKUP(Ruimtestaat[[#This Row],[Ruimte code]],Ruimtegroepen[#All],2,FALSE)</f>
        <v>Leslokalen</v>
      </c>
      <c r="M1063" s="185" t="s">
        <v>598</v>
      </c>
      <c r="N1063" s="257" t="s">
        <v>132</v>
      </c>
      <c r="O1063" s="261">
        <v>57</v>
      </c>
      <c r="P1063" s="183"/>
      <c r="Q1063" s="212" t="str">
        <f>VLOOKUP(Ruimtestaat[[#This Row],[Ruimte code]],Ruimtegroepen[#All],4,FALSE)</f>
        <v>L  (Lesruimte)</v>
      </c>
      <c r="R1063" s="184"/>
      <c r="S1063" s="185">
        <v>40</v>
      </c>
      <c r="T1063" s="185" t="s">
        <v>2</v>
      </c>
      <c r="U1063" s="185">
        <f>IF(S1063&gt;0,IF(RIGHT(Ruimtestaat[[#This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3" s="185">
        <f>IF(U1063&gt;0,VLOOKUP($K1063,Ruimtegroepen[],3,FALSE)*VLOOKUP($M1063,Vloersoorten[],3,FALSE)*VLOOKUP($T1063,Frequenties[],3,FALSE)*VLOOKUP($A1063,Locaties[],3,FALSE),0)</f>
        <v>0</v>
      </c>
      <c r="W1063" s="185">
        <f>Ruimtestaat[[#This Row],[Uitvoeringen werkdagen]]*Ruimtestaat[[#This Row],[Oppervlak (netto)]]</f>
        <v>11400</v>
      </c>
      <c r="X1063" s="220">
        <f>IF(V1063&gt;0,Ruimtestaat[[#This Row],[Prest. (m2 /jaar) werkdagen]]/Ruimtestaat[[#This Row],[Norm (m2/uur) werkdagen]],0)</f>
        <v>0</v>
      </c>
      <c r="Y1063" s="221">
        <f>Ruimtestaat[[#This Row],[uren / jaar werkdagen]]*Tariefsopbouw!$D$38</f>
        <v>0</v>
      </c>
      <c r="Z1063" s="33"/>
      <c r="AA1063" s="33">
        <f>IF(Ruimtestaat[[#This Row],[Frequentie weekend]]&gt;0,VALUE(LEFT(Z1063,1))*S1063,0)</f>
        <v>0</v>
      </c>
      <c r="AB1063" s="33">
        <f>IF($AA1063&gt;0,VLOOKUP($K1063,Ruimtegroepen[],3,FALSE)*VLOOKUP($M1063,Vloersoorten[],3,FALSE)*VLOOKUP($Z1063,Frequenties[],3,FALSE)*VLOOKUP(#REF!,Locaties[],3,FALSE),0)</f>
        <v>0</v>
      </c>
      <c r="AC1063" s="33"/>
      <c r="AD1063" s="33"/>
      <c r="AE1063" s="33">
        <f>Ruimtestaat[[#This Row],[uren / jaar weekend]]*Tariefsopbouw!$D$40</f>
        <v>0</v>
      </c>
      <c r="AF1063" s="79">
        <f>Ruimtestaat[[#This Row],[Prest. (m2 /jaar) weekend]]+Ruimtestaat[[#This Row],[Prest. (m2 /jaar) werkdagen]]</f>
        <v>11400</v>
      </c>
      <c r="AG1063" s="79">
        <f>Ruimtestaat[[#This Row],[uren / jaar weekend]]+Ruimtestaat[[#This Row],[uren / jaar werkdagen]]</f>
        <v>0</v>
      </c>
      <c r="AH1063" s="80">
        <f>Ruimtestaat[[#This Row],[kosten / jaar weekend]]+Ruimtestaat[[#This Row],[kosten / jaar werkdagen]]</f>
        <v>0</v>
      </c>
    </row>
    <row r="1064" spans="1:34" ht="15" customHeight="1">
      <c r="A1064" s="256">
        <v>12</v>
      </c>
      <c r="B1064" s="171" t="str">
        <f>VLOOKUP(Ruimtestaat[[#This Row],[Code]],Locaties[#All],2,FALSE)</f>
        <v>Onderwijscentrum Het Roessingh &amp; De Huifkar</v>
      </c>
      <c r="C1064" s="258" t="str">
        <f>VLOOKUP(Ruimtestaat[[#This Row],[Code]],Locaties[#All],4,FALSE)</f>
        <v>Roessinghsbleekweg 35</v>
      </c>
      <c r="D1064" s="258" t="str">
        <f>VLOOKUP(Ruimtestaat[[#This Row],[Code]],Locaties[#All],5,FALSE)</f>
        <v>7522 AH</v>
      </c>
      <c r="E1064" s="258" t="str">
        <f>VLOOKUP(Ruimtestaat[[#This Row],[Code]],Locaties[#All],6,FALSE)</f>
        <v>Enschede</v>
      </c>
      <c r="F1064" s="257"/>
      <c r="G1064" s="257" t="s">
        <v>564</v>
      </c>
      <c r="H1064" s="171"/>
      <c r="I1064" s="257">
        <v>1102</v>
      </c>
      <c r="J1064" s="259" t="s">
        <v>936</v>
      </c>
      <c r="K1064" s="171">
        <v>16</v>
      </c>
      <c r="L1064" s="260" t="str">
        <f>VLOOKUP(Ruimtestaat[[#This Row],[Ruimte code]],Ruimtegroepen[#All],2,FALSE)</f>
        <v>Leslokalen</v>
      </c>
      <c r="M1064" s="258" t="s">
        <v>598</v>
      </c>
      <c r="N1064" s="257" t="s">
        <v>132</v>
      </c>
      <c r="O1064" s="261">
        <v>31</v>
      </c>
      <c r="P1064" s="183"/>
      <c r="Q1064" s="212" t="str">
        <f>VLOOKUP(Ruimtestaat[[#This Row],[Ruimte code]],Ruimtegroepen[#All],4,FALSE)</f>
        <v>L  (Lesruimte)</v>
      </c>
      <c r="R1064" s="184"/>
      <c r="S1064" s="185">
        <v>40</v>
      </c>
      <c r="T1064" s="185" t="s">
        <v>2</v>
      </c>
      <c r="U1064" s="185">
        <f>IF(S1064&gt;0,IF(RIGHT(Ruimtestaat[[#This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4" s="185">
        <f>IF(U1064&gt;0,VLOOKUP($K1064,Ruimtegroepen[],3,FALSE)*VLOOKUP($M1064,Vloersoorten[],3,FALSE)*VLOOKUP($T1064,Frequenties[],3,FALSE)*VLOOKUP($A1064,Locaties[],3,FALSE),0)</f>
        <v>0</v>
      </c>
      <c r="W1064" s="185">
        <f>Ruimtestaat[[#This Row],[Uitvoeringen werkdagen]]*Ruimtestaat[[#This Row],[Oppervlak (netto)]]</f>
        <v>6200</v>
      </c>
      <c r="X1064" s="220">
        <f>IF(V1064&gt;0,Ruimtestaat[[#This Row],[Prest. (m2 /jaar) werkdagen]]/Ruimtestaat[[#This Row],[Norm (m2/uur) werkdagen]],0)</f>
        <v>0</v>
      </c>
      <c r="Y1064" s="221">
        <f>Ruimtestaat[[#This Row],[uren / jaar werkdagen]]*Tariefsopbouw!$D$38</f>
        <v>0</v>
      </c>
      <c r="Z1064" s="33"/>
      <c r="AA1064" s="33">
        <f>IF(Ruimtestaat[[#This Row],[Frequentie weekend]]&gt;0,VALUE(LEFT(Z1064,1))*S1064,0)</f>
        <v>0</v>
      </c>
      <c r="AB1064" s="33">
        <f>IF($AA1064&gt;0,VLOOKUP($K1064,Ruimtegroepen[],3,FALSE)*VLOOKUP($M1064,Vloersoorten[],3,FALSE)*VLOOKUP($Z1064,Frequenties[],3,FALSE)*VLOOKUP(#REF!,Locaties[],3,FALSE),0)</f>
        <v>0</v>
      </c>
      <c r="AC1064" s="33"/>
      <c r="AD1064" s="33"/>
      <c r="AE1064" s="33">
        <f>Ruimtestaat[[#This Row],[uren / jaar weekend]]*Tariefsopbouw!$D$40</f>
        <v>0</v>
      </c>
      <c r="AF1064" s="79">
        <f>Ruimtestaat[[#This Row],[Prest. (m2 /jaar) weekend]]+Ruimtestaat[[#This Row],[Prest. (m2 /jaar) werkdagen]]</f>
        <v>6200</v>
      </c>
      <c r="AG1064" s="79">
        <f>Ruimtestaat[[#This Row],[uren / jaar weekend]]+Ruimtestaat[[#This Row],[uren / jaar werkdagen]]</f>
        <v>0</v>
      </c>
      <c r="AH1064" s="80">
        <f>Ruimtestaat[[#This Row],[kosten / jaar weekend]]+Ruimtestaat[[#This Row],[kosten / jaar werkdagen]]</f>
        <v>0</v>
      </c>
    </row>
    <row r="1065" spans="1:34" ht="15" customHeight="1">
      <c r="A1065" s="256">
        <v>12</v>
      </c>
      <c r="B1065" s="171" t="str">
        <f>VLOOKUP(Ruimtestaat[[#This Row],[Code]],Locaties[#All],2,FALSE)</f>
        <v>Onderwijscentrum Het Roessingh &amp; De Huifkar</v>
      </c>
      <c r="C1065" s="258" t="str">
        <f>VLOOKUP(Ruimtestaat[[#This Row],[Code]],Locaties[#All],4,FALSE)</f>
        <v>Roessinghsbleekweg 35</v>
      </c>
      <c r="D1065" s="258" t="str">
        <f>VLOOKUP(Ruimtestaat[[#This Row],[Code]],Locaties[#All],5,FALSE)</f>
        <v>7522 AH</v>
      </c>
      <c r="E1065" s="258" t="str">
        <f>VLOOKUP(Ruimtestaat[[#This Row],[Code]],Locaties[#All],6,FALSE)</f>
        <v>Enschede</v>
      </c>
      <c r="F1065" s="257"/>
      <c r="G1065" s="257" t="s">
        <v>564</v>
      </c>
      <c r="H1065" s="171"/>
      <c r="I1065" s="257" t="s">
        <v>1042</v>
      </c>
      <c r="J1065" s="259" t="s">
        <v>574</v>
      </c>
      <c r="K1065" s="258">
        <v>6</v>
      </c>
      <c r="L1065" s="260" t="str">
        <f>VLOOKUP(Ruimtestaat[[#This Row],[Ruimte code]],Ruimtegroepen[#All],2,FALSE)</f>
        <v>Gangen/hallen</v>
      </c>
      <c r="M1065" s="258" t="s">
        <v>598</v>
      </c>
      <c r="N1065" s="257" t="s">
        <v>132</v>
      </c>
      <c r="O1065" s="261">
        <v>8</v>
      </c>
      <c r="P1065" s="183"/>
      <c r="Q1065" s="212" t="str">
        <f>VLOOKUP(Ruimtestaat[[#This Row],[Ruimte code]],Ruimtegroepen[#All],4,FALSE)</f>
        <v>V  (Verkeersruimte)</v>
      </c>
      <c r="R1065" s="184"/>
      <c r="S1065" s="185">
        <v>40</v>
      </c>
      <c r="T1065" s="185" t="s">
        <v>2</v>
      </c>
      <c r="U1065" s="185">
        <f>IF(S1065&gt;0,IF(RIGHT(Ruimtestaat[[#This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5" s="185">
        <f>IF(U1065&gt;0,VLOOKUP($K1065,Ruimtegroepen[],3,FALSE)*VLOOKUP($M1065,Vloersoorten[],3,FALSE)*VLOOKUP($T1065,Frequenties[],3,FALSE)*VLOOKUP($A1065,Locaties[],3,FALSE),0)</f>
        <v>0</v>
      </c>
      <c r="W1065" s="185">
        <f>Ruimtestaat[[#This Row],[Uitvoeringen werkdagen]]*Ruimtestaat[[#This Row],[Oppervlak (netto)]]</f>
        <v>1600</v>
      </c>
      <c r="X1065" s="220">
        <f>IF(V1065&gt;0,Ruimtestaat[[#This Row],[Prest. (m2 /jaar) werkdagen]]/Ruimtestaat[[#This Row],[Norm (m2/uur) werkdagen]],0)</f>
        <v>0</v>
      </c>
      <c r="Y1065" s="221">
        <f>Ruimtestaat[[#This Row],[uren / jaar werkdagen]]*Tariefsopbouw!$D$38</f>
        <v>0</v>
      </c>
      <c r="Z1065" s="33"/>
      <c r="AA1065" s="33">
        <f>IF(Ruimtestaat[[#This Row],[Frequentie weekend]]&gt;0,VALUE(LEFT(Z1065,1))*S1065,0)</f>
        <v>0</v>
      </c>
      <c r="AB1065" s="33">
        <f>IF($AA1065&gt;0,VLOOKUP($K1065,Ruimtegroepen[],3,FALSE)*VLOOKUP($M1065,Vloersoorten[],3,FALSE)*VLOOKUP($Z1065,Frequenties[],3,FALSE)*VLOOKUP(#REF!,Locaties[],3,FALSE),0)</f>
        <v>0</v>
      </c>
      <c r="AC1065" s="33"/>
      <c r="AD1065" s="33"/>
      <c r="AE1065" s="33">
        <f>Ruimtestaat[[#This Row],[uren / jaar weekend]]*Tariefsopbouw!$D$40</f>
        <v>0</v>
      </c>
      <c r="AF1065" s="79">
        <f>Ruimtestaat[[#This Row],[Prest. (m2 /jaar) weekend]]+Ruimtestaat[[#This Row],[Prest. (m2 /jaar) werkdagen]]</f>
        <v>1600</v>
      </c>
      <c r="AG1065" s="79">
        <f>Ruimtestaat[[#This Row],[uren / jaar weekend]]+Ruimtestaat[[#This Row],[uren / jaar werkdagen]]</f>
        <v>0</v>
      </c>
      <c r="AH1065" s="80">
        <f>Ruimtestaat[[#This Row],[kosten / jaar weekend]]+Ruimtestaat[[#This Row],[kosten / jaar werkdagen]]</f>
        <v>0</v>
      </c>
    </row>
    <row r="1066" spans="1:34" ht="15" customHeight="1">
      <c r="A1066" s="256">
        <v>12</v>
      </c>
      <c r="B1066" s="171" t="str">
        <f>VLOOKUP(Ruimtestaat[[#This Row],[Code]],Locaties[#All],2,FALSE)</f>
        <v>Onderwijscentrum Het Roessingh &amp; De Huifkar</v>
      </c>
      <c r="C1066" s="258" t="str">
        <f>VLOOKUP(Ruimtestaat[[#This Row],[Code]],Locaties[#All],4,FALSE)</f>
        <v>Roessinghsbleekweg 35</v>
      </c>
      <c r="D1066" s="258" t="str">
        <f>VLOOKUP(Ruimtestaat[[#This Row],[Code]],Locaties[#All],5,FALSE)</f>
        <v>7522 AH</v>
      </c>
      <c r="E1066" s="258" t="str">
        <f>VLOOKUP(Ruimtestaat[[#This Row],[Code]],Locaties[#All],6,FALSE)</f>
        <v>Enschede</v>
      </c>
      <c r="F1066" s="257"/>
      <c r="G1066" s="257" t="s">
        <v>564</v>
      </c>
      <c r="H1066" s="171"/>
      <c r="I1066" s="257">
        <v>1103</v>
      </c>
      <c r="J1066" s="259" t="s">
        <v>569</v>
      </c>
      <c r="K1066" s="258">
        <v>5</v>
      </c>
      <c r="L1066" s="260" t="str">
        <f>VLOOKUP(Ruimtestaat[[#This Row],[Ruimte code]],Ruimtegroepen[#All],2,FALSE)</f>
        <v>Sanitair</v>
      </c>
      <c r="M1066" s="212" t="s">
        <v>111</v>
      </c>
      <c r="N1066" s="257" t="s">
        <v>606</v>
      </c>
      <c r="O1066" s="261">
        <v>9.1999999999999993</v>
      </c>
      <c r="P1066" s="183"/>
      <c r="Q1066" s="212" t="str">
        <f>VLOOKUP(Ruimtestaat[[#This Row],[Ruimte code]],Ruimtegroepen[#All],4,FALSE)</f>
        <v>S  (Sanitair)</v>
      </c>
      <c r="R1066" s="184"/>
      <c r="S1066" s="185">
        <v>40</v>
      </c>
      <c r="T1066" s="185" t="s">
        <v>2</v>
      </c>
      <c r="U1066" s="185">
        <f>IF(S1066&gt;0,IF(RIGHT(Ruimtestaat[[#This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6" s="185">
        <f>IF(U1066&gt;0,VLOOKUP($K1066,Ruimtegroepen[],3,FALSE)*VLOOKUP($M1066,Vloersoorten[],3,FALSE)*VLOOKUP($T1066,Frequenties[],3,FALSE)*VLOOKUP($A1066,Locaties[],3,FALSE),0)</f>
        <v>0</v>
      </c>
      <c r="W1066" s="185">
        <f>Ruimtestaat[[#This Row],[Uitvoeringen werkdagen]]*Ruimtestaat[[#This Row],[Oppervlak (netto)]]</f>
        <v>1839.9999999999998</v>
      </c>
      <c r="X1066" s="220">
        <f>IF(V1066&gt;0,Ruimtestaat[[#This Row],[Prest. (m2 /jaar) werkdagen]]/Ruimtestaat[[#This Row],[Norm (m2/uur) werkdagen]],0)</f>
        <v>0</v>
      </c>
      <c r="Y1066" s="221">
        <f>Ruimtestaat[[#This Row],[uren / jaar werkdagen]]*Tariefsopbouw!$D$38</f>
        <v>0</v>
      </c>
      <c r="Z1066" s="33"/>
      <c r="AA1066" s="33">
        <f>IF(Ruimtestaat[[#This Row],[Frequentie weekend]]&gt;0,VALUE(LEFT(Z1066,1))*S1066,0)</f>
        <v>0</v>
      </c>
      <c r="AB1066" s="33">
        <f>IF($AA1066&gt;0,VLOOKUP($K1066,Ruimtegroepen[],3,FALSE)*VLOOKUP($M1066,Vloersoorten[],3,FALSE)*VLOOKUP($Z1066,Frequenties[],3,FALSE)*VLOOKUP(#REF!,Locaties[],3,FALSE),0)</f>
        <v>0</v>
      </c>
      <c r="AC1066" s="33"/>
      <c r="AD1066" s="33"/>
      <c r="AE1066" s="33">
        <f>Ruimtestaat[[#This Row],[uren / jaar weekend]]*Tariefsopbouw!$D$40</f>
        <v>0</v>
      </c>
      <c r="AF1066" s="79">
        <f>Ruimtestaat[[#This Row],[Prest. (m2 /jaar) weekend]]+Ruimtestaat[[#This Row],[Prest. (m2 /jaar) werkdagen]]</f>
        <v>1839.9999999999998</v>
      </c>
      <c r="AG1066" s="79">
        <f>Ruimtestaat[[#This Row],[uren / jaar weekend]]+Ruimtestaat[[#This Row],[uren / jaar werkdagen]]</f>
        <v>0</v>
      </c>
      <c r="AH1066" s="80">
        <f>Ruimtestaat[[#This Row],[kosten / jaar weekend]]+Ruimtestaat[[#This Row],[kosten / jaar werkdagen]]</f>
        <v>0</v>
      </c>
    </row>
    <row r="1067" spans="1:34" ht="15" customHeight="1">
      <c r="A1067" s="256">
        <v>12</v>
      </c>
      <c r="B1067" s="171" t="str">
        <f>VLOOKUP(Ruimtestaat[[#This Row],[Code]],Locaties[#All],2,FALSE)</f>
        <v>Onderwijscentrum Het Roessingh &amp; De Huifkar</v>
      </c>
      <c r="C1067" s="258" t="str">
        <f>VLOOKUP(Ruimtestaat[[#This Row],[Code]],Locaties[#All],4,FALSE)</f>
        <v>Roessinghsbleekweg 35</v>
      </c>
      <c r="D1067" s="258" t="str">
        <f>VLOOKUP(Ruimtestaat[[#This Row],[Code]],Locaties[#All],5,FALSE)</f>
        <v>7522 AH</v>
      </c>
      <c r="E1067" s="258" t="str">
        <f>VLOOKUP(Ruimtestaat[[#This Row],[Code]],Locaties[#All],6,FALSE)</f>
        <v>Enschede</v>
      </c>
      <c r="F1067" s="257"/>
      <c r="G1067" s="257" t="s">
        <v>564</v>
      </c>
      <c r="H1067" s="171"/>
      <c r="I1067" s="257">
        <v>1104</v>
      </c>
      <c r="J1067" s="259" t="s">
        <v>586</v>
      </c>
      <c r="K1067" s="224">
        <v>20</v>
      </c>
      <c r="L1067" s="260" t="str">
        <f>VLOOKUP(Ruimtestaat[[#This Row],[Ruimte code]],Ruimtegroepen[#All],2,FALSE)</f>
        <v>Niet in onderhoud</v>
      </c>
      <c r="M1067" s="185"/>
      <c r="N1067" s="257"/>
      <c r="O1067" s="261"/>
      <c r="P1067" s="183"/>
      <c r="Q1067" s="212" t="str">
        <f>VLOOKUP(Ruimtestaat[[#This Row],[Ruimte code]],Ruimtegroepen[#All],4,FALSE)</f>
        <v>niet in onderhoud</v>
      </c>
      <c r="R1067" s="184"/>
      <c r="S1067" s="185"/>
      <c r="T1067" s="185"/>
      <c r="U1067" s="185">
        <f>IF(S1067&gt;0,IF(RIGHT(Ruimtestaat[[#This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67" s="185">
        <f>IF(U1067&gt;0,VLOOKUP($K1067,Ruimtegroepen[],3,FALSE)*VLOOKUP($M1067,Vloersoorten[],3,FALSE)*VLOOKUP($T1067,Frequenties[],3,FALSE)*VLOOKUP($A1067,Locaties[],3,FALSE),0)</f>
        <v>0</v>
      </c>
      <c r="W1067" s="185">
        <f>Ruimtestaat[[#This Row],[Uitvoeringen werkdagen]]*Ruimtestaat[[#This Row],[Oppervlak (netto)]]</f>
        <v>0</v>
      </c>
      <c r="X1067" s="220">
        <f>IF(V1067&gt;0,Ruimtestaat[[#This Row],[Prest. (m2 /jaar) werkdagen]]/Ruimtestaat[[#This Row],[Norm (m2/uur) werkdagen]],0)</f>
        <v>0</v>
      </c>
      <c r="Y1067" s="221">
        <f>Ruimtestaat[[#This Row],[uren / jaar werkdagen]]*Tariefsopbouw!$D$38</f>
        <v>0</v>
      </c>
      <c r="Z1067" s="33"/>
      <c r="AA1067" s="33">
        <f>IF(Ruimtestaat[[#This Row],[Frequentie weekend]]&gt;0,VALUE(LEFT(Z1067,1))*S1067,0)</f>
        <v>0</v>
      </c>
      <c r="AB1067" s="33">
        <f>IF($AA1067&gt;0,VLOOKUP($K1067,Ruimtegroepen[],3,FALSE)*VLOOKUP($M1067,Vloersoorten[],3,FALSE)*VLOOKUP($Z1067,Frequenties[],3,FALSE)*VLOOKUP(#REF!,Locaties[],3,FALSE),0)</f>
        <v>0</v>
      </c>
      <c r="AC1067" s="33"/>
      <c r="AD1067" s="33"/>
      <c r="AE1067" s="33">
        <f>Ruimtestaat[[#This Row],[uren / jaar weekend]]*Tariefsopbouw!$D$40</f>
        <v>0</v>
      </c>
      <c r="AF1067" s="79">
        <f>Ruimtestaat[[#This Row],[Prest. (m2 /jaar) weekend]]+Ruimtestaat[[#This Row],[Prest. (m2 /jaar) werkdagen]]</f>
        <v>0</v>
      </c>
      <c r="AG1067" s="79">
        <f>Ruimtestaat[[#This Row],[uren / jaar weekend]]+Ruimtestaat[[#This Row],[uren / jaar werkdagen]]</f>
        <v>0</v>
      </c>
      <c r="AH1067" s="80">
        <f>Ruimtestaat[[#This Row],[kosten / jaar weekend]]+Ruimtestaat[[#This Row],[kosten / jaar werkdagen]]</f>
        <v>0</v>
      </c>
    </row>
    <row r="1068" spans="1:34" ht="15" customHeight="1">
      <c r="A1068" s="256">
        <v>12</v>
      </c>
      <c r="B1068" s="171" t="str">
        <f>VLOOKUP(Ruimtestaat[[#This Row],[Code]],Locaties[#All],2,FALSE)</f>
        <v>Onderwijscentrum Het Roessingh &amp; De Huifkar</v>
      </c>
      <c r="C1068" s="258" t="str">
        <f>VLOOKUP(Ruimtestaat[[#This Row],[Code]],Locaties[#All],4,FALSE)</f>
        <v>Roessinghsbleekweg 35</v>
      </c>
      <c r="D1068" s="258" t="str">
        <f>VLOOKUP(Ruimtestaat[[#This Row],[Code]],Locaties[#All],5,FALSE)</f>
        <v>7522 AH</v>
      </c>
      <c r="E1068" s="258" t="str">
        <f>VLOOKUP(Ruimtestaat[[#This Row],[Code]],Locaties[#All],6,FALSE)</f>
        <v>Enschede</v>
      </c>
      <c r="F1068" s="257"/>
      <c r="G1068" s="257" t="s">
        <v>564</v>
      </c>
      <c r="H1068" s="171"/>
      <c r="I1068" s="257">
        <v>1105</v>
      </c>
      <c r="J1068" s="259" t="s">
        <v>692</v>
      </c>
      <c r="K1068" s="171">
        <v>14</v>
      </c>
      <c r="L1068" s="260" t="str">
        <f>VLOOKUP(Ruimtestaat[[#This Row],[Ruimte code]],Ruimtegroepen[#All],2,FALSE)</f>
        <v>Praktijklokalen</v>
      </c>
      <c r="M1068" s="185" t="s">
        <v>598</v>
      </c>
      <c r="N1068" s="257" t="s">
        <v>132</v>
      </c>
      <c r="O1068" s="261">
        <v>34</v>
      </c>
      <c r="P1068" s="183"/>
      <c r="Q1068" s="212" t="str">
        <f>VLOOKUP(Ruimtestaat[[#This Row],[Ruimte code]],Ruimtegroepen[#All],4,FALSE)</f>
        <v>L  (Lesruimte)</v>
      </c>
      <c r="R1068" s="184"/>
      <c r="S1068" s="185">
        <v>40</v>
      </c>
      <c r="T1068" s="185" t="s">
        <v>2</v>
      </c>
      <c r="U1068" s="185">
        <f>IF(S1068&gt;0,IF(RIGHT(Ruimtestaat[[#This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8" s="185">
        <f>IF(U1068&gt;0,VLOOKUP($K1068,Ruimtegroepen[],3,FALSE)*VLOOKUP($M1068,Vloersoorten[],3,FALSE)*VLOOKUP($T1068,Frequenties[],3,FALSE)*VLOOKUP($A1068,Locaties[],3,FALSE),0)</f>
        <v>0</v>
      </c>
      <c r="W1068" s="185">
        <f>Ruimtestaat[[#This Row],[Uitvoeringen werkdagen]]*Ruimtestaat[[#This Row],[Oppervlak (netto)]]</f>
        <v>6800</v>
      </c>
      <c r="X1068" s="220">
        <f>IF(V1068&gt;0,Ruimtestaat[[#This Row],[Prest. (m2 /jaar) werkdagen]]/Ruimtestaat[[#This Row],[Norm (m2/uur) werkdagen]],0)</f>
        <v>0</v>
      </c>
      <c r="Y1068" s="221">
        <f>Ruimtestaat[[#This Row],[uren / jaar werkdagen]]*Tariefsopbouw!$D$38</f>
        <v>0</v>
      </c>
      <c r="Z1068" s="33"/>
      <c r="AA1068" s="33">
        <f>IF(Ruimtestaat[[#This Row],[Frequentie weekend]]&gt;0,VALUE(LEFT(Z1068,1))*S1068,0)</f>
        <v>0</v>
      </c>
      <c r="AB1068" s="33">
        <f>IF($AA1068&gt;0,VLOOKUP($K1068,Ruimtegroepen[],3,FALSE)*VLOOKUP($M1068,Vloersoorten[],3,FALSE)*VLOOKUP($Z1068,Frequenties[],3,FALSE)*VLOOKUP(#REF!,Locaties[],3,FALSE),0)</f>
        <v>0</v>
      </c>
      <c r="AC1068" s="33"/>
      <c r="AD1068" s="33"/>
      <c r="AE1068" s="33">
        <f>Ruimtestaat[[#This Row],[uren / jaar weekend]]*Tariefsopbouw!$D$40</f>
        <v>0</v>
      </c>
      <c r="AF1068" s="79">
        <f>Ruimtestaat[[#This Row],[Prest. (m2 /jaar) weekend]]+Ruimtestaat[[#This Row],[Prest. (m2 /jaar) werkdagen]]</f>
        <v>6800</v>
      </c>
      <c r="AG1068" s="79">
        <f>Ruimtestaat[[#This Row],[uren / jaar weekend]]+Ruimtestaat[[#This Row],[uren / jaar werkdagen]]</f>
        <v>0</v>
      </c>
      <c r="AH1068" s="80">
        <f>Ruimtestaat[[#This Row],[kosten / jaar weekend]]+Ruimtestaat[[#This Row],[kosten / jaar werkdagen]]</f>
        <v>0</v>
      </c>
    </row>
    <row r="1069" spans="1:34" ht="15" customHeight="1">
      <c r="A1069" s="256">
        <v>12</v>
      </c>
      <c r="B1069" s="171" t="str">
        <f>VLOOKUP(Ruimtestaat[[#This Row],[Code]],Locaties[#All],2,FALSE)</f>
        <v>Onderwijscentrum Het Roessingh &amp; De Huifkar</v>
      </c>
      <c r="C1069" s="258" t="str">
        <f>VLOOKUP(Ruimtestaat[[#This Row],[Code]],Locaties[#All],4,FALSE)</f>
        <v>Roessinghsbleekweg 35</v>
      </c>
      <c r="D1069" s="258" t="str">
        <f>VLOOKUP(Ruimtestaat[[#This Row],[Code]],Locaties[#All],5,FALSE)</f>
        <v>7522 AH</v>
      </c>
      <c r="E1069" s="258" t="str">
        <f>VLOOKUP(Ruimtestaat[[#This Row],[Code]],Locaties[#All],6,FALSE)</f>
        <v>Enschede</v>
      </c>
      <c r="F1069" s="257"/>
      <c r="G1069" s="257" t="s">
        <v>564</v>
      </c>
      <c r="H1069" s="171"/>
      <c r="I1069" s="257">
        <v>1106</v>
      </c>
      <c r="J1069" s="259" t="s">
        <v>569</v>
      </c>
      <c r="K1069" s="224">
        <v>5</v>
      </c>
      <c r="L1069" s="260" t="str">
        <f>VLOOKUP(Ruimtestaat[[#This Row],[Ruimte code]],Ruimtegroepen[#All],2,FALSE)</f>
        <v>Sanitair</v>
      </c>
      <c r="M1069" s="212" t="s">
        <v>111</v>
      </c>
      <c r="N1069" s="257" t="s">
        <v>606</v>
      </c>
      <c r="O1069" s="261">
        <v>7.7</v>
      </c>
      <c r="P1069" s="183"/>
      <c r="Q1069" s="212" t="str">
        <f>VLOOKUP(Ruimtestaat[[#This Row],[Ruimte code]],Ruimtegroepen[#All],4,FALSE)</f>
        <v>S  (Sanitair)</v>
      </c>
      <c r="R1069" s="184"/>
      <c r="S1069" s="185">
        <v>40</v>
      </c>
      <c r="T1069" s="185" t="s">
        <v>2</v>
      </c>
      <c r="U1069" s="185">
        <f>IF(S1069&gt;0,IF(RIGHT(Ruimtestaat[[#This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9" s="185">
        <f>IF(U1069&gt;0,VLOOKUP($K1069,Ruimtegroepen[],3,FALSE)*VLOOKUP($M1069,Vloersoorten[],3,FALSE)*VLOOKUP($T1069,Frequenties[],3,FALSE)*VLOOKUP($A1069,Locaties[],3,FALSE),0)</f>
        <v>0</v>
      </c>
      <c r="W1069" s="185">
        <f>Ruimtestaat[[#This Row],[Uitvoeringen werkdagen]]*Ruimtestaat[[#This Row],[Oppervlak (netto)]]</f>
        <v>1540</v>
      </c>
      <c r="X1069" s="220">
        <f>IF(V1069&gt;0,Ruimtestaat[[#This Row],[Prest. (m2 /jaar) werkdagen]]/Ruimtestaat[[#This Row],[Norm (m2/uur) werkdagen]],0)</f>
        <v>0</v>
      </c>
      <c r="Y1069" s="221">
        <f>Ruimtestaat[[#This Row],[uren / jaar werkdagen]]*Tariefsopbouw!$D$38</f>
        <v>0</v>
      </c>
      <c r="Z1069" s="33"/>
      <c r="AA1069" s="33">
        <f>IF(Ruimtestaat[[#This Row],[Frequentie weekend]]&gt;0,VALUE(LEFT(Z1069,1))*S1069,0)</f>
        <v>0</v>
      </c>
      <c r="AB1069" s="33">
        <f>IF($AA1069&gt;0,VLOOKUP($K1069,Ruimtegroepen[],3,FALSE)*VLOOKUP($M1069,Vloersoorten[],3,FALSE)*VLOOKUP($Z1069,Frequenties[],3,FALSE)*VLOOKUP(#REF!,Locaties[],3,FALSE),0)</f>
        <v>0</v>
      </c>
      <c r="AC1069" s="33"/>
      <c r="AD1069" s="33"/>
      <c r="AE1069" s="33">
        <f>Ruimtestaat[[#This Row],[uren / jaar weekend]]*Tariefsopbouw!$D$40</f>
        <v>0</v>
      </c>
      <c r="AF1069" s="79">
        <f>Ruimtestaat[[#This Row],[Prest. (m2 /jaar) weekend]]+Ruimtestaat[[#This Row],[Prest. (m2 /jaar) werkdagen]]</f>
        <v>1540</v>
      </c>
      <c r="AG1069" s="79">
        <f>Ruimtestaat[[#This Row],[uren / jaar weekend]]+Ruimtestaat[[#This Row],[uren / jaar werkdagen]]</f>
        <v>0</v>
      </c>
      <c r="AH1069" s="80">
        <f>Ruimtestaat[[#This Row],[kosten / jaar weekend]]+Ruimtestaat[[#This Row],[kosten / jaar werkdagen]]</f>
        <v>0</v>
      </c>
    </row>
    <row r="1070" spans="1:34" ht="15" customHeight="1">
      <c r="A1070" s="256">
        <v>12</v>
      </c>
      <c r="B1070" s="171" t="str">
        <f>VLOOKUP(Ruimtestaat[[#This Row],[Code]],Locaties[#All],2,FALSE)</f>
        <v>Onderwijscentrum Het Roessingh &amp; De Huifkar</v>
      </c>
      <c r="C1070" s="258" t="str">
        <f>VLOOKUP(Ruimtestaat[[#This Row],[Code]],Locaties[#All],4,FALSE)</f>
        <v>Roessinghsbleekweg 35</v>
      </c>
      <c r="D1070" s="258" t="str">
        <f>VLOOKUP(Ruimtestaat[[#This Row],[Code]],Locaties[#All],5,FALSE)</f>
        <v>7522 AH</v>
      </c>
      <c r="E1070" s="258" t="str">
        <f>VLOOKUP(Ruimtestaat[[#This Row],[Code]],Locaties[#All],6,FALSE)</f>
        <v>Enschede</v>
      </c>
      <c r="F1070" s="257"/>
      <c r="G1070" s="257" t="s">
        <v>564</v>
      </c>
      <c r="H1070" s="171"/>
      <c r="I1070" s="257">
        <v>1107</v>
      </c>
      <c r="J1070" s="259" t="s">
        <v>579</v>
      </c>
      <c r="K1070" s="258">
        <v>17</v>
      </c>
      <c r="L1070" s="260" t="str">
        <f>VLOOKUP(Ruimtestaat[[#This Row],[Ruimte code]],Ruimtegroepen[#All],2,FALSE)</f>
        <v>Toestelberging</v>
      </c>
      <c r="M1070" s="212" t="s">
        <v>111</v>
      </c>
      <c r="N1070" s="257" t="s">
        <v>606</v>
      </c>
      <c r="O1070" s="261">
        <v>13</v>
      </c>
      <c r="P1070" s="183"/>
      <c r="Q1070" s="212" t="str">
        <f>VLOOKUP(Ruimtestaat[[#This Row],[Ruimte code]],Ruimtegroepen[#All],4,FALSE)</f>
        <v>V  (Verkeersruimte)</v>
      </c>
      <c r="R1070" s="184"/>
      <c r="S1070" s="185">
        <v>40</v>
      </c>
      <c r="T1070" s="185" t="s">
        <v>16</v>
      </c>
      <c r="U1070" s="185">
        <f>IF(S1070&gt;0,IF(RIGHT(Ruimtestaat[[#This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070" s="185">
        <f>IF(U1070&gt;0,VLOOKUP($K1070,Ruimtegroepen[],3,FALSE)*VLOOKUP($M1070,Vloersoorten[],3,FALSE)*VLOOKUP($T1070,Frequenties[],3,FALSE)*VLOOKUP($A1070,Locaties[],3,FALSE),0)</f>
        <v>0</v>
      </c>
      <c r="W1070" s="185">
        <f>Ruimtestaat[[#This Row],[Uitvoeringen werkdagen]]*Ruimtestaat[[#This Row],[Oppervlak (netto)]]</f>
        <v>156</v>
      </c>
      <c r="X1070" s="220">
        <f>IF(V1070&gt;0,Ruimtestaat[[#This Row],[Prest. (m2 /jaar) werkdagen]]/Ruimtestaat[[#This Row],[Norm (m2/uur) werkdagen]],0)</f>
        <v>0</v>
      </c>
      <c r="Y1070" s="221">
        <f>Ruimtestaat[[#This Row],[uren / jaar werkdagen]]*Tariefsopbouw!$D$38</f>
        <v>0</v>
      </c>
      <c r="Z1070" s="33"/>
      <c r="AA1070" s="33">
        <f>IF(Ruimtestaat[[#This Row],[Frequentie weekend]]&gt;0,VALUE(LEFT(Z1070,1))*S1070,0)</f>
        <v>0</v>
      </c>
      <c r="AB1070" s="33">
        <f>IF($AA1070&gt;0,VLOOKUP($K1070,Ruimtegroepen[],3,FALSE)*VLOOKUP($M1070,Vloersoorten[],3,FALSE)*VLOOKUP($Z1070,Frequenties[],3,FALSE)*VLOOKUP(#REF!,Locaties[],3,FALSE),0)</f>
        <v>0</v>
      </c>
      <c r="AC1070" s="33"/>
      <c r="AD1070" s="33"/>
      <c r="AE1070" s="33">
        <f>Ruimtestaat[[#This Row],[uren / jaar weekend]]*Tariefsopbouw!$D$40</f>
        <v>0</v>
      </c>
      <c r="AF1070" s="79">
        <f>Ruimtestaat[[#This Row],[Prest. (m2 /jaar) weekend]]+Ruimtestaat[[#This Row],[Prest. (m2 /jaar) werkdagen]]</f>
        <v>156</v>
      </c>
      <c r="AG1070" s="79">
        <f>Ruimtestaat[[#This Row],[uren / jaar weekend]]+Ruimtestaat[[#This Row],[uren / jaar werkdagen]]</f>
        <v>0</v>
      </c>
      <c r="AH1070" s="80">
        <f>Ruimtestaat[[#This Row],[kosten / jaar weekend]]+Ruimtestaat[[#This Row],[kosten / jaar werkdagen]]</f>
        <v>0</v>
      </c>
    </row>
    <row r="1071" spans="1:34" ht="15" customHeight="1">
      <c r="A1071" s="256">
        <v>12</v>
      </c>
      <c r="B1071" s="171" t="str">
        <f>VLOOKUP(Ruimtestaat[[#This Row],[Code]],Locaties[#All],2,FALSE)</f>
        <v>Onderwijscentrum Het Roessingh &amp; De Huifkar</v>
      </c>
      <c r="C1071" s="258" t="str">
        <f>VLOOKUP(Ruimtestaat[[#This Row],[Code]],Locaties[#All],4,FALSE)</f>
        <v>Roessinghsbleekweg 35</v>
      </c>
      <c r="D1071" s="258" t="str">
        <f>VLOOKUP(Ruimtestaat[[#This Row],[Code]],Locaties[#All],5,FALSE)</f>
        <v>7522 AH</v>
      </c>
      <c r="E1071" s="258" t="str">
        <f>VLOOKUP(Ruimtestaat[[#This Row],[Code]],Locaties[#All],6,FALSE)</f>
        <v>Enschede</v>
      </c>
      <c r="F1071" s="257"/>
      <c r="G1071" s="257" t="s">
        <v>564</v>
      </c>
      <c r="H1071" s="171"/>
      <c r="I1071" s="257" t="s">
        <v>1043</v>
      </c>
      <c r="J1071" s="259" t="s">
        <v>585</v>
      </c>
      <c r="K1071" s="258">
        <v>20</v>
      </c>
      <c r="L1071" s="260" t="str">
        <f>VLOOKUP(Ruimtestaat[[#This Row],[Ruimte code]],Ruimtegroepen[#All],2,FALSE)</f>
        <v>Niet in onderhoud</v>
      </c>
      <c r="M1071" s="212" t="s">
        <v>111</v>
      </c>
      <c r="N1071" s="257" t="s">
        <v>605</v>
      </c>
      <c r="O1071" s="261"/>
      <c r="P1071" s="183">
        <v>1</v>
      </c>
      <c r="Q1071" s="212" t="str">
        <f>VLOOKUP(Ruimtestaat[[#This Row],[Ruimte code]],Ruimtegroepen[#All],4,FALSE)</f>
        <v>niet in onderhoud</v>
      </c>
      <c r="R1071" s="184"/>
      <c r="S1071" s="185"/>
      <c r="T1071" s="185"/>
      <c r="U1071" s="185">
        <f>IF(S1071&gt;0,IF(RIGHT(Ruimtestaat[[#This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71" s="185">
        <f>IF(U1071&gt;0,VLOOKUP($K1071,Ruimtegroepen[],3,FALSE)*VLOOKUP($M1071,Vloersoorten[],3,FALSE)*VLOOKUP($T1071,Frequenties[],3,FALSE)*VLOOKUP($A1071,Locaties[],3,FALSE),0)</f>
        <v>0</v>
      </c>
      <c r="W1071" s="185">
        <f>Ruimtestaat[[#This Row],[Uitvoeringen werkdagen]]*Ruimtestaat[[#This Row],[Oppervlak (netto)]]</f>
        <v>0</v>
      </c>
      <c r="X1071" s="220">
        <f>IF(V1071&gt;0,Ruimtestaat[[#This Row],[Prest. (m2 /jaar) werkdagen]]/Ruimtestaat[[#This Row],[Norm (m2/uur) werkdagen]],0)</f>
        <v>0</v>
      </c>
      <c r="Y1071" s="221">
        <f>Ruimtestaat[[#This Row],[uren / jaar werkdagen]]*Tariefsopbouw!$D$38</f>
        <v>0</v>
      </c>
      <c r="Z1071" s="33"/>
      <c r="AA1071" s="33">
        <f>IF(Ruimtestaat[[#This Row],[Frequentie weekend]]&gt;0,VALUE(LEFT(Z1071,1))*S1071,0)</f>
        <v>0</v>
      </c>
      <c r="AB1071" s="33">
        <f>IF($AA1071&gt;0,VLOOKUP($K1071,Ruimtegroepen[],3,FALSE)*VLOOKUP($M1071,Vloersoorten[],3,FALSE)*VLOOKUP($Z1071,Frequenties[],3,FALSE)*VLOOKUP(#REF!,Locaties[],3,FALSE),0)</f>
        <v>0</v>
      </c>
      <c r="AC1071" s="33"/>
      <c r="AD1071" s="33"/>
      <c r="AE1071" s="33">
        <f>Ruimtestaat[[#This Row],[uren / jaar weekend]]*Tariefsopbouw!$D$40</f>
        <v>0</v>
      </c>
      <c r="AF1071" s="79">
        <f>Ruimtestaat[[#This Row],[Prest. (m2 /jaar) weekend]]+Ruimtestaat[[#This Row],[Prest. (m2 /jaar) werkdagen]]</f>
        <v>0</v>
      </c>
      <c r="AG1071" s="79">
        <f>Ruimtestaat[[#This Row],[uren / jaar weekend]]+Ruimtestaat[[#This Row],[uren / jaar werkdagen]]</f>
        <v>0</v>
      </c>
      <c r="AH1071" s="80">
        <f>Ruimtestaat[[#This Row],[kosten / jaar weekend]]+Ruimtestaat[[#This Row],[kosten / jaar werkdagen]]</f>
        <v>0</v>
      </c>
    </row>
    <row r="1072" spans="1:34" ht="15" customHeight="1">
      <c r="A1072" s="256">
        <v>12</v>
      </c>
      <c r="B1072" s="171" t="str">
        <f>VLOOKUP(Ruimtestaat[[#This Row],[Code]],Locaties[#All],2,FALSE)</f>
        <v>Onderwijscentrum Het Roessingh &amp; De Huifkar</v>
      </c>
      <c r="C1072" s="258" t="str">
        <f>VLOOKUP(Ruimtestaat[[#This Row],[Code]],Locaties[#All],4,FALSE)</f>
        <v>Roessinghsbleekweg 35</v>
      </c>
      <c r="D1072" s="258" t="str">
        <f>VLOOKUP(Ruimtestaat[[#This Row],[Code]],Locaties[#All],5,FALSE)</f>
        <v>7522 AH</v>
      </c>
      <c r="E1072" s="258" t="str">
        <f>VLOOKUP(Ruimtestaat[[#This Row],[Code]],Locaties[#All],6,FALSE)</f>
        <v>Enschede</v>
      </c>
      <c r="F1072" s="257"/>
      <c r="G1072" s="257" t="s">
        <v>564</v>
      </c>
      <c r="H1072" s="171"/>
      <c r="I1072" s="257" t="s">
        <v>1044</v>
      </c>
      <c r="J1072" s="259" t="s">
        <v>585</v>
      </c>
      <c r="K1072" s="224">
        <v>20</v>
      </c>
      <c r="L1072" s="260" t="str">
        <f>VLOOKUP(Ruimtestaat[[#This Row],[Ruimte code]],Ruimtegroepen[#All],2,FALSE)</f>
        <v>Niet in onderhoud</v>
      </c>
      <c r="M1072" s="212" t="s">
        <v>111</v>
      </c>
      <c r="N1072" s="257" t="s">
        <v>605</v>
      </c>
      <c r="O1072" s="261"/>
      <c r="P1072" s="183">
        <v>1</v>
      </c>
      <c r="Q1072" s="212" t="str">
        <f>VLOOKUP(Ruimtestaat[[#This Row],[Ruimte code]],Ruimtegroepen[#All],4,FALSE)</f>
        <v>niet in onderhoud</v>
      </c>
      <c r="R1072" s="184"/>
      <c r="S1072" s="185"/>
      <c r="T1072" s="185"/>
      <c r="U1072" s="185">
        <f>IF(S1072&gt;0,IF(RIGHT(Ruimtestaat[[#This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72" s="185">
        <f>IF(U1072&gt;0,VLOOKUP($K1072,Ruimtegroepen[],3,FALSE)*VLOOKUP($M1072,Vloersoorten[],3,FALSE)*VLOOKUP($T1072,Frequenties[],3,FALSE)*VLOOKUP($A1072,Locaties[],3,FALSE),0)</f>
        <v>0</v>
      </c>
      <c r="W1072" s="185">
        <f>Ruimtestaat[[#This Row],[Uitvoeringen werkdagen]]*Ruimtestaat[[#This Row],[Oppervlak (netto)]]</f>
        <v>0</v>
      </c>
      <c r="X1072" s="220">
        <f>IF(V1072&gt;0,Ruimtestaat[[#This Row],[Prest. (m2 /jaar) werkdagen]]/Ruimtestaat[[#This Row],[Norm (m2/uur) werkdagen]],0)</f>
        <v>0</v>
      </c>
      <c r="Y1072" s="221">
        <f>Ruimtestaat[[#This Row],[uren / jaar werkdagen]]*Tariefsopbouw!$D$38</f>
        <v>0</v>
      </c>
      <c r="Z1072" s="33"/>
      <c r="AA1072" s="33">
        <f>IF(Ruimtestaat[[#This Row],[Frequentie weekend]]&gt;0,VALUE(LEFT(Z1072,1))*S1072,0)</f>
        <v>0</v>
      </c>
      <c r="AB1072" s="33">
        <f>IF($AA1072&gt;0,VLOOKUP($K1072,Ruimtegroepen[],3,FALSE)*VLOOKUP($M1072,Vloersoorten[],3,FALSE)*VLOOKUP($Z1072,Frequenties[],3,FALSE)*VLOOKUP(#REF!,Locaties[],3,FALSE),0)</f>
        <v>0</v>
      </c>
      <c r="AC1072" s="33"/>
      <c r="AD1072" s="33"/>
      <c r="AE1072" s="33">
        <f>Ruimtestaat[[#This Row],[uren / jaar weekend]]*Tariefsopbouw!$D$40</f>
        <v>0</v>
      </c>
      <c r="AF1072" s="79">
        <f>Ruimtestaat[[#This Row],[Prest. (m2 /jaar) weekend]]+Ruimtestaat[[#This Row],[Prest. (m2 /jaar) werkdagen]]</f>
        <v>0</v>
      </c>
      <c r="AG1072" s="79">
        <f>Ruimtestaat[[#This Row],[uren / jaar weekend]]+Ruimtestaat[[#This Row],[uren / jaar werkdagen]]</f>
        <v>0</v>
      </c>
      <c r="AH1072" s="80">
        <f>Ruimtestaat[[#This Row],[kosten / jaar weekend]]+Ruimtestaat[[#This Row],[kosten / jaar werkdagen]]</f>
        <v>0</v>
      </c>
    </row>
    <row r="1073" spans="1:34" ht="15" customHeight="1">
      <c r="A1073" s="256">
        <v>12</v>
      </c>
      <c r="B1073" s="171" t="str">
        <f>VLOOKUP(Ruimtestaat[[#This Row],[Code]],Locaties[#All],2,FALSE)</f>
        <v>Onderwijscentrum Het Roessingh &amp; De Huifkar</v>
      </c>
      <c r="C1073" s="258" t="str">
        <f>VLOOKUP(Ruimtestaat[[#This Row],[Code]],Locaties[#All],4,FALSE)</f>
        <v>Roessinghsbleekweg 35</v>
      </c>
      <c r="D1073" s="258" t="str">
        <f>VLOOKUP(Ruimtestaat[[#This Row],[Code]],Locaties[#All],5,FALSE)</f>
        <v>7522 AH</v>
      </c>
      <c r="E1073" s="258" t="str">
        <f>VLOOKUP(Ruimtestaat[[#This Row],[Code]],Locaties[#All],6,FALSE)</f>
        <v>Enschede</v>
      </c>
      <c r="F1073" s="257"/>
      <c r="G1073" s="257" t="s">
        <v>564</v>
      </c>
      <c r="H1073" s="171"/>
      <c r="I1073" s="257">
        <v>1108</v>
      </c>
      <c r="J1073" s="259" t="s">
        <v>591</v>
      </c>
      <c r="K1073" s="171">
        <v>4</v>
      </c>
      <c r="L1073" s="260" t="str">
        <f>VLOOKUP(Ruimtestaat[[#This Row],[Ruimte code]],Ruimtegroepen[#All],2,FALSE)</f>
        <v>Vergader/spreekkamers</v>
      </c>
      <c r="M1073" s="258" t="s">
        <v>597</v>
      </c>
      <c r="N1073" s="257" t="s">
        <v>38</v>
      </c>
      <c r="O1073" s="261">
        <v>36</v>
      </c>
      <c r="P1073" s="183"/>
      <c r="Q1073" s="212" t="str">
        <f>VLOOKUP(Ruimtestaat[[#This Row],[Ruimte code]],Ruimtegroepen[#All],4,FALSE)</f>
        <v>B  (Bureauruimte)</v>
      </c>
      <c r="R1073" s="184"/>
      <c r="S1073" s="185">
        <v>40</v>
      </c>
      <c r="T1073" s="185" t="s">
        <v>18</v>
      </c>
      <c r="U1073" s="185">
        <f>IF(S1073&gt;0,IF(RIGHT(Ruimtestaat[[#This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073" s="185">
        <f>IF(U1073&gt;0,VLOOKUP($K1073,Ruimtegroepen[],3,FALSE)*VLOOKUP($M1073,Vloersoorten[],3,FALSE)*VLOOKUP($T1073,Frequenties[],3,FALSE)*VLOOKUP($A1073,Locaties[],3,FALSE),0)</f>
        <v>0</v>
      </c>
      <c r="W1073" s="185">
        <f>Ruimtestaat[[#This Row],[Uitvoeringen werkdagen]]*Ruimtestaat[[#This Row],[Oppervlak (netto)]]</f>
        <v>4320</v>
      </c>
      <c r="X1073" s="220">
        <f>IF(V1073&gt;0,Ruimtestaat[[#This Row],[Prest. (m2 /jaar) werkdagen]]/Ruimtestaat[[#This Row],[Norm (m2/uur) werkdagen]],0)</f>
        <v>0</v>
      </c>
      <c r="Y1073" s="221">
        <f>Ruimtestaat[[#This Row],[uren / jaar werkdagen]]*Tariefsopbouw!$D$38</f>
        <v>0</v>
      </c>
      <c r="Z1073" s="33"/>
      <c r="AA1073" s="33">
        <f>IF(Ruimtestaat[[#This Row],[Frequentie weekend]]&gt;0,VALUE(LEFT(Z1073,1))*S1073,0)</f>
        <v>0</v>
      </c>
      <c r="AB1073" s="33">
        <f>IF($AA1073&gt;0,VLOOKUP($K1073,Ruimtegroepen[],3,FALSE)*VLOOKUP($M1073,Vloersoorten[],3,FALSE)*VLOOKUP($Z1073,Frequenties[],3,FALSE)*VLOOKUP(#REF!,Locaties[],3,FALSE),0)</f>
        <v>0</v>
      </c>
      <c r="AC1073" s="33"/>
      <c r="AD1073" s="33"/>
      <c r="AE1073" s="33">
        <f>Ruimtestaat[[#This Row],[uren / jaar weekend]]*Tariefsopbouw!$D$40</f>
        <v>0</v>
      </c>
      <c r="AF1073" s="79">
        <f>Ruimtestaat[[#This Row],[Prest. (m2 /jaar) weekend]]+Ruimtestaat[[#This Row],[Prest. (m2 /jaar) werkdagen]]</f>
        <v>4320</v>
      </c>
      <c r="AG1073" s="79">
        <f>Ruimtestaat[[#This Row],[uren / jaar weekend]]+Ruimtestaat[[#This Row],[uren / jaar werkdagen]]</f>
        <v>0</v>
      </c>
      <c r="AH1073" s="80">
        <f>Ruimtestaat[[#This Row],[kosten / jaar weekend]]+Ruimtestaat[[#This Row],[kosten / jaar werkdagen]]</f>
        <v>0</v>
      </c>
    </row>
    <row r="1074" spans="1:34" ht="15" customHeight="1">
      <c r="A1074" s="256">
        <v>12</v>
      </c>
      <c r="B1074" s="171" t="str">
        <f>VLOOKUP(Ruimtestaat[[#This Row],[Code]],Locaties[#All],2,FALSE)</f>
        <v>Onderwijscentrum Het Roessingh &amp; De Huifkar</v>
      </c>
      <c r="C1074" s="258" t="str">
        <f>VLOOKUP(Ruimtestaat[[#This Row],[Code]],Locaties[#All],4,FALSE)</f>
        <v>Roessinghsbleekweg 35</v>
      </c>
      <c r="D1074" s="258" t="str">
        <f>VLOOKUP(Ruimtestaat[[#This Row],[Code]],Locaties[#All],5,FALSE)</f>
        <v>7522 AH</v>
      </c>
      <c r="E1074" s="258" t="str">
        <f>VLOOKUP(Ruimtestaat[[#This Row],[Code]],Locaties[#All],6,FALSE)</f>
        <v>Enschede</v>
      </c>
      <c r="F1074" s="257"/>
      <c r="G1074" s="257" t="s">
        <v>564</v>
      </c>
      <c r="H1074" s="171"/>
      <c r="I1074" s="257" t="s">
        <v>1045</v>
      </c>
      <c r="J1074" s="259" t="s">
        <v>585</v>
      </c>
      <c r="K1074" s="258">
        <v>20</v>
      </c>
      <c r="L1074" s="260" t="str">
        <f>VLOOKUP(Ruimtestaat[[#This Row],[Ruimte code]],Ruimtegroepen[#All],2,FALSE)</f>
        <v>Niet in onderhoud</v>
      </c>
      <c r="M1074" s="258" t="s">
        <v>598</v>
      </c>
      <c r="N1074" s="257" t="s">
        <v>1063</v>
      </c>
      <c r="O1074" s="261"/>
      <c r="P1074" s="183">
        <v>6</v>
      </c>
      <c r="Q1074" s="212" t="str">
        <f>VLOOKUP(Ruimtestaat[[#This Row],[Ruimte code]],Ruimtegroepen[#All],4,FALSE)</f>
        <v>niet in onderhoud</v>
      </c>
      <c r="R1074" s="184"/>
      <c r="S1074" s="185"/>
      <c r="T1074" s="185"/>
      <c r="U1074" s="185">
        <f>IF(S1074&gt;0,IF(RIGHT(Ruimtestaat[[#This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74" s="185">
        <f>IF(U1074&gt;0,VLOOKUP($K1074,Ruimtegroepen[],3,FALSE)*VLOOKUP($M1074,Vloersoorten[],3,FALSE)*VLOOKUP($T1074,Frequenties[],3,FALSE)*VLOOKUP($A1074,Locaties[],3,FALSE),0)</f>
        <v>0</v>
      </c>
      <c r="W1074" s="185">
        <f>Ruimtestaat[[#This Row],[Uitvoeringen werkdagen]]*Ruimtestaat[[#This Row],[Oppervlak (netto)]]</f>
        <v>0</v>
      </c>
      <c r="X1074" s="220">
        <f>IF(V1074&gt;0,Ruimtestaat[[#This Row],[Prest. (m2 /jaar) werkdagen]]/Ruimtestaat[[#This Row],[Norm (m2/uur) werkdagen]],0)</f>
        <v>0</v>
      </c>
      <c r="Y1074" s="221">
        <f>Ruimtestaat[[#This Row],[uren / jaar werkdagen]]*Tariefsopbouw!$D$38</f>
        <v>0</v>
      </c>
      <c r="Z1074" s="33"/>
      <c r="AA1074" s="33">
        <f>IF(Ruimtestaat[[#This Row],[Frequentie weekend]]&gt;0,VALUE(LEFT(Z1074,1))*S1074,0)</f>
        <v>0</v>
      </c>
      <c r="AB1074" s="33">
        <f>IF($AA1074&gt;0,VLOOKUP($K1074,Ruimtegroepen[],3,FALSE)*VLOOKUP($M1074,Vloersoorten[],3,FALSE)*VLOOKUP($Z1074,Frequenties[],3,FALSE)*VLOOKUP(#REF!,Locaties[],3,FALSE),0)</f>
        <v>0</v>
      </c>
      <c r="AC1074" s="33"/>
      <c r="AD1074" s="33"/>
      <c r="AE1074" s="33">
        <f>Ruimtestaat[[#This Row],[uren / jaar weekend]]*Tariefsopbouw!$D$40</f>
        <v>0</v>
      </c>
      <c r="AF1074" s="79">
        <f>Ruimtestaat[[#This Row],[Prest. (m2 /jaar) weekend]]+Ruimtestaat[[#This Row],[Prest. (m2 /jaar) werkdagen]]</f>
        <v>0</v>
      </c>
      <c r="AG1074" s="79">
        <f>Ruimtestaat[[#This Row],[uren / jaar weekend]]+Ruimtestaat[[#This Row],[uren / jaar werkdagen]]</f>
        <v>0</v>
      </c>
      <c r="AH1074" s="80">
        <f>Ruimtestaat[[#This Row],[kosten / jaar weekend]]+Ruimtestaat[[#This Row],[kosten / jaar werkdagen]]</f>
        <v>0</v>
      </c>
    </row>
    <row r="1075" spans="1:34" ht="15" customHeight="1">
      <c r="A1075" s="256">
        <v>12</v>
      </c>
      <c r="B1075" s="171" t="str">
        <f>VLOOKUP(Ruimtestaat[[#This Row],[Code]],Locaties[#All],2,FALSE)</f>
        <v>Onderwijscentrum Het Roessingh &amp; De Huifkar</v>
      </c>
      <c r="C1075" s="258" t="str">
        <f>VLOOKUP(Ruimtestaat[[#This Row],[Code]],Locaties[#All],4,FALSE)</f>
        <v>Roessinghsbleekweg 35</v>
      </c>
      <c r="D1075" s="258" t="str">
        <f>VLOOKUP(Ruimtestaat[[#This Row],[Code]],Locaties[#All],5,FALSE)</f>
        <v>7522 AH</v>
      </c>
      <c r="E1075" s="258" t="str">
        <f>VLOOKUP(Ruimtestaat[[#This Row],[Code]],Locaties[#All],6,FALSE)</f>
        <v>Enschede</v>
      </c>
      <c r="F1075" s="257"/>
      <c r="G1075" s="257" t="s">
        <v>564</v>
      </c>
      <c r="H1075" s="171"/>
      <c r="I1075" s="257">
        <v>1109</v>
      </c>
      <c r="J1075" s="259" t="s">
        <v>571</v>
      </c>
      <c r="K1075" s="171">
        <v>2</v>
      </c>
      <c r="L1075" s="260" t="str">
        <f>VLOOKUP(Ruimtestaat[[#This Row],[Ruimte code]],Ruimtegroepen[#All],2,FALSE)</f>
        <v>Kantoren</v>
      </c>
      <c r="M1075" s="212" t="s">
        <v>597</v>
      </c>
      <c r="N1075" s="257" t="s">
        <v>38</v>
      </c>
      <c r="O1075" s="261">
        <v>64</v>
      </c>
      <c r="P1075" s="183"/>
      <c r="Q1075" s="212" t="str">
        <f>VLOOKUP(Ruimtestaat[[#This Row],[Ruimte code]],Ruimtegroepen[#All],4,FALSE)</f>
        <v>B  (Bureauruimte)</v>
      </c>
      <c r="R1075" s="184"/>
      <c r="S1075" s="185">
        <v>40</v>
      </c>
      <c r="T1075" s="185" t="s">
        <v>2</v>
      </c>
      <c r="U1075" s="185">
        <f>IF(S1075&gt;0,IF(RIGHT(Ruimtestaat[[#This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5" s="185">
        <f>IF(U1075&gt;0,VLOOKUP($K1075,Ruimtegroepen[],3,FALSE)*VLOOKUP($M1075,Vloersoorten[],3,FALSE)*VLOOKUP($T1075,Frequenties[],3,FALSE)*VLOOKUP($A1075,Locaties[],3,FALSE),0)</f>
        <v>0</v>
      </c>
      <c r="W1075" s="185">
        <f>Ruimtestaat[[#This Row],[Uitvoeringen werkdagen]]*Ruimtestaat[[#This Row],[Oppervlak (netto)]]</f>
        <v>12800</v>
      </c>
      <c r="X1075" s="220">
        <f>IF(V1075&gt;0,Ruimtestaat[[#This Row],[Prest. (m2 /jaar) werkdagen]]/Ruimtestaat[[#This Row],[Norm (m2/uur) werkdagen]],0)</f>
        <v>0</v>
      </c>
      <c r="Y1075" s="221">
        <f>Ruimtestaat[[#This Row],[uren / jaar werkdagen]]*Tariefsopbouw!$D$38</f>
        <v>0</v>
      </c>
      <c r="Z1075" s="33"/>
      <c r="AA1075" s="33">
        <f>IF(Ruimtestaat[[#This Row],[Frequentie weekend]]&gt;0,VALUE(LEFT(Z1075,1))*S1075,0)</f>
        <v>0</v>
      </c>
      <c r="AB1075" s="33">
        <f>IF($AA1075&gt;0,VLOOKUP($K1075,Ruimtegroepen[],3,FALSE)*VLOOKUP($M1075,Vloersoorten[],3,FALSE)*VLOOKUP($Z1075,Frequenties[],3,FALSE)*VLOOKUP(#REF!,Locaties[],3,FALSE),0)</f>
        <v>0</v>
      </c>
      <c r="AC1075" s="33"/>
      <c r="AD1075" s="33"/>
      <c r="AE1075" s="33">
        <f>Ruimtestaat[[#This Row],[uren / jaar weekend]]*Tariefsopbouw!$D$40</f>
        <v>0</v>
      </c>
      <c r="AF1075" s="79">
        <f>Ruimtestaat[[#This Row],[Prest. (m2 /jaar) weekend]]+Ruimtestaat[[#This Row],[Prest. (m2 /jaar) werkdagen]]</f>
        <v>12800</v>
      </c>
      <c r="AG1075" s="79">
        <f>Ruimtestaat[[#This Row],[uren / jaar weekend]]+Ruimtestaat[[#This Row],[uren / jaar werkdagen]]</f>
        <v>0</v>
      </c>
      <c r="AH1075" s="80">
        <f>Ruimtestaat[[#This Row],[kosten / jaar weekend]]+Ruimtestaat[[#This Row],[kosten / jaar werkdagen]]</f>
        <v>0</v>
      </c>
    </row>
    <row r="1076" spans="1:34" ht="15" customHeight="1">
      <c r="A1076" s="256">
        <v>12</v>
      </c>
      <c r="B1076" s="171" t="str">
        <f>VLOOKUP(Ruimtestaat[[#This Row],[Code]],Locaties[#All],2,FALSE)</f>
        <v>Onderwijscentrum Het Roessingh &amp; De Huifkar</v>
      </c>
      <c r="C1076" s="258" t="str">
        <f>VLOOKUP(Ruimtestaat[[#This Row],[Code]],Locaties[#All],4,FALSE)</f>
        <v>Roessinghsbleekweg 35</v>
      </c>
      <c r="D1076" s="258" t="str">
        <f>VLOOKUP(Ruimtestaat[[#This Row],[Code]],Locaties[#All],5,FALSE)</f>
        <v>7522 AH</v>
      </c>
      <c r="E1076" s="258" t="str">
        <f>VLOOKUP(Ruimtestaat[[#This Row],[Code]],Locaties[#All],6,FALSE)</f>
        <v>Enschede</v>
      </c>
      <c r="F1076" s="257"/>
      <c r="G1076" s="257" t="s">
        <v>564</v>
      </c>
      <c r="H1076" s="171"/>
      <c r="I1076" s="257">
        <v>1121</v>
      </c>
      <c r="J1076" s="259" t="s">
        <v>576</v>
      </c>
      <c r="K1076" s="258">
        <v>16</v>
      </c>
      <c r="L1076" s="260" t="str">
        <f>VLOOKUP(Ruimtestaat[[#This Row],[Ruimte code]],Ruimtegroepen[#All],2,FALSE)</f>
        <v>Leslokalen</v>
      </c>
      <c r="M1076" s="258" t="s">
        <v>598</v>
      </c>
      <c r="N1076" s="257" t="s">
        <v>132</v>
      </c>
      <c r="O1076" s="261">
        <v>57</v>
      </c>
      <c r="P1076" s="183"/>
      <c r="Q1076" s="212" t="str">
        <f>VLOOKUP(Ruimtestaat[[#This Row],[Ruimte code]],Ruimtegroepen[#All],4,FALSE)</f>
        <v>L  (Lesruimte)</v>
      </c>
      <c r="R1076" s="184"/>
      <c r="S1076" s="185">
        <v>40</v>
      </c>
      <c r="T1076" s="185" t="s">
        <v>2</v>
      </c>
      <c r="U1076" s="185">
        <f>IF(S1076&gt;0,IF(RIGHT(Ruimtestaat[[#This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6" s="185">
        <f>IF(U1076&gt;0,VLOOKUP($K1076,Ruimtegroepen[],3,FALSE)*VLOOKUP($M1076,Vloersoorten[],3,FALSE)*VLOOKUP($T1076,Frequenties[],3,FALSE)*VLOOKUP($A1076,Locaties[],3,FALSE),0)</f>
        <v>0</v>
      </c>
      <c r="W1076" s="185">
        <f>Ruimtestaat[[#This Row],[Uitvoeringen werkdagen]]*Ruimtestaat[[#This Row],[Oppervlak (netto)]]</f>
        <v>11400</v>
      </c>
      <c r="X1076" s="220">
        <f>IF(V1076&gt;0,Ruimtestaat[[#This Row],[Prest. (m2 /jaar) werkdagen]]/Ruimtestaat[[#This Row],[Norm (m2/uur) werkdagen]],0)</f>
        <v>0</v>
      </c>
      <c r="Y1076" s="221">
        <f>Ruimtestaat[[#This Row],[uren / jaar werkdagen]]*Tariefsopbouw!$D$38</f>
        <v>0</v>
      </c>
      <c r="Z1076" s="33"/>
      <c r="AA1076" s="33">
        <f>IF(Ruimtestaat[[#This Row],[Frequentie weekend]]&gt;0,VALUE(LEFT(Z1076,1))*S1076,0)</f>
        <v>0</v>
      </c>
      <c r="AB1076" s="33">
        <f>IF($AA1076&gt;0,VLOOKUP($K1076,Ruimtegroepen[],3,FALSE)*VLOOKUP($M1076,Vloersoorten[],3,FALSE)*VLOOKUP($Z1076,Frequenties[],3,FALSE)*VLOOKUP(#REF!,Locaties[],3,FALSE),0)</f>
        <v>0</v>
      </c>
      <c r="AC1076" s="33"/>
      <c r="AD1076" s="33"/>
      <c r="AE1076" s="33">
        <f>Ruimtestaat[[#This Row],[uren / jaar weekend]]*Tariefsopbouw!$D$40</f>
        <v>0</v>
      </c>
      <c r="AF1076" s="79">
        <f>Ruimtestaat[[#This Row],[Prest. (m2 /jaar) weekend]]+Ruimtestaat[[#This Row],[Prest. (m2 /jaar) werkdagen]]</f>
        <v>11400</v>
      </c>
      <c r="AG1076" s="79">
        <f>Ruimtestaat[[#This Row],[uren / jaar weekend]]+Ruimtestaat[[#This Row],[uren / jaar werkdagen]]</f>
        <v>0</v>
      </c>
      <c r="AH1076" s="80">
        <f>Ruimtestaat[[#This Row],[kosten / jaar weekend]]+Ruimtestaat[[#This Row],[kosten / jaar werkdagen]]</f>
        <v>0</v>
      </c>
    </row>
    <row r="1077" spans="1:34" ht="15" customHeight="1">
      <c r="A1077" s="256">
        <v>12</v>
      </c>
      <c r="B1077" s="171" t="str">
        <f>VLOOKUP(Ruimtestaat[[#This Row],[Code]],Locaties[#All],2,FALSE)</f>
        <v>Onderwijscentrum Het Roessingh &amp; De Huifkar</v>
      </c>
      <c r="C1077" s="258" t="str">
        <f>VLOOKUP(Ruimtestaat[[#This Row],[Code]],Locaties[#All],4,FALSE)</f>
        <v>Roessinghsbleekweg 35</v>
      </c>
      <c r="D1077" s="258" t="str">
        <f>VLOOKUP(Ruimtestaat[[#This Row],[Code]],Locaties[#All],5,FALSE)</f>
        <v>7522 AH</v>
      </c>
      <c r="E1077" s="258" t="str">
        <f>VLOOKUP(Ruimtestaat[[#This Row],[Code]],Locaties[#All],6,FALSE)</f>
        <v>Enschede</v>
      </c>
      <c r="F1077" s="257"/>
      <c r="G1077" s="257" t="s">
        <v>564</v>
      </c>
      <c r="H1077" s="171"/>
      <c r="I1077" s="257">
        <v>1122</v>
      </c>
      <c r="J1077" s="259" t="s">
        <v>936</v>
      </c>
      <c r="K1077" s="171">
        <v>16</v>
      </c>
      <c r="L1077" s="260" t="str">
        <f>VLOOKUP(Ruimtestaat[[#This Row],[Ruimte code]],Ruimtegroepen[#All],2,FALSE)</f>
        <v>Leslokalen</v>
      </c>
      <c r="M1077" s="258" t="s">
        <v>598</v>
      </c>
      <c r="N1077" s="257" t="s">
        <v>132</v>
      </c>
      <c r="O1077" s="261">
        <v>31</v>
      </c>
      <c r="P1077" s="183"/>
      <c r="Q1077" s="212" t="str">
        <f>VLOOKUP(Ruimtestaat[[#This Row],[Ruimte code]],Ruimtegroepen[#All],4,FALSE)</f>
        <v>L  (Lesruimte)</v>
      </c>
      <c r="R1077" s="184"/>
      <c r="S1077" s="185">
        <v>40</v>
      </c>
      <c r="T1077" s="185" t="s">
        <v>2</v>
      </c>
      <c r="U1077" s="185">
        <f>IF(S1077&gt;0,IF(RIGHT(Ruimtestaat[[#This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7" s="185">
        <f>IF(U1077&gt;0,VLOOKUP($K1077,Ruimtegroepen[],3,FALSE)*VLOOKUP($M1077,Vloersoorten[],3,FALSE)*VLOOKUP($T1077,Frequenties[],3,FALSE)*VLOOKUP($A1077,Locaties[],3,FALSE),0)</f>
        <v>0</v>
      </c>
      <c r="W1077" s="185">
        <f>Ruimtestaat[[#This Row],[Uitvoeringen werkdagen]]*Ruimtestaat[[#This Row],[Oppervlak (netto)]]</f>
        <v>6200</v>
      </c>
      <c r="X1077" s="220">
        <f>IF(V1077&gt;0,Ruimtestaat[[#This Row],[Prest. (m2 /jaar) werkdagen]]/Ruimtestaat[[#This Row],[Norm (m2/uur) werkdagen]],0)</f>
        <v>0</v>
      </c>
      <c r="Y1077" s="221">
        <f>Ruimtestaat[[#This Row],[uren / jaar werkdagen]]*Tariefsopbouw!$D$38</f>
        <v>0</v>
      </c>
      <c r="Z1077" s="33"/>
      <c r="AA1077" s="33">
        <f>IF(Ruimtestaat[[#This Row],[Frequentie weekend]]&gt;0,VALUE(LEFT(Z1077,1))*S1077,0)</f>
        <v>0</v>
      </c>
      <c r="AB1077" s="33">
        <f>IF($AA1077&gt;0,VLOOKUP($K1077,Ruimtegroepen[],3,FALSE)*VLOOKUP($M1077,Vloersoorten[],3,FALSE)*VLOOKUP($Z1077,Frequenties[],3,FALSE)*VLOOKUP(#REF!,Locaties[],3,FALSE),0)</f>
        <v>0</v>
      </c>
      <c r="AC1077" s="33"/>
      <c r="AD1077" s="33"/>
      <c r="AE1077" s="33">
        <f>Ruimtestaat[[#This Row],[uren / jaar weekend]]*Tariefsopbouw!$D$40</f>
        <v>0</v>
      </c>
      <c r="AF1077" s="79">
        <f>Ruimtestaat[[#This Row],[Prest. (m2 /jaar) weekend]]+Ruimtestaat[[#This Row],[Prest. (m2 /jaar) werkdagen]]</f>
        <v>6200</v>
      </c>
      <c r="AG1077" s="79">
        <f>Ruimtestaat[[#This Row],[uren / jaar weekend]]+Ruimtestaat[[#This Row],[uren / jaar werkdagen]]</f>
        <v>0</v>
      </c>
      <c r="AH1077" s="80">
        <f>Ruimtestaat[[#This Row],[kosten / jaar weekend]]+Ruimtestaat[[#This Row],[kosten / jaar werkdagen]]</f>
        <v>0</v>
      </c>
    </row>
    <row r="1078" spans="1:34" ht="15" customHeight="1">
      <c r="A1078" s="256">
        <v>12</v>
      </c>
      <c r="B1078" s="171" t="str">
        <f>VLOOKUP(Ruimtestaat[[#This Row],[Code]],Locaties[#All],2,FALSE)</f>
        <v>Onderwijscentrum Het Roessingh &amp; De Huifkar</v>
      </c>
      <c r="C1078" s="258" t="str">
        <f>VLOOKUP(Ruimtestaat[[#This Row],[Code]],Locaties[#All],4,FALSE)</f>
        <v>Roessinghsbleekweg 35</v>
      </c>
      <c r="D1078" s="258" t="str">
        <f>VLOOKUP(Ruimtestaat[[#This Row],[Code]],Locaties[#All],5,FALSE)</f>
        <v>7522 AH</v>
      </c>
      <c r="E1078" s="258" t="str">
        <f>VLOOKUP(Ruimtestaat[[#This Row],[Code]],Locaties[#All],6,FALSE)</f>
        <v>Enschede</v>
      </c>
      <c r="F1078" s="257"/>
      <c r="G1078" s="257" t="s">
        <v>564</v>
      </c>
      <c r="H1078" s="171"/>
      <c r="I1078" s="257" t="s">
        <v>1046</v>
      </c>
      <c r="J1078" s="259" t="s">
        <v>574</v>
      </c>
      <c r="K1078" s="258">
        <v>6</v>
      </c>
      <c r="L1078" s="260" t="str">
        <f>VLOOKUP(Ruimtestaat[[#This Row],[Ruimte code]],Ruimtegroepen[#All],2,FALSE)</f>
        <v>Gangen/hallen</v>
      </c>
      <c r="M1078" s="185" t="s">
        <v>598</v>
      </c>
      <c r="N1078" s="257" t="s">
        <v>132</v>
      </c>
      <c r="O1078" s="261">
        <v>8</v>
      </c>
      <c r="P1078" s="183"/>
      <c r="Q1078" s="212" t="str">
        <f>VLOOKUP(Ruimtestaat[[#This Row],[Ruimte code]],Ruimtegroepen[#All],4,FALSE)</f>
        <v>V  (Verkeersruimte)</v>
      </c>
      <c r="R1078" s="184"/>
      <c r="S1078" s="185">
        <v>40</v>
      </c>
      <c r="T1078" s="185" t="s">
        <v>2</v>
      </c>
      <c r="U1078" s="185">
        <f>IF(S1078&gt;0,IF(RIGHT(Ruimtestaat[[#This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8" s="185">
        <f>IF(U1078&gt;0,VLOOKUP($K1078,Ruimtegroepen[],3,FALSE)*VLOOKUP($M1078,Vloersoorten[],3,FALSE)*VLOOKUP($T1078,Frequenties[],3,FALSE)*VLOOKUP($A1078,Locaties[],3,FALSE),0)</f>
        <v>0</v>
      </c>
      <c r="W1078" s="185">
        <f>Ruimtestaat[[#This Row],[Uitvoeringen werkdagen]]*Ruimtestaat[[#This Row],[Oppervlak (netto)]]</f>
        <v>1600</v>
      </c>
      <c r="X1078" s="220">
        <f>IF(V1078&gt;0,Ruimtestaat[[#This Row],[Prest. (m2 /jaar) werkdagen]]/Ruimtestaat[[#This Row],[Norm (m2/uur) werkdagen]],0)</f>
        <v>0</v>
      </c>
      <c r="Y1078" s="221">
        <f>Ruimtestaat[[#This Row],[uren / jaar werkdagen]]*Tariefsopbouw!$D$38</f>
        <v>0</v>
      </c>
      <c r="Z1078" s="33"/>
      <c r="AA1078" s="33">
        <f>IF(Ruimtestaat[[#This Row],[Frequentie weekend]]&gt;0,VALUE(LEFT(Z1078,1))*S1078,0)</f>
        <v>0</v>
      </c>
      <c r="AB1078" s="33">
        <f>IF($AA1078&gt;0,VLOOKUP($K1078,Ruimtegroepen[],3,FALSE)*VLOOKUP($M1078,Vloersoorten[],3,FALSE)*VLOOKUP($Z1078,Frequenties[],3,FALSE)*VLOOKUP(#REF!,Locaties[],3,FALSE),0)</f>
        <v>0</v>
      </c>
      <c r="AC1078" s="33"/>
      <c r="AD1078" s="33"/>
      <c r="AE1078" s="33">
        <f>Ruimtestaat[[#This Row],[uren / jaar weekend]]*Tariefsopbouw!$D$40</f>
        <v>0</v>
      </c>
      <c r="AF1078" s="79">
        <f>Ruimtestaat[[#This Row],[Prest. (m2 /jaar) weekend]]+Ruimtestaat[[#This Row],[Prest. (m2 /jaar) werkdagen]]</f>
        <v>1600</v>
      </c>
      <c r="AG1078" s="79">
        <f>Ruimtestaat[[#This Row],[uren / jaar weekend]]+Ruimtestaat[[#This Row],[uren / jaar werkdagen]]</f>
        <v>0</v>
      </c>
      <c r="AH1078" s="80">
        <f>Ruimtestaat[[#This Row],[kosten / jaar weekend]]+Ruimtestaat[[#This Row],[kosten / jaar werkdagen]]</f>
        <v>0</v>
      </c>
    </row>
    <row r="1079" spans="1:34" ht="15" customHeight="1">
      <c r="A1079" s="256">
        <v>12</v>
      </c>
      <c r="B1079" s="171" t="str">
        <f>VLOOKUP(Ruimtestaat[[#This Row],[Code]],Locaties[#All],2,FALSE)</f>
        <v>Onderwijscentrum Het Roessingh &amp; De Huifkar</v>
      </c>
      <c r="C1079" s="258" t="str">
        <f>VLOOKUP(Ruimtestaat[[#This Row],[Code]],Locaties[#All],4,FALSE)</f>
        <v>Roessinghsbleekweg 35</v>
      </c>
      <c r="D1079" s="258" t="str">
        <f>VLOOKUP(Ruimtestaat[[#This Row],[Code]],Locaties[#All],5,FALSE)</f>
        <v>7522 AH</v>
      </c>
      <c r="E1079" s="258" t="str">
        <f>VLOOKUP(Ruimtestaat[[#This Row],[Code]],Locaties[#All],6,FALSE)</f>
        <v>Enschede</v>
      </c>
      <c r="F1079" s="257"/>
      <c r="G1079" s="257" t="s">
        <v>564</v>
      </c>
      <c r="H1079" s="171"/>
      <c r="I1079" s="257">
        <v>1123</v>
      </c>
      <c r="J1079" s="259" t="s">
        <v>569</v>
      </c>
      <c r="K1079" s="258">
        <v>5</v>
      </c>
      <c r="L1079" s="260" t="str">
        <f>VLOOKUP(Ruimtestaat[[#This Row],[Ruimte code]],Ruimtegroepen[#All],2,FALSE)</f>
        <v>Sanitair</v>
      </c>
      <c r="M1079" s="212" t="s">
        <v>111</v>
      </c>
      <c r="N1079" s="257" t="s">
        <v>606</v>
      </c>
      <c r="O1079" s="261">
        <v>9.1999999999999993</v>
      </c>
      <c r="P1079" s="183"/>
      <c r="Q1079" s="212" t="str">
        <f>VLOOKUP(Ruimtestaat[[#This Row],[Ruimte code]],Ruimtegroepen[#All],4,FALSE)</f>
        <v>S  (Sanitair)</v>
      </c>
      <c r="R1079" s="184"/>
      <c r="S1079" s="185">
        <v>40</v>
      </c>
      <c r="T1079" s="185" t="s">
        <v>2</v>
      </c>
      <c r="U1079" s="185">
        <f>IF(S1079&gt;0,IF(RIGHT(Ruimtestaat[[#This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9" s="185">
        <f>IF(U1079&gt;0,VLOOKUP($K1079,Ruimtegroepen[],3,FALSE)*VLOOKUP($M1079,Vloersoorten[],3,FALSE)*VLOOKUP($T1079,Frequenties[],3,FALSE)*VLOOKUP($A1079,Locaties[],3,FALSE),0)</f>
        <v>0</v>
      </c>
      <c r="W1079" s="185">
        <f>Ruimtestaat[[#This Row],[Uitvoeringen werkdagen]]*Ruimtestaat[[#This Row],[Oppervlak (netto)]]</f>
        <v>1839.9999999999998</v>
      </c>
      <c r="X1079" s="220">
        <f>IF(V1079&gt;0,Ruimtestaat[[#This Row],[Prest. (m2 /jaar) werkdagen]]/Ruimtestaat[[#This Row],[Norm (m2/uur) werkdagen]],0)</f>
        <v>0</v>
      </c>
      <c r="Y1079" s="221">
        <f>Ruimtestaat[[#This Row],[uren / jaar werkdagen]]*Tariefsopbouw!$D$38</f>
        <v>0</v>
      </c>
      <c r="Z1079" s="33"/>
      <c r="AA1079" s="33">
        <f>IF(Ruimtestaat[[#This Row],[Frequentie weekend]]&gt;0,VALUE(LEFT(Z1079,1))*S1079,0)</f>
        <v>0</v>
      </c>
      <c r="AB1079" s="33">
        <f>IF($AA1079&gt;0,VLOOKUP($K1079,Ruimtegroepen[],3,FALSE)*VLOOKUP($M1079,Vloersoorten[],3,FALSE)*VLOOKUP($Z1079,Frequenties[],3,FALSE)*VLOOKUP(#REF!,Locaties[],3,FALSE),0)</f>
        <v>0</v>
      </c>
      <c r="AC1079" s="33"/>
      <c r="AD1079" s="33"/>
      <c r="AE1079" s="33">
        <f>Ruimtestaat[[#This Row],[uren / jaar weekend]]*Tariefsopbouw!$D$40</f>
        <v>0</v>
      </c>
      <c r="AF1079" s="79">
        <f>Ruimtestaat[[#This Row],[Prest. (m2 /jaar) weekend]]+Ruimtestaat[[#This Row],[Prest. (m2 /jaar) werkdagen]]</f>
        <v>1839.9999999999998</v>
      </c>
      <c r="AG1079" s="79">
        <f>Ruimtestaat[[#This Row],[uren / jaar weekend]]+Ruimtestaat[[#This Row],[uren / jaar werkdagen]]</f>
        <v>0</v>
      </c>
      <c r="AH1079" s="80">
        <f>Ruimtestaat[[#This Row],[kosten / jaar weekend]]+Ruimtestaat[[#This Row],[kosten / jaar werkdagen]]</f>
        <v>0</v>
      </c>
    </row>
    <row r="1080" spans="1:34" ht="15" customHeight="1">
      <c r="A1080" s="256">
        <v>12</v>
      </c>
      <c r="B1080" s="171" t="str">
        <f>VLOOKUP(Ruimtestaat[[#This Row],[Code]],Locaties[#All],2,FALSE)</f>
        <v>Onderwijscentrum Het Roessingh &amp; De Huifkar</v>
      </c>
      <c r="C1080" s="258" t="str">
        <f>VLOOKUP(Ruimtestaat[[#This Row],[Code]],Locaties[#All],4,FALSE)</f>
        <v>Roessinghsbleekweg 35</v>
      </c>
      <c r="D1080" s="258" t="str">
        <f>VLOOKUP(Ruimtestaat[[#This Row],[Code]],Locaties[#All],5,FALSE)</f>
        <v>7522 AH</v>
      </c>
      <c r="E1080" s="258" t="str">
        <f>VLOOKUP(Ruimtestaat[[#This Row],[Code]],Locaties[#All],6,FALSE)</f>
        <v>Enschede</v>
      </c>
      <c r="F1080" s="257"/>
      <c r="G1080" s="257" t="s">
        <v>564</v>
      </c>
      <c r="H1080" s="171"/>
      <c r="I1080" s="257">
        <v>1124</v>
      </c>
      <c r="J1080" s="259" t="s">
        <v>574</v>
      </c>
      <c r="K1080" s="258">
        <v>6</v>
      </c>
      <c r="L1080" s="260" t="str">
        <f>VLOOKUP(Ruimtestaat[[#This Row],[Ruimte code]],Ruimtegroepen[#All],2,FALSE)</f>
        <v>Gangen/hallen</v>
      </c>
      <c r="M1080" s="185" t="s">
        <v>598</v>
      </c>
      <c r="N1080" s="257" t="s">
        <v>132</v>
      </c>
      <c r="O1080" s="261">
        <v>29</v>
      </c>
      <c r="P1080" s="183"/>
      <c r="Q1080" s="212" t="str">
        <f>VLOOKUP(Ruimtestaat[[#This Row],[Ruimte code]],Ruimtegroepen[#All],4,FALSE)</f>
        <v>V  (Verkeersruimte)</v>
      </c>
      <c r="R1080" s="184"/>
      <c r="S1080" s="185">
        <v>40</v>
      </c>
      <c r="T1080" s="185" t="s">
        <v>2</v>
      </c>
      <c r="U1080" s="185">
        <f>IF(S1080&gt;0,IF(RIGHT(Ruimtestaat[[#This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0" s="185">
        <f>IF(U1080&gt;0,VLOOKUP($K1080,Ruimtegroepen[],3,FALSE)*VLOOKUP($M1080,Vloersoorten[],3,FALSE)*VLOOKUP($T1080,Frequenties[],3,FALSE)*VLOOKUP($A1080,Locaties[],3,FALSE),0)</f>
        <v>0</v>
      </c>
      <c r="W1080" s="185">
        <f>Ruimtestaat[[#This Row],[Uitvoeringen werkdagen]]*Ruimtestaat[[#This Row],[Oppervlak (netto)]]</f>
        <v>5800</v>
      </c>
      <c r="X1080" s="220">
        <f>IF(V1080&gt;0,Ruimtestaat[[#This Row],[Prest. (m2 /jaar) werkdagen]]/Ruimtestaat[[#This Row],[Norm (m2/uur) werkdagen]],0)</f>
        <v>0</v>
      </c>
      <c r="Y1080" s="221">
        <f>Ruimtestaat[[#This Row],[uren / jaar werkdagen]]*Tariefsopbouw!$D$38</f>
        <v>0</v>
      </c>
      <c r="Z1080" s="33"/>
      <c r="AA1080" s="33">
        <f>IF(Ruimtestaat[[#This Row],[Frequentie weekend]]&gt;0,VALUE(LEFT(Z1080,1))*S1080,0)</f>
        <v>0</v>
      </c>
      <c r="AB1080" s="33">
        <f>IF($AA1080&gt;0,VLOOKUP($K1080,Ruimtegroepen[],3,FALSE)*VLOOKUP($M1080,Vloersoorten[],3,FALSE)*VLOOKUP($Z1080,Frequenties[],3,FALSE)*VLOOKUP(#REF!,Locaties[],3,FALSE),0)</f>
        <v>0</v>
      </c>
      <c r="AC1080" s="33"/>
      <c r="AD1080" s="33"/>
      <c r="AE1080" s="33">
        <f>Ruimtestaat[[#This Row],[uren / jaar weekend]]*Tariefsopbouw!$D$40</f>
        <v>0</v>
      </c>
      <c r="AF1080" s="79">
        <f>Ruimtestaat[[#This Row],[Prest. (m2 /jaar) weekend]]+Ruimtestaat[[#This Row],[Prest. (m2 /jaar) werkdagen]]</f>
        <v>5800</v>
      </c>
      <c r="AG1080" s="79">
        <f>Ruimtestaat[[#This Row],[uren / jaar weekend]]+Ruimtestaat[[#This Row],[uren / jaar werkdagen]]</f>
        <v>0</v>
      </c>
      <c r="AH1080" s="80">
        <f>Ruimtestaat[[#This Row],[kosten / jaar weekend]]+Ruimtestaat[[#This Row],[kosten / jaar werkdagen]]</f>
        <v>0</v>
      </c>
    </row>
    <row r="1081" spans="1:34" ht="15" customHeight="1">
      <c r="A1081" s="256">
        <v>12</v>
      </c>
      <c r="B1081" s="171" t="str">
        <f>VLOOKUP(Ruimtestaat[[#This Row],[Code]],Locaties[#All],2,FALSE)</f>
        <v>Onderwijscentrum Het Roessingh &amp; De Huifkar</v>
      </c>
      <c r="C1081" s="258" t="str">
        <f>VLOOKUP(Ruimtestaat[[#This Row],[Code]],Locaties[#All],4,FALSE)</f>
        <v>Roessinghsbleekweg 35</v>
      </c>
      <c r="D1081" s="258" t="str">
        <f>VLOOKUP(Ruimtestaat[[#This Row],[Code]],Locaties[#All],5,FALSE)</f>
        <v>7522 AH</v>
      </c>
      <c r="E1081" s="258" t="str">
        <f>VLOOKUP(Ruimtestaat[[#This Row],[Code]],Locaties[#All],6,FALSE)</f>
        <v>Enschede</v>
      </c>
      <c r="F1081" s="257"/>
      <c r="G1081" s="257" t="s">
        <v>564</v>
      </c>
      <c r="H1081" s="171"/>
      <c r="I1081" s="257">
        <v>1125</v>
      </c>
      <c r="J1081" s="259" t="s">
        <v>770</v>
      </c>
      <c r="K1081" s="258">
        <v>5</v>
      </c>
      <c r="L1081" s="260" t="str">
        <f>VLOOKUP(Ruimtestaat[[#This Row],[Ruimte code]],Ruimtegroepen[#All],2,FALSE)</f>
        <v>Sanitair</v>
      </c>
      <c r="M1081" s="212" t="s">
        <v>111</v>
      </c>
      <c r="N1081" s="257" t="s">
        <v>606</v>
      </c>
      <c r="O1081" s="261">
        <v>20</v>
      </c>
      <c r="P1081" s="183"/>
      <c r="Q1081" s="212" t="str">
        <f>VLOOKUP(Ruimtestaat[[#This Row],[Ruimte code]],Ruimtegroepen[#All],4,FALSE)</f>
        <v>S  (Sanitair)</v>
      </c>
      <c r="R1081" s="184"/>
      <c r="S1081" s="185">
        <v>40</v>
      </c>
      <c r="T1081" s="185" t="s">
        <v>2</v>
      </c>
      <c r="U1081" s="185">
        <f>IF(S1081&gt;0,IF(RIGHT(Ruimtestaat[[#This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1" s="185">
        <f>IF(U1081&gt;0,VLOOKUP($K1081,Ruimtegroepen[],3,FALSE)*VLOOKUP($M1081,Vloersoorten[],3,FALSE)*VLOOKUP($T1081,Frequenties[],3,FALSE)*VLOOKUP($A1081,Locaties[],3,FALSE),0)</f>
        <v>0</v>
      </c>
      <c r="W1081" s="185">
        <f>Ruimtestaat[[#This Row],[Uitvoeringen werkdagen]]*Ruimtestaat[[#This Row],[Oppervlak (netto)]]</f>
        <v>4000</v>
      </c>
      <c r="X1081" s="220">
        <f>IF(V1081&gt;0,Ruimtestaat[[#This Row],[Prest. (m2 /jaar) werkdagen]]/Ruimtestaat[[#This Row],[Norm (m2/uur) werkdagen]],0)</f>
        <v>0</v>
      </c>
      <c r="Y1081" s="221">
        <f>Ruimtestaat[[#This Row],[uren / jaar werkdagen]]*Tariefsopbouw!$D$38</f>
        <v>0</v>
      </c>
      <c r="Z1081" s="33"/>
      <c r="AA1081" s="33">
        <f>IF(Ruimtestaat[[#This Row],[Frequentie weekend]]&gt;0,VALUE(LEFT(Z1081,1))*S1081,0)</f>
        <v>0</v>
      </c>
      <c r="AB1081" s="33">
        <f>IF($AA1081&gt;0,VLOOKUP($K1081,Ruimtegroepen[],3,FALSE)*VLOOKUP($M1081,Vloersoorten[],3,FALSE)*VLOOKUP($Z1081,Frequenties[],3,FALSE)*VLOOKUP(#REF!,Locaties[],3,FALSE),0)</f>
        <v>0</v>
      </c>
      <c r="AC1081" s="33"/>
      <c r="AD1081" s="33"/>
      <c r="AE1081" s="33">
        <f>Ruimtestaat[[#This Row],[uren / jaar weekend]]*Tariefsopbouw!$D$40</f>
        <v>0</v>
      </c>
      <c r="AF1081" s="79">
        <f>Ruimtestaat[[#This Row],[Prest. (m2 /jaar) weekend]]+Ruimtestaat[[#This Row],[Prest. (m2 /jaar) werkdagen]]</f>
        <v>4000</v>
      </c>
      <c r="AG1081" s="79">
        <f>Ruimtestaat[[#This Row],[uren / jaar weekend]]+Ruimtestaat[[#This Row],[uren / jaar werkdagen]]</f>
        <v>0</v>
      </c>
      <c r="AH1081" s="80">
        <f>Ruimtestaat[[#This Row],[kosten / jaar weekend]]+Ruimtestaat[[#This Row],[kosten / jaar werkdagen]]</f>
        <v>0</v>
      </c>
    </row>
    <row r="1082" spans="1:34" ht="15" customHeight="1">
      <c r="A1082" s="256">
        <v>12</v>
      </c>
      <c r="B1082" s="171" t="str">
        <f>VLOOKUP(Ruimtestaat[[#This Row],[Code]],Locaties[#All],2,FALSE)</f>
        <v>Onderwijscentrum Het Roessingh &amp; De Huifkar</v>
      </c>
      <c r="C1082" s="258" t="str">
        <f>VLOOKUP(Ruimtestaat[[#This Row],[Code]],Locaties[#All],4,FALSE)</f>
        <v>Roessinghsbleekweg 35</v>
      </c>
      <c r="D1082" s="258" t="str">
        <f>VLOOKUP(Ruimtestaat[[#This Row],[Code]],Locaties[#All],5,FALSE)</f>
        <v>7522 AH</v>
      </c>
      <c r="E1082" s="258" t="str">
        <f>VLOOKUP(Ruimtestaat[[#This Row],[Code]],Locaties[#All],6,FALSE)</f>
        <v>Enschede</v>
      </c>
      <c r="F1082" s="257"/>
      <c r="G1082" s="257" t="s">
        <v>564</v>
      </c>
      <c r="H1082" s="171"/>
      <c r="I1082" s="257" t="s">
        <v>1047</v>
      </c>
      <c r="J1082" s="259" t="s">
        <v>22</v>
      </c>
      <c r="K1082" s="258">
        <v>5</v>
      </c>
      <c r="L1082" s="260" t="str">
        <f>VLOOKUP(Ruimtestaat[[#This Row],[Ruimte code]],Ruimtegroepen[#All],2,FALSE)</f>
        <v>Sanitair</v>
      </c>
      <c r="M1082" s="212" t="s">
        <v>111</v>
      </c>
      <c r="N1082" s="257" t="s">
        <v>606</v>
      </c>
      <c r="O1082" s="261">
        <v>5</v>
      </c>
      <c r="P1082" s="183"/>
      <c r="Q1082" s="212" t="str">
        <f>VLOOKUP(Ruimtestaat[[#This Row],[Ruimte code]],Ruimtegroepen[#All],4,FALSE)</f>
        <v>S  (Sanitair)</v>
      </c>
      <c r="R1082" s="184"/>
      <c r="S1082" s="185">
        <v>40</v>
      </c>
      <c r="T1082" s="185" t="s">
        <v>2</v>
      </c>
      <c r="U1082" s="185">
        <f>IF(S1082&gt;0,IF(RIGHT(Ruimtestaat[[#This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2" s="185">
        <f>IF(U1082&gt;0,VLOOKUP($K1082,Ruimtegroepen[],3,FALSE)*VLOOKUP($M1082,Vloersoorten[],3,FALSE)*VLOOKUP($T1082,Frequenties[],3,FALSE)*VLOOKUP($A1082,Locaties[],3,FALSE),0)</f>
        <v>0</v>
      </c>
      <c r="W1082" s="185">
        <f>Ruimtestaat[[#This Row],[Uitvoeringen werkdagen]]*Ruimtestaat[[#This Row],[Oppervlak (netto)]]</f>
        <v>1000</v>
      </c>
      <c r="X1082" s="220">
        <f>IF(V1082&gt;0,Ruimtestaat[[#This Row],[Prest. (m2 /jaar) werkdagen]]/Ruimtestaat[[#This Row],[Norm (m2/uur) werkdagen]],0)</f>
        <v>0</v>
      </c>
      <c r="Y1082" s="221">
        <f>Ruimtestaat[[#This Row],[uren / jaar werkdagen]]*Tariefsopbouw!$D$38</f>
        <v>0</v>
      </c>
      <c r="Z1082" s="33"/>
      <c r="AA1082" s="33">
        <f>IF(Ruimtestaat[[#This Row],[Frequentie weekend]]&gt;0,VALUE(LEFT(Z1082,1))*S1082,0)</f>
        <v>0</v>
      </c>
      <c r="AB1082" s="33">
        <f>IF($AA1082&gt;0,VLOOKUP($K1082,Ruimtegroepen[],3,FALSE)*VLOOKUP($M1082,Vloersoorten[],3,FALSE)*VLOOKUP($Z1082,Frequenties[],3,FALSE)*VLOOKUP(#REF!,Locaties[],3,FALSE),0)</f>
        <v>0</v>
      </c>
      <c r="AC1082" s="33"/>
      <c r="AD1082" s="33"/>
      <c r="AE1082" s="33">
        <f>Ruimtestaat[[#This Row],[uren / jaar weekend]]*Tariefsopbouw!$D$40</f>
        <v>0</v>
      </c>
      <c r="AF1082" s="79">
        <f>Ruimtestaat[[#This Row],[Prest. (m2 /jaar) weekend]]+Ruimtestaat[[#This Row],[Prest. (m2 /jaar) werkdagen]]</f>
        <v>1000</v>
      </c>
      <c r="AG1082" s="79">
        <f>Ruimtestaat[[#This Row],[uren / jaar weekend]]+Ruimtestaat[[#This Row],[uren / jaar werkdagen]]</f>
        <v>0</v>
      </c>
      <c r="AH1082" s="80">
        <f>Ruimtestaat[[#This Row],[kosten / jaar weekend]]+Ruimtestaat[[#This Row],[kosten / jaar werkdagen]]</f>
        <v>0</v>
      </c>
    </row>
    <row r="1083" spans="1:34" ht="15" customHeight="1">
      <c r="A1083" s="256">
        <v>12</v>
      </c>
      <c r="B1083" s="171" t="str">
        <f>VLOOKUP(Ruimtestaat[[#This Row],[Code]],Locaties[#All],2,FALSE)</f>
        <v>Onderwijscentrum Het Roessingh &amp; De Huifkar</v>
      </c>
      <c r="C1083" s="258" t="str">
        <f>VLOOKUP(Ruimtestaat[[#This Row],[Code]],Locaties[#All],4,FALSE)</f>
        <v>Roessinghsbleekweg 35</v>
      </c>
      <c r="D1083" s="258" t="str">
        <f>VLOOKUP(Ruimtestaat[[#This Row],[Code]],Locaties[#All],5,FALSE)</f>
        <v>7522 AH</v>
      </c>
      <c r="E1083" s="258" t="str">
        <f>VLOOKUP(Ruimtestaat[[#This Row],[Code]],Locaties[#All],6,FALSE)</f>
        <v>Enschede</v>
      </c>
      <c r="F1083" s="257"/>
      <c r="G1083" s="257" t="s">
        <v>564</v>
      </c>
      <c r="H1083" s="171"/>
      <c r="I1083" s="257">
        <v>1126</v>
      </c>
      <c r="J1083" s="259" t="s">
        <v>571</v>
      </c>
      <c r="K1083" s="171">
        <v>2</v>
      </c>
      <c r="L1083" s="260" t="str">
        <f>VLOOKUP(Ruimtestaat[[#This Row],[Ruimte code]],Ruimtegroepen[#All],2,FALSE)</f>
        <v>Kantoren</v>
      </c>
      <c r="M1083" s="258" t="s">
        <v>598</v>
      </c>
      <c r="N1083" s="257" t="s">
        <v>132</v>
      </c>
      <c r="O1083" s="261">
        <v>20</v>
      </c>
      <c r="P1083" s="183"/>
      <c r="Q1083" s="212" t="str">
        <f>VLOOKUP(Ruimtestaat[[#This Row],[Ruimte code]],Ruimtegroepen[#All],4,FALSE)</f>
        <v>B  (Bureauruimte)</v>
      </c>
      <c r="R1083" s="184"/>
      <c r="S1083" s="185">
        <v>40</v>
      </c>
      <c r="T1083" s="185" t="s">
        <v>2</v>
      </c>
      <c r="U1083" s="185">
        <f>IF(S1083&gt;0,IF(RIGHT(Ruimtestaat[[#This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3" s="185">
        <f>IF(U1083&gt;0,VLOOKUP($K1083,Ruimtegroepen[],3,FALSE)*VLOOKUP($M1083,Vloersoorten[],3,FALSE)*VLOOKUP($T1083,Frequenties[],3,FALSE)*VLOOKUP($A1083,Locaties[],3,FALSE),0)</f>
        <v>0</v>
      </c>
      <c r="W1083" s="185">
        <f>Ruimtestaat[[#This Row],[Uitvoeringen werkdagen]]*Ruimtestaat[[#This Row],[Oppervlak (netto)]]</f>
        <v>4000</v>
      </c>
      <c r="X1083" s="220">
        <f>IF(V1083&gt;0,Ruimtestaat[[#This Row],[Prest. (m2 /jaar) werkdagen]]/Ruimtestaat[[#This Row],[Norm (m2/uur) werkdagen]],0)</f>
        <v>0</v>
      </c>
      <c r="Y1083" s="221">
        <f>Ruimtestaat[[#This Row],[uren / jaar werkdagen]]*Tariefsopbouw!$D$38</f>
        <v>0</v>
      </c>
      <c r="Z1083" s="33"/>
      <c r="AA1083" s="33">
        <f>IF(Ruimtestaat[[#This Row],[Frequentie weekend]]&gt;0,VALUE(LEFT(Z1083,1))*S1083,0)</f>
        <v>0</v>
      </c>
      <c r="AB1083" s="33">
        <f>IF($AA1083&gt;0,VLOOKUP($K1083,Ruimtegroepen[],3,FALSE)*VLOOKUP($M1083,Vloersoorten[],3,FALSE)*VLOOKUP($Z1083,Frequenties[],3,FALSE)*VLOOKUP(#REF!,Locaties[],3,FALSE),0)</f>
        <v>0</v>
      </c>
      <c r="AC1083" s="33"/>
      <c r="AD1083" s="33"/>
      <c r="AE1083" s="33">
        <f>Ruimtestaat[[#This Row],[uren / jaar weekend]]*Tariefsopbouw!$D$40</f>
        <v>0</v>
      </c>
      <c r="AF1083" s="79">
        <f>Ruimtestaat[[#This Row],[Prest. (m2 /jaar) weekend]]+Ruimtestaat[[#This Row],[Prest. (m2 /jaar) werkdagen]]</f>
        <v>4000</v>
      </c>
      <c r="AG1083" s="79">
        <f>Ruimtestaat[[#This Row],[uren / jaar weekend]]+Ruimtestaat[[#This Row],[uren / jaar werkdagen]]</f>
        <v>0</v>
      </c>
      <c r="AH1083" s="80">
        <f>Ruimtestaat[[#This Row],[kosten / jaar weekend]]+Ruimtestaat[[#This Row],[kosten / jaar werkdagen]]</f>
        <v>0</v>
      </c>
    </row>
    <row r="1084" spans="1:34" ht="15" customHeight="1">
      <c r="A1084" s="256">
        <v>12</v>
      </c>
      <c r="B1084" s="171" t="str">
        <f>VLOOKUP(Ruimtestaat[[#This Row],[Code]],Locaties[#All],2,FALSE)</f>
        <v>Onderwijscentrum Het Roessingh &amp; De Huifkar</v>
      </c>
      <c r="C1084" s="258" t="str">
        <f>VLOOKUP(Ruimtestaat[[#This Row],[Code]],Locaties[#All],4,FALSE)</f>
        <v>Roessinghsbleekweg 35</v>
      </c>
      <c r="D1084" s="258" t="str">
        <f>VLOOKUP(Ruimtestaat[[#This Row],[Code]],Locaties[#All],5,FALSE)</f>
        <v>7522 AH</v>
      </c>
      <c r="E1084" s="258" t="str">
        <f>VLOOKUP(Ruimtestaat[[#This Row],[Code]],Locaties[#All],6,FALSE)</f>
        <v>Enschede</v>
      </c>
      <c r="F1084" s="171" t="s">
        <v>1289</v>
      </c>
      <c r="G1084" s="171" t="s">
        <v>563</v>
      </c>
      <c r="H1084" s="171"/>
      <c r="I1084" s="257"/>
      <c r="J1084" s="259" t="s">
        <v>1048</v>
      </c>
      <c r="K1084" s="258">
        <v>18</v>
      </c>
      <c r="L1084" s="260" t="str">
        <f>VLOOKUP(Ruimtestaat[[#This Row],[Ruimte code]],Ruimtegroepen[#All],2,FALSE)</f>
        <v>Gymzaal</v>
      </c>
      <c r="M1084" s="185" t="s">
        <v>112</v>
      </c>
      <c r="N1084" s="257" t="s">
        <v>596</v>
      </c>
      <c r="O1084" s="261">
        <v>450</v>
      </c>
      <c r="P1084" s="183"/>
      <c r="Q1084" s="212" t="str">
        <f>VLOOKUP(Ruimtestaat[[#This Row],[Ruimte code]],Ruimtegroepen[#All],4,FALSE)</f>
        <v>Sp  (Sportruimte)</v>
      </c>
      <c r="R1084" s="184"/>
      <c r="S1084" s="185">
        <v>40</v>
      </c>
      <c r="T1084" s="185" t="s">
        <v>2</v>
      </c>
      <c r="U1084" s="185">
        <f>IF(S1084&gt;0,IF(RIGHT(Ruimtestaat[[#This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4" s="185">
        <f>IF(U1084&gt;0,VLOOKUP($K1084,Ruimtegroepen[],3,FALSE)*VLOOKUP($M1084,Vloersoorten[],3,FALSE)*VLOOKUP($T1084,Frequenties[],3,FALSE)*VLOOKUP($A1084,Locaties[],3,FALSE),0)</f>
        <v>0</v>
      </c>
      <c r="W1084" s="185">
        <f>Ruimtestaat[[#This Row],[Uitvoeringen werkdagen]]*Ruimtestaat[[#This Row],[Oppervlak (netto)]]</f>
        <v>90000</v>
      </c>
      <c r="X1084" s="220">
        <f>IF(V1084&gt;0,Ruimtestaat[[#This Row],[Prest. (m2 /jaar) werkdagen]]/Ruimtestaat[[#This Row],[Norm (m2/uur) werkdagen]],0)</f>
        <v>0</v>
      </c>
      <c r="Y1084" s="221">
        <f>Ruimtestaat[[#This Row],[uren / jaar werkdagen]]*Tariefsopbouw!$D$38</f>
        <v>0</v>
      </c>
      <c r="Z1084" s="33"/>
      <c r="AA1084" s="33">
        <f>IF(Ruimtestaat[[#This Row],[Frequentie weekend]]&gt;0,VALUE(LEFT(Z1084,1))*S1084,0)</f>
        <v>0</v>
      </c>
      <c r="AB1084" s="33">
        <f>IF($AA1084&gt;0,VLOOKUP($K1084,Ruimtegroepen[],3,FALSE)*VLOOKUP($M1084,Vloersoorten[],3,FALSE)*VLOOKUP($Z1084,Frequenties[],3,FALSE)*VLOOKUP(#REF!,Locaties[],3,FALSE),0)</f>
        <v>0</v>
      </c>
      <c r="AC1084" s="33"/>
      <c r="AD1084" s="33"/>
      <c r="AE1084" s="33">
        <f>Ruimtestaat[[#This Row],[uren / jaar weekend]]*Tariefsopbouw!$D$40</f>
        <v>0</v>
      </c>
      <c r="AF1084" s="79">
        <f>Ruimtestaat[[#This Row],[Prest. (m2 /jaar) weekend]]+Ruimtestaat[[#This Row],[Prest. (m2 /jaar) werkdagen]]</f>
        <v>90000</v>
      </c>
      <c r="AG1084" s="79">
        <f>Ruimtestaat[[#This Row],[uren / jaar weekend]]+Ruimtestaat[[#This Row],[uren / jaar werkdagen]]</f>
        <v>0</v>
      </c>
      <c r="AH1084" s="80">
        <f>Ruimtestaat[[#This Row],[kosten / jaar weekend]]+Ruimtestaat[[#This Row],[kosten / jaar werkdagen]]</f>
        <v>0</v>
      </c>
    </row>
    <row r="1085" spans="1:34" ht="15" customHeight="1">
      <c r="A1085" s="256">
        <v>12</v>
      </c>
      <c r="B1085" s="171" t="str">
        <f>VLOOKUP(Ruimtestaat[[#This Row],[Code]],Locaties[#All],2,FALSE)</f>
        <v>Onderwijscentrum Het Roessingh &amp; De Huifkar</v>
      </c>
      <c r="C1085" s="258" t="str">
        <f>VLOOKUP(Ruimtestaat[[#This Row],[Code]],Locaties[#All],4,FALSE)</f>
        <v>Roessinghsbleekweg 35</v>
      </c>
      <c r="D1085" s="258" t="str">
        <f>VLOOKUP(Ruimtestaat[[#This Row],[Code]],Locaties[#All],5,FALSE)</f>
        <v>7522 AH</v>
      </c>
      <c r="E1085" s="258" t="str">
        <f>VLOOKUP(Ruimtestaat[[#This Row],[Code]],Locaties[#All],6,FALSE)</f>
        <v>Enschede</v>
      </c>
      <c r="F1085" s="257"/>
      <c r="G1085" s="171" t="s">
        <v>563</v>
      </c>
      <c r="H1085" s="171"/>
      <c r="I1085" s="257" t="s">
        <v>1049</v>
      </c>
      <c r="J1085" s="259" t="s">
        <v>1050</v>
      </c>
      <c r="K1085" s="258">
        <v>5</v>
      </c>
      <c r="L1085" s="260" t="str">
        <f>VLOOKUP(Ruimtestaat[[#This Row],[Ruimte code]],Ruimtegroepen[#All],2,FALSE)</f>
        <v>Sanitair</v>
      </c>
      <c r="M1085" s="212" t="s">
        <v>111</v>
      </c>
      <c r="N1085" s="257" t="s">
        <v>605</v>
      </c>
      <c r="O1085" s="261">
        <v>1.2</v>
      </c>
      <c r="P1085" s="183"/>
      <c r="Q1085" s="212" t="str">
        <f>VLOOKUP(Ruimtestaat[[#This Row],[Ruimte code]],Ruimtegroepen[#All],4,FALSE)</f>
        <v>S  (Sanitair)</v>
      </c>
      <c r="R1085" s="184"/>
      <c r="S1085" s="185">
        <v>40</v>
      </c>
      <c r="T1085" s="185" t="s">
        <v>2</v>
      </c>
      <c r="U1085" s="185">
        <f>IF(S1085&gt;0,IF(RIGHT(Ruimtestaat[[#This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5" s="185">
        <f>IF(U1085&gt;0,VLOOKUP($K1085,Ruimtegroepen[],3,FALSE)*VLOOKUP($M1085,Vloersoorten[],3,FALSE)*VLOOKUP($T1085,Frequenties[],3,FALSE)*VLOOKUP($A1085,Locaties[],3,FALSE),0)</f>
        <v>0</v>
      </c>
      <c r="W1085" s="185">
        <f>Ruimtestaat[[#This Row],[Uitvoeringen werkdagen]]*Ruimtestaat[[#This Row],[Oppervlak (netto)]]</f>
        <v>240</v>
      </c>
      <c r="X1085" s="220">
        <f>IF(V1085&gt;0,Ruimtestaat[[#This Row],[Prest. (m2 /jaar) werkdagen]]/Ruimtestaat[[#This Row],[Norm (m2/uur) werkdagen]],0)</f>
        <v>0</v>
      </c>
      <c r="Y1085" s="221">
        <f>Ruimtestaat[[#This Row],[uren / jaar werkdagen]]*Tariefsopbouw!$D$38</f>
        <v>0</v>
      </c>
      <c r="Z1085" s="33"/>
      <c r="AA1085" s="33">
        <f>IF(Ruimtestaat[[#This Row],[Frequentie weekend]]&gt;0,VALUE(LEFT(Z1085,1))*S1085,0)</f>
        <v>0</v>
      </c>
      <c r="AB1085" s="33">
        <f>IF($AA1085&gt;0,VLOOKUP($K1085,Ruimtegroepen[],3,FALSE)*VLOOKUP($M1085,Vloersoorten[],3,FALSE)*VLOOKUP($Z1085,Frequenties[],3,FALSE)*VLOOKUP(#REF!,Locaties[],3,FALSE),0)</f>
        <v>0</v>
      </c>
      <c r="AC1085" s="33"/>
      <c r="AD1085" s="33"/>
      <c r="AE1085" s="33">
        <f>Ruimtestaat[[#This Row],[uren / jaar weekend]]*Tariefsopbouw!$D$40</f>
        <v>0</v>
      </c>
      <c r="AF1085" s="79">
        <f>Ruimtestaat[[#This Row],[Prest. (m2 /jaar) weekend]]+Ruimtestaat[[#This Row],[Prest. (m2 /jaar) werkdagen]]</f>
        <v>240</v>
      </c>
      <c r="AG1085" s="79">
        <f>Ruimtestaat[[#This Row],[uren / jaar weekend]]+Ruimtestaat[[#This Row],[uren / jaar werkdagen]]</f>
        <v>0</v>
      </c>
      <c r="AH1085" s="80">
        <f>Ruimtestaat[[#This Row],[kosten / jaar weekend]]+Ruimtestaat[[#This Row],[kosten / jaar werkdagen]]</f>
        <v>0</v>
      </c>
    </row>
    <row r="1086" spans="1:34" ht="15" customHeight="1">
      <c r="A1086" s="256">
        <v>12</v>
      </c>
      <c r="B1086" s="171" t="str">
        <f>VLOOKUP(Ruimtestaat[[#This Row],[Code]],Locaties[#All],2,FALSE)</f>
        <v>Onderwijscentrum Het Roessingh &amp; De Huifkar</v>
      </c>
      <c r="C1086" s="258" t="str">
        <f>VLOOKUP(Ruimtestaat[[#This Row],[Code]],Locaties[#All],4,FALSE)</f>
        <v>Roessinghsbleekweg 35</v>
      </c>
      <c r="D1086" s="258" t="str">
        <f>VLOOKUP(Ruimtestaat[[#This Row],[Code]],Locaties[#All],5,FALSE)</f>
        <v>7522 AH</v>
      </c>
      <c r="E1086" s="258" t="str">
        <f>VLOOKUP(Ruimtestaat[[#This Row],[Code]],Locaties[#All],6,FALSE)</f>
        <v>Enschede</v>
      </c>
      <c r="F1086" s="257"/>
      <c r="G1086" s="171" t="s">
        <v>563</v>
      </c>
      <c r="H1086" s="171"/>
      <c r="I1086" s="257" t="s">
        <v>1051</v>
      </c>
      <c r="J1086" s="259" t="s">
        <v>1052</v>
      </c>
      <c r="K1086" s="171">
        <v>5</v>
      </c>
      <c r="L1086" s="260" t="str">
        <f>VLOOKUP(Ruimtestaat[[#This Row],[Ruimte code]],Ruimtegroepen[#All],2,FALSE)</f>
        <v>Sanitair</v>
      </c>
      <c r="M1086" s="212" t="s">
        <v>111</v>
      </c>
      <c r="N1086" s="257" t="s">
        <v>605</v>
      </c>
      <c r="O1086" s="261">
        <v>7.4</v>
      </c>
      <c r="P1086" s="183"/>
      <c r="Q1086" s="212" t="str">
        <f>VLOOKUP(Ruimtestaat[[#This Row],[Ruimte code]],Ruimtegroepen[#All],4,FALSE)</f>
        <v>S  (Sanitair)</v>
      </c>
      <c r="R1086" s="184"/>
      <c r="S1086" s="185">
        <v>40</v>
      </c>
      <c r="T1086" s="185" t="s">
        <v>2</v>
      </c>
      <c r="U1086" s="185">
        <f>IF(S1086&gt;0,IF(RIGHT(Ruimtestaat[[#This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6" s="185">
        <f>IF(U1086&gt;0,VLOOKUP($K1086,Ruimtegroepen[],3,FALSE)*VLOOKUP($M1086,Vloersoorten[],3,FALSE)*VLOOKUP($T1086,Frequenties[],3,FALSE)*VLOOKUP($A1086,Locaties[],3,FALSE),0)</f>
        <v>0</v>
      </c>
      <c r="W1086" s="185">
        <f>Ruimtestaat[[#This Row],[Uitvoeringen werkdagen]]*Ruimtestaat[[#This Row],[Oppervlak (netto)]]</f>
        <v>1480</v>
      </c>
      <c r="X1086" s="220">
        <f>IF(V1086&gt;0,Ruimtestaat[[#This Row],[Prest. (m2 /jaar) werkdagen]]/Ruimtestaat[[#This Row],[Norm (m2/uur) werkdagen]],0)</f>
        <v>0</v>
      </c>
      <c r="Y1086" s="221">
        <f>Ruimtestaat[[#This Row],[uren / jaar werkdagen]]*Tariefsopbouw!$D$38</f>
        <v>0</v>
      </c>
      <c r="Z1086" s="33"/>
      <c r="AA1086" s="33">
        <f>IF(Ruimtestaat[[#This Row],[Frequentie weekend]]&gt;0,VALUE(LEFT(Z1086,1))*S1086,0)</f>
        <v>0</v>
      </c>
      <c r="AB1086" s="33">
        <f>IF($AA1086&gt;0,VLOOKUP($K1086,Ruimtegroepen[],3,FALSE)*VLOOKUP($M1086,Vloersoorten[],3,FALSE)*VLOOKUP($Z1086,Frequenties[],3,FALSE)*VLOOKUP(#REF!,Locaties[],3,FALSE),0)</f>
        <v>0</v>
      </c>
      <c r="AC1086" s="33"/>
      <c r="AD1086" s="33"/>
      <c r="AE1086" s="33">
        <f>Ruimtestaat[[#This Row],[uren / jaar weekend]]*Tariefsopbouw!$D$40</f>
        <v>0</v>
      </c>
      <c r="AF1086" s="79">
        <f>Ruimtestaat[[#This Row],[Prest. (m2 /jaar) weekend]]+Ruimtestaat[[#This Row],[Prest. (m2 /jaar) werkdagen]]</f>
        <v>1480</v>
      </c>
      <c r="AG1086" s="79">
        <f>Ruimtestaat[[#This Row],[uren / jaar weekend]]+Ruimtestaat[[#This Row],[uren / jaar werkdagen]]</f>
        <v>0</v>
      </c>
      <c r="AH1086" s="80">
        <f>Ruimtestaat[[#This Row],[kosten / jaar weekend]]+Ruimtestaat[[#This Row],[kosten / jaar werkdagen]]</f>
        <v>0</v>
      </c>
    </row>
    <row r="1087" spans="1:34" ht="15" customHeight="1">
      <c r="A1087" s="256">
        <v>12</v>
      </c>
      <c r="B1087" s="171" t="str">
        <f>VLOOKUP(Ruimtestaat[[#This Row],[Code]],Locaties[#All],2,FALSE)</f>
        <v>Onderwijscentrum Het Roessingh &amp; De Huifkar</v>
      </c>
      <c r="C1087" s="258" t="str">
        <f>VLOOKUP(Ruimtestaat[[#This Row],[Code]],Locaties[#All],4,FALSE)</f>
        <v>Roessinghsbleekweg 35</v>
      </c>
      <c r="D1087" s="258" t="str">
        <f>VLOOKUP(Ruimtestaat[[#This Row],[Code]],Locaties[#All],5,FALSE)</f>
        <v>7522 AH</v>
      </c>
      <c r="E1087" s="258" t="str">
        <f>VLOOKUP(Ruimtestaat[[#This Row],[Code]],Locaties[#All],6,FALSE)</f>
        <v>Enschede</v>
      </c>
      <c r="F1087" s="257"/>
      <c r="G1087" s="171" t="s">
        <v>563</v>
      </c>
      <c r="H1087" s="171"/>
      <c r="I1087" s="257" t="s">
        <v>1053</v>
      </c>
      <c r="J1087" s="259" t="s">
        <v>1054</v>
      </c>
      <c r="K1087" s="171">
        <v>5</v>
      </c>
      <c r="L1087" s="260" t="str">
        <f>VLOOKUP(Ruimtestaat[[#This Row],[Ruimte code]],Ruimtegroepen[#All],2,FALSE)</f>
        <v>Sanitair</v>
      </c>
      <c r="M1087" s="212" t="s">
        <v>111</v>
      </c>
      <c r="N1087" s="257" t="s">
        <v>605</v>
      </c>
      <c r="O1087" s="261">
        <v>3.9</v>
      </c>
      <c r="P1087" s="183"/>
      <c r="Q1087" s="212" t="str">
        <f>VLOOKUP(Ruimtestaat[[#This Row],[Ruimte code]],Ruimtegroepen[#All],4,FALSE)</f>
        <v>S  (Sanitair)</v>
      </c>
      <c r="R1087" s="184"/>
      <c r="S1087" s="185">
        <v>40</v>
      </c>
      <c r="T1087" s="185" t="s">
        <v>2</v>
      </c>
      <c r="U1087" s="185">
        <f>IF(S1087&gt;0,IF(RIGHT(Ruimtestaat[[#This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7" s="185">
        <f>IF(U1087&gt;0,VLOOKUP($K1087,Ruimtegroepen[],3,FALSE)*VLOOKUP($M1087,Vloersoorten[],3,FALSE)*VLOOKUP($T1087,Frequenties[],3,FALSE)*VLOOKUP($A1087,Locaties[],3,FALSE),0)</f>
        <v>0</v>
      </c>
      <c r="W1087" s="185">
        <f>Ruimtestaat[[#This Row],[Uitvoeringen werkdagen]]*Ruimtestaat[[#This Row],[Oppervlak (netto)]]</f>
        <v>780</v>
      </c>
      <c r="X1087" s="220">
        <f>IF(V1087&gt;0,Ruimtestaat[[#This Row],[Prest. (m2 /jaar) werkdagen]]/Ruimtestaat[[#This Row],[Norm (m2/uur) werkdagen]],0)</f>
        <v>0</v>
      </c>
      <c r="Y1087" s="221">
        <f>Ruimtestaat[[#This Row],[uren / jaar werkdagen]]*Tariefsopbouw!$D$38</f>
        <v>0</v>
      </c>
      <c r="Z1087" s="33"/>
      <c r="AA1087" s="33">
        <f>IF(Ruimtestaat[[#This Row],[Frequentie weekend]]&gt;0,VALUE(LEFT(Z1087,1))*S1087,0)</f>
        <v>0</v>
      </c>
      <c r="AB1087" s="33">
        <f>IF($AA1087&gt;0,VLOOKUP($K1087,Ruimtegroepen[],3,FALSE)*VLOOKUP($M1087,Vloersoorten[],3,FALSE)*VLOOKUP($Z1087,Frequenties[],3,FALSE)*VLOOKUP(#REF!,Locaties[],3,FALSE),0)</f>
        <v>0</v>
      </c>
      <c r="AC1087" s="33"/>
      <c r="AD1087" s="33"/>
      <c r="AE1087" s="33">
        <f>Ruimtestaat[[#This Row],[uren / jaar weekend]]*Tariefsopbouw!$D$40</f>
        <v>0</v>
      </c>
      <c r="AF1087" s="79">
        <f>Ruimtestaat[[#This Row],[Prest. (m2 /jaar) weekend]]+Ruimtestaat[[#This Row],[Prest. (m2 /jaar) werkdagen]]</f>
        <v>780</v>
      </c>
      <c r="AG1087" s="79">
        <f>Ruimtestaat[[#This Row],[uren / jaar weekend]]+Ruimtestaat[[#This Row],[uren / jaar werkdagen]]</f>
        <v>0</v>
      </c>
      <c r="AH1087" s="80">
        <f>Ruimtestaat[[#This Row],[kosten / jaar weekend]]+Ruimtestaat[[#This Row],[kosten / jaar werkdagen]]</f>
        <v>0</v>
      </c>
    </row>
    <row r="1088" spans="1:34" ht="15" customHeight="1">
      <c r="A1088" s="256">
        <v>12</v>
      </c>
      <c r="B1088" s="171" t="str">
        <f>VLOOKUP(Ruimtestaat[[#This Row],[Code]],Locaties[#All],2,FALSE)</f>
        <v>Onderwijscentrum Het Roessingh &amp; De Huifkar</v>
      </c>
      <c r="C1088" s="258" t="str">
        <f>VLOOKUP(Ruimtestaat[[#This Row],[Code]],Locaties[#All],4,FALSE)</f>
        <v>Roessinghsbleekweg 35</v>
      </c>
      <c r="D1088" s="258" t="str">
        <f>VLOOKUP(Ruimtestaat[[#This Row],[Code]],Locaties[#All],5,FALSE)</f>
        <v>7522 AH</v>
      </c>
      <c r="E1088" s="258" t="str">
        <f>VLOOKUP(Ruimtestaat[[#This Row],[Code]],Locaties[#All],6,FALSE)</f>
        <v>Enschede</v>
      </c>
      <c r="F1088" s="257"/>
      <c r="G1088" s="257" t="s">
        <v>564</v>
      </c>
      <c r="H1088" s="171"/>
      <c r="I1088" s="257">
        <v>1127</v>
      </c>
      <c r="J1088" s="259" t="s">
        <v>580</v>
      </c>
      <c r="K1088" s="258">
        <v>18</v>
      </c>
      <c r="L1088" s="260" t="str">
        <f>VLOOKUP(Ruimtestaat[[#This Row],[Ruimte code]],Ruimtegroepen[#All],2,FALSE)</f>
        <v>Gymzaal</v>
      </c>
      <c r="M1088" s="185" t="s">
        <v>112</v>
      </c>
      <c r="N1088" s="257" t="s">
        <v>596</v>
      </c>
      <c r="O1088" s="261">
        <v>113</v>
      </c>
      <c r="P1088" s="183"/>
      <c r="Q1088" s="212" t="str">
        <f>VLOOKUP(Ruimtestaat[[#This Row],[Ruimte code]],Ruimtegroepen[#All],4,FALSE)</f>
        <v>Sp  (Sportruimte)</v>
      </c>
      <c r="R1088" s="184"/>
      <c r="S1088" s="185">
        <v>40</v>
      </c>
      <c r="T1088" s="185" t="s">
        <v>2</v>
      </c>
      <c r="U1088" s="185">
        <f>IF(S1088&gt;0,IF(RIGHT(Ruimtestaat[[#This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8" s="185">
        <f>IF(U1088&gt;0,VLOOKUP($K1088,Ruimtegroepen[],3,FALSE)*VLOOKUP($M1088,Vloersoorten[],3,FALSE)*VLOOKUP($T1088,Frequenties[],3,FALSE)*VLOOKUP($A1088,Locaties[],3,FALSE),0)</f>
        <v>0</v>
      </c>
      <c r="W1088" s="185">
        <f>Ruimtestaat[[#This Row],[Uitvoeringen werkdagen]]*Ruimtestaat[[#This Row],[Oppervlak (netto)]]</f>
        <v>22600</v>
      </c>
      <c r="X1088" s="220">
        <f>IF(V1088&gt;0,Ruimtestaat[[#This Row],[Prest. (m2 /jaar) werkdagen]]/Ruimtestaat[[#This Row],[Norm (m2/uur) werkdagen]],0)</f>
        <v>0</v>
      </c>
      <c r="Y1088" s="221">
        <f>Ruimtestaat[[#This Row],[uren / jaar werkdagen]]*Tariefsopbouw!$D$38</f>
        <v>0</v>
      </c>
      <c r="Z1088" s="33"/>
      <c r="AA1088" s="33">
        <f>IF(Ruimtestaat[[#This Row],[Frequentie weekend]]&gt;0,VALUE(LEFT(Z1088,1))*S1088,0)</f>
        <v>0</v>
      </c>
      <c r="AB1088" s="33">
        <f>IF($AA1088&gt;0,VLOOKUP($K1088,Ruimtegroepen[],3,FALSE)*VLOOKUP($M1088,Vloersoorten[],3,FALSE)*VLOOKUP($Z1088,Frequenties[],3,FALSE)*VLOOKUP(#REF!,Locaties[],3,FALSE),0)</f>
        <v>0</v>
      </c>
      <c r="AC1088" s="33"/>
      <c r="AD1088" s="33"/>
      <c r="AE1088" s="33">
        <f>Ruimtestaat[[#This Row],[uren / jaar weekend]]*Tariefsopbouw!$D$40</f>
        <v>0</v>
      </c>
      <c r="AF1088" s="79">
        <f>Ruimtestaat[[#This Row],[Prest. (m2 /jaar) weekend]]+Ruimtestaat[[#This Row],[Prest. (m2 /jaar) werkdagen]]</f>
        <v>22600</v>
      </c>
      <c r="AG1088" s="79">
        <f>Ruimtestaat[[#This Row],[uren / jaar weekend]]+Ruimtestaat[[#This Row],[uren / jaar werkdagen]]</f>
        <v>0</v>
      </c>
      <c r="AH1088" s="80">
        <f>Ruimtestaat[[#This Row],[kosten / jaar weekend]]+Ruimtestaat[[#This Row],[kosten / jaar werkdagen]]</f>
        <v>0</v>
      </c>
    </row>
    <row r="1089" spans="1:34" ht="15" customHeight="1">
      <c r="A1089" s="256">
        <v>12</v>
      </c>
      <c r="B1089" s="171" t="str">
        <f>VLOOKUP(Ruimtestaat[[#This Row],[Code]],Locaties[#All],2,FALSE)</f>
        <v>Onderwijscentrum Het Roessingh &amp; De Huifkar</v>
      </c>
      <c r="C1089" s="258" t="str">
        <f>VLOOKUP(Ruimtestaat[[#This Row],[Code]],Locaties[#All],4,FALSE)</f>
        <v>Roessinghsbleekweg 35</v>
      </c>
      <c r="D1089" s="258" t="str">
        <f>VLOOKUP(Ruimtestaat[[#This Row],[Code]],Locaties[#All],5,FALSE)</f>
        <v>7522 AH</v>
      </c>
      <c r="E1089" s="258" t="str">
        <f>VLOOKUP(Ruimtestaat[[#This Row],[Code]],Locaties[#All],6,FALSE)</f>
        <v>Enschede</v>
      </c>
      <c r="F1089" s="257"/>
      <c r="G1089" s="257" t="s">
        <v>564</v>
      </c>
      <c r="H1089" s="171"/>
      <c r="I1089" s="257" t="s">
        <v>1055</v>
      </c>
      <c r="J1089" s="259" t="s">
        <v>579</v>
      </c>
      <c r="K1089" s="171">
        <v>17</v>
      </c>
      <c r="L1089" s="260" t="str">
        <f>VLOOKUP(Ruimtestaat[[#This Row],[Ruimte code]],Ruimtegroepen[#All],2,FALSE)</f>
        <v>Toestelberging</v>
      </c>
      <c r="M1089" s="185" t="s">
        <v>112</v>
      </c>
      <c r="N1089" s="257" t="s">
        <v>596</v>
      </c>
      <c r="O1089" s="261">
        <v>25</v>
      </c>
      <c r="P1089" s="183"/>
      <c r="Q1089" s="212" t="str">
        <f>VLOOKUP(Ruimtestaat[[#This Row],[Ruimte code]],Ruimtegroepen[#All],4,FALSE)</f>
        <v>V  (Verkeersruimte)</v>
      </c>
      <c r="R1089" s="184"/>
      <c r="S1089" s="185">
        <v>40</v>
      </c>
      <c r="T1089" s="185" t="s">
        <v>16</v>
      </c>
      <c r="U1089" s="185">
        <f>IF(S1089&gt;0,IF(RIGHT(Ruimtestaat[[#This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089" s="185">
        <f>IF(U1089&gt;0,VLOOKUP($K1089,Ruimtegroepen[],3,FALSE)*VLOOKUP($M1089,Vloersoorten[],3,FALSE)*VLOOKUP($T1089,Frequenties[],3,FALSE)*VLOOKUP($A1089,Locaties[],3,FALSE),0)</f>
        <v>0</v>
      </c>
      <c r="W1089" s="185">
        <f>Ruimtestaat[[#This Row],[Uitvoeringen werkdagen]]*Ruimtestaat[[#This Row],[Oppervlak (netto)]]</f>
        <v>300</v>
      </c>
      <c r="X1089" s="220">
        <f>IF(V1089&gt;0,Ruimtestaat[[#This Row],[Prest. (m2 /jaar) werkdagen]]/Ruimtestaat[[#This Row],[Norm (m2/uur) werkdagen]],0)</f>
        <v>0</v>
      </c>
      <c r="Y1089" s="221">
        <f>Ruimtestaat[[#This Row],[uren / jaar werkdagen]]*Tariefsopbouw!$D$38</f>
        <v>0</v>
      </c>
      <c r="Z1089" s="33"/>
      <c r="AA1089" s="33">
        <f>IF(Ruimtestaat[[#This Row],[Frequentie weekend]]&gt;0,VALUE(LEFT(Z1089,1))*S1089,0)</f>
        <v>0</v>
      </c>
      <c r="AB1089" s="33">
        <f>IF($AA1089&gt;0,VLOOKUP($K1089,Ruimtegroepen[],3,FALSE)*VLOOKUP($M1089,Vloersoorten[],3,FALSE)*VLOOKUP($Z1089,Frequenties[],3,FALSE)*VLOOKUP(#REF!,Locaties[],3,FALSE),0)</f>
        <v>0</v>
      </c>
      <c r="AC1089" s="33"/>
      <c r="AD1089" s="33"/>
      <c r="AE1089" s="33">
        <f>Ruimtestaat[[#This Row],[uren / jaar weekend]]*Tariefsopbouw!$D$40</f>
        <v>0</v>
      </c>
      <c r="AF1089" s="79">
        <f>Ruimtestaat[[#This Row],[Prest. (m2 /jaar) weekend]]+Ruimtestaat[[#This Row],[Prest. (m2 /jaar) werkdagen]]</f>
        <v>300</v>
      </c>
      <c r="AG1089" s="79">
        <f>Ruimtestaat[[#This Row],[uren / jaar weekend]]+Ruimtestaat[[#This Row],[uren / jaar werkdagen]]</f>
        <v>0</v>
      </c>
      <c r="AH1089" s="80">
        <f>Ruimtestaat[[#This Row],[kosten / jaar weekend]]+Ruimtestaat[[#This Row],[kosten / jaar werkdagen]]</f>
        <v>0</v>
      </c>
    </row>
    <row r="1090" spans="1:34" ht="15" customHeight="1">
      <c r="A1090" s="256">
        <v>12</v>
      </c>
      <c r="B1090" s="171" t="str">
        <f>VLOOKUP(Ruimtestaat[[#This Row],[Code]],Locaties[#All],2,FALSE)</f>
        <v>Onderwijscentrum Het Roessingh &amp; De Huifkar</v>
      </c>
      <c r="C1090" s="258" t="str">
        <f>VLOOKUP(Ruimtestaat[[#This Row],[Code]],Locaties[#All],4,FALSE)</f>
        <v>Roessinghsbleekweg 35</v>
      </c>
      <c r="D1090" s="258" t="str">
        <f>VLOOKUP(Ruimtestaat[[#This Row],[Code]],Locaties[#All],5,FALSE)</f>
        <v>7522 AH</v>
      </c>
      <c r="E1090" s="258" t="str">
        <f>VLOOKUP(Ruimtestaat[[#This Row],[Code]],Locaties[#All],6,FALSE)</f>
        <v>Enschede</v>
      </c>
      <c r="F1090" s="257"/>
      <c r="G1090" s="257" t="s">
        <v>564</v>
      </c>
      <c r="H1090" s="171"/>
      <c r="I1090" s="257">
        <v>1141</v>
      </c>
      <c r="J1090" s="259" t="s">
        <v>576</v>
      </c>
      <c r="K1090" s="258">
        <v>16</v>
      </c>
      <c r="L1090" s="260" t="str">
        <f>VLOOKUP(Ruimtestaat[[#This Row],[Ruimte code]],Ruimtegroepen[#All],2,FALSE)</f>
        <v>Leslokalen</v>
      </c>
      <c r="M1090" s="185" t="s">
        <v>598</v>
      </c>
      <c r="N1090" s="257" t="s">
        <v>132</v>
      </c>
      <c r="O1090" s="261">
        <v>57</v>
      </c>
      <c r="P1090" s="183"/>
      <c r="Q1090" s="212" t="str">
        <f>VLOOKUP(Ruimtestaat[[#This Row],[Ruimte code]],Ruimtegroepen[#All],4,FALSE)</f>
        <v>L  (Lesruimte)</v>
      </c>
      <c r="R1090" s="184"/>
      <c r="S1090" s="185">
        <v>40</v>
      </c>
      <c r="T1090" s="185" t="s">
        <v>2</v>
      </c>
      <c r="U1090" s="185">
        <f>IF(S1090&gt;0,IF(RIGHT(Ruimtestaat[[#This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0" s="185">
        <f>IF(U1090&gt;0,VLOOKUP($K1090,Ruimtegroepen[],3,FALSE)*VLOOKUP($M1090,Vloersoorten[],3,FALSE)*VLOOKUP($T1090,Frequenties[],3,FALSE)*VLOOKUP($A1090,Locaties[],3,FALSE),0)</f>
        <v>0</v>
      </c>
      <c r="W1090" s="185">
        <f>Ruimtestaat[[#This Row],[Uitvoeringen werkdagen]]*Ruimtestaat[[#This Row],[Oppervlak (netto)]]</f>
        <v>11400</v>
      </c>
      <c r="X1090" s="220">
        <f>IF(V1090&gt;0,Ruimtestaat[[#This Row],[Prest. (m2 /jaar) werkdagen]]/Ruimtestaat[[#This Row],[Norm (m2/uur) werkdagen]],0)</f>
        <v>0</v>
      </c>
      <c r="Y1090" s="221">
        <f>Ruimtestaat[[#This Row],[uren / jaar werkdagen]]*Tariefsopbouw!$D$38</f>
        <v>0</v>
      </c>
      <c r="Z1090" s="33"/>
      <c r="AA1090" s="33">
        <f>IF(Ruimtestaat[[#This Row],[Frequentie weekend]]&gt;0,VALUE(LEFT(Z1090,1))*S1090,0)</f>
        <v>0</v>
      </c>
      <c r="AB1090" s="33">
        <f>IF($AA1090&gt;0,VLOOKUP($K1090,Ruimtegroepen[],3,FALSE)*VLOOKUP($M1090,Vloersoorten[],3,FALSE)*VLOOKUP($Z1090,Frequenties[],3,FALSE)*VLOOKUP(#REF!,Locaties[],3,FALSE),0)</f>
        <v>0</v>
      </c>
      <c r="AC1090" s="33"/>
      <c r="AD1090" s="33"/>
      <c r="AE1090" s="33">
        <f>Ruimtestaat[[#This Row],[uren / jaar weekend]]*Tariefsopbouw!$D$40</f>
        <v>0</v>
      </c>
      <c r="AF1090" s="79">
        <f>Ruimtestaat[[#This Row],[Prest. (m2 /jaar) weekend]]+Ruimtestaat[[#This Row],[Prest. (m2 /jaar) werkdagen]]</f>
        <v>11400</v>
      </c>
      <c r="AG1090" s="79">
        <f>Ruimtestaat[[#This Row],[uren / jaar weekend]]+Ruimtestaat[[#This Row],[uren / jaar werkdagen]]</f>
        <v>0</v>
      </c>
      <c r="AH1090" s="80">
        <f>Ruimtestaat[[#This Row],[kosten / jaar weekend]]+Ruimtestaat[[#This Row],[kosten / jaar werkdagen]]</f>
        <v>0</v>
      </c>
    </row>
    <row r="1091" spans="1:34" ht="15" customHeight="1">
      <c r="A1091" s="256">
        <v>12</v>
      </c>
      <c r="B1091" s="171" t="str">
        <f>VLOOKUP(Ruimtestaat[[#This Row],[Code]],Locaties[#All],2,FALSE)</f>
        <v>Onderwijscentrum Het Roessingh &amp; De Huifkar</v>
      </c>
      <c r="C1091" s="258" t="str">
        <f>VLOOKUP(Ruimtestaat[[#This Row],[Code]],Locaties[#All],4,FALSE)</f>
        <v>Roessinghsbleekweg 35</v>
      </c>
      <c r="D1091" s="258" t="str">
        <f>VLOOKUP(Ruimtestaat[[#This Row],[Code]],Locaties[#All],5,FALSE)</f>
        <v>7522 AH</v>
      </c>
      <c r="E1091" s="258" t="str">
        <f>VLOOKUP(Ruimtestaat[[#This Row],[Code]],Locaties[#All],6,FALSE)</f>
        <v>Enschede</v>
      </c>
      <c r="F1091" s="257"/>
      <c r="G1091" s="257" t="s">
        <v>564</v>
      </c>
      <c r="H1091" s="171"/>
      <c r="I1091" s="257">
        <v>1142</v>
      </c>
      <c r="J1091" s="259" t="s">
        <v>936</v>
      </c>
      <c r="K1091" s="258">
        <v>16</v>
      </c>
      <c r="L1091" s="260" t="str">
        <f>VLOOKUP(Ruimtestaat[[#This Row],[Ruimte code]],Ruimtegroepen[#All],2,FALSE)</f>
        <v>Leslokalen</v>
      </c>
      <c r="M1091" s="258" t="s">
        <v>598</v>
      </c>
      <c r="N1091" s="257" t="s">
        <v>132</v>
      </c>
      <c r="O1091" s="261">
        <v>31</v>
      </c>
      <c r="P1091" s="183"/>
      <c r="Q1091" s="212" t="str">
        <f>VLOOKUP(Ruimtestaat[[#This Row],[Ruimte code]],Ruimtegroepen[#All],4,FALSE)</f>
        <v>L  (Lesruimte)</v>
      </c>
      <c r="R1091" s="184"/>
      <c r="S1091" s="185">
        <v>40</v>
      </c>
      <c r="T1091" s="185" t="s">
        <v>2</v>
      </c>
      <c r="U1091" s="185">
        <f>IF(S1091&gt;0,IF(RIGHT(Ruimtestaat[[#This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1" s="185">
        <f>IF(U1091&gt;0,VLOOKUP($K1091,Ruimtegroepen[],3,FALSE)*VLOOKUP($M1091,Vloersoorten[],3,FALSE)*VLOOKUP($T1091,Frequenties[],3,FALSE)*VLOOKUP($A1091,Locaties[],3,FALSE),0)</f>
        <v>0</v>
      </c>
      <c r="W1091" s="185">
        <f>Ruimtestaat[[#This Row],[Uitvoeringen werkdagen]]*Ruimtestaat[[#This Row],[Oppervlak (netto)]]</f>
        <v>6200</v>
      </c>
      <c r="X1091" s="220">
        <f>IF(V1091&gt;0,Ruimtestaat[[#This Row],[Prest. (m2 /jaar) werkdagen]]/Ruimtestaat[[#This Row],[Norm (m2/uur) werkdagen]],0)</f>
        <v>0</v>
      </c>
      <c r="Y1091" s="221">
        <f>Ruimtestaat[[#This Row],[uren / jaar werkdagen]]*Tariefsopbouw!$D$38</f>
        <v>0</v>
      </c>
      <c r="Z1091" s="33"/>
      <c r="AA1091" s="33">
        <f>IF(Ruimtestaat[[#This Row],[Frequentie weekend]]&gt;0,VALUE(LEFT(Z1091,1))*S1091,0)</f>
        <v>0</v>
      </c>
      <c r="AB1091" s="33">
        <f>IF($AA1091&gt;0,VLOOKUP($K1091,Ruimtegroepen[],3,FALSE)*VLOOKUP($M1091,Vloersoorten[],3,FALSE)*VLOOKUP($Z1091,Frequenties[],3,FALSE)*VLOOKUP(#REF!,Locaties[],3,FALSE),0)</f>
        <v>0</v>
      </c>
      <c r="AC1091" s="33"/>
      <c r="AD1091" s="33"/>
      <c r="AE1091" s="33">
        <f>Ruimtestaat[[#This Row],[uren / jaar weekend]]*Tariefsopbouw!$D$40</f>
        <v>0</v>
      </c>
      <c r="AF1091" s="79">
        <f>Ruimtestaat[[#This Row],[Prest. (m2 /jaar) weekend]]+Ruimtestaat[[#This Row],[Prest. (m2 /jaar) werkdagen]]</f>
        <v>6200</v>
      </c>
      <c r="AG1091" s="79">
        <f>Ruimtestaat[[#This Row],[uren / jaar weekend]]+Ruimtestaat[[#This Row],[uren / jaar werkdagen]]</f>
        <v>0</v>
      </c>
      <c r="AH1091" s="80">
        <f>Ruimtestaat[[#This Row],[kosten / jaar weekend]]+Ruimtestaat[[#This Row],[kosten / jaar werkdagen]]</f>
        <v>0</v>
      </c>
    </row>
    <row r="1092" spans="1:34" ht="15" customHeight="1">
      <c r="A1092" s="256">
        <v>12</v>
      </c>
      <c r="B1092" s="171" t="str">
        <f>VLOOKUP(Ruimtestaat[[#This Row],[Code]],Locaties[#All],2,FALSE)</f>
        <v>Onderwijscentrum Het Roessingh &amp; De Huifkar</v>
      </c>
      <c r="C1092" s="258" t="str">
        <f>VLOOKUP(Ruimtestaat[[#This Row],[Code]],Locaties[#All],4,FALSE)</f>
        <v>Roessinghsbleekweg 35</v>
      </c>
      <c r="D1092" s="258" t="str">
        <f>VLOOKUP(Ruimtestaat[[#This Row],[Code]],Locaties[#All],5,FALSE)</f>
        <v>7522 AH</v>
      </c>
      <c r="E1092" s="258" t="str">
        <f>VLOOKUP(Ruimtestaat[[#This Row],[Code]],Locaties[#All],6,FALSE)</f>
        <v>Enschede</v>
      </c>
      <c r="F1092" s="257"/>
      <c r="G1092" s="257" t="s">
        <v>564</v>
      </c>
      <c r="H1092" s="171"/>
      <c r="I1092" s="257">
        <v>1143</v>
      </c>
      <c r="J1092" s="259" t="s">
        <v>569</v>
      </c>
      <c r="K1092" s="258">
        <v>5</v>
      </c>
      <c r="L1092" s="260" t="str">
        <f>VLOOKUP(Ruimtestaat[[#This Row],[Ruimte code]],Ruimtegroepen[#All],2,FALSE)</f>
        <v>Sanitair</v>
      </c>
      <c r="M1092" s="212" t="s">
        <v>111</v>
      </c>
      <c r="N1092" s="257" t="s">
        <v>606</v>
      </c>
      <c r="O1092" s="261">
        <v>9.1999999999999993</v>
      </c>
      <c r="P1092" s="183"/>
      <c r="Q1092" s="212" t="str">
        <f>VLOOKUP(Ruimtestaat[[#This Row],[Ruimte code]],Ruimtegroepen[#All],4,FALSE)</f>
        <v>S  (Sanitair)</v>
      </c>
      <c r="R1092" s="184"/>
      <c r="S1092" s="185">
        <v>40</v>
      </c>
      <c r="T1092" s="185" t="s">
        <v>2</v>
      </c>
      <c r="U1092" s="185">
        <f>IF(S1092&gt;0,IF(RIGHT(Ruimtestaat[[#This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2" s="185">
        <f>IF(U1092&gt;0,VLOOKUP($K1092,Ruimtegroepen[],3,FALSE)*VLOOKUP($M1092,Vloersoorten[],3,FALSE)*VLOOKUP($T1092,Frequenties[],3,FALSE)*VLOOKUP($A1092,Locaties[],3,FALSE),0)</f>
        <v>0</v>
      </c>
      <c r="W1092" s="185">
        <f>Ruimtestaat[[#This Row],[Uitvoeringen werkdagen]]*Ruimtestaat[[#This Row],[Oppervlak (netto)]]</f>
        <v>1839.9999999999998</v>
      </c>
      <c r="X1092" s="220">
        <f>IF(V1092&gt;0,Ruimtestaat[[#This Row],[Prest. (m2 /jaar) werkdagen]]/Ruimtestaat[[#This Row],[Norm (m2/uur) werkdagen]],0)</f>
        <v>0</v>
      </c>
      <c r="Y1092" s="221">
        <f>Ruimtestaat[[#This Row],[uren / jaar werkdagen]]*Tariefsopbouw!$D$38</f>
        <v>0</v>
      </c>
      <c r="Z1092" s="33"/>
      <c r="AA1092" s="33">
        <f>IF(Ruimtestaat[[#This Row],[Frequentie weekend]]&gt;0,VALUE(LEFT(Z1092,1))*S1092,0)</f>
        <v>0</v>
      </c>
      <c r="AB1092" s="33">
        <f>IF($AA1092&gt;0,VLOOKUP($K1092,Ruimtegroepen[],3,FALSE)*VLOOKUP($M1092,Vloersoorten[],3,FALSE)*VLOOKUP($Z1092,Frequenties[],3,FALSE)*VLOOKUP(#REF!,Locaties[],3,FALSE),0)</f>
        <v>0</v>
      </c>
      <c r="AC1092" s="33"/>
      <c r="AD1092" s="33"/>
      <c r="AE1092" s="33">
        <f>Ruimtestaat[[#This Row],[uren / jaar weekend]]*Tariefsopbouw!$D$40</f>
        <v>0</v>
      </c>
      <c r="AF1092" s="79">
        <f>Ruimtestaat[[#This Row],[Prest. (m2 /jaar) weekend]]+Ruimtestaat[[#This Row],[Prest. (m2 /jaar) werkdagen]]</f>
        <v>1839.9999999999998</v>
      </c>
      <c r="AG1092" s="79">
        <f>Ruimtestaat[[#This Row],[uren / jaar weekend]]+Ruimtestaat[[#This Row],[uren / jaar werkdagen]]</f>
        <v>0</v>
      </c>
      <c r="AH1092" s="80">
        <f>Ruimtestaat[[#This Row],[kosten / jaar weekend]]+Ruimtestaat[[#This Row],[kosten / jaar werkdagen]]</f>
        <v>0</v>
      </c>
    </row>
    <row r="1093" spans="1:34" ht="15" customHeight="1">
      <c r="A1093" s="256">
        <v>12</v>
      </c>
      <c r="B1093" s="171" t="str">
        <f>VLOOKUP(Ruimtestaat[[#This Row],[Code]],Locaties[#All],2,FALSE)</f>
        <v>Onderwijscentrum Het Roessingh &amp; De Huifkar</v>
      </c>
      <c r="C1093" s="258" t="str">
        <f>VLOOKUP(Ruimtestaat[[#This Row],[Code]],Locaties[#All],4,FALSE)</f>
        <v>Roessinghsbleekweg 35</v>
      </c>
      <c r="D1093" s="258" t="str">
        <f>VLOOKUP(Ruimtestaat[[#This Row],[Code]],Locaties[#All],5,FALSE)</f>
        <v>7522 AH</v>
      </c>
      <c r="E1093" s="258" t="str">
        <f>VLOOKUP(Ruimtestaat[[#This Row],[Code]],Locaties[#All],6,FALSE)</f>
        <v>Enschede</v>
      </c>
      <c r="F1093" s="257"/>
      <c r="G1093" s="257" t="s">
        <v>564</v>
      </c>
      <c r="H1093" s="171"/>
      <c r="I1093" s="257">
        <v>1144</v>
      </c>
      <c r="J1093" s="259" t="s">
        <v>571</v>
      </c>
      <c r="K1093" s="171">
        <v>2</v>
      </c>
      <c r="L1093" s="260" t="str">
        <f>VLOOKUP(Ruimtestaat[[#This Row],[Ruimte code]],Ruimtegroepen[#All],2,FALSE)</f>
        <v>Kantoren</v>
      </c>
      <c r="M1093" s="258" t="s">
        <v>597</v>
      </c>
      <c r="N1093" s="257" t="s">
        <v>38</v>
      </c>
      <c r="O1093" s="261">
        <v>12</v>
      </c>
      <c r="P1093" s="183"/>
      <c r="Q1093" s="212" t="str">
        <f>VLOOKUP(Ruimtestaat[[#This Row],[Ruimte code]],Ruimtegroepen[#All],4,FALSE)</f>
        <v>B  (Bureauruimte)</v>
      </c>
      <c r="R1093" s="184"/>
      <c r="S1093" s="185">
        <v>40</v>
      </c>
      <c r="T1093" s="185" t="s">
        <v>2</v>
      </c>
      <c r="U1093" s="185">
        <f>IF(S1093&gt;0,IF(RIGHT(Ruimtestaat[[#This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3" s="185">
        <f>IF(U1093&gt;0,VLOOKUP($K1093,Ruimtegroepen[],3,FALSE)*VLOOKUP($M1093,Vloersoorten[],3,FALSE)*VLOOKUP($T1093,Frequenties[],3,FALSE)*VLOOKUP($A1093,Locaties[],3,FALSE),0)</f>
        <v>0</v>
      </c>
      <c r="W1093" s="185">
        <f>Ruimtestaat[[#This Row],[Uitvoeringen werkdagen]]*Ruimtestaat[[#This Row],[Oppervlak (netto)]]</f>
        <v>2400</v>
      </c>
      <c r="X1093" s="220">
        <f>IF(V1093&gt;0,Ruimtestaat[[#This Row],[Prest. (m2 /jaar) werkdagen]]/Ruimtestaat[[#This Row],[Norm (m2/uur) werkdagen]],0)</f>
        <v>0</v>
      </c>
      <c r="Y1093" s="221">
        <f>Ruimtestaat[[#This Row],[uren / jaar werkdagen]]*Tariefsopbouw!$D$38</f>
        <v>0</v>
      </c>
      <c r="Z1093" s="33"/>
      <c r="AA1093" s="33">
        <f>IF(Ruimtestaat[[#This Row],[Frequentie weekend]]&gt;0,VALUE(LEFT(Z1093,1))*S1093,0)</f>
        <v>0</v>
      </c>
      <c r="AB1093" s="33">
        <f>IF($AA1093&gt;0,VLOOKUP($K1093,Ruimtegroepen[],3,FALSE)*VLOOKUP($M1093,Vloersoorten[],3,FALSE)*VLOOKUP($Z1093,Frequenties[],3,FALSE)*VLOOKUP(#REF!,Locaties[],3,FALSE),0)</f>
        <v>0</v>
      </c>
      <c r="AC1093" s="33"/>
      <c r="AD1093" s="33"/>
      <c r="AE1093" s="33">
        <f>Ruimtestaat[[#This Row],[uren / jaar weekend]]*Tariefsopbouw!$D$40</f>
        <v>0</v>
      </c>
      <c r="AF1093" s="79">
        <f>Ruimtestaat[[#This Row],[Prest. (m2 /jaar) weekend]]+Ruimtestaat[[#This Row],[Prest. (m2 /jaar) werkdagen]]</f>
        <v>2400</v>
      </c>
      <c r="AG1093" s="79">
        <f>Ruimtestaat[[#This Row],[uren / jaar weekend]]+Ruimtestaat[[#This Row],[uren / jaar werkdagen]]</f>
        <v>0</v>
      </c>
      <c r="AH1093" s="80">
        <f>Ruimtestaat[[#This Row],[kosten / jaar weekend]]+Ruimtestaat[[#This Row],[kosten / jaar werkdagen]]</f>
        <v>0</v>
      </c>
    </row>
    <row r="1094" spans="1:34" ht="15" customHeight="1">
      <c r="A1094" s="256">
        <v>12</v>
      </c>
      <c r="B1094" s="171" t="str">
        <f>VLOOKUP(Ruimtestaat[[#This Row],[Code]],Locaties[#All],2,FALSE)</f>
        <v>Onderwijscentrum Het Roessingh &amp; De Huifkar</v>
      </c>
      <c r="C1094" s="258" t="str">
        <f>VLOOKUP(Ruimtestaat[[#This Row],[Code]],Locaties[#All],4,FALSE)</f>
        <v>Roessinghsbleekweg 35</v>
      </c>
      <c r="D1094" s="258" t="str">
        <f>VLOOKUP(Ruimtestaat[[#This Row],[Code]],Locaties[#All],5,FALSE)</f>
        <v>7522 AH</v>
      </c>
      <c r="E1094" s="258" t="str">
        <f>VLOOKUP(Ruimtestaat[[#This Row],[Code]],Locaties[#All],6,FALSE)</f>
        <v>Enschede</v>
      </c>
      <c r="F1094" s="257"/>
      <c r="G1094" s="257" t="s">
        <v>564</v>
      </c>
      <c r="H1094" s="171"/>
      <c r="I1094" s="257">
        <v>1145</v>
      </c>
      <c r="J1094" s="259" t="s">
        <v>571</v>
      </c>
      <c r="K1094" s="258">
        <v>2</v>
      </c>
      <c r="L1094" s="260" t="str">
        <f>VLOOKUP(Ruimtestaat[[#This Row],[Ruimte code]],Ruimtegroepen[#All],2,FALSE)</f>
        <v>Kantoren</v>
      </c>
      <c r="M1094" s="258" t="s">
        <v>597</v>
      </c>
      <c r="N1094" s="257" t="s">
        <v>38</v>
      </c>
      <c r="O1094" s="261">
        <v>14</v>
      </c>
      <c r="P1094" s="183"/>
      <c r="Q1094" s="212" t="str">
        <f>VLOOKUP(Ruimtestaat[[#This Row],[Ruimte code]],Ruimtegroepen[#All],4,FALSE)</f>
        <v>B  (Bureauruimte)</v>
      </c>
      <c r="R1094" s="184"/>
      <c r="S1094" s="185">
        <v>40</v>
      </c>
      <c r="T1094" s="185" t="s">
        <v>2</v>
      </c>
      <c r="U1094" s="185">
        <f>IF(S1094&gt;0,IF(RIGHT(Ruimtestaat[[#This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4" s="185">
        <f>IF(U1094&gt;0,VLOOKUP($K1094,Ruimtegroepen[],3,FALSE)*VLOOKUP($M1094,Vloersoorten[],3,FALSE)*VLOOKUP($T1094,Frequenties[],3,FALSE)*VLOOKUP($A1094,Locaties[],3,FALSE),0)</f>
        <v>0</v>
      </c>
      <c r="W1094" s="185">
        <f>Ruimtestaat[[#This Row],[Uitvoeringen werkdagen]]*Ruimtestaat[[#This Row],[Oppervlak (netto)]]</f>
        <v>2800</v>
      </c>
      <c r="X1094" s="220">
        <f>IF(V1094&gt;0,Ruimtestaat[[#This Row],[Prest. (m2 /jaar) werkdagen]]/Ruimtestaat[[#This Row],[Norm (m2/uur) werkdagen]],0)</f>
        <v>0</v>
      </c>
      <c r="Y1094" s="221">
        <f>Ruimtestaat[[#This Row],[uren / jaar werkdagen]]*Tariefsopbouw!$D$38</f>
        <v>0</v>
      </c>
      <c r="Z1094" s="33"/>
      <c r="AA1094" s="33">
        <f>IF(Ruimtestaat[[#This Row],[Frequentie weekend]]&gt;0,VALUE(LEFT(Z1094,1))*S1094,0)</f>
        <v>0</v>
      </c>
      <c r="AB1094" s="33">
        <f>IF($AA1094&gt;0,VLOOKUP($K1094,Ruimtegroepen[],3,FALSE)*VLOOKUP($M1094,Vloersoorten[],3,FALSE)*VLOOKUP($Z1094,Frequenties[],3,FALSE)*VLOOKUP(#REF!,Locaties[],3,FALSE),0)</f>
        <v>0</v>
      </c>
      <c r="AC1094" s="33"/>
      <c r="AD1094" s="33"/>
      <c r="AE1094" s="33">
        <f>Ruimtestaat[[#This Row],[uren / jaar weekend]]*Tariefsopbouw!$D$40</f>
        <v>0</v>
      </c>
      <c r="AF1094" s="79">
        <f>Ruimtestaat[[#This Row],[Prest. (m2 /jaar) weekend]]+Ruimtestaat[[#This Row],[Prest. (m2 /jaar) werkdagen]]</f>
        <v>2800</v>
      </c>
      <c r="AG1094" s="79">
        <f>Ruimtestaat[[#This Row],[uren / jaar weekend]]+Ruimtestaat[[#This Row],[uren / jaar werkdagen]]</f>
        <v>0</v>
      </c>
      <c r="AH1094" s="80">
        <f>Ruimtestaat[[#This Row],[kosten / jaar weekend]]+Ruimtestaat[[#This Row],[kosten / jaar werkdagen]]</f>
        <v>0</v>
      </c>
    </row>
    <row r="1095" spans="1:34" ht="15" customHeight="1">
      <c r="A1095" s="256">
        <v>12</v>
      </c>
      <c r="B1095" s="171" t="str">
        <f>VLOOKUP(Ruimtestaat[[#This Row],[Code]],Locaties[#All],2,FALSE)</f>
        <v>Onderwijscentrum Het Roessingh &amp; De Huifkar</v>
      </c>
      <c r="C1095" s="258" t="str">
        <f>VLOOKUP(Ruimtestaat[[#This Row],[Code]],Locaties[#All],4,FALSE)</f>
        <v>Roessinghsbleekweg 35</v>
      </c>
      <c r="D1095" s="258" t="str">
        <f>VLOOKUP(Ruimtestaat[[#This Row],[Code]],Locaties[#All],5,FALSE)</f>
        <v>7522 AH</v>
      </c>
      <c r="E1095" s="258" t="str">
        <f>VLOOKUP(Ruimtestaat[[#This Row],[Code]],Locaties[#All],6,FALSE)</f>
        <v>Enschede</v>
      </c>
      <c r="F1095" s="257"/>
      <c r="G1095" s="257" t="s">
        <v>564</v>
      </c>
      <c r="H1095" s="171"/>
      <c r="I1095" s="257">
        <v>1146</v>
      </c>
      <c r="J1095" s="259" t="s">
        <v>571</v>
      </c>
      <c r="K1095" s="171">
        <v>2</v>
      </c>
      <c r="L1095" s="260" t="str">
        <f>VLOOKUP(Ruimtestaat[[#This Row],[Ruimte code]],Ruimtegroepen[#All],2,FALSE)</f>
        <v>Kantoren</v>
      </c>
      <c r="M1095" s="258" t="s">
        <v>597</v>
      </c>
      <c r="N1095" s="257" t="s">
        <v>38</v>
      </c>
      <c r="O1095" s="261">
        <v>17</v>
      </c>
      <c r="P1095" s="183"/>
      <c r="Q1095" s="212" t="str">
        <f>VLOOKUP(Ruimtestaat[[#This Row],[Ruimte code]],Ruimtegroepen[#All],4,FALSE)</f>
        <v>B  (Bureauruimte)</v>
      </c>
      <c r="R1095" s="184"/>
      <c r="S1095" s="185">
        <v>40</v>
      </c>
      <c r="T1095" s="185" t="s">
        <v>2</v>
      </c>
      <c r="U1095" s="185">
        <f>IF(S1095&gt;0,IF(RIGHT(Ruimtestaat[[#This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5" s="185">
        <f>IF(U1095&gt;0,VLOOKUP($K1095,Ruimtegroepen[],3,FALSE)*VLOOKUP($M1095,Vloersoorten[],3,FALSE)*VLOOKUP($T1095,Frequenties[],3,FALSE)*VLOOKUP($A1095,Locaties[],3,FALSE),0)</f>
        <v>0</v>
      </c>
      <c r="W1095" s="185">
        <f>Ruimtestaat[[#This Row],[Uitvoeringen werkdagen]]*Ruimtestaat[[#This Row],[Oppervlak (netto)]]</f>
        <v>3400</v>
      </c>
      <c r="X1095" s="220">
        <f>IF(V1095&gt;0,Ruimtestaat[[#This Row],[Prest. (m2 /jaar) werkdagen]]/Ruimtestaat[[#This Row],[Norm (m2/uur) werkdagen]],0)</f>
        <v>0</v>
      </c>
      <c r="Y1095" s="221">
        <f>Ruimtestaat[[#This Row],[uren / jaar werkdagen]]*Tariefsopbouw!$D$38</f>
        <v>0</v>
      </c>
      <c r="Z1095" s="33"/>
      <c r="AA1095" s="33">
        <f>IF(Ruimtestaat[[#This Row],[Frequentie weekend]]&gt;0,VALUE(LEFT(Z1095,1))*S1095,0)</f>
        <v>0</v>
      </c>
      <c r="AB1095" s="33">
        <f>IF($AA1095&gt;0,VLOOKUP($K1095,Ruimtegroepen[],3,FALSE)*VLOOKUP($M1095,Vloersoorten[],3,FALSE)*VLOOKUP($Z1095,Frequenties[],3,FALSE)*VLOOKUP(#REF!,Locaties[],3,FALSE),0)</f>
        <v>0</v>
      </c>
      <c r="AC1095" s="33"/>
      <c r="AD1095" s="33"/>
      <c r="AE1095" s="33">
        <f>Ruimtestaat[[#This Row],[uren / jaar weekend]]*Tariefsopbouw!$D$40</f>
        <v>0</v>
      </c>
      <c r="AF1095" s="79">
        <f>Ruimtestaat[[#This Row],[Prest. (m2 /jaar) weekend]]+Ruimtestaat[[#This Row],[Prest. (m2 /jaar) werkdagen]]</f>
        <v>3400</v>
      </c>
      <c r="AG1095" s="79">
        <f>Ruimtestaat[[#This Row],[uren / jaar weekend]]+Ruimtestaat[[#This Row],[uren / jaar werkdagen]]</f>
        <v>0</v>
      </c>
      <c r="AH1095" s="80">
        <f>Ruimtestaat[[#This Row],[kosten / jaar weekend]]+Ruimtestaat[[#This Row],[kosten / jaar werkdagen]]</f>
        <v>0</v>
      </c>
    </row>
    <row r="1096" spans="1:34" ht="15" customHeight="1">
      <c r="A1096" s="256">
        <v>12</v>
      </c>
      <c r="B1096" s="171" t="str">
        <f>VLOOKUP(Ruimtestaat[[#This Row],[Code]],Locaties[#All],2,FALSE)</f>
        <v>Onderwijscentrum Het Roessingh &amp; De Huifkar</v>
      </c>
      <c r="C1096" s="258" t="str">
        <f>VLOOKUP(Ruimtestaat[[#This Row],[Code]],Locaties[#All],4,FALSE)</f>
        <v>Roessinghsbleekweg 35</v>
      </c>
      <c r="D1096" s="258" t="str">
        <f>VLOOKUP(Ruimtestaat[[#This Row],[Code]],Locaties[#All],5,FALSE)</f>
        <v>7522 AH</v>
      </c>
      <c r="E1096" s="258" t="str">
        <f>VLOOKUP(Ruimtestaat[[#This Row],[Code]],Locaties[#All],6,FALSE)</f>
        <v>Enschede</v>
      </c>
      <c r="F1096" s="257"/>
      <c r="G1096" s="257" t="s">
        <v>564</v>
      </c>
      <c r="H1096" s="171"/>
      <c r="I1096" s="257">
        <v>1147</v>
      </c>
      <c r="J1096" s="259" t="s">
        <v>574</v>
      </c>
      <c r="K1096" s="258">
        <v>6</v>
      </c>
      <c r="L1096" s="260" t="str">
        <f>VLOOKUP(Ruimtestaat[[#This Row],[Ruimte code]],Ruimtegroepen[#All],2,FALSE)</f>
        <v>Gangen/hallen</v>
      </c>
      <c r="M1096" s="185" t="s">
        <v>598</v>
      </c>
      <c r="N1096" s="257" t="s">
        <v>132</v>
      </c>
      <c r="O1096" s="261">
        <v>62</v>
      </c>
      <c r="P1096" s="183"/>
      <c r="Q1096" s="212" t="str">
        <f>VLOOKUP(Ruimtestaat[[#This Row],[Ruimte code]],Ruimtegroepen[#All],4,FALSE)</f>
        <v>V  (Verkeersruimte)</v>
      </c>
      <c r="R1096" s="184"/>
      <c r="S1096" s="185">
        <v>40</v>
      </c>
      <c r="T1096" s="185" t="s">
        <v>2</v>
      </c>
      <c r="U1096" s="185">
        <f>IF(S1096&gt;0,IF(RIGHT(Ruimtestaat[[#This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6" s="185">
        <f>IF(U1096&gt;0,VLOOKUP($K1096,Ruimtegroepen[],3,FALSE)*VLOOKUP($M1096,Vloersoorten[],3,FALSE)*VLOOKUP($T1096,Frequenties[],3,FALSE)*VLOOKUP($A1096,Locaties[],3,FALSE),0)</f>
        <v>0</v>
      </c>
      <c r="W1096" s="185">
        <f>Ruimtestaat[[#This Row],[Uitvoeringen werkdagen]]*Ruimtestaat[[#This Row],[Oppervlak (netto)]]</f>
        <v>12400</v>
      </c>
      <c r="X1096" s="220">
        <f>IF(V1096&gt;0,Ruimtestaat[[#This Row],[Prest. (m2 /jaar) werkdagen]]/Ruimtestaat[[#This Row],[Norm (m2/uur) werkdagen]],0)</f>
        <v>0</v>
      </c>
      <c r="Y1096" s="221">
        <f>Ruimtestaat[[#This Row],[uren / jaar werkdagen]]*Tariefsopbouw!$D$38</f>
        <v>0</v>
      </c>
      <c r="Z1096" s="33"/>
      <c r="AA1096" s="33">
        <f>IF(Ruimtestaat[[#This Row],[Frequentie weekend]]&gt;0,VALUE(LEFT(Z1096,1))*S1096,0)</f>
        <v>0</v>
      </c>
      <c r="AB1096" s="33">
        <f>IF($AA1096&gt;0,VLOOKUP($K1096,Ruimtegroepen[],3,FALSE)*VLOOKUP($M1096,Vloersoorten[],3,FALSE)*VLOOKUP($Z1096,Frequenties[],3,FALSE)*VLOOKUP(#REF!,Locaties[],3,FALSE),0)</f>
        <v>0</v>
      </c>
      <c r="AC1096" s="33"/>
      <c r="AD1096" s="33"/>
      <c r="AE1096" s="33">
        <f>Ruimtestaat[[#This Row],[uren / jaar weekend]]*Tariefsopbouw!$D$40</f>
        <v>0</v>
      </c>
      <c r="AF1096" s="79">
        <f>Ruimtestaat[[#This Row],[Prest. (m2 /jaar) weekend]]+Ruimtestaat[[#This Row],[Prest. (m2 /jaar) werkdagen]]</f>
        <v>12400</v>
      </c>
      <c r="AG1096" s="79">
        <f>Ruimtestaat[[#This Row],[uren / jaar weekend]]+Ruimtestaat[[#This Row],[uren / jaar werkdagen]]</f>
        <v>0</v>
      </c>
      <c r="AH1096" s="80">
        <f>Ruimtestaat[[#This Row],[kosten / jaar weekend]]+Ruimtestaat[[#This Row],[kosten / jaar werkdagen]]</f>
        <v>0</v>
      </c>
    </row>
    <row r="1097" spans="1:34" ht="15" customHeight="1">
      <c r="A1097" s="256">
        <v>12</v>
      </c>
      <c r="B1097" s="171" t="str">
        <f>VLOOKUP(Ruimtestaat[[#This Row],[Code]],Locaties[#All],2,FALSE)</f>
        <v>Onderwijscentrum Het Roessingh &amp; De Huifkar</v>
      </c>
      <c r="C1097" s="258" t="str">
        <f>VLOOKUP(Ruimtestaat[[#This Row],[Code]],Locaties[#All],4,FALSE)</f>
        <v>Roessinghsbleekweg 35</v>
      </c>
      <c r="D1097" s="258" t="str">
        <f>VLOOKUP(Ruimtestaat[[#This Row],[Code]],Locaties[#All],5,FALSE)</f>
        <v>7522 AH</v>
      </c>
      <c r="E1097" s="258" t="str">
        <f>VLOOKUP(Ruimtestaat[[#This Row],[Code]],Locaties[#All],6,FALSE)</f>
        <v>Enschede</v>
      </c>
      <c r="F1097" s="257"/>
      <c r="G1097" s="257" t="s">
        <v>564</v>
      </c>
      <c r="H1097" s="171"/>
      <c r="I1097" s="257">
        <v>1148</v>
      </c>
      <c r="J1097" s="259" t="s">
        <v>576</v>
      </c>
      <c r="K1097" s="258">
        <v>16</v>
      </c>
      <c r="L1097" s="260" t="str">
        <f>VLOOKUP(Ruimtestaat[[#This Row],[Ruimte code]],Ruimtegroepen[#All],2,FALSE)</f>
        <v>Leslokalen</v>
      </c>
      <c r="M1097" s="185" t="s">
        <v>598</v>
      </c>
      <c r="N1097" s="257" t="s">
        <v>132</v>
      </c>
      <c r="O1097" s="261">
        <v>81</v>
      </c>
      <c r="P1097" s="183"/>
      <c r="Q1097" s="212" t="str">
        <f>VLOOKUP(Ruimtestaat[[#This Row],[Ruimte code]],Ruimtegroepen[#All],4,FALSE)</f>
        <v>L  (Lesruimte)</v>
      </c>
      <c r="R1097" s="184"/>
      <c r="S1097" s="185">
        <v>40</v>
      </c>
      <c r="T1097" s="185" t="s">
        <v>2</v>
      </c>
      <c r="U1097" s="185">
        <f>IF(S1097&gt;0,IF(RIGHT(Ruimtestaat[[#This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7" s="185">
        <f>IF(U1097&gt;0,VLOOKUP($K1097,Ruimtegroepen[],3,FALSE)*VLOOKUP($M1097,Vloersoorten[],3,FALSE)*VLOOKUP($T1097,Frequenties[],3,FALSE)*VLOOKUP($A1097,Locaties[],3,FALSE),0)</f>
        <v>0</v>
      </c>
      <c r="W1097" s="185">
        <f>Ruimtestaat[[#This Row],[Uitvoeringen werkdagen]]*Ruimtestaat[[#This Row],[Oppervlak (netto)]]</f>
        <v>16200</v>
      </c>
      <c r="X1097" s="220">
        <f>IF(V1097&gt;0,Ruimtestaat[[#This Row],[Prest. (m2 /jaar) werkdagen]]/Ruimtestaat[[#This Row],[Norm (m2/uur) werkdagen]],0)</f>
        <v>0</v>
      </c>
      <c r="Y1097" s="221">
        <f>Ruimtestaat[[#This Row],[uren / jaar werkdagen]]*Tariefsopbouw!$D$38</f>
        <v>0</v>
      </c>
      <c r="Z1097" s="33"/>
      <c r="AA1097" s="33">
        <f>IF(Ruimtestaat[[#This Row],[Frequentie weekend]]&gt;0,VALUE(LEFT(Z1097,1))*S1097,0)</f>
        <v>0</v>
      </c>
      <c r="AB1097" s="33">
        <f>IF($AA1097&gt;0,VLOOKUP($K1097,Ruimtegroepen[],3,FALSE)*VLOOKUP($M1097,Vloersoorten[],3,FALSE)*VLOOKUP($Z1097,Frequenties[],3,FALSE)*VLOOKUP(#REF!,Locaties[],3,FALSE),0)</f>
        <v>0</v>
      </c>
      <c r="AC1097" s="33"/>
      <c r="AD1097" s="33"/>
      <c r="AE1097" s="33">
        <f>Ruimtestaat[[#This Row],[uren / jaar weekend]]*Tariefsopbouw!$D$40</f>
        <v>0</v>
      </c>
      <c r="AF1097" s="79">
        <f>Ruimtestaat[[#This Row],[Prest. (m2 /jaar) weekend]]+Ruimtestaat[[#This Row],[Prest. (m2 /jaar) werkdagen]]</f>
        <v>16200</v>
      </c>
      <c r="AG1097" s="79">
        <f>Ruimtestaat[[#This Row],[uren / jaar weekend]]+Ruimtestaat[[#This Row],[uren / jaar werkdagen]]</f>
        <v>0</v>
      </c>
      <c r="AH1097" s="80">
        <f>Ruimtestaat[[#This Row],[kosten / jaar weekend]]+Ruimtestaat[[#This Row],[kosten / jaar werkdagen]]</f>
        <v>0</v>
      </c>
    </row>
    <row r="1098" spans="1:34" ht="15" customHeight="1">
      <c r="A1098" s="256">
        <v>12</v>
      </c>
      <c r="B1098" s="171" t="str">
        <f>VLOOKUP(Ruimtestaat[[#This Row],[Code]],Locaties[#All],2,FALSE)</f>
        <v>Onderwijscentrum Het Roessingh &amp; De Huifkar</v>
      </c>
      <c r="C1098" s="258" t="str">
        <f>VLOOKUP(Ruimtestaat[[#This Row],[Code]],Locaties[#All],4,FALSE)</f>
        <v>Roessinghsbleekweg 35</v>
      </c>
      <c r="D1098" s="258" t="str">
        <f>VLOOKUP(Ruimtestaat[[#This Row],[Code]],Locaties[#All],5,FALSE)</f>
        <v>7522 AH</v>
      </c>
      <c r="E1098" s="258" t="str">
        <f>VLOOKUP(Ruimtestaat[[#This Row],[Code]],Locaties[#All],6,FALSE)</f>
        <v>Enschede</v>
      </c>
      <c r="F1098" s="257"/>
      <c r="G1098" s="257" t="s">
        <v>564</v>
      </c>
      <c r="H1098" s="171"/>
      <c r="I1098" s="257">
        <v>1181</v>
      </c>
      <c r="J1098" s="259" t="s">
        <v>587</v>
      </c>
      <c r="K1098" s="258">
        <v>6</v>
      </c>
      <c r="L1098" s="260" t="str">
        <f>VLOOKUP(Ruimtestaat[[#This Row],[Ruimte code]],Ruimtegroepen[#All],2,FALSE)</f>
        <v>Gangen/hallen</v>
      </c>
      <c r="M1098" s="185" t="s">
        <v>598</v>
      </c>
      <c r="N1098" s="257" t="s">
        <v>132</v>
      </c>
      <c r="O1098" s="261">
        <v>68</v>
      </c>
      <c r="P1098" s="183"/>
      <c r="Q1098" s="212" t="str">
        <f>VLOOKUP(Ruimtestaat[[#This Row],[Ruimte code]],Ruimtegroepen[#All],4,FALSE)</f>
        <v>V  (Verkeersruimte)</v>
      </c>
      <c r="R1098" s="184"/>
      <c r="S1098" s="185">
        <v>40</v>
      </c>
      <c r="T1098" s="185" t="s">
        <v>2</v>
      </c>
      <c r="U1098" s="185">
        <f>IF(S1098&gt;0,IF(RIGHT(Ruimtestaat[[#This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8" s="185">
        <f>IF(U1098&gt;0,VLOOKUP($K1098,Ruimtegroepen[],3,FALSE)*VLOOKUP($M1098,Vloersoorten[],3,FALSE)*VLOOKUP($T1098,Frequenties[],3,FALSE)*VLOOKUP($A1098,Locaties[],3,FALSE),0)</f>
        <v>0</v>
      </c>
      <c r="W1098" s="185">
        <f>Ruimtestaat[[#This Row],[Uitvoeringen werkdagen]]*Ruimtestaat[[#This Row],[Oppervlak (netto)]]</f>
        <v>13600</v>
      </c>
      <c r="X1098" s="220">
        <f>IF(V1098&gt;0,Ruimtestaat[[#This Row],[Prest. (m2 /jaar) werkdagen]]/Ruimtestaat[[#This Row],[Norm (m2/uur) werkdagen]],0)</f>
        <v>0</v>
      </c>
      <c r="Y1098" s="221">
        <f>Ruimtestaat[[#This Row],[uren / jaar werkdagen]]*Tariefsopbouw!$D$38</f>
        <v>0</v>
      </c>
      <c r="Z1098" s="33"/>
      <c r="AA1098" s="33">
        <f>IF(Ruimtestaat[[#This Row],[Frequentie weekend]]&gt;0,VALUE(LEFT(Z1098,1))*S1098,0)</f>
        <v>0</v>
      </c>
      <c r="AB1098" s="33">
        <f>IF($AA1098&gt;0,VLOOKUP($K1098,Ruimtegroepen[],3,FALSE)*VLOOKUP($M1098,Vloersoorten[],3,FALSE)*VLOOKUP($Z1098,Frequenties[],3,FALSE)*VLOOKUP(#REF!,Locaties[],3,FALSE),0)</f>
        <v>0</v>
      </c>
      <c r="AC1098" s="33"/>
      <c r="AD1098" s="33"/>
      <c r="AE1098" s="33">
        <f>Ruimtestaat[[#This Row],[uren / jaar weekend]]*Tariefsopbouw!$D$40</f>
        <v>0</v>
      </c>
      <c r="AF1098" s="79">
        <f>Ruimtestaat[[#This Row],[Prest. (m2 /jaar) weekend]]+Ruimtestaat[[#This Row],[Prest. (m2 /jaar) werkdagen]]</f>
        <v>13600</v>
      </c>
      <c r="AG1098" s="79">
        <f>Ruimtestaat[[#This Row],[uren / jaar weekend]]+Ruimtestaat[[#This Row],[uren / jaar werkdagen]]</f>
        <v>0</v>
      </c>
      <c r="AH1098" s="80">
        <f>Ruimtestaat[[#This Row],[kosten / jaar weekend]]+Ruimtestaat[[#This Row],[kosten / jaar werkdagen]]</f>
        <v>0</v>
      </c>
    </row>
    <row r="1099" spans="1:34" ht="15" customHeight="1">
      <c r="A1099" s="256">
        <v>12</v>
      </c>
      <c r="B1099" s="171" t="str">
        <f>VLOOKUP(Ruimtestaat[[#This Row],[Code]],Locaties[#All],2,FALSE)</f>
        <v>Onderwijscentrum Het Roessingh &amp; De Huifkar</v>
      </c>
      <c r="C1099" s="258" t="str">
        <f>VLOOKUP(Ruimtestaat[[#This Row],[Code]],Locaties[#All],4,FALSE)</f>
        <v>Roessinghsbleekweg 35</v>
      </c>
      <c r="D1099" s="258" t="str">
        <f>VLOOKUP(Ruimtestaat[[#This Row],[Code]],Locaties[#All],5,FALSE)</f>
        <v>7522 AH</v>
      </c>
      <c r="E1099" s="258" t="str">
        <f>VLOOKUP(Ruimtestaat[[#This Row],[Code]],Locaties[#All],6,FALSE)</f>
        <v>Enschede</v>
      </c>
      <c r="F1099" s="257"/>
      <c r="G1099" s="257" t="s">
        <v>564</v>
      </c>
      <c r="H1099" s="171"/>
      <c r="I1099" s="257">
        <v>1182</v>
      </c>
      <c r="J1099" s="259" t="s">
        <v>810</v>
      </c>
      <c r="K1099" s="258">
        <v>10</v>
      </c>
      <c r="L1099" s="260" t="str">
        <f>VLOOKUP(Ruimtestaat[[#This Row],[Ruimte code]],Ruimtegroepen[#All],2,FALSE)</f>
        <v>Trappenhuizen/lift</v>
      </c>
      <c r="M1099" s="212" t="s">
        <v>111</v>
      </c>
      <c r="N1099" s="257" t="s">
        <v>1064</v>
      </c>
      <c r="O1099" s="261">
        <v>20</v>
      </c>
      <c r="P1099" s="183"/>
      <c r="Q1099" s="212" t="str">
        <f>VLOOKUP(Ruimtestaat[[#This Row],[Ruimte code]],Ruimtegroepen[#All],4,FALSE)</f>
        <v>V  (Verkeersruimte)</v>
      </c>
      <c r="R1099" s="184"/>
      <c r="S1099" s="185">
        <v>40</v>
      </c>
      <c r="T1099" s="185" t="s">
        <v>2</v>
      </c>
      <c r="U1099" s="185">
        <f>IF(S1099&gt;0,IF(RIGHT(Ruimtestaat[[#This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9" s="185">
        <f>IF(U1099&gt;0,VLOOKUP($K1099,Ruimtegroepen[],3,FALSE)*VLOOKUP($M1099,Vloersoorten[],3,FALSE)*VLOOKUP($T1099,Frequenties[],3,FALSE)*VLOOKUP($A1099,Locaties[],3,FALSE),0)</f>
        <v>0</v>
      </c>
      <c r="W1099" s="185">
        <f>Ruimtestaat[[#This Row],[Uitvoeringen werkdagen]]*Ruimtestaat[[#This Row],[Oppervlak (netto)]]</f>
        <v>4000</v>
      </c>
      <c r="X1099" s="220">
        <f>IF(V1099&gt;0,Ruimtestaat[[#This Row],[Prest. (m2 /jaar) werkdagen]]/Ruimtestaat[[#This Row],[Norm (m2/uur) werkdagen]],0)</f>
        <v>0</v>
      </c>
      <c r="Y1099" s="221">
        <f>Ruimtestaat[[#This Row],[uren / jaar werkdagen]]*Tariefsopbouw!$D$38</f>
        <v>0</v>
      </c>
      <c r="Z1099" s="33"/>
      <c r="AA1099" s="33">
        <f>IF(Ruimtestaat[[#This Row],[Frequentie weekend]]&gt;0,VALUE(LEFT(Z1099,1))*S1099,0)</f>
        <v>0</v>
      </c>
      <c r="AB1099" s="33">
        <f>IF($AA1099&gt;0,VLOOKUP($K1099,Ruimtegroepen[],3,FALSE)*VLOOKUP($M1099,Vloersoorten[],3,FALSE)*VLOOKUP($Z1099,Frequenties[],3,FALSE)*VLOOKUP(#REF!,Locaties[],3,FALSE),0)</f>
        <v>0</v>
      </c>
      <c r="AC1099" s="33"/>
      <c r="AD1099" s="33"/>
      <c r="AE1099" s="33">
        <f>Ruimtestaat[[#This Row],[uren / jaar weekend]]*Tariefsopbouw!$D$40</f>
        <v>0</v>
      </c>
      <c r="AF1099" s="79">
        <f>Ruimtestaat[[#This Row],[Prest. (m2 /jaar) weekend]]+Ruimtestaat[[#This Row],[Prest. (m2 /jaar) werkdagen]]</f>
        <v>4000</v>
      </c>
      <c r="AG1099" s="79">
        <f>Ruimtestaat[[#This Row],[uren / jaar weekend]]+Ruimtestaat[[#This Row],[uren / jaar werkdagen]]</f>
        <v>0</v>
      </c>
      <c r="AH1099" s="80">
        <f>Ruimtestaat[[#This Row],[kosten / jaar weekend]]+Ruimtestaat[[#This Row],[kosten / jaar werkdagen]]</f>
        <v>0</v>
      </c>
    </row>
    <row r="1100" spans="1:34" ht="15" customHeight="1">
      <c r="A1100" s="256">
        <v>12</v>
      </c>
      <c r="B1100" s="171" t="str">
        <f>VLOOKUP(Ruimtestaat[[#This Row],[Code]],Locaties[#All],2,FALSE)</f>
        <v>Onderwijscentrum Het Roessingh &amp; De Huifkar</v>
      </c>
      <c r="C1100" s="258" t="str">
        <f>VLOOKUP(Ruimtestaat[[#This Row],[Code]],Locaties[#All],4,FALSE)</f>
        <v>Roessinghsbleekweg 35</v>
      </c>
      <c r="D1100" s="258" t="str">
        <f>VLOOKUP(Ruimtestaat[[#This Row],[Code]],Locaties[#All],5,FALSE)</f>
        <v>7522 AH</v>
      </c>
      <c r="E1100" s="258" t="str">
        <f>VLOOKUP(Ruimtestaat[[#This Row],[Code]],Locaties[#All],6,FALSE)</f>
        <v>Enschede</v>
      </c>
      <c r="F1100" s="257"/>
      <c r="G1100" s="257" t="s">
        <v>564</v>
      </c>
      <c r="H1100" s="171"/>
      <c r="I1100" s="257">
        <v>1185</v>
      </c>
      <c r="J1100" s="259" t="s">
        <v>585</v>
      </c>
      <c r="K1100" s="224">
        <v>20</v>
      </c>
      <c r="L1100" s="260" t="str">
        <f>VLOOKUP(Ruimtestaat[[#This Row],[Ruimte code]],Ruimtegroepen[#All],2,FALSE)</f>
        <v>Niet in onderhoud</v>
      </c>
      <c r="M1100" s="212" t="s">
        <v>112</v>
      </c>
      <c r="N1100" s="257" t="s">
        <v>776</v>
      </c>
      <c r="O1100" s="261"/>
      <c r="P1100" s="183">
        <v>7</v>
      </c>
      <c r="Q1100" s="212" t="str">
        <f>VLOOKUP(Ruimtestaat[[#This Row],[Ruimte code]],Ruimtegroepen[#All],4,FALSE)</f>
        <v>niet in onderhoud</v>
      </c>
      <c r="R1100" s="184"/>
      <c r="S1100" s="185"/>
      <c r="T1100" s="185"/>
      <c r="U1100" s="185">
        <f>IF(S1100&gt;0,IF(RIGHT(Ruimtestaat[[#This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00" s="185">
        <f>IF(U1100&gt;0,VLOOKUP($K1100,Ruimtegroepen[],3,FALSE)*VLOOKUP($M1100,Vloersoorten[],3,FALSE)*VLOOKUP($T1100,Frequenties[],3,FALSE)*VLOOKUP($A1100,Locaties[],3,FALSE),0)</f>
        <v>0</v>
      </c>
      <c r="W1100" s="185">
        <f>Ruimtestaat[[#This Row],[Uitvoeringen werkdagen]]*Ruimtestaat[[#This Row],[Oppervlak (netto)]]</f>
        <v>0</v>
      </c>
      <c r="X1100" s="220">
        <f>IF(V1100&gt;0,Ruimtestaat[[#This Row],[Prest. (m2 /jaar) werkdagen]]/Ruimtestaat[[#This Row],[Norm (m2/uur) werkdagen]],0)</f>
        <v>0</v>
      </c>
      <c r="Y1100" s="221">
        <f>Ruimtestaat[[#This Row],[uren / jaar werkdagen]]*Tariefsopbouw!$D$38</f>
        <v>0</v>
      </c>
      <c r="Z1100" s="33"/>
      <c r="AA1100" s="33">
        <f>IF(Ruimtestaat[[#This Row],[Frequentie weekend]]&gt;0,VALUE(LEFT(Z1100,1))*S1100,0)</f>
        <v>0</v>
      </c>
      <c r="AB1100" s="33">
        <f>IF($AA1100&gt;0,VLOOKUP($K1100,Ruimtegroepen[],3,FALSE)*VLOOKUP($M1100,Vloersoorten[],3,FALSE)*VLOOKUP($Z1100,Frequenties[],3,FALSE)*VLOOKUP(#REF!,Locaties[],3,FALSE),0)</f>
        <v>0</v>
      </c>
      <c r="AC1100" s="33"/>
      <c r="AD1100" s="33"/>
      <c r="AE1100" s="33">
        <f>Ruimtestaat[[#This Row],[uren / jaar weekend]]*Tariefsopbouw!$D$40</f>
        <v>0</v>
      </c>
      <c r="AF1100" s="79">
        <f>Ruimtestaat[[#This Row],[Prest. (m2 /jaar) weekend]]+Ruimtestaat[[#This Row],[Prest. (m2 /jaar) werkdagen]]</f>
        <v>0</v>
      </c>
      <c r="AG1100" s="79">
        <f>Ruimtestaat[[#This Row],[uren / jaar weekend]]+Ruimtestaat[[#This Row],[uren / jaar werkdagen]]</f>
        <v>0</v>
      </c>
      <c r="AH1100" s="80">
        <f>Ruimtestaat[[#This Row],[kosten / jaar weekend]]+Ruimtestaat[[#This Row],[kosten / jaar werkdagen]]</f>
        <v>0</v>
      </c>
    </row>
    <row r="1101" spans="1:34" ht="15" customHeight="1">
      <c r="A1101" s="256">
        <v>12</v>
      </c>
      <c r="B1101" s="171" t="str">
        <f>VLOOKUP(Ruimtestaat[[#This Row],[Code]],Locaties[#All],2,FALSE)</f>
        <v>Onderwijscentrum Het Roessingh &amp; De Huifkar</v>
      </c>
      <c r="C1101" s="258" t="str">
        <f>VLOOKUP(Ruimtestaat[[#This Row],[Code]],Locaties[#All],4,FALSE)</f>
        <v>Roessinghsbleekweg 35</v>
      </c>
      <c r="D1101" s="258" t="str">
        <f>VLOOKUP(Ruimtestaat[[#This Row],[Code]],Locaties[#All],5,FALSE)</f>
        <v>7522 AH</v>
      </c>
      <c r="E1101" s="258" t="str">
        <f>VLOOKUP(Ruimtestaat[[#This Row],[Code]],Locaties[#All],6,FALSE)</f>
        <v>Enschede</v>
      </c>
      <c r="F1101" s="257"/>
      <c r="G1101" s="257" t="s">
        <v>564</v>
      </c>
      <c r="H1101" s="171"/>
      <c r="I1101" s="257">
        <v>1186</v>
      </c>
      <c r="J1101" s="259" t="s">
        <v>977</v>
      </c>
      <c r="K1101" s="185">
        <v>9</v>
      </c>
      <c r="L1101" s="260" t="str">
        <f>VLOOKUP(Ruimtestaat[[#This Row],[Ruimte code]],Ruimtegroepen[#All],2,FALSE)</f>
        <v>Time-out ruimte</v>
      </c>
      <c r="M1101" s="258" t="s">
        <v>598</v>
      </c>
      <c r="N1101" s="257" t="s">
        <v>132</v>
      </c>
      <c r="O1101" s="261">
        <v>11</v>
      </c>
      <c r="P1101" s="183"/>
      <c r="Q1101" s="212" t="str">
        <f>VLOOKUP(Ruimtestaat[[#This Row],[Ruimte code]],Ruimtegroepen[#All],4,FALSE)</f>
        <v>V  (Verkeersruimte)</v>
      </c>
      <c r="R1101" s="184"/>
      <c r="S1101" s="185">
        <v>40</v>
      </c>
      <c r="T1101" s="185" t="s">
        <v>18</v>
      </c>
      <c r="U1101" s="185">
        <f>IF(S1101&gt;0,IF(RIGHT(Ruimtestaat[[#This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01" s="185">
        <f>IF(U1101&gt;0,VLOOKUP($K1101,Ruimtegroepen[],3,FALSE)*VLOOKUP($M1101,Vloersoorten[],3,FALSE)*VLOOKUP($T1101,Frequenties[],3,FALSE)*VLOOKUP($A1101,Locaties[],3,FALSE),0)</f>
        <v>0</v>
      </c>
      <c r="W1101" s="185">
        <f>Ruimtestaat[[#This Row],[Uitvoeringen werkdagen]]*Ruimtestaat[[#This Row],[Oppervlak (netto)]]</f>
        <v>1320</v>
      </c>
      <c r="X1101" s="220">
        <f>IF(V1101&gt;0,Ruimtestaat[[#This Row],[Prest. (m2 /jaar) werkdagen]]/Ruimtestaat[[#This Row],[Norm (m2/uur) werkdagen]],0)</f>
        <v>0</v>
      </c>
      <c r="Y1101" s="221">
        <f>Ruimtestaat[[#This Row],[uren / jaar werkdagen]]*Tariefsopbouw!$D$38</f>
        <v>0</v>
      </c>
      <c r="Z1101" s="33"/>
      <c r="AA1101" s="33">
        <f>IF(Ruimtestaat[[#This Row],[Frequentie weekend]]&gt;0,VALUE(LEFT(Z1101,1))*S1101,0)</f>
        <v>0</v>
      </c>
      <c r="AB1101" s="33">
        <f>IF($AA1101&gt;0,VLOOKUP($K1101,Ruimtegroepen[],3,FALSE)*VLOOKUP($M1101,Vloersoorten[],3,FALSE)*VLOOKUP($Z1101,Frequenties[],3,FALSE)*VLOOKUP(#REF!,Locaties[],3,FALSE),0)</f>
        <v>0</v>
      </c>
      <c r="AC1101" s="33"/>
      <c r="AD1101" s="33"/>
      <c r="AE1101" s="33">
        <f>Ruimtestaat[[#This Row],[uren / jaar weekend]]*Tariefsopbouw!$D$40</f>
        <v>0</v>
      </c>
      <c r="AF1101" s="79">
        <f>Ruimtestaat[[#This Row],[Prest. (m2 /jaar) weekend]]+Ruimtestaat[[#This Row],[Prest. (m2 /jaar) werkdagen]]</f>
        <v>1320</v>
      </c>
      <c r="AG1101" s="79">
        <f>Ruimtestaat[[#This Row],[uren / jaar weekend]]+Ruimtestaat[[#This Row],[uren / jaar werkdagen]]</f>
        <v>0</v>
      </c>
      <c r="AH1101" s="80">
        <f>Ruimtestaat[[#This Row],[kosten / jaar weekend]]+Ruimtestaat[[#This Row],[kosten / jaar werkdagen]]</f>
        <v>0</v>
      </c>
    </row>
    <row r="1102" spans="1:34" ht="15" customHeight="1">
      <c r="A1102" s="256">
        <v>12</v>
      </c>
      <c r="B1102" s="171" t="str">
        <f>VLOOKUP(Ruimtestaat[[#This Row],[Code]],Locaties[#All],2,FALSE)</f>
        <v>Onderwijscentrum Het Roessingh &amp; De Huifkar</v>
      </c>
      <c r="C1102" s="258" t="str">
        <f>VLOOKUP(Ruimtestaat[[#This Row],[Code]],Locaties[#All],4,FALSE)</f>
        <v>Roessinghsbleekweg 35</v>
      </c>
      <c r="D1102" s="258" t="str">
        <f>VLOOKUP(Ruimtestaat[[#This Row],[Code]],Locaties[#All],5,FALSE)</f>
        <v>7522 AH</v>
      </c>
      <c r="E1102" s="258" t="str">
        <f>VLOOKUP(Ruimtestaat[[#This Row],[Code]],Locaties[#All],6,FALSE)</f>
        <v>Enschede</v>
      </c>
      <c r="F1102" s="257"/>
      <c r="G1102" s="257" t="s">
        <v>564</v>
      </c>
      <c r="H1102" s="171"/>
      <c r="I1102" s="257">
        <v>1187</v>
      </c>
      <c r="J1102" s="259" t="s">
        <v>571</v>
      </c>
      <c r="K1102" s="171">
        <v>2</v>
      </c>
      <c r="L1102" s="260" t="str">
        <f>VLOOKUP(Ruimtestaat[[#This Row],[Ruimte code]],Ruimtegroepen[#All],2,FALSE)</f>
        <v>Kantoren</v>
      </c>
      <c r="M1102" s="258" t="s">
        <v>598</v>
      </c>
      <c r="N1102" s="257" t="s">
        <v>132</v>
      </c>
      <c r="O1102" s="261">
        <v>12</v>
      </c>
      <c r="P1102" s="183"/>
      <c r="Q1102" s="212" t="str">
        <f>VLOOKUP(Ruimtestaat[[#This Row],[Ruimte code]],Ruimtegroepen[#All],4,FALSE)</f>
        <v>B  (Bureauruimte)</v>
      </c>
      <c r="R1102" s="184"/>
      <c r="S1102" s="185">
        <v>40</v>
      </c>
      <c r="T1102" s="185" t="s">
        <v>2</v>
      </c>
      <c r="U1102" s="185">
        <f>IF(S1102&gt;0,IF(RIGHT(Ruimtestaat[[#This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2" s="185">
        <f>IF(U1102&gt;0,VLOOKUP($K1102,Ruimtegroepen[],3,FALSE)*VLOOKUP($M1102,Vloersoorten[],3,FALSE)*VLOOKUP($T1102,Frequenties[],3,FALSE)*VLOOKUP($A1102,Locaties[],3,FALSE),0)</f>
        <v>0</v>
      </c>
      <c r="W1102" s="185">
        <f>Ruimtestaat[[#This Row],[Uitvoeringen werkdagen]]*Ruimtestaat[[#This Row],[Oppervlak (netto)]]</f>
        <v>2400</v>
      </c>
      <c r="X1102" s="220">
        <f>IF(V1102&gt;0,Ruimtestaat[[#This Row],[Prest. (m2 /jaar) werkdagen]]/Ruimtestaat[[#This Row],[Norm (m2/uur) werkdagen]],0)</f>
        <v>0</v>
      </c>
      <c r="Y1102" s="221">
        <f>Ruimtestaat[[#This Row],[uren / jaar werkdagen]]*Tariefsopbouw!$D$38</f>
        <v>0</v>
      </c>
      <c r="Z1102" s="33"/>
      <c r="AA1102" s="33">
        <f>IF(Ruimtestaat[[#This Row],[Frequentie weekend]]&gt;0,VALUE(LEFT(Z1102,1))*S1102,0)</f>
        <v>0</v>
      </c>
      <c r="AB1102" s="33">
        <f>IF($AA1102&gt;0,VLOOKUP($K1102,Ruimtegroepen[],3,FALSE)*VLOOKUP($M1102,Vloersoorten[],3,FALSE)*VLOOKUP($Z1102,Frequenties[],3,FALSE)*VLOOKUP(#REF!,Locaties[],3,FALSE),0)</f>
        <v>0</v>
      </c>
      <c r="AC1102" s="33"/>
      <c r="AD1102" s="33"/>
      <c r="AE1102" s="33">
        <f>Ruimtestaat[[#This Row],[uren / jaar weekend]]*Tariefsopbouw!$D$40</f>
        <v>0</v>
      </c>
      <c r="AF1102" s="79">
        <f>Ruimtestaat[[#This Row],[Prest. (m2 /jaar) weekend]]+Ruimtestaat[[#This Row],[Prest. (m2 /jaar) werkdagen]]</f>
        <v>2400</v>
      </c>
      <c r="AG1102" s="79">
        <f>Ruimtestaat[[#This Row],[uren / jaar weekend]]+Ruimtestaat[[#This Row],[uren / jaar werkdagen]]</f>
        <v>0</v>
      </c>
      <c r="AH1102" s="80">
        <f>Ruimtestaat[[#This Row],[kosten / jaar weekend]]+Ruimtestaat[[#This Row],[kosten / jaar werkdagen]]</f>
        <v>0</v>
      </c>
    </row>
    <row r="1103" spans="1:34" ht="15" customHeight="1">
      <c r="A1103" s="256">
        <v>12</v>
      </c>
      <c r="B1103" s="171" t="str">
        <f>VLOOKUP(Ruimtestaat[[#This Row],[Code]],Locaties[#All],2,FALSE)</f>
        <v>Onderwijscentrum Het Roessingh &amp; De Huifkar</v>
      </c>
      <c r="C1103" s="258" t="str">
        <f>VLOOKUP(Ruimtestaat[[#This Row],[Code]],Locaties[#All],4,FALSE)</f>
        <v>Roessinghsbleekweg 35</v>
      </c>
      <c r="D1103" s="258" t="str">
        <f>VLOOKUP(Ruimtestaat[[#This Row],[Code]],Locaties[#All],5,FALSE)</f>
        <v>7522 AH</v>
      </c>
      <c r="E1103" s="258" t="str">
        <f>VLOOKUP(Ruimtestaat[[#This Row],[Code]],Locaties[#All],6,FALSE)</f>
        <v>Enschede</v>
      </c>
      <c r="F1103" s="257"/>
      <c r="G1103" s="257" t="s">
        <v>564</v>
      </c>
      <c r="H1103" s="171"/>
      <c r="I1103" s="257">
        <v>1188</v>
      </c>
      <c r="J1103" s="259" t="s">
        <v>576</v>
      </c>
      <c r="K1103" s="171">
        <v>16</v>
      </c>
      <c r="L1103" s="260" t="str">
        <f>VLOOKUP(Ruimtestaat[[#This Row],[Ruimte code]],Ruimtegroepen[#All],2,FALSE)</f>
        <v>Leslokalen</v>
      </c>
      <c r="M1103" s="185" t="s">
        <v>598</v>
      </c>
      <c r="N1103" s="257" t="s">
        <v>132</v>
      </c>
      <c r="O1103" s="261">
        <v>60</v>
      </c>
      <c r="P1103" s="183"/>
      <c r="Q1103" s="212" t="str">
        <f>VLOOKUP(Ruimtestaat[[#This Row],[Ruimte code]],Ruimtegroepen[#All],4,FALSE)</f>
        <v>L  (Lesruimte)</v>
      </c>
      <c r="R1103" s="184"/>
      <c r="S1103" s="185">
        <v>40</v>
      </c>
      <c r="T1103" s="185" t="s">
        <v>2</v>
      </c>
      <c r="U1103" s="185">
        <f>IF(S1103&gt;0,IF(RIGHT(Ruimtestaat[[#This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3" s="185">
        <f>IF(U1103&gt;0,VLOOKUP($K1103,Ruimtegroepen[],3,FALSE)*VLOOKUP($M1103,Vloersoorten[],3,FALSE)*VLOOKUP($T1103,Frequenties[],3,FALSE)*VLOOKUP($A1103,Locaties[],3,FALSE),0)</f>
        <v>0</v>
      </c>
      <c r="W1103" s="185">
        <f>Ruimtestaat[[#This Row],[Uitvoeringen werkdagen]]*Ruimtestaat[[#This Row],[Oppervlak (netto)]]</f>
        <v>12000</v>
      </c>
      <c r="X1103" s="220">
        <f>IF(V1103&gt;0,Ruimtestaat[[#This Row],[Prest. (m2 /jaar) werkdagen]]/Ruimtestaat[[#This Row],[Norm (m2/uur) werkdagen]],0)</f>
        <v>0</v>
      </c>
      <c r="Y1103" s="221">
        <f>Ruimtestaat[[#This Row],[uren / jaar werkdagen]]*Tariefsopbouw!$D$38</f>
        <v>0</v>
      </c>
      <c r="Z1103" s="33"/>
      <c r="AA1103" s="33">
        <f>IF(Ruimtestaat[[#This Row],[Frequentie weekend]]&gt;0,VALUE(LEFT(Z1103,1))*S1103,0)</f>
        <v>0</v>
      </c>
      <c r="AB1103" s="33">
        <f>IF($AA1103&gt;0,VLOOKUP($K1103,Ruimtegroepen[],3,FALSE)*VLOOKUP($M1103,Vloersoorten[],3,FALSE)*VLOOKUP($Z1103,Frequenties[],3,FALSE)*VLOOKUP(#REF!,Locaties[],3,FALSE),0)</f>
        <v>0</v>
      </c>
      <c r="AC1103" s="33"/>
      <c r="AD1103" s="33"/>
      <c r="AE1103" s="33">
        <f>Ruimtestaat[[#This Row],[uren / jaar weekend]]*Tariefsopbouw!$D$40</f>
        <v>0</v>
      </c>
      <c r="AF1103" s="79">
        <f>Ruimtestaat[[#This Row],[Prest. (m2 /jaar) weekend]]+Ruimtestaat[[#This Row],[Prest. (m2 /jaar) werkdagen]]</f>
        <v>12000</v>
      </c>
      <c r="AG1103" s="79">
        <f>Ruimtestaat[[#This Row],[uren / jaar weekend]]+Ruimtestaat[[#This Row],[uren / jaar werkdagen]]</f>
        <v>0</v>
      </c>
      <c r="AH1103" s="80">
        <f>Ruimtestaat[[#This Row],[kosten / jaar weekend]]+Ruimtestaat[[#This Row],[kosten / jaar werkdagen]]</f>
        <v>0</v>
      </c>
    </row>
    <row r="1104" spans="1:34" ht="15" customHeight="1">
      <c r="A1104" s="256">
        <v>12</v>
      </c>
      <c r="B1104" s="171" t="str">
        <f>VLOOKUP(Ruimtestaat[[#This Row],[Code]],Locaties[#All],2,FALSE)</f>
        <v>Onderwijscentrum Het Roessingh &amp; De Huifkar</v>
      </c>
      <c r="C1104" s="258" t="str">
        <f>VLOOKUP(Ruimtestaat[[#This Row],[Code]],Locaties[#All],4,FALSE)</f>
        <v>Roessinghsbleekweg 35</v>
      </c>
      <c r="D1104" s="258" t="str">
        <f>VLOOKUP(Ruimtestaat[[#This Row],[Code]],Locaties[#All],5,FALSE)</f>
        <v>7522 AH</v>
      </c>
      <c r="E1104" s="258" t="str">
        <f>VLOOKUP(Ruimtestaat[[#This Row],[Code]],Locaties[#All],6,FALSE)</f>
        <v>Enschede</v>
      </c>
      <c r="F1104" s="257"/>
      <c r="G1104" s="257" t="s">
        <v>564</v>
      </c>
      <c r="H1104" s="171"/>
      <c r="I1104" s="257">
        <v>1189</v>
      </c>
      <c r="J1104" s="259" t="s">
        <v>571</v>
      </c>
      <c r="K1104" s="258">
        <v>2</v>
      </c>
      <c r="L1104" s="260" t="str">
        <f>VLOOKUP(Ruimtestaat[[#This Row],[Ruimte code]],Ruimtegroepen[#All],2,FALSE)</f>
        <v>Kantoren</v>
      </c>
      <c r="M1104" s="185" t="s">
        <v>598</v>
      </c>
      <c r="N1104" s="257" t="s">
        <v>132</v>
      </c>
      <c r="O1104" s="261">
        <v>14</v>
      </c>
      <c r="P1104" s="183"/>
      <c r="Q1104" s="212" t="str">
        <f>VLOOKUP(Ruimtestaat[[#This Row],[Ruimte code]],Ruimtegroepen[#All],4,FALSE)</f>
        <v>B  (Bureauruimte)</v>
      </c>
      <c r="R1104" s="184"/>
      <c r="S1104" s="185">
        <v>40</v>
      </c>
      <c r="T1104" s="185" t="s">
        <v>2</v>
      </c>
      <c r="U1104" s="185">
        <f>IF(S1104&gt;0,IF(RIGHT(Ruimtestaat[[#This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4" s="185">
        <f>IF(U1104&gt;0,VLOOKUP($K1104,Ruimtegroepen[],3,FALSE)*VLOOKUP($M1104,Vloersoorten[],3,FALSE)*VLOOKUP($T1104,Frequenties[],3,FALSE)*VLOOKUP($A1104,Locaties[],3,FALSE),0)</f>
        <v>0</v>
      </c>
      <c r="W1104" s="185">
        <f>Ruimtestaat[[#This Row],[Uitvoeringen werkdagen]]*Ruimtestaat[[#This Row],[Oppervlak (netto)]]</f>
        <v>2800</v>
      </c>
      <c r="X1104" s="220">
        <f>IF(V1104&gt;0,Ruimtestaat[[#This Row],[Prest. (m2 /jaar) werkdagen]]/Ruimtestaat[[#This Row],[Norm (m2/uur) werkdagen]],0)</f>
        <v>0</v>
      </c>
      <c r="Y1104" s="221">
        <f>Ruimtestaat[[#This Row],[uren / jaar werkdagen]]*Tariefsopbouw!$D$38</f>
        <v>0</v>
      </c>
      <c r="Z1104" s="33"/>
      <c r="AA1104" s="33">
        <f>IF(Ruimtestaat[[#This Row],[Frequentie weekend]]&gt;0,VALUE(LEFT(Z1104,1))*S1104,0)</f>
        <v>0</v>
      </c>
      <c r="AB1104" s="33">
        <f>IF($AA1104&gt;0,VLOOKUP($K1104,Ruimtegroepen[],3,FALSE)*VLOOKUP($M1104,Vloersoorten[],3,FALSE)*VLOOKUP($Z1104,Frequenties[],3,FALSE)*VLOOKUP(#REF!,Locaties[],3,FALSE),0)</f>
        <v>0</v>
      </c>
      <c r="AC1104" s="33"/>
      <c r="AD1104" s="33"/>
      <c r="AE1104" s="33">
        <f>Ruimtestaat[[#This Row],[uren / jaar weekend]]*Tariefsopbouw!$D$40</f>
        <v>0</v>
      </c>
      <c r="AF1104" s="79">
        <f>Ruimtestaat[[#This Row],[Prest. (m2 /jaar) weekend]]+Ruimtestaat[[#This Row],[Prest. (m2 /jaar) werkdagen]]</f>
        <v>2800</v>
      </c>
      <c r="AG1104" s="79">
        <f>Ruimtestaat[[#This Row],[uren / jaar weekend]]+Ruimtestaat[[#This Row],[uren / jaar werkdagen]]</f>
        <v>0</v>
      </c>
      <c r="AH1104" s="80">
        <f>Ruimtestaat[[#This Row],[kosten / jaar weekend]]+Ruimtestaat[[#This Row],[kosten / jaar werkdagen]]</f>
        <v>0</v>
      </c>
    </row>
    <row r="1105" spans="1:34" ht="15" customHeight="1">
      <c r="A1105" s="256">
        <v>12</v>
      </c>
      <c r="B1105" s="171" t="str">
        <f>VLOOKUP(Ruimtestaat[[#This Row],[Code]],Locaties[#All],2,FALSE)</f>
        <v>Onderwijscentrum Het Roessingh &amp; De Huifkar</v>
      </c>
      <c r="C1105" s="258" t="str">
        <f>VLOOKUP(Ruimtestaat[[#This Row],[Code]],Locaties[#All],4,FALSE)</f>
        <v>Roessinghsbleekweg 35</v>
      </c>
      <c r="D1105" s="258" t="str">
        <f>VLOOKUP(Ruimtestaat[[#This Row],[Code]],Locaties[#All],5,FALSE)</f>
        <v>7522 AH</v>
      </c>
      <c r="E1105" s="258" t="str">
        <f>VLOOKUP(Ruimtestaat[[#This Row],[Code]],Locaties[#All],6,FALSE)</f>
        <v>Enschede</v>
      </c>
      <c r="F1105" s="257"/>
      <c r="G1105" s="257" t="s">
        <v>564</v>
      </c>
      <c r="H1105" s="171"/>
      <c r="I1105" s="257">
        <v>1190</v>
      </c>
      <c r="J1105" s="259" t="s">
        <v>770</v>
      </c>
      <c r="K1105" s="171">
        <v>5</v>
      </c>
      <c r="L1105" s="260" t="str">
        <f>VLOOKUP(Ruimtestaat[[#This Row],[Ruimte code]],Ruimtegroepen[#All],2,FALSE)</f>
        <v>Sanitair</v>
      </c>
      <c r="M1105" s="212" t="s">
        <v>111</v>
      </c>
      <c r="N1105" s="257" t="s">
        <v>606</v>
      </c>
      <c r="O1105" s="261">
        <v>15</v>
      </c>
      <c r="P1105" s="183"/>
      <c r="Q1105" s="212" t="str">
        <f>VLOOKUP(Ruimtestaat[[#This Row],[Ruimte code]],Ruimtegroepen[#All],4,FALSE)</f>
        <v>S  (Sanitair)</v>
      </c>
      <c r="R1105" s="184"/>
      <c r="S1105" s="185">
        <v>40</v>
      </c>
      <c r="T1105" s="185" t="s">
        <v>2</v>
      </c>
      <c r="U1105" s="185">
        <f>IF(S1105&gt;0,IF(RIGHT(Ruimtestaat[[#This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5" s="185">
        <f>IF(U1105&gt;0,VLOOKUP($K1105,Ruimtegroepen[],3,FALSE)*VLOOKUP($M1105,Vloersoorten[],3,FALSE)*VLOOKUP($T1105,Frequenties[],3,FALSE)*VLOOKUP($A1105,Locaties[],3,FALSE),0)</f>
        <v>0</v>
      </c>
      <c r="W1105" s="185">
        <f>Ruimtestaat[[#This Row],[Uitvoeringen werkdagen]]*Ruimtestaat[[#This Row],[Oppervlak (netto)]]</f>
        <v>3000</v>
      </c>
      <c r="X1105" s="220">
        <f>IF(V1105&gt;0,Ruimtestaat[[#This Row],[Prest. (m2 /jaar) werkdagen]]/Ruimtestaat[[#This Row],[Norm (m2/uur) werkdagen]],0)</f>
        <v>0</v>
      </c>
      <c r="Y1105" s="221">
        <f>Ruimtestaat[[#This Row],[uren / jaar werkdagen]]*Tariefsopbouw!$D$38</f>
        <v>0</v>
      </c>
      <c r="Z1105" s="33"/>
      <c r="AA1105" s="33">
        <f>IF(Ruimtestaat[[#This Row],[Frequentie weekend]]&gt;0,VALUE(LEFT(Z1105,1))*S1105,0)</f>
        <v>0</v>
      </c>
      <c r="AB1105" s="33">
        <f>IF($AA1105&gt;0,VLOOKUP($K1105,Ruimtegroepen[],3,FALSE)*VLOOKUP($M1105,Vloersoorten[],3,FALSE)*VLOOKUP($Z1105,Frequenties[],3,FALSE)*VLOOKUP(#REF!,Locaties[],3,FALSE),0)</f>
        <v>0</v>
      </c>
      <c r="AC1105" s="33"/>
      <c r="AD1105" s="33"/>
      <c r="AE1105" s="33">
        <f>Ruimtestaat[[#This Row],[uren / jaar weekend]]*Tariefsopbouw!$D$40</f>
        <v>0</v>
      </c>
      <c r="AF1105" s="79">
        <f>Ruimtestaat[[#This Row],[Prest. (m2 /jaar) weekend]]+Ruimtestaat[[#This Row],[Prest. (m2 /jaar) werkdagen]]</f>
        <v>3000</v>
      </c>
      <c r="AG1105" s="79">
        <f>Ruimtestaat[[#This Row],[uren / jaar weekend]]+Ruimtestaat[[#This Row],[uren / jaar werkdagen]]</f>
        <v>0</v>
      </c>
      <c r="AH1105" s="80">
        <f>Ruimtestaat[[#This Row],[kosten / jaar weekend]]+Ruimtestaat[[#This Row],[kosten / jaar werkdagen]]</f>
        <v>0</v>
      </c>
    </row>
    <row r="1106" spans="1:34" ht="15" customHeight="1">
      <c r="A1106" s="256">
        <v>12</v>
      </c>
      <c r="B1106" s="171" t="str">
        <f>VLOOKUP(Ruimtestaat[[#This Row],[Code]],Locaties[#All],2,FALSE)</f>
        <v>Onderwijscentrum Het Roessingh &amp; De Huifkar</v>
      </c>
      <c r="C1106" s="258" t="str">
        <f>VLOOKUP(Ruimtestaat[[#This Row],[Code]],Locaties[#All],4,FALSE)</f>
        <v>Roessinghsbleekweg 35</v>
      </c>
      <c r="D1106" s="258" t="str">
        <f>VLOOKUP(Ruimtestaat[[#This Row],[Code]],Locaties[#All],5,FALSE)</f>
        <v>7522 AH</v>
      </c>
      <c r="E1106" s="258" t="str">
        <f>VLOOKUP(Ruimtestaat[[#This Row],[Code]],Locaties[#All],6,FALSE)</f>
        <v>Enschede</v>
      </c>
      <c r="F1106" s="257"/>
      <c r="G1106" s="257" t="s">
        <v>564</v>
      </c>
      <c r="H1106" s="171"/>
      <c r="I1106" s="257">
        <v>1191</v>
      </c>
      <c r="J1106" s="259" t="s">
        <v>569</v>
      </c>
      <c r="K1106" s="171">
        <v>5</v>
      </c>
      <c r="L1106" s="260" t="str">
        <f>VLOOKUP(Ruimtestaat[[#This Row],[Ruimte code]],Ruimtegroepen[#All],2,FALSE)</f>
        <v>Sanitair</v>
      </c>
      <c r="M1106" s="212" t="s">
        <v>111</v>
      </c>
      <c r="N1106" s="257" t="s">
        <v>606</v>
      </c>
      <c r="O1106" s="261">
        <v>1.8</v>
      </c>
      <c r="P1106" s="183"/>
      <c r="Q1106" s="212" t="str">
        <f>VLOOKUP(Ruimtestaat[[#This Row],[Ruimte code]],Ruimtegroepen[#All],4,FALSE)</f>
        <v>S  (Sanitair)</v>
      </c>
      <c r="R1106" s="184"/>
      <c r="S1106" s="185">
        <v>40</v>
      </c>
      <c r="T1106" s="185" t="s">
        <v>2</v>
      </c>
      <c r="U1106" s="185">
        <f>IF(S1106&gt;0,IF(RIGHT(Ruimtestaat[[#This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6" s="185">
        <f>IF(U1106&gt;0,VLOOKUP($K1106,Ruimtegroepen[],3,FALSE)*VLOOKUP($M1106,Vloersoorten[],3,FALSE)*VLOOKUP($T1106,Frequenties[],3,FALSE)*VLOOKUP($A1106,Locaties[],3,FALSE),0)</f>
        <v>0</v>
      </c>
      <c r="W1106" s="185">
        <f>Ruimtestaat[[#This Row],[Uitvoeringen werkdagen]]*Ruimtestaat[[#This Row],[Oppervlak (netto)]]</f>
        <v>360</v>
      </c>
      <c r="X1106" s="220">
        <f>IF(V1106&gt;0,Ruimtestaat[[#This Row],[Prest. (m2 /jaar) werkdagen]]/Ruimtestaat[[#This Row],[Norm (m2/uur) werkdagen]],0)</f>
        <v>0</v>
      </c>
      <c r="Y1106" s="221">
        <f>Ruimtestaat[[#This Row],[uren / jaar werkdagen]]*Tariefsopbouw!$D$38</f>
        <v>0</v>
      </c>
      <c r="Z1106" s="33"/>
      <c r="AA1106" s="33">
        <f>IF(Ruimtestaat[[#This Row],[Frequentie weekend]]&gt;0,VALUE(LEFT(Z1106,1))*S1106,0)</f>
        <v>0</v>
      </c>
      <c r="AB1106" s="33">
        <f>IF($AA1106&gt;0,VLOOKUP($K1106,Ruimtegroepen[],3,FALSE)*VLOOKUP($M1106,Vloersoorten[],3,FALSE)*VLOOKUP($Z1106,Frequenties[],3,FALSE)*VLOOKUP(#REF!,Locaties[],3,FALSE),0)</f>
        <v>0</v>
      </c>
      <c r="AC1106" s="33"/>
      <c r="AD1106" s="33"/>
      <c r="AE1106" s="33">
        <f>Ruimtestaat[[#This Row],[uren / jaar weekend]]*Tariefsopbouw!$D$40</f>
        <v>0</v>
      </c>
      <c r="AF1106" s="79">
        <f>Ruimtestaat[[#This Row],[Prest. (m2 /jaar) weekend]]+Ruimtestaat[[#This Row],[Prest. (m2 /jaar) werkdagen]]</f>
        <v>360</v>
      </c>
      <c r="AG1106" s="79">
        <f>Ruimtestaat[[#This Row],[uren / jaar weekend]]+Ruimtestaat[[#This Row],[uren / jaar werkdagen]]</f>
        <v>0</v>
      </c>
      <c r="AH1106" s="80">
        <f>Ruimtestaat[[#This Row],[kosten / jaar weekend]]+Ruimtestaat[[#This Row],[kosten / jaar werkdagen]]</f>
        <v>0</v>
      </c>
    </row>
    <row r="1107" spans="1:34" ht="15" customHeight="1">
      <c r="A1107" s="256">
        <v>12</v>
      </c>
      <c r="B1107" s="171" t="str">
        <f>VLOOKUP(Ruimtestaat[[#This Row],[Code]],Locaties[#All],2,FALSE)</f>
        <v>Onderwijscentrum Het Roessingh &amp; De Huifkar</v>
      </c>
      <c r="C1107" s="258" t="str">
        <f>VLOOKUP(Ruimtestaat[[#This Row],[Code]],Locaties[#All],4,FALSE)</f>
        <v>Roessinghsbleekweg 35</v>
      </c>
      <c r="D1107" s="258" t="str">
        <f>VLOOKUP(Ruimtestaat[[#This Row],[Code]],Locaties[#All],5,FALSE)</f>
        <v>7522 AH</v>
      </c>
      <c r="E1107" s="258" t="str">
        <f>VLOOKUP(Ruimtestaat[[#This Row],[Code]],Locaties[#All],6,FALSE)</f>
        <v>Enschede</v>
      </c>
      <c r="F1107" s="257"/>
      <c r="G1107" s="257" t="s">
        <v>564</v>
      </c>
      <c r="H1107" s="171"/>
      <c r="I1107" s="257">
        <v>1192</v>
      </c>
      <c r="J1107" s="259" t="s">
        <v>569</v>
      </c>
      <c r="K1107" s="171">
        <v>5</v>
      </c>
      <c r="L1107" s="260" t="str">
        <f>VLOOKUP(Ruimtestaat[[#This Row],[Ruimte code]],Ruimtegroepen[#All],2,FALSE)</f>
        <v>Sanitair</v>
      </c>
      <c r="M1107" s="212" t="s">
        <v>111</v>
      </c>
      <c r="N1107" s="257" t="s">
        <v>606</v>
      </c>
      <c r="O1107" s="261">
        <v>1.8</v>
      </c>
      <c r="P1107" s="183"/>
      <c r="Q1107" s="212" t="str">
        <f>VLOOKUP(Ruimtestaat[[#This Row],[Ruimte code]],Ruimtegroepen[#All],4,FALSE)</f>
        <v>S  (Sanitair)</v>
      </c>
      <c r="R1107" s="184"/>
      <c r="S1107" s="185">
        <v>40</v>
      </c>
      <c r="T1107" s="185" t="s">
        <v>2</v>
      </c>
      <c r="U1107" s="185">
        <f>IF(S1107&gt;0,IF(RIGHT(Ruimtestaat[[#This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7" s="185">
        <f>IF(U1107&gt;0,VLOOKUP($K1107,Ruimtegroepen[],3,FALSE)*VLOOKUP($M1107,Vloersoorten[],3,FALSE)*VLOOKUP($T1107,Frequenties[],3,FALSE)*VLOOKUP($A1107,Locaties[],3,FALSE),0)</f>
        <v>0</v>
      </c>
      <c r="W1107" s="185">
        <f>Ruimtestaat[[#This Row],[Uitvoeringen werkdagen]]*Ruimtestaat[[#This Row],[Oppervlak (netto)]]</f>
        <v>360</v>
      </c>
      <c r="X1107" s="220">
        <f>IF(V1107&gt;0,Ruimtestaat[[#This Row],[Prest. (m2 /jaar) werkdagen]]/Ruimtestaat[[#This Row],[Norm (m2/uur) werkdagen]],0)</f>
        <v>0</v>
      </c>
      <c r="Y1107" s="221">
        <f>Ruimtestaat[[#This Row],[uren / jaar werkdagen]]*Tariefsopbouw!$D$38</f>
        <v>0</v>
      </c>
      <c r="Z1107" s="33"/>
      <c r="AA1107" s="33">
        <f>IF(Ruimtestaat[[#This Row],[Frequentie weekend]]&gt;0,VALUE(LEFT(Z1107,1))*S1107,0)</f>
        <v>0</v>
      </c>
      <c r="AB1107" s="33">
        <f>IF($AA1107&gt;0,VLOOKUP($K1107,Ruimtegroepen[],3,FALSE)*VLOOKUP($M1107,Vloersoorten[],3,FALSE)*VLOOKUP($Z1107,Frequenties[],3,FALSE)*VLOOKUP(#REF!,Locaties[],3,FALSE),0)</f>
        <v>0</v>
      </c>
      <c r="AC1107" s="33"/>
      <c r="AD1107" s="33"/>
      <c r="AE1107" s="33">
        <f>Ruimtestaat[[#This Row],[uren / jaar weekend]]*Tariefsopbouw!$D$40</f>
        <v>0</v>
      </c>
      <c r="AF1107" s="79">
        <f>Ruimtestaat[[#This Row],[Prest. (m2 /jaar) weekend]]+Ruimtestaat[[#This Row],[Prest. (m2 /jaar) werkdagen]]</f>
        <v>360</v>
      </c>
      <c r="AG1107" s="79">
        <f>Ruimtestaat[[#This Row],[uren / jaar weekend]]+Ruimtestaat[[#This Row],[uren / jaar werkdagen]]</f>
        <v>0</v>
      </c>
      <c r="AH1107" s="80">
        <f>Ruimtestaat[[#This Row],[kosten / jaar weekend]]+Ruimtestaat[[#This Row],[kosten / jaar werkdagen]]</f>
        <v>0</v>
      </c>
    </row>
    <row r="1108" spans="1:34" ht="15" customHeight="1">
      <c r="A1108" s="256">
        <v>12</v>
      </c>
      <c r="B1108" s="171" t="str">
        <f>VLOOKUP(Ruimtestaat[[#This Row],[Code]],Locaties[#All],2,FALSE)</f>
        <v>Onderwijscentrum Het Roessingh &amp; De Huifkar</v>
      </c>
      <c r="C1108" s="258" t="str">
        <f>VLOOKUP(Ruimtestaat[[#This Row],[Code]],Locaties[#All],4,FALSE)</f>
        <v>Roessinghsbleekweg 35</v>
      </c>
      <c r="D1108" s="258" t="str">
        <f>VLOOKUP(Ruimtestaat[[#This Row],[Code]],Locaties[#All],5,FALSE)</f>
        <v>7522 AH</v>
      </c>
      <c r="E1108" s="258" t="str">
        <f>VLOOKUP(Ruimtestaat[[#This Row],[Code]],Locaties[#All],6,FALSE)</f>
        <v>Enschede</v>
      </c>
      <c r="F1108" s="257"/>
      <c r="G1108" s="257" t="s">
        <v>564</v>
      </c>
      <c r="H1108" s="171"/>
      <c r="I1108" s="257">
        <v>1193</v>
      </c>
      <c r="J1108" s="259" t="s">
        <v>591</v>
      </c>
      <c r="K1108" s="171">
        <v>4</v>
      </c>
      <c r="L1108" s="260" t="str">
        <f>VLOOKUP(Ruimtestaat[[#This Row],[Ruimte code]],Ruimtegroepen[#All],2,FALSE)</f>
        <v>Vergader/spreekkamers</v>
      </c>
      <c r="M1108" s="258" t="s">
        <v>597</v>
      </c>
      <c r="N1108" s="257" t="s">
        <v>38</v>
      </c>
      <c r="O1108" s="261">
        <v>64</v>
      </c>
      <c r="P1108" s="183"/>
      <c r="Q1108" s="212" t="str">
        <f>VLOOKUP(Ruimtestaat[[#This Row],[Ruimte code]],Ruimtegroepen[#All],4,FALSE)</f>
        <v>B  (Bureauruimte)</v>
      </c>
      <c r="R1108" s="184"/>
      <c r="S1108" s="185">
        <v>40</v>
      </c>
      <c r="T1108" s="185" t="s">
        <v>18</v>
      </c>
      <c r="U1108" s="185">
        <f>IF(S1108&gt;0,IF(RIGHT(Ruimtestaat[[#This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08" s="185">
        <f>IF(U1108&gt;0,VLOOKUP($K1108,Ruimtegroepen[],3,FALSE)*VLOOKUP($M1108,Vloersoorten[],3,FALSE)*VLOOKUP($T1108,Frequenties[],3,FALSE)*VLOOKUP($A1108,Locaties[],3,FALSE),0)</f>
        <v>0</v>
      </c>
      <c r="W1108" s="185">
        <f>Ruimtestaat[[#This Row],[Uitvoeringen werkdagen]]*Ruimtestaat[[#This Row],[Oppervlak (netto)]]</f>
        <v>7680</v>
      </c>
      <c r="X1108" s="220">
        <f>IF(V1108&gt;0,Ruimtestaat[[#This Row],[Prest. (m2 /jaar) werkdagen]]/Ruimtestaat[[#This Row],[Norm (m2/uur) werkdagen]],0)</f>
        <v>0</v>
      </c>
      <c r="Y1108" s="221">
        <f>Ruimtestaat[[#This Row],[uren / jaar werkdagen]]*Tariefsopbouw!$D$38</f>
        <v>0</v>
      </c>
      <c r="Z1108" s="33"/>
      <c r="AA1108" s="33">
        <f>IF(Ruimtestaat[[#This Row],[Frequentie weekend]]&gt;0,VALUE(LEFT(Z1108,1))*S1108,0)</f>
        <v>0</v>
      </c>
      <c r="AB1108" s="33">
        <f>IF($AA1108&gt;0,VLOOKUP($K1108,Ruimtegroepen[],3,FALSE)*VLOOKUP($M1108,Vloersoorten[],3,FALSE)*VLOOKUP($Z1108,Frequenties[],3,FALSE)*VLOOKUP(#REF!,Locaties[],3,FALSE),0)</f>
        <v>0</v>
      </c>
      <c r="AC1108" s="33"/>
      <c r="AD1108" s="33"/>
      <c r="AE1108" s="33">
        <f>Ruimtestaat[[#This Row],[uren / jaar weekend]]*Tariefsopbouw!$D$40</f>
        <v>0</v>
      </c>
      <c r="AF1108" s="79">
        <f>Ruimtestaat[[#This Row],[Prest. (m2 /jaar) weekend]]+Ruimtestaat[[#This Row],[Prest. (m2 /jaar) werkdagen]]</f>
        <v>7680</v>
      </c>
      <c r="AG1108" s="79">
        <f>Ruimtestaat[[#This Row],[uren / jaar weekend]]+Ruimtestaat[[#This Row],[uren / jaar werkdagen]]</f>
        <v>0</v>
      </c>
      <c r="AH1108" s="80">
        <f>Ruimtestaat[[#This Row],[kosten / jaar weekend]]+Ruimtestaat[[#This Row],[kosten / jaar werkdagen]]</f>
        <v>0</v>
      </c>
    </row>
    <row r="1109" spans="1:34" ht="15" customHeight="1">
      <c r="A1109" s="256">
        <v>12</v>
      </c>
      <c r="B1109" s="171" t="str">
        <f>VLOOKUP(Ruimtestaat[[#This Row],[Code]],Locaties[#All],2,FALSE)</f>
        <v>Onderwijscentrum Het Roessingh &amp; De Huifkar</v>
      </c>
      <c r="C1109" s="258" t="str">
        <f>VLOOKUP(Ruimtestaat[[#This Row],[Code]],Locaties[#All],4,FALSE)</f>
        <v>Roessinghsbleekweg 35</v>
      </c>
      <c r="D1109" s="258" t="str">
        <f>VLOOKUP(Ruimtestaat[[#This Row],[Code]],Locaties[#All],5,FALSE)</f>
        <v>7522 AH</v>
      </c>
      <c r="E1109" s="258" t="str">
        <f>VLOOKUP(Ruimtestaat[[#This Row],[Code]],Locaties[#All],6,FALSE)</f>
        <v>Enschede</v>
      </c>
      <c r="F1109" s="257"/>
      <c r="G1109" s="257" t="s">
        <v>564</v>
      </c>
      <c r="H1109" s="171"/>
      <c r="I1109" s="257">
        <v>1194</v>
      </c>
      <c r="J1109" s="259" t="s">
        <v>1056</v>
      </c>
      <c r="K1109" s="258">
        <v>14</v>
      </c>
      <c r="L1109" s="260" t="str">
        <f>VLOOKUP(Ruimtestaat[[#This Row],[Ruimte code]],Ruimtegroepen[#All],2,FALSE)</f>
        <v>Praktijklokalen</v>
      </c>
      <c r="M1109" s="258" t="s">
        <v>598</v>
      </c>
      <c r="N1109" s="257" t="s">
        <v>132</v>
      </c>
      <c r="O1109" s="261">
        <v>78</v>
      </c>
      <c r="P1109" s="183"/>
      <c r="Q1109" s="212" t="str">
        <f>VLOOKUP(Ruimtestaat[[#This Row],[Ruimte code]],Ruimtegroepen[#All],4,FALSE)</f>
        <v>L  (Lesruimte)</v>
      </c>
      <c r="R1109" s="184"/>
      <c r="S1109" s="185">
        <v>40</v>
      </c>
      <c r="T1109" s="185" t="s">
        <v>2</v>
      </c>
      <c r="U1109" s="185">
        <f>IF(S1109&gt;0,IF(RIGHT(Ruimtestaat[[#This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9" s="185">
        <f>IF(U1109&gt;0,VLOOKUP($K1109,Ruimtegroepen[],3,FALSE)*VLOOKUP($M1109,Vloersoorten[],3,FALSE)*VLOOKUP($T1109,Frequenties[],3,FALSE)*VLOOKUP($A1109,Locaties[],3,FALSE),0)</f>
        <v>0</v>
      </c>
      <c r="W1109" s="185">
        <f>Ruimtestaat[[#This Row],[Uitvoeringen werkdagen]]*Ruimtestaat[[#This Row],[Oppervlak (netto)]]</f>
        <v>15600</v>
      </c>
      <c r="X1109" s="220">
        <f>IF(V1109&gt;0,Ruimtestaat[[#This Row],[Prest. (m2 /jaar) werkdagen]]/Ruimtestaat[[#This Row],[Norm (m2/uur) werkdagen]],0)</f>
        <v>0</v>
      </c>
      <c r="Y1109" s="221">
        <f>Ruimtestaat[[#This Row],[uren / jaar werkdagen]]*Tariefsopbouw!$D$38</f>
        <v>0</v>
      </c>
      <c r="Z1109" s="33"/>
      <c r="AA1109" s="33">
        <f>IF(Ruimtestaat[[#This Row],[Frequentie weekend]]&gt;0,VALUE(LEFT(Z1109,1))*S1109,0)</f>
        <v>0</v>
      </c>
      <c r="AB1109" s="33">
        <f>IF($AA1109&gt;0,VLOOKUP($K1109,Ruimtegroepen[],3,FALSE)*VLOOKUP($M1109,Vloersoorten[],3,FALSE)*VLOOKUP($Z1109,Frequenties[],3,FALSE)*VLOOKUP(#REF!,Locaties[],3,FALSE),0)</f>
        <v>0</v>
      </c>
      <c r="AC1109" s="33"/>
      <c r="AD1109" s="33"/>
      <c r="AE1109" s="33">
        <f>Ruimtestaat[[#This Row],[uren / jaar weekend]]*Tariefsopbouw!$D$40</f>
        <v>0</v>
      </c>
      <c r="AF1109" s="79">
        <f>Ruimtestaat[[#This Row],[Prest. (m2 /jaar) weekend]]+Ruimtestaat[[#This Row],[Prest. (m2 /jaar) werkdagen]]</f>
        <v>15600</v>
      </c>
      <c r="AG1109" s="79">
        <f>Ruimtestaat[[#This Row],[uren / jaar weekend]]+Ruimtestaat[[#This Row],[uren / jaar werkdagen]]</f>
        <v>0</v>
      </c>
      <c r="AH1109" s="80">
        <f>Ruimtestaat[[#This Row],[kosten / jaar weekend]]+Ruimtestaat[[#This Row],[kosten / jaar werkdagen]]</f>
        <v>0</v>
      </c>
    </row>
    <row r="1110" spans="1:34" ht="15" customHeight="1">
      <c r="A1110" s="256">
        <v>12</v>
      </c>
      <c r="B1110" s="171" t="str">
        <f>VLOOKUP(Ruimtestaat[[#This Row],[Code]],Locaties[#All],2,FALSE)</f>
        <v>Onderwijscentrum Het Roessingh &amp; De Huifkar</v>
      </c>
      <c r="C1110" s="258" t="str">
        <f>VLOOKUP(Ruimtestaat[[#This Row],[Code]],Locaties[#All],4,FALSE)</f>
        <v>Roessinghsbleekweg 35</v>
      </c>
      <c r="D1110" s="258" t="str">
        <f>VLOOKUP(Ruimtestaat[[#This Row],[Code]],Locaties[#All],5,FALSE)</f>
        <v>7522 AH</v>
      </c>
      <c r="E1110" s="258" t="str">
        <f>VLOOKUP(Ruimtestaat[[#This Row],[Code]],Locaties[#All],6,FALSE)</f>
        <v>Enschede</v>
      </c>
      <c r="F1110" s="257"/>
      <c r="G1110" s="257" t="s">
        <v>564</v>
      </c>
      <c r="H1110" s="171"/>
      <c r="I1110" s="257">
        <v>1195</v>
      </c>
      <c r="J1110" s="259" t="s">
        <v>591</v>
      </c>
      <c r="K1110" s="171">
        <v>4</v>
      </c>
      <c r="L1110" s="260" t="str">
        <f>VLOOKUP(Ruimtestaat[[#This Row],[Ruimte code]],Ruimtegroepen[#All],2,FALSE)</f>
        <v>Vergader/spreekkamers</v>
      </c>
      <c r="M1110" s="258" t="s">
        <v>597</v>
      </c>
      <c r="N1110" s="257" t="s">
        <v>38</v>
      </c>
      <c r="O1110" s="261">
        <v>19</v>
      </c>
      <c r="P1110" s="183"/>
      <c r="Q1110" s="212" t="str">
        <f>VLOOKUP(Ruimtestaat[[#This Row],[Ruimte code]],Ruimtegroepen[#All],4,FALSE)</f>
        <v>B  (Bureauruimte)</v>
      </c>
      <c r="R1110" s="184"/>
      <c r="S1110" s="185">
        <v>40</v>
      </c>
      <c r="T1110" s="185" t="s">
        <v>18</v>
      </c>
      <c r="U1110" s="185">
        <f>IF(S1110&gt;0,IF(RIGHT(Ruimtestaat[[#This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10" s="185">
        <f>IF(U1110&gt;0,VLOOKUP($K1110,Ruimtegroepen[],3,FALSE)*VLOOKUP($M1110,Vloersoorten[],3,FALSE)*VLOOKUP($T1110,Frequenties[],3,FALSE)*VLOOKUP($A1110,Locaties[],3,FALSE),0)</f>
        <v>0</v>
      </c>
      <c r="W1110" s="185">
        <f>Ruimtestaat[[#This Row],[Uitvoeringen werkdagen]]*Ruimtestaat[[#This Row],[Oppervlak (netto)]]</f>
        <v>2280</v>
      </c>
      <c r="X1110" s="220">
        <f>IF(V1110&gt;0,Ruimtestaat[[#This Row],[Prest. (m2 /jaar) werkdagen]]/Ruimtestaat[[#This Row],[Norm (m2/uur) werkdagen]],0)</f>
        <v>0</v>
      </c>
      <c r="Y1110" s="221">
        <f>Ruimtestaat[[#This Row],[uren / jaar werkdagen]]*Tariefsopbouw!$D$38</f>
        <v>0</v>
      </c>
      <c r="Z1110" s="33"/>
      <c r="AA1110" s="33">
        <f>IF(Ruimtestaat[[#This Row],[Frequentie weekend]]&gt;0,VALUE(LEFT(Z1110,1))*S1110,0)</f>
        <v>0</v>
      </c>
      <c r="AB1110" s="33">
        <f>IF($AA1110&gt;0,VLOOKUP($K1110,Ruimtegroepen[],3,FALSE)*VLOOKUP($M1110,Vloersoorten[],3,FALSE)*VLOOKUP($Z1110,Frequenties[],3,FALSE)*VLOOKUP(#REF!,Locaties[],3,FALSE),0)</f>
        <v>0</v>
      </c>
      <c r="AC1110" s="33"/>
      <c r="AD1110" s="33"/>
      <c r="AE1110" s="33">
        <f>Ruimtestaat[[#This Row],[uren / jaar weekend]]*Tariefsopbouw!$D$40</f>
        <v>0</v>
      </c>
      <c r="AF1110" s="79">
        <f>Ruimtestaat[[#This Row],[Prest. (m2 /jaar) weekend]]+Ruimtestaat[[#This Row],[Prest. (m2 /jaar) werkdagen]]</f>
        <v>2280</v>
      </c>
      <c r="AG1110" s="79">
        <f>Ruimtestaat[[#This Row],[uren / jaar weekend]]+Ruimtestaat[[#This Row],[uren / jaar werkdagen]]</f>
        <v>0</v>
      </c>
      <c r="AH1110" s="80">
        <f>Ruimtestaat[[#This Row],[kosten / jaar weekend]]+Ruimtestaat[[#This Row],[kosten / jaar werkdagen]]</f>
        <v>0</v>
      </c>
    </row>
    <row r="1111" spans="1:34" ht="15" customHeight="1">
      <c r="A1111" s="256">
        <v>12</v>
      </c>
      <c r="B1111" s="171" t="str">
        <f>VLOOKUP(Ruimtestaat[[#This Row],[Code]],Locaties[#All],2,FALSE)</f>
        <v>Onderwijscentrum Het Roessingh &amp; De Huifkar</v>
      </c>
      <c r="C1111" s="258" t="str">
        <f>VLOOKUP(Ruimtestaat[[#This Row],[Code]],Locaties[#All],4,FALSE)</f>
        <v>Roessinghsbleekweg 35</v>
      </c>
      <c r="D1111" s="258" t="str">
        <f>VLOOKUP(Ruimtestaat[[#This Row],[Code]],Locaties[#All],5,FALSE)</f>
        <v>7522 AH</v>
      </c>
      <c r="E1111" s="258" t="str">
        <f>VLOOKUP(Ruimtestaat[[#This Row],[Code]],Locaties[#All],6,FALSE)</f>
        <v>Enschede</v>
      </c>
      <c r="F1111" s="257"/>
      <c r="G1111" s="257" t="s">
        <v>564</v>
      </c>
      <c r="H1111" s="171"/>
      <c r="I1111" s="257" t="s">
        <v>1057</v>
      </c>
      <c r="J1111" s="259" t="s">
        <v>574</v>
      </c>
      <c r="K1111" s="258">
        <v>6</v>
      </c>
      <c r="L1111" s="260" t="str">
        <f>VLOOKUP(Ruimtestaat[[#This Row],[Ruimte code]],Ruimtegroepen[#All],2,FALSE)</f>
        <v>Gangen/hallen</v>
      </c>
      <c r="M1111" s="185" t="s">
        <v>598</v>
      </c>
      <c r="N1111" s="257" t="s">
        <v>132</v>
      </c>
      <c r="O1111" s="261">
        <v>70.5</v>
      </c>
      <c r="P1111" s="183"/>
      <c r="Q1111" s="212" t="str">
        <f>VLOOKUP(Ruimtestaat[[#This Row],[Ruimte code]],Ruimtegroepen[#All],4,FALSE)</f>
        <v>V  (Verkeersruimte)</v>
      </c>
      <c r="R1111" s="184"/>
      <c r="S1111" s="185">
        <v>40</v>
      </c>
      <c r="T1111" s="185" t="s">
        <v>2</v>
      </c>
      <c r="U1111" s="185">
        <f>IF(S1111&gt;0,IF(RIGHT(Ruimtestaat[[#This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1" s="185">
        <f>IF(U1111&gt;0,VLOOKUP($K1111,Ruimtegroepen[],3,FALSE)*VLOOKUP($M1111,Vloersoorten[],3,FALSE)*VLOOKUP($T1111,Frequenties[],3,FALSE)*VLOOKUP($A1111,Locaties[],3,FALSE),0)</f>
        <v>0</v>
      </c>
      <c r="W1111" s="185">
        <f>Ruimtestaat[[#This Row],[Uitvoeringen werkdagen]]*Ruimtestaat[[#This Row],[Oppervlak (netto)]]</f>
        <v>14100</v>
      </c>
      <c r="X1111" s="220">
        <f>IF(V1111&gt;0,Ruimtestaat[[#This Row],[Prest. (m2 /jaar) werkdagen]]/Ruimtestaat[[#This Row],[Norm (m2/uur) werkdagen]],0)</f>
        <v>0</v>
      </c>
      <c r="Y1111" s="221">
        <f>Ruimtestaat[[#This Row],[uren / jaar werkdagen]]*Tariefsopbouw!$D$38</f>
        <v>0</v>
      </c>
      <c r="Z1111" s="33"/>
      <c r="AA1111" s="33">
        <f>IF(Ruimtestaat[[#This Row],[Frequentie weekend]]&gt;0,VALUE(LEFT(Z1111,1))*S1111,0)</f>
        <v>0</v>
      </c>
      <c r="AB1111" s="33">
        <f>IF($AA1111&gt;0,VLOOKUP($K1111,Ruimtegroepen[],3,FALSE)*VLOOKUP($M1111,Vloersoorten[],3,FALSE)*VLOOKUP($Z1111,Frequenties[],3,FALSE)*VLOOKUP(#REF!,Locaties[],3,FALSE),0)</f>
        <v>0</v>
      </c>
      <c r="AC1111" s="33"/>
      <c r="AD1111" s="33"/>
      <c r="AE1111" s="33">
        <f>Ruimtestaat[[#This Row],[uren / jaar weekend]]*Tariefsopbouw!$D$40</f>
        <v>0</v>
      </c>
      <c r="AF1111" s="79">
        <f>Ruimtestaat[[#This Row],[Prest. (m2 /jaar) weekend]]+Ruimtestaat[[#This Row],[Prest. (m2 /jaar) werkdagen]]</f>
        <v>14100</v>
      </c>
      <c r="AG1111" s="79">
        <f>Ruimtestaat[[#This Row],[uren / jaar weekend]]+Ruimtestaat[[#This Row],[uren / jaar werkdagen]]</f>
        <v>0</v>
      </c>
      <c r="AH1111" s="80">
        <f>Ruimtestaat[[#This Row],[kosten / jaar weekend]]+Ruimtestaat[[#This Row],[kosten / jaar werkdagen]]</f>
        <v>0</v>
      </c>
    </row>
    <row r="1112" spans="1:34" ht="15" customHeight="1">
      <c r="A1112" s="256">
        <v>12</v>
      </c>
      <c r="B1112" s="171" t="str">
        <f>VLOOKUP(Ruimtestaat[[#This Row],[Code]],Locaties[#All],2,FALSE)</f>
        <v>Onderwijscentrum Het Roessingh &amp; De Huifkar</v>
      </c>
      <c r="C1112" s="258" t="str">
        <f>VLOOKUP(Ruimtestaat[[#This Row],[Code]],Locaties[#All],4,FALSE)</f>
        <v>Roessinghsbleekweg 35</v>
      </c>
      <c r="D1112" s="258" t="str">
        <f>VLOOKUP(Ruimtestaat[[#This Row],[Code]],Locaties[#All],5,FALSE)</f>
        <v>7522 AH</v>
      </c>
      <c r="E1112" s="258" t="str">
        <f>VLOOKUP(Ruimtestaat[[#This Row],[Code]],Locaties[#All],6,FALSE)</f>
        <v>Enschede</v>
      </c>
      <c r="F1112" s="257"/>
      <c r="G1112" s="257" t="s">
        <v>564</v>
      </c>
      <c r="H1112" s="171"/>
      <c r="I1112" s="257">
        <v>1198</v>
      </c>
      <c r="J1112" s="259" t="s">
        <v>770</v>
      </c>
      <c r="K1112" s="171">
        <v>5</v>
      </c>
      <c r="L1112" s="260" t="str">
        <f>VLOOKUP(Ruimtestaat[[#This Row],[Ruimte code]],Ruimtegroepen[#All],2,FALSE)</f>
        <v>Sanitair</v>
      </c>
      <c r="M1112" s="212" t="s">
        <v>111</v>
      </c>
      <c r="N1112" s="257" t="s">
        <v>605</v>
      </c>
      <c r="O1112" s="261">
        <v>15</v>
      </c>
      <c r="P1112" s="183"/>
      <c r="Q1112" s="212" t="str">
        <f>VLOOKUP(Ruimtestaat[[#This Row],[Ruimte code]],Ruimtegroepen[#All],4,FALSE)</f>
        <v>S  (Sanitair)</v>
      </c>
      <c r="R1112" s="184"/>
      <c r="S1112" s="185">
        <v>40</v>
      </c>
      <c r="T1112" s="185" t="s">
        <v>2</v>
      </c>
      <c r="U1112" s="185">
        <f>IF(S1112&gt;0,IF(RIGHT(Ruimtestaat[[#This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2" s="185">
        <f>IF(U1112&gt;0,VLOOKUP($K1112,Ruimtegroepen[],3,FALSE)*VLOOKUP($M1112,Vloersoorten[],3,FALSE)*VLOOKUP($T1112,Frequenties[],3,FALSE)*VLOOKUP($A1112,Locaties[],3,FALSE),0)</f>
        <v>0</v>
      </c>
      <c r="W1112" s="185">
        <f>Ruimtestaat[[#This Row],[Uitvoeringen werkdagen]]*Ruimtestaat[[#This Row],[Oppervlak (netto)]]</f>
        <v>3000</v>
      </c>
      <c r="X1112" s="220">
        <f>IF(V1112&gt;0,Ruimtestaat[[#This Row],[Prest. (m2 /jaar) werkdagen]]/Ruimtestaat[[#This Row],[Norm (m2/uur) werkdagen]],0)</f>
        <v>0</v>
      </c>
      <c r="Y1112" s="221">
        <f>Ruimtestaat[[#This Row],[uren / jaar werkdagen]]*Tariefsopbouw!$D$38</f>
        <v>0</v>
      </c>
      <c r="Z1112" s="33"/>
      <c r="AA1112" s="33">
        <f>IF(Ruimtestaat[[#This Row],[Frequentie weekend]]&gt;0,VALUE(LEFT(Z1112,1))*S1112,0)</f>
        <v>0</v>
      </c>
      <c r="AB1112" s="33">
        <f>IF($AA1112&gt;0,VLOOKUP($K1112,Ruimtegroepen[],3,FALSE)*VLOOKUP($M1112,Vloersoorten[],3,FALSE)*VLOOKUP($Z1112,Frequenties[],3,FALSE)*VLOOKUP(#REF!,Locaties[],3,FALSE),0)</f>
        <v>0</v>
      </c>
      <c r="AC1112" s="33"/>
      <c r="AD1112" s="33"/>
      <c r="AE1112" s="33">
        <f>Ruimtestaat[[#This Row],[uren / jaar weekend]]*Tariefsopbouw!$D$40</f>
        <v>0</v>
      </c>
      <c r="AF1112" s="79">
        <f>Ruimtestaat[[#This Row],[Prest. (m2 /jaar) weekend]]+Ruimtestaat[[#This Row],[Prest. (m2 /jaar) werkdagen]]</f>
        <v>3000</v>
      </c>
      <c r="AG1112" s="79">
        <f>Ruimtestaat[[#This Row],[uren / jaar weekend]]+Ruimtestaat[[#This Row],[uren / jaar werkdagen]]</f>
        <v>0</v>
      </c>
      <c r="AH1112" s="80">
        <f>Ruimtestaat[[#This Row],[kosten / jaar weekend]]+Ruimtestaat[[#This Row],[kosten / jaar werkdagen]]</f>
        <v>0</v>
      </c>
    </row>
    <row r="1113" spans="1:34" ht="15" customHeight="1">
      <c r="A1113" s="256">
        <v>12</v>
      </c>
      <c r="B1113" s="171" t="str">
        <f>VLOOKUP(Ruimtestaat[[#This Row],[Code]],Locaties[#All],2,FALSE)</f>
        <v>Onderwijscentrum Het Roessingh &amp; De Huifkar</v>
      </c>
      <c r="C1113" s="258" t="str">
        <f>VLOOKUP(Ruimtestaat[[#This Row],[Code]],Locaties[#All],4,FALSE)</f>
        <v>Roessinghsbleekweg 35</v>
      </c>
      <c r="D1113" s="258" t="str">
        <f>VLOOKUP(Ruimtestaat[[#This Row],[Code]],Locaties[#All],5,FALSE)</f>
        <v>7522 AH</v>
      </c>
      <c r="E1113" s="258" t="str">
        <f>VLOOKUP(Ruimtestaat[[#This Row],[Code]],Locaties[#All],6,FALSE)</f>
        <v>Enschede</v>
      </c>
      <c r="F1113" s="257"/>
      <c r="G1113" s="257" t="s">
        <v>564</v>
      </c>
      <c r="H1113" s="171"/>
      <c r="I1113" s="257">
        <v>1199</v>
      </c>
      <c r="J1113" s="259" t="s">
        <v>569</v>
      </c>
      <c r="K1113" s="185">
        <v>5</v>
      </c>
      <c r="L1113" s="260" t="str">
        <f>VLOOKUP(Ruimtestaat[[#This Row],[Ruimte code]],Ruimtegroepen[#All],2,FALSE)</f>
        <v>Sanitair</v>
      </c>
      <c r="M1113" s="212" t="s">
        <v>111</v>
      </c>
      <c r="N1113" s="257" t="s">
        <v>605</v>
      </c>
      <c r="O1113" s="261">
        <v>5.3</v>
      </c>
      <c r="P1113" s="183"/>
      <c r="Q1113" s="212" t="str">
        <f>VLOOKUP(Ruimtestaat[[#This Row],[Ruimte code]],Ruimtegroepen[#All],4,FALSE)</f>
        <v>S  (Sanitair)</v>
      </c>
      <c r="R1113" s="184"/>
      <c r="S1113" s="185">
        <v>40</v>
      </c>
      <c r="T1113" s="185" t="s">
        <v>2</v>
      </c>
      <c r="U1113" s="185">
        <f>IF(S1113&gt;0,IF(RIGHT(Ruimtestaat[[#This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3" s="185">
        <f>IF(U1113&gt;0,VLOOKUP($K1113,Ruimtegroepen[],3,FALSE)*VLOOKUP($M1113,Vloersoorten[],3,FALSE)*VLOOKUP($T1113,Frequenties[],3,FALSE)*VLOOKUP($A1113,Locaties[],3,FALSE),0)</f>
        <v>0</v>
      </c>
      <c r="W1113" s="185">
        <f>Ruimtestaat[[#This Row],[Uitvoeringen werkdagen]]*Ruimtestaat[[#This Row],[Oppervlak (netto)]]</f>
        <v>1060</v>
      </c>
      <c r="X1113" s="220">
        <f>IF(V1113&gt;0,Ruimtestaat[[#This Row],[Prest. (m2 /jaar) werkdagen]]/Ruimtestaat[[#This Row],[Norm (m2/uur) werkdagen]],0)</f>
        <v>0</v>
      </c>
      <c r="Y1113" s="221">
        <f>Ruimtestaat[[#This Row],[uren / jaar werkdagen]]*Tariefsopbouw!$D$38</f>
        <v>0</v>
      </c>
      <c r="Z1113" s="33"/>
      <c r="AA1113" s="33">
        <f>IF(Ruimtestaat[[#This Row],[Frequentie weekend]]&gt;0,VALUE(LEFT(Z1113,1))*S1113,0)</f>
        <v>0</v>
      </c>
      <c r="AB1113" s="33">
        <f>IF($AA1113&gt;0,VLOOKUP($K1113,Ruimtegroepen[],3,FALSE)*VLOOKUP($M1113,Vloersoorten[],3,FALSE)*VLOOKUP($Z1113,Frequenties[],3,FALSE)*VLOOKUP(#REF!,Locaties[],3,FALSE),0)</f>
        <v>0</v>
      </c>
      <c r="AC1113" s="33"/>
      <c r="AD1113" s="33"/>
      <c r="AE1113" s="33">
        <f>Ruimtestaat[[#This Row],[uren / jaar weekend]]*Tariefsopbouw!$D$40</f>
        <v>0</v>
      </c>
      <c r="AF1113" s="79">
        <f>Ruimtestaat[[#This Row],[Prest. (m2 /jaar) weekend]]+Ruimtestaat[[#This Row],[Prest. (m2 /jaar) werkdagen]]</f>
        <v>1060</v>
      </c>
      <c r="AG1113" s="79">
        <f>Ruimtestaat[[#This Row],[uren / jaar weekend]]+Ruimtestaat[[#This Row],[uren / jaar werkdagen]]</f>
        <v>0</v>
      </c>
      <c r="AH1113" s="80">
        <f>Ruimtestaat[[#This Row],[kosten / jaar weekend]]+Ruimtestaat[[#This Row],[kosten / jaar werkdagen]]</f>
        <v>0</v>
      </c>
    </row>
    <row r="1114" spans="1:34" ht="15" customHeight="1">
      <c r="A1114" s="256">
        <v>12</v>
      </c>
      <c r="B1114" s="171" t="str">
        <f>VLOOKUP(Ruimtestaat[[#This Row],[Code]],Locaties[#All],2,FALSE)</f>
        <v>Onderwijscentrum Het Roessingh &amp; De Huifkar</v>
      </c>
      <c r="C1114" s="258" t="str">
        <f>VLOOKUP(Ruimtestaat[[#This Row],[Code]],Locaties[#All],4,FALSE)</f>
        <v>Roessinghsbleekweg 35</v>
      </c>
      <c r="D1114" s="258" t="str">
        <f>VLOOKUP(Ruimtestaat[[#This Row],[Code]],Locaties[#All],5,FALSE)</f>
        <v>7522 AH</v>
      </c>
      <c r="E1114" s="258" t="str">
        <f>VLOOKUP(Ruimtestaat[[#This Row],[Code]],Locaties[#All],6,FALSE)</f>
        <v>Enschede</v>
      </c>
      <c r="F1114" s="257"/>
      <c r="G1114" s="257" t="s">
        <v>564</v>
      </c>
      <c r="H1114" s="171"/>
      <c r="I1114" s="257">
        <v>1200</v>
      </c>
      <c r="J1114" s="259" t="s">
        <v>569</v>
      </c>
      <c r="K1114" s="185">
        <v>5</v>
      </c>
      <c r="L1114" s="260" t="str">
        <f>VLOOKUP(Ruimtestaat[[#This Row],[Ruimte code]],Ruimtegroepen[#All],2,FALSE)</f>
        <v>Sanitair</v>
      </c>
      <c r="M1114" s="212" t="s">
        <v>111</v>
      </c>
      <c r="N1114" s="257" t="s">
        <v>605</v>
      </c>
      <c r="O1114" s="261">
        <v>5.3</v>
      </c>
      <c r="P1114" s="183"/>
      <c r="Q1114" s="212" t="str">
        <f>VLOOKUP(Ruimtestaat[[#This Row],[Ruimte code]],Ruimtegroepen[#All],4,FALSE)</f>
        <v>S  (Sanitair)</v>
      </c>
      <c r="R1114" s="184"/>
      <c r="S1114" s="185">
        <v>40</v>
      </c>
      <c r="T1114" s="185" t="s">
        <v>2</v>
      </c>
      <c r="U1114" s="185">
        <f>IF(S1114&gt;0,IF(RIGHT(Ruimtestaat[[#This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4" s="185">
        <f>IF(U1114&gt;0,VLOOKUP($K1114,Ruimtegroepen[],3,FALSE)*VLOOKUP($M1114,Vloersoorten[],3,FALSE)*VLOOKUP($T1114,Frequenties[],3,FALSE)*VLOOKUP($A1114,Locaties[],3,FALSE),0)</f>
        <v>0</v>
      </c>
      <c r="W1114" s="185">
        <f>Ruimtestaat[[#This Row],[Uitvoeringen werkdagen]]*Ruimtestaat[[#This Row],[Oppervlak (netto)]]</f>
        <v>1060</v>
      </c>
      <c r="X1114" s="220">
        <f>IF(V1114&gt;0,Ruimtestaat[[#This Row],[Prest. (m2 /jaar) werkdagen]]/Ruimtestaat[[#This Row],[Norm (m2/uur) werkdagen]],0)</f>
        <v>0</v>
      </c>
      <c r="Y1114" s="221">
        <f>Ruimtestaat[[#This Row],[uren / jaar werkdagen]]*Tariefsopbouw!$D$38</f>
        <v>0</v>
      </c>
      <c r="Z1114" s="33"/>
      <c r="AA1114" s="33">
        <f>IF(Ruimtestaat[[#This Row],[Frequentie weekend]]&gt;0,VALUE(LEFT(Z1114,1))*S1114,0)</f>
        <v>0</v>
      </c>
      <c r="AB1114" s="33">
        <f>IF($AA1114&gt;0,VLOOKUP($K1114,Ruimtegroepen[],3,FALSE)*VLOOKUP($M1114,Vloersoorten[],3,FALSE)*VLOOKUP($Z1114,Frequenties[],3,FALSE)*VLOOKUP(#REF!,Locaties[],3,FALSE),0)</f>
        <v>0</v>
      </c>
      <c r="AC1114" s="33"/>
      <c r="AD1114" s="33"/>
      <c r="AE1114" s="33">
        <f>Ruimtestaat[[#This Row],[uren / jaar weekend]]*Tariefsopbouw!$D$40</f>
        <v>0</v>
      </c>
      <c r="AF1114" s="79">
        <f>Ruimtestaat[[#This Row],[Prest. (m2 /jaar) weekend]]+Ruimtestaat[[#This Row],[Prest. (m2 /jaar) werkdagen]]</f>
        <v>1060</v>
      </c>
      <c r="AG1114" s="79">
        <f>Ruimtestaat[[#This Row],[uren / jaar weekend]]+Ruimtestaat[[#This Row],[uren / jaar werkdagen]]</f>
        <v>0</v>
      </c>
      <c r="AH1114" s="80">
        <f>Ruimtestaat[[#This Row],[kosten / jaar weekend]]+Ruimtestaat[[#This Row],[kosten / jaar werkdagen]]</f>
        <v>0</v>
      </c>
    </row>
    <row r="1115" spans="1:34" ht="15" customHeight="1">
      <c r="A1115" s="256">
        <v>12</v>
      </c>
      <c r="B1115" s="171" t="str">
        <f>VLOOKUP(Ruimtestaat[[#This Row],[Code]],Locaties[#All],2,FALSE)</f>
        <v>Onderwijscentrum Het Roessingh &amp; De Huifkar</v>
      </c>
      <c r="C1115" s="258" t="str">
        <f>VLOOKUP(Ruimtestaat[[#This Row],[Code]],Locaties[#All],4,FALSE)</f>
        <v>Roessinghsbleekweg 35</v>
      </c>
      <c r="D1115" s="258" t="str">
        <f>VLOOKUP(Ruimtestaat[[#This Row],[Code]],Locaties[#All],5,FALSE)</f>
        <v>7522 AH</v>
      </c>
      <c r="E1115" s="258" t="str">
        <f>VLOOKUP(Ruimtestaat[[#This Row],[Code]],Locaties[#All],6,FALSE)</f>
        <v>Enschede</v>
      </c>
      <c r="F1115" s="257"/>
      <c r="G1115" s="257" t="s">
        <v>564</v>
      </c>
      <c r="H1115" s="171"/>
      <c r="I1115" s="257">
        <v>1201</v>
      </c>
      <c r="J1115" s="259" t="s">
        <v>576</v>
      </c>
      <c r="K1115" s="185">
        <v>16</v>
      </c>
      <c r="L1115" s="260" t="str">
        <f>VLOOKUP(Ruimtestaat[[#This Row],[Ruimte code]],Ruimtegroepen[#All],2,FALSE)</f>
        <v>Leslokalen</v>
      </c>
      <c r="M1115" s="258" t="s">
        <v>598</v>
      </c>
      <c r="N1115" s="257" t="s">
        <v>132</v>
      </c>
      <c r="O1115" s="261">
        <v>60</v>
      </c>
      <c r="P1115" s="183"/>
      <c r="Q1115" s="212" t="str">
        <f>VLOOKUP(Ruimtestaat[[#This Row],[Ruimte code]],Ruimtegroepen[#All],4,FALSE)</f>
        <v>L  (Lesruimte)</v>
      </c>
      <c r="R1115" s="184"/>
      <c r="S1115" s="185">
        <v>40</v>
      </c>
      <c r="T1115" s="185" t="s">
        <v>2</v>
      </c>
      <c r="U1115" s="185">
        <f>IF(S1115&gt;0,IF(RIGHT(Ruimtestaat[[#This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5" s="185">
        <f>IF(U1115&gt;0,VLOOKUP($K1115,Ruimtegroepen[],3,FALSE)*VLOOKUP($M1115,Vloersoorten[],3,FALSE)*VLOOKUP($T1115,Frequenties[],3,FALSE)*VLOOKUP($A1115,Locaties[],3,FALSE),0)</f>
        <v>0</v>
      </c>
      <c r="W1115" s="185">
        <f>Ruimtestaat[[#This Row],[Uitvoeringen werkdagen]]*Ruimtestaat[[#This Row],[Oppervlak (netto)]]</f>
        <v>12000</v>
      </c>
      <c r="X1115" s="220">
        <f>IF(V1115&gt;0,Ruimtestaat[[#This Row],[Prest. (m2 /jaar) werkdagen]]/Ruimtestaat[[#This Row],[Norm (m2/uur) werkdagen]],0)</f>
        <v>0</v>
      </c>
      <c r="Y1115" s="221">
        <f>Ruimtestaat[[#This Row],[uren / jaar werkdagen]]*Tariefsopbouw!$D$38</f>
        <v>0</v>
      </c>
      <c r="Z1115" s="33"/>
      <c r="AA1115" s="33">
        <f>IF(Ruimtestaat[[#This Row],[Frequentie weekend]]&gt;0,VALUE(LEFT(Z1115,1))*S1115,0)</f>
        <v>0</v>
      </c>
      <c r="AB1115" s="33">
        <f>IF($AA1115&gt;0,VLOOKUP($K1115,Ruimtegroepen[],3,FALSE)*VLOOKUP($M1115,Vloersoorten[],3,FALSE)*VLOOKUP($Z1115,Frequenties[],3,FALSE)*VLOOKUP(#REF!,Locaties[],3,FALSE),0)</f>
        <v>0</v>
      </c>
      <c r="AC1115" s="33"/>
      <c r="AD1115" s="33"/>
      <c r="AE1115" s="33">
        <f>Ruimtestaat[[#This Row],[uren / jaar weekend]]*Tariefsopbouw!$D$40</f>
        <v>0</v>
      </c>
      <c r="AF1115" s="79">
        <f>Ruimtestaat[[#This Row],[Prest. (m2 /jaar) weekend]]+Ruimtestaat[[#This Row],[Prest. (m2 /jaar) werkdagen]]</f>
        <v>12000</v>
      </c>
      <c r="AG1115" s="79">
        <f>Ruimtestaat[[#This Row],[uren / jaar weekend]]+Ruimtestaat[[#This Row],[uren / jaar werkdagen]]</f>
        <v>0</v>
      </c>
      <c r="AH1115" s="80">
        <f>Ruimtestaat[[#This Row],[kosten / jaar weekend]]+Ruimtestaat[[#This Row],[kosten / jaar werkdagen]]</f>
        <v>0</v>
      </c>
    </row>
    <row r="1116" spans="1:34" ht="15" customHeight="1">
      <c r="A1116" s="256">
        <v>12</v>
      </c>
      <c r="B1116" s="171" t="str">
        <f>VLOOKUP(Ruimtestaat[[#This Row],[Code]],Locaties[#All],2,FALSE)</f>
        <v>Onderwijscentrum Het Roessingh &amp; De Huifkar</v>
      </c>
      <c r="C1116" s="258" t="str">
        <f>VLOOKUP(Ruimtestaat[[#This Row],[Code]],Locaties[#All],4,FALSE)</f>
        <v>Roessinghsbleekweg 35</v>
      </c>
      <c r="D1116" s="258" t="str">
        <f>VLOOKUP(Ruimtestaat[[#This Row],[Code]],Locaties[#All],5,FALSE)</f>
        <v>7522 AH</v>
      </c>
      <c r="E1116" s="258" t="str">
        <f>VLOOKUP(Ruimtestaat[[#This Row],[Code]],Locaties[#All],6,FALSE)</f>
        <v>Enschede</v>
      </c>
      <c r="F1116" s="257"/>
      <c r="G1116" s="257" t="s">
        <v>564</v>
      </c>
      <c r="H1116" s="171"/>
      <c r="I1116" s="257">
        <v>1202</v>
      </c>
      <c r="J1116" s="259" t="s">
        <v>936</v>
      </c>
      <c r="K1116" s="185">
        <v>16</v>
      </c>
      <c r="L1116" s="260" t="str">
        <f>VLOOKUP(Ruimtestaat[[#This Row],[Ruimte code]],Ruimtegroepen[#All],2,FALSE)</f>
        <v>Leslokalen</v>
      </c>
      <c r="M1116" s="258" t="s">
        <v>598</v>
      </c>
      <c r="N1116" s="257" t="s">
        <v>132</v>
      </c>
      <c r="O1116" s="261">
        <v>9</v>
      </c>
      <c r="P1116" s="183"/>
      <c r="Q1116" s="212" t="str">
        <f>VLOOKUP(Ruimtestaat[[#This Row],[Ruimte code]],Ruimtegroepen[#All],4,FALSE)</f>
        <v>L  (Lesruimte)</v>
      </c>
      <c r="R1116" s="184"/>
      <c r="S1116" s="185">
        <v>40</v>
      </c>
      <c r="T1116" s="185" t="s">
        <v>2</v>
      </c>
      <c r="U1116" s="185">
        <f>IF(S1116&gt;0,IF(RIGHT(Ruimtestaat[[#This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6" s="185">
        <f>IF(U1116&gt;0,VLOOKUP($K1116,Ruimtegroepen[],3,FALSE)*VLOOKUP($M1116,Vloersoorten[],3,FALSE)*VLOOKUP($T1116,Frequenties[],3,FALSE)*VLOOKUP($A1116,Locaties[],3,FALSE),0)</f>
        <v>0</v>
      </c>
      <c r="W1116" s="185">
        <f>Ruimtestaat[[#This Row],[Uitvoeringen werkdagen]]*Ruimtestaat[[#This Row],[Oppervlak (netto)]]</f>
        <v>1800</v>
      </c>
      <c r="X1116" s="220">
        <f>IF(V1116&gt;0,Ruimtestaat[[#This Row],[Prest. (m2 /jaar) werkdagen]]/Ruimtestaat[[#This Row],[Norm (m2/uur) werkdagen]],0)</f>
        <v>0</v>
      </c>
      <c r="Y1116" s="221">
        <f>Ruimtestaat[[#This Row],[uren / jaar werkdagen]]*Tariefsopbouw!$D$38</f>
        <v>0</v>
      </c>
      <c r="Z1116" s="33"/>
      <c r="AA1116" s="33">
        <f>IF(Ruimtestaat[[#This Row],[Frequentie weekend]]&gt;0,VALUE(LEFT(Z1116,1))*S1116,0)</f>
        <v>0</v>
      </c>
      <c r="AB1116" s="33">
        <f>IF($AA1116&gt;0,VLOOKUP($K1116,Ruimtegroepen[],3,FALSE)*VLOOKUP($M1116,Vloersoorten[],3,FALSE)*VLOOKUP($Z1116,Frequenties[],3,FALSE)*VLOOKUP(#REF!,Locaties[],3,FALSE),0)</f>
        <v>0</v>
      </c>
      <c r="AC1116" s="33"/>
      <c r="AD1116" s="33"/>
      <c r="AE1116" s="33">
        <f>Ruimtestaat[[#This Row],[uren / jaar weekend]]*Tariefsopbouw!$D$40</f>
        <v>0</v>
      </c>
      <c r="AF1116" s="79">
        <f>Ruimtestaat[[#This Row],[Prest. (m2 /jaar) weekend]]+Ruimtestaat[[#This Row],[Prest. (m2 /jaar) werkdagen]]</f>
        <v>1800</v>
      </c>
      <c r="AG1116" s="79">
        <f>Ruimtestaat[[#This Row],[uren / jaar weekend]]+Ruimtestaat[[#This Row],[uren / jaar werkdagen]]</f>
        <v>0</v>
      </c>
      <c r="AH1116" s="80">
        <f>Ruimtestaat[[#This Row],[kosten / jaar weekend]]+Ruimtestaat[[#This Row],[kosten / jaar werkdagen]]</f>
        <v>0</v>
      </c>
    </row>
    <row r="1117" spans="1:34" ht="15" customHeight="1">
      <c r="A1117" s="256">
        <v>12</v>
      </c>
      <c r="B1117" s="171" t="str">
        <f>VLOOKUP(Ruimtestaat[[#This Row],[Code]],Locaties[#All],2,FALSE)</f>
        <v>Onderwijscentrum Het Roessingh &amp; De Huifkar</v>
      </c>
      <c r="C1117" s="258" t="str">
        <f>VLOOKUP(Ruimtestaat[[#This Row],[Code]],Locaties[#All],4,FALSE)</f>
        <v>Roessinghsbleekweg 35</v>
      </c>
      <c r="D1117" s="258" t="str">
        <f>VLOOKUP(Ruimtestaat[[#This Row],[Code]],Locaties[#All],5,FALSE)</f>
        <v>7522 AH</v>
      </c>
      <c r="E1117" s="258" t="str">
        <f>VLOOKUP(Ruimtestaat[[#This Row],[Code]],Locaties[#All],6,FALSE)</f>
        <v>Enschede</v>
      </c>
      <c r="F1117" s="257"/>
      <c r="G1117" s="257" t="s">
        <v>564</v>
      </c>
      <c r="H1117" s="171"/>
      <c r="I1117" s="257">
        <v>1203</v>
      </c>
      <c r="J1117" s="259" t="s">
        <v>936</v>
      </c>
      <c r="K1117" s="171">
        <v>16</v>
      </c>
      <c r="L1117" s="260" t="str">
        <f>VLOOKUP(Ruimtestaat[[#This Row],[Ruimte code]],Ruimtegroepen[#All],2,FALSE)</f>
        <v>Leslokalen</v>
      </c>
      <c r="M1117" s="258" t="s">
        <v>598</v>
      </c>
      <c r="N1117" s="257" t="s">
        <v>132</v>
      </c>
      <c r="O1117" s="261">
        <v>9</v>
      </c>
      <c r="P1117" s="183"/>
      <c r="Q1117" s="212" t="str">
        <f>VLOOKUP(Ruimtestaat[[#This Row],[Ruimte code]],Ruimtegroepen[#All],4,FALSE)</f>
        <v>L  (Lesruimte)</v>
      </c>
      <c r="R1117" s="184"/>
      <c r="S1117" s="185">
        <v>40</v>
      </c>
      <c r="T1117" s="185" t="s">
        <v>2</v>
      </c>
      <c r="U1117" s="185">
        <f>IF(S1117&gt;0,IF(RIGHT(Ruimtestaat[[#This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7" s="185">
        <f>IF(U1117&gt;0,VLOOKUP($K1117,Ruimtegroepen[],3,FALSE)*VLOOKUP($M1117,Vloersoorten[],3,FALSE)*VLOOKUP($T1117,Frequenties[],3,FALSE)*VLOOKUP($A1117,Locaties[],3,FALSE),0)</f>
        <v>0</v>
      </c>
      <c r="W1117" s="185">
        <f>Ruimtestaat[[#This Row],[Uitvoeringen werkdagen]]*Ruimtestaat[[#This Row],[Oppervlak (netto)]]</f>
        <v>1800</v>
      </c>
      <c r="X1117" s="220">
        <f>IF(V1117&gt;0,Ruimtestaat[[#This Row],[Prest. (m2 /jaar) werkdagen]]/Ruimtestaat[[#This Row],[Norm (m2/uur) werkdagen]],0)</f>
        <v>0</v>
      </c>
      <c r="Y1117" s="221">
        <f>Ruimtestaat[[#This Row],[uren / jaar werkdagen]]*Tariefsopbouw!$D$38</f>
        <v>0</v>
      </c>
      <c r="Z1117" s="33"/>
      <c r="AA1117" s="33">
        <f>IF(Ruimtestaat[[#This Row],[Frequentie weekend]]&gt;0,VALUE(LEFT(Z1117,1))*S1117,0)</f>
        <v>0</v>
      </c>
      <c r="AB1117" s="33">
        <f>IF($AA1117&gt;0,VLOOKUP($K1117,Ruimtegroepen[],3,FALSE)*VLOOKUP($M1117,Vloersoorten[],3,FALSE)*VLOOKUP($Z1117,Frequenties[],3,FALSE)*VLOOKUP(#REF!,Locaties[],3,FALSE),0)</f>
        <v>0</v>
      </c>
      <c r="AC1117" s="33"/>
      <c r="AD1117" s="33"/>
      <c r="AE1117" s="33">
        <f>Ruimtestaat[[#This Row],[uren / jaar weekend]]*Tariefsopbouw!$D$40</f>
        <v>0</v>
      </c>
      <c r="AF1117" s="79">
        <f>Ruimtestaat[[#This Row],[Prest. (m2 /jaar) weekend]]+Ruimtestaat[[#This Row],[Prest. (m2 /jaar) werkdagen]]</f>
        <v>1800</v>
      </c>
      <c r="AG1117" s="79">
        <f>Ruimtestaat[[#This Row],[uren / jaar weekend]]+Ruimtestaat[[#This Row],[uren / jaar werkdagen]]</f>
        <v>0</v>
      </c>
      <c r="AH1117" s="80">
        <f>Ruimtestaat[[#This Row],[kosten / jaar weekend]]+Ruimtestaat[[#This Row],[kosten / jaar werkdagen]]</f>
        <v>0</v>
      </c>
    </row>
    <row r="1118" spans="1:34" ht="15" customHeight="1">
      <c r="A1118" s="256">
        <v>12</v>
      </c>
      <c r="B1118" s="171" t="str">
        <f>VLOOKUP(Ruimtestaat[[#This Row],[Code]],Locaties[#All],2,FALSE)</f>
        <v>Onderwijscentrum Het Roessingh &amp; De Huifkar</v>
      </c>
      <c r="C1118" s="258" t="str">
        <f>VLOOKUP(Ruimtestaat[[#This Row],[Code]],Locaties[#All],4,FALSE)</f>
        <v>Roessinghsbleekweg 35</v>
      </c>
      <c r="D1118" s="258" t="str">
        <f>VLOOKUP(Ruimtestaat[[#This Row],[Code]],Locaties[#All],5,FALSE)</f>
        <v>7522 AH</v>
      </c>
      <c r="E1118" s="258" t="str">
        <f>VLOOKUP(Ruimtestaat[[#This Row],[Code]],Locaties[#All],6,FALSE)</f>
        <v>Enschede</v>
      </c>
      <c r="F1118" s="257"/>
      <c r="G1118" s="257" t="s">
        <v>564</v>
      </c>
      <c r="H1118" s="171"/>
      <c r="I1118" s="257">
        <v>1204</v>
      </c>
      <c r="J1118" s="259" t="s">
        <v>576</v>
      </c>
      <c r="K1118" s="224">
        <v>16</v>
      </c>
      <c r="L1118" s="260" t="str">
        <f>VLOOKUP(Ruimtestaat[[#This Row],[Ruimte code]],Ruimtegroepen[#All],2,FALSE)</f>
        <v>Leslokalen</v>
      </c>
      <c r="M1118" s="258" t="s">
        <v>598</v>
      </c>
      <c r="N1118" s="257" t="s">
        <v>132</v>
      </c>
      <c r="O1118" s="261">
        <v>60</v>
      </c>
      <c r="P1118" s="183"/>
      <c r="Q1118" s="212" t="str">
        <f>VLOOKUP(Ruimtestaat[[#This Row],[Ruimte code]],Ruimtegroepen[#All],4,FALSE)</f>
        <v>L  (Lesruimte)</v>
      </c>
      <c r="R1118" s="184"/>
      <c r="S1118" s="185">
        <v>40</v>
      </c>
      <c r="T1118" s="185" t="s">
        <v>2</v>
      </c>
      <c r="U1118" s="185">
        <f>IF(S1118&gt;0,IF(RIGHT(Ruimtestaat[[#This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8" s="185">
        <f>IF(U1118&gt;0,VLOOKUP($K1118,Ruimtegroepen[],3,FALSE)*VLOOKUP($M1118,Vloersoorten[],3,FALSE)*VLOOKUP($T1118,Frequenties[],3,FALSE)*VLOOKUP($A1118,Locaties[],3,FALSE),0)</f>
        <v>0</v>
      </c>
      <c r="W1118" s="185">
        <f>Ruimtestaat[[#This Row],[Uitvoeringen werkdagen]]*Ruimtestaat[[#This Row],[Oppervlak (netto)]]</f>
        <v>12000</v>
      </c>
      <c r="X1118" s="220">
        <f>IF(V1118&gt;0,Ruimtestaat[[#This Row],[Prest. (m2 /jaar) werkdagen]]/Ruimtestaat[[#This Row],[Norm (m2/uur) werkdagen]],0)</f>
        <v>0</v>
      </c>
      <c r="Y1118" s="221">
        <f>Ruimtestaat[[#This Row],[uren / jaar werkdagen]]*Tariefsopbouw!$D$38</f>
        <v>0</v>
      </c>
      <c r="Z1118" s="33"/>
      <c r="AA1118" s="33">
        <f>IF(Ruimtestaat[[#This Row],[Frequentie weekend]]&gt;0,VALUE(LEFT(Z1118,1))*S1118,0)</f>
        <v>0</v>
      </c>
      <c r="AB1118" s="33">
        <f>IF($AA1118&gt;0,VLOOKUP($K1118,Ruimtegroepen[],3,FALSE)*VLOOKUP($M1118,Vloersoorten[],3,FALSE)*VLOOKUP($Z1118,Frequenties[],3,FALSE)*VLOOKUP(#REF!,Locaties[],3,FALSE),0)</f>
        <v>0</v>
      </c>
      <c r="AC1118" s="33"/>
      <c r="AD1118" s="33"/>
      <c r="AE1118" s="33">
        <f>Ruimtestaat[[#This Row],[uren / jaar weekend]]*Tariefsopbouw!$D$40</f>
        <v>0</v>
      </c>
      <c r="AF1118" s="79">
        <f>Ruimtestaat[[#This Row],[Prest. (m2 /jaar) weekend]]+Ruimtestaat[[#This Row],[Prest. (m2 /jaar) werkdagen]]</f>
        <v>12000</v>
      </c>
      <c r="AG1118" s="79">
        <f>Ruimtestaat[[#This Row],[uren / jaar weekend]]+Ruimtestaat[[#This Row],[uren / jaar werkdagen]]</f>
        <v>0</v>
      </c>
      <c r="AH1118" s="80">
        <f>Ruimtestaat[[#This Row],[kosten / jaar weekend]]+Ruimtestaat[[#This Row],[kosten / jaar werkdagen]]</f>
        <v>0</v>
      </c>
    </row>
    <row r="1119" spans="1:34" ht="15" customHeight="1">
      <c r="A1119" s="256">
        <v>12</v>
      </c>
      <c r="B1119" s="171" t="str">
        <f>VLOOKUP(Ruimtestaat[[#This Row],[Code]],Locaties[#All],2,FALSE)</f>
        <v>Onderwijscentrum Het Roessingh &amp; De Huifkar</v>
      </c>
      <c r="C1119" s="258" t="str">
        <f>VLOOKUP(Ruimtestaat[[#This Row],[Code]],Locaties[#All],4,FALSE)</f>
        <v>Roessinghsbleekweg 35</v>
      </c>
      <c r="D1119" s="258" t="str">
        <f>VLOOKUP(Ruimtestaat[[#This Row],[Code]],Locaties[#All],5,FALSE)</f>
        <v>7522 AH</v>
      </c>
      <c r="E1119" s="258" t="str">
        <f>VLOOKUP(Ruimtestaat[[#This Row],[Code]],Locaties[#All],6,FALSE)</f>
        <v>Enschede</v>
      </c>
      <c r="F1119" s="257"/>
      <c r="G1119" s="257" t="s">
        <v>564</v>
      </c>
      <c r="H1119" s="171"/>
      <c r="I1119" s="257">
        <v>1205</v>
      </c>
      <c r="J1119" s="259" t="s">
        <v>911</v>
      </c>
      <c r="K1119" s="171">
        <v>14</v>
      </c>
      <c r="L1119" s="260" t="str">
        <f>VLOOKUP(Ruimtestaat[[#This Row],[Ruimte code]],Ruimtegroepen[#All],2,FALSE)</f>
        <v>Praktijklokalen</v>
      </c>
      <c r="M1119" s="258" t="s">
        <v>598</v>
      </c>
      <c r="N1119" s="257" t="s">
        <v>132</v>
      </c>
      <c r="O1119" s="261">
        <v>60</v>
      </c>
      <c r="P1119" s="183"/>
      <c r="Q1119" s="212" t="str">
        <f>VLOOKUP(Ruimtestaat[[#This Row],[Ruimte code]],Ruimtegroepen[#All],4,FALSE)</f>
        <v>L  (Lesruimte)</v>
      </c>
      <c r="R1119" s="184"/>
      <c r="S1119" s="185">
        <v>40</v>
      </c>
      <c r="T1119" s="185" t="s">
        <v>2</v>
      </c>
      <c r="U1119" s="185">
        <f>IF(S1119&gt;0,IF(RIGHT(Ruimtestaat[[#This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9" s="185">
        <f>IF(U1119&gt;0,VLOOKUP($K1119,Ruimtegroepen[],3,FALSE)*VLOOKUP($M1119,Vloersoorten[],3,FALSE)*VLOOKUP($T1119,Frequenties[],3,FALSE)*VLOOKUP($A1119,Locaties[],3,FALSE),0)</f>
        <v>0</v>
      </c>
      <c r="W1119" s="185">
        <f>Ruimtestaat[[#This Row],[Uitvoeringen werkdagen]]*Ruimtestaat[[#This Row],[Oppervlak (netto)]]</f>
        <v>12000</v>
      </c>
      <c r="X1119" s="220">
        <f>IF(V1119&gt;0,Ruimtestaat[[#This Row],[Prest. (m2 /jaar) werkdagen]]/Ruimtestaat[[#This Row],[Norm (m2/uur) werkdagen]],0)</f>
        <v>0</v>
      </c>
      <c r="Y1119" s="221">
        <f>Ruimtestaat[[#This Row],[uren / jaar werkdagen]]*Tariefsopbouw!$D$38</f>
        <v>0</v>
      </c>
      <c r="Z1119" s="33"/>
      <c r="AA1119" s="33">
        <f>IF(Ruimtestaat[[#This Row],[Frequentie weekend]]&gt;0,VALUE(LEFT(Z1119,1))*S1119,0)</f>
        <v>0</v>
      </c>
      <c r="AB1119" s="33">
        <f>IF($AA1119&gt;0,VLOOKUP($K1119,Ruimtegroepen[],3,FALSE)*VLOOKUP($M1119,Vloersoorten[],3,FALSE)*VLOOKUP($Z1119,Frequenties[],3,FALSE)*VLOOKUP(#REF!,Locaties[],3,FALSE),0)</f>
        <v>0</v>
      </c>
      <c r="AC1119" s="33"/>
      <c r="AD1119" s="33"/>
      <c r="AE1119" s="33">
        <f>Ruimtestaat[[#This Row],[uren / jaar weekend]]*Tariefsopbouw!$D$40</f>
        <v>0</v>
      </c>
      <c r="AF1119" s="79">
        <f>Ruimtestaat[[#This Row],[Prest. (m2 /jaar) weekend]]+Ruimtestaat[[#This Row],[Prest. (m2 /jaar) werkdagen]]</f>
        <v>12000</v>
      </c>
      <c r="AG1119" s="79">
        <f>Ruimtestaat[[#This Row],[uren / jaar weekend]]+Ruimtestaat[[#This Row],[uren / jaar werkdagen]]</f>
        <v>0</v>
      </c>
      <c r="AH1119" s="80">
        <f>Ruimtestaat[[#This Row],[kosten / jaar weekend]]+Ruimtestaat[[#This Row],[kosten / jaar werkdagen]]</f>
        <v>0</v>
      </c>
    </row>
    <row r="1120" spans="1:34" ht="15" customHeight="1">
      <c r="A1120" s="256">
        <v>12</v>
      </c>
      <c r="B1120" s="171" t="str">
        <f>VLOOKUP(Ruimtestaat[[#This Row],[Code]],Locaties[#All],2,FALSE)</f>
        <v>Onderwijscentrum Het Roessingh &amp; De Huifkar</v>
      </c>
      <c r="C1120" s="258" t="str">
        <f>VLOOKUP(Ruimtestaat[[#This Row],[Code]],Locaties[#All],4,FALSE)</f>
        <v>Roessinghsbleekweg 35</v>
      </c>
      <c r="D1120" s="258" t="str">
        <f>VLOOKUP(Ruimtestaat[[#This Row],[Code]],Locaties[#All],5,FALSE)</f>
        <v>7522 AH</v>
      </c>
      <c r="E1120" s="258" t="str">
        <f>VLOOKUP(Ruimtestaat[[#This Row],[Code]],Locaties[#All],6,FALSE)</f>
        <v>Enschede</v>
      </c>
      <c r="F1120" s="257"/>
      <c r="G1120" s="257" t="s">
        <v>564</v>
      </c>
      <c r="H1120" s="171"/>
      <c r="I1120" s="257">
        <v>1206</v>
      </c>
      <c r="J1120" s="259" t="s">
        <v>936</v>
      </c>
      <c r="K1120" s="258">
        <v>16</v>
      </c>
      <c r="L1120" s="260" t="str">
        <f>VLOOKUP(Ruimtestaat[[#This Row],[Ruimte code]],Ruimtegroepen[#All],2,FALSE)</f>
        <v>Leslokalen</v>
      </c>
      <c r="M1120" s="185" t="s">
        <v>598</v>
      </c>
      <c r="N1120" s="257" t="s">
        <v>132</v>
      </c>
      <c r="O1120" s="261">
        <v>9</v>
      </c>
      <c r="P1120" s="183"/>
      <c r="Q1120" s="212" t="str">
        <f>VLOOKUP(Ruimtestaat[[#This Row],[Ruimte code]],Ruimtegroepen[#All],4,FALSE)</f>
        <v>L  (Lesruimte)</v>
      </c>
      <c r="R1120" s="184"/>
      <c r="S1120" s="185">
        <v>40</v>
      </c>
      <c r="T1120" s="185" t="s">
        <v>2</v>
      </c>
      <c r="U1120" s="185">
        <f>IF(S1120&gt;0,IF(RIGHT(Ruimtestaat[[#This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0" s="185">
        <f>IF(U1120&gt;0,VLOOKUP($K1120,Ruimtegroepen[],3,FALSE)*VLOOKUP($M1120,Vloersoorten[],3,FALSE)*VLOOKUP($T1120,Frequenties[],3,FALSE)*VLOOKUP($A1120,Locaties[],3,FALSE),0)</f>
        <v>0</v>
      </c>
      <c r="W1120" s="185">
        <f>Ruimtestaat[[#This Row],[Uitvoeringen werkdagen]]*Ruimtestaat[[#This Row],[Oppervlak (netto)]]</f>
        <v>1800</v>
      </c>
      <c r="X1120" s="220">
        <f>IF(V1120&gt;0,Ruimtestaat[[#This Row],[Prest. (m2 /jaar) werkdagen]]/Ruimtestaat[[#This Row],[Norm (m2/uur) werkdagen]],0)</f>
        <v>0</v>
      </c>
      <c r="Y1120" s="221">
        <f>Ruimtestaat[[#This Row],[uren / jaar werkdagen]]*Tariefsopbouw!$D$38</f>
        <v>0</v>
      </c>
      <c r="Z1120" s="33"/>
      <c r="AA1120" s="33">
        <f>IF(Ruimtestaat[[#This Row],[Frequentie weekend]]&gt;0,VALUE(LEFT(Z1120,1))*S1120,0)</f>
        <v>0</v>
      </c>
      <c r="AB1120" s="33">
        <f>IF($AA1120&gt;0,VLOOKUP($K1120,Ruimtegroepen[],3,FALSE)*VLOOKUP($M1120,Vloersoorten[],3,FALSE)*VLOOKUP($Z1120,Frequenties[],3,FALSE)*VLOOKUP(#REF!,Locaties[],3,FALSE),0)</f>
        <v>0</v>
      </c>
      <c r="AC1120" s="33"/>
      <c r="AD1120" s="33"/>
      <c r="AE1120" s="33">
        <f>Ruimtestaat[[#This Row],[uren / jaar weekend]]*Tariefsopbouw!$D$40</f>
        <v>0</v>
      </c>
      <c r="AF1120" s="79">
        <f>Ruimtestaat[[#This Row],[Prest. (m2 /jaar) weekend]]+Ruimtestaat[[#This Row],[Prest. (m2 /jaar) werkdagen]]</f>
        <v>1800</v>
      </c>
      <c r="AG1120" s="79">
        <f>Ruimtestaat[[#This Row],[uren / jaar weekend]]+Ruimtestaat[[#This Row],[uren / jaar werkdagen]]</f>
        <v>0</v>
      </c>
      <c r="AH1120" s="80">
        <f>Ruimtestaat[[#This Row],[kosten / jaar weekend]]+Ruimtestaat[[#This Row],[kosten / jaar werkdagen]]</f>
        <v>0</v>
      </c>
    </row>
    <row r="1121" spans="1:34" ht="15" customHeight="1">
      <c r="A1121" s="256">
        <v>12</v>
      </c>
      <c r="B1121" s="171" t="str">
        <f>VLOOKUP(Ruimtestaat[[#This Row],[Code]],Locaties[#All],2,FALSE)</f>
        <v>Onderwijscentrum Het Roessingh &amp; De Huifkar</v>
      </c>
      <c r="C1121" s="258" t="str">
        <f>VLOOKUP(Ruimtestaat[[#This Row],[Code]],Locaties[#All],4,FALSE)</f>
        <v>Roessinghsbleekweg 35</v>
      </c>
      <c r="D1121" s="258" t="str">
        <f>VLOOKUP(Ruimtestaat[[#This Row],[Code]],Locaties[#All],5,FALSE)</f>
        <v>7522 AH</v>
      </c>
      <c r="E1121" s="258" t="str">
        <f>VLOOKUP(Ruimtestaat[[#This Row],[Code]],Locaties[#All],6,FALSE)</f>
        <v>Enschede</v>
      </c>
      <c r="F1121" s="257"/>
      <c r="G1121" s="257" t="s">
        <v>857</v>
      </c>
      <c r="H1121" s="171"/>
      <c r="I1121" s="257">
        <v>201</v>
      </c>
      <c r="J1121" s="259" t="s">
        <v>576</v>
      </c>
      <c r="K1121" s="171">
        <v>16</v>
      </c>
      <c r="L1121" s="260" t="str">
        <f>VLOOKUP(Ruimtestaat[[#This Row],[Ruimte code]],Ruimtegroepen[#All],2,FALSE)</f>
        <v>Leslokalen</v>
      </c>
      <c r="M1121" s="258" t="s">
        <v>598</v>
      </c>
      <c r="N1121" s="257" t="s">
        <v>132</v>
      </c>
      <c r="O1121" s="261">
        <v>60</v>
      </c>
      <c r="P1121" s="183"/>
      <c r="Q1121" s="212" t="str">
        <f>VLOOKUP(Ruimtestaat[[#This Row],[Ruimte code]],Ruimtegroepen[#All],4,FALSE)</f>
        <v>L  (Lesruimte)</v>
      </c>
      <c r="R1121" s="184"/>
      <c r="S1121" s="185">
        <v>40</v>
      </c>
      <c r="T1121" s="185" t="s">
        <v>2</v>
      </c>
      <c r="U1121" s="185">
        <f>IF(S1121&gt;0,IF(RIGHT(Ruimtestaat[[#This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1" s="185">
        <f>IF(U1121&gt;0,VLOOKUP($K1121,Ruimtegroepen[],3,FALSE)*VLOOKUP($M1121,Vloersoorten[],3,FALSE)*VLOOKUP($T1121,Frequenties[],3,FALSE)*VLOOKUP($A1121,Locaties[],3,FALSE),0)</f>
        <v>0</v>
      </c>
      <c r="W1121" s="185">
        <f>Ruimtestaat[[#This Row],[Uitvoeringen werkdagen]]*Ruimtestaat[[#This Row],[Oppervlak (netto)]]</f>
        <v>12000</v>
      </c>
      <c r="X1121" s="220">
        <f>IF(V1121&gt;0,Ruimtestaat[[#This Row],[Prest. (m2 /jaar) werkdagen]]/Ruimtestaat[[#This Row],[Norm (m2/uur) werkdagen]],0)</f>
        <v>0</v>
      </c>
      <c r="Y1121" s="221">
        <f>Ruimtestaat[[#This Row],[uren / jaar werkdagen]]*Tariefsopbouw!$D$38</f>
        <v>0</v>
      </c>
      <c r="Z1121" s="33"/>
      <c r="AA1121" s="33">
        <f>IF(Ruimtestaat[[#This Row],[Frequentie weekend]]&gt;0,VALUE(LEFT(Z1121,1))*S1121,0)</f>
        <v>0</v>
      </c>
      <c r="AB1121" s="33">
        <f>IF($AA1121&gt;0,VLOOKUP($K1121,Ruimtegroepen[],3,FALSE)*VLOOKUP($M1121,Vloersoorten[],3,FALSE)*VLOOKUP($Z1121,Frequenties[],3,FALSE)*VLOOKUP(#REF!,Locaties[],3,FALSE),0)</f>
        <v>0</v>
      </c>
      <c r="AC1121" s="33"/>
      <c r="AD1121" s="33"/>
      <c r="AE1121" s="33">
        <f>Ruimtestaat[[#This Row],[uren / jaar weekend]]*Tariefsopbouw!$D$40</f>
        <v>0</v>
      </c>
      <c r="AF1121" s="79">
        <f>Ruimtestaat[[#This Row],[Prest. (m2 /jaar) weekend]]+Ruimtestaat[[#This Row],[Prest. (m2 /jaar) werkdagen]]</f>
        <v>12000</v>
      </c>
      <c r="AG1121" s="79">
        <f>Ruimtestaat[[#This Row],[uren / jaar weekend]]+Ruimtestaat[[#This Row],[uren / jaar werkdagen]]</f>
        <v>0</v>
      </c>
      <c r="AH1121" s="80">
        <f>Ruimtestaat[[#This Row],[kosten / jaar weekend]]+Ruimtestaat[[#This Row],[kosten / jaar werkdagen]]</f>
        <v>0</v>
      </c>
    </row>
    <row r="1122" spans="1:34" ht="15" customHeight="1">
      <c r="A1122" s="256">
        <v>12</v>
      </c>
      <c r="B1122" s="171" t="str">
        <f>VLOOKUP(Ruimtestaat[[#This Row],[Code]],Locaties[#All],2,FALSE)</f>
        <v>Onderwijscentrum Het Roessingh &amp; De Huifkar</v>
      </c>
      <c r="C1122" s="258" t="str">
        <f>VLOOKUP(Ruimtestaat[[#This Row],[Code]],Locaties[#All],4,FALSE)</f>
        <v>Roessinghsbleekweg 35</v>
      </c>
      <c r="D1122" s="258" t="str">
        <f>VLOOKUP(Ruimtestaat[[#This Row],[Code]],Locaties[#All],5,FALSE)</f>
        <v>7522 AH</v>
      </c>
      <c r="E1122" s="258" t="str">
        <f>VLOOKUP(Ruimtestaat[[#This Row],[Code]],Locaties[#All],6,FALSE)</f>
        <v>Enschede</v>
      </c>
      <c r="F1122" s="257"/>
      <c r="G1122" s="257" t="s">
        <v>857</v>
      </c>
      <c r="H1122" s="171"/>
      <c r="I1122" s="257">
        <v>221</v>
      </c>
      <c r="J1122" s="259" t="s">
        <v>576</v>
      </c>
      <c r="K1122" s="171">
        <v>16</v>
      </c>
      <c r="L1122" s="260" t="str">
        <f>VLOOKUP(Ruimtestaat[[#This Row],[Ruimte code]],Ruimtegroepen[#All],2,FALSE)</f>
        <v>Leslokalen</v>
      </c>
      <c r="M1122" s="258" t="s">
        <v>598</v>
      </c>
      <c r="N1122" s="257" t="s">
        <v>132</v>
      </c>
      <c r="O1122" s="261">
        <v>60</v>
      </c>
      <c r="P1122" s="183"/>
      <c r="Q1122" s="212" t="str">
        <f>VLOOKUP(Ruimtestaat[[#This Row],[Ruimte code]],Ruimtegroepen[#All],4,FALSE)</f>
        <v>L  (Lesruimte)</v>
      </c>
      <c r="R1122" s="184"/>
      <c r="S1122" s="185">
        <v>40</v>
      </c>
      <c r="T1122" s="185" t="s">
        <v>2</v>
      </c>
      <c r="U1122" s="185">
        <f>IF(S1122&gt;0,IF(RIGHT(Ruimtestaat[[#This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2" s="185">
        <f>IF(U1122&gt;0,VLOOKUP($K1122,Ruimtegroepen[],3,FALSE)*VLOOKUP($M1122,Vloersoorten[],3,FALSE)*VLOOKUP($T1122,Frequenties[],3,FALSE)*VLOOKUP($A1122,Locaties[],3,FALSE),0)</f>
        <v>0</v>
      </c>
      <c r="W1122" s="185">
        <f>Ruimtestaat[[#This Row],[Uitvoeringen werkdagen]]*Ruimtestaat[[#This Row],[Oppervlak (netto)]]</f>
        <v>12000</v>
      </c>
      <c r="X1122" s="220">
        <f>IF(V1122&gt;0,Ruimtestaat[[#This Row],[Prest. (m2 /jaar) werkdagen]]/Ruimtestaat[[#This Row],[Norm (m2/uur) werkdagen]],0)</f>
        <v>0</v>
      </c>
      <c r="Y1122" s="221">
        <f>Ruimtestaat[[#This Row],[uren / jaar werkdagen]]*Tariefsopbouw!$D$38</f>
        <v>0</v>
      </c>
      <c r="Z1122" s="33"/>
      <c r="AA1122" s="33">
        <f>IF(Ruimtestaat[[#This Row],[Frequentie weekend]]&gt;0,VALUE(LEFT(Z1122,1))*S1122,0)</f>
        <v>0</v>
      </c>
      <c r="AB1122" s="33">
        <f>IF($AA1122&gt;0,VLOOKUP($K1122,Ruimtegroepen[],3,FALSE)*VLOOKUP($M1122,Vloersoorten[],3,FALSE)*VLOOKUP($Z1122,Frequenties[],3,FALSE)*VLOOKUP(#REF!,Locaties[],3,FALSE),0)</f>
        <v>0</v>
      </c>
      <c r="AC1122" s="33"/>
      <c r="AD1122" s="33"/>
      <c r="AE1122" s="33">
        <f>Ruimtestaat[[#This Row],[uren / jaar weekend]]*Tariefsopbouw!$D$40</f>
        <v>0</v>
      </c>
      <c r="AF1122" s="79">
        <f>Ruimtestaat[[#This Row],[Prest. (m2 /jaar) weekend]]+Ruimtestaat[[#This Row],[Prest. (m2 /jaar) werkdagen]]</f>
        <v>12000</v>
      </c>
      <c r="AG1122" s="79">
        <f>Ruimtestaat[[#This Row],[uren / jaar weekend]]+Ruimtestaat[[#This Row],[uren / jaar werkdagen]]</f>
        <v>0</v>
      </c>
      <c r="AH1122" s="80">
        <f>Ruimtestaat[[#This Row],[kosten / jaar weekend]]+Ruimtestaat[[#This Row],[kosten / jaar werkdagen]]</f>
        <v>0</v>
      </c>
    </row>
    <row r="1123" spans="1:34" ht="15" customHeight="1">
      <c r="A1123" s="256">
        <v>12</v>
      </c>
      <c r="B1123" s="171" t="str">
        <f>VLOOKUP(Ruimtestaat[[#This Row],[Code]],Locaties[#All],2,FALSE)</f>
        <v>Onderwijscentrum Het Roessingh &amp; De Huifkar</v>
      </c>
      <c r="C1123" s="258" t="str">
        <f>VLOOKUP(Ruimtestaat[[#This Row],[Code]],Locaties[#All],4,FALSE)</f>
        <v>Roessinghsbleekweg 35</v>
      </c>
      <c r="D1123" s="258" t="str">
        <f>VLOOKUP(Ruimtestaat[[#This Row],[Code]],Locaties[#All],5,FALSE)</f>
        <v>7522 AH</v>
      </c>
      <c r="E1123" s="258" t="str">
        <f>VLOOKUP(Ruimtestaat[[#This Row],[Code]],Locaties[#All],6,FALSE)</f>
        <v>Enschede</v>
      </c>
      <c r="F1123" s="257"/>
      <c r="G1123" s="257" t="s">
        <v>857</v>
      </c>
      <c r="H1123" s="171"/>
      <c r="I1123" s="257">
        <v>241</v>
      </c>
      <c r="J1123" s="259" t="s">
        <v>576</v>
      </c>
      <c r="K1123" s="171">
        <v>16</v>
      </c>
      <c r="L1123" s="260" t="str">
        <f>VLOOKUP(Ruimtestaat[[#This Row],[Ruimte code]],Ruimtegroepen[#All],2,FALSE)</f>
        <v>Leslokalen</v>
      </c>
      <c r="M1123" s="258" t="s">
        <v>598</v>
      </c>
      <c r="N1123" s="257" t="s">
        <v>132</v>
      </c>
      <c r="O1123" s="261">
        <v>57</v>
      </c>
      <c r="P1123" s="183"/>
      <c r="Q1123" s="212" t="str">
        <f>VLOOKUP(Ruimtestaat[[#This Row],[Ruimte code]],Ruimtegroepen[#All],4,FALSE)</f>
        <v>L  (Lesruimte)</v>
      </c>
      <c r="R1123" s="184"/>
      <c r="S1123" s="185">
        <v>40</v>
      </c>
      <c r="T1123" s="185" t="s">
        <v>2</v>
      </c>
      <c r="U1123" s="185">
        <f>IF(S1123&gt;0,IF(RIGHT(Ruimtestaat[[#This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3" s="185">
        <f>IF(U1123&gt;0,VLOOKUP($K1123,Ruimtegroepen[],3,FALSE)*VLOOKUP($M1123,Vloersoorten[],3,FALSE)*VLOOKUP($T1123,Frequenties[],3,FALSE)*VLOOKUP($A1123,Locaties[],3,FALSE),0)</f>
        <v>0</v>
      </c>
      <c r="W1123" s="185">
        <f>Ruimtestaat[[#This Row],[Uitvoeringen werkdagen]]*Ruimtestaat[[#This Row],[Oppervlak (netto)]]</f>
        <v>11400</v>
      </c>
      <c r="X1123" s="220">
        <f>IF(V1123&gt;0,Ruimtestaat[[#This Row],[Prest. (m2 /jaar) werkdagen]]/Ruimtestaat[[#This Row],[Norm (m2/uur) werkdagen]],0)</f>
        <v>0</v>
      </c>
      <c r="Y1123" s="221">
        <f>Ruimtestaat[[#This Row],[uren / jaar werkdagen]]*Tariefsopbouw!$D$38</f>
        <v>0</v>
      </c>
      <c r="Z1123" s="33"/>
      <c r="AA1123" s="33">
        <f>IF(Ruimtestaat[[#This Row],[Frequentie weekend]]&gt;0,VALUE(LEFT(Z1123,1))*S1123,0)</f>
        <v>0</v>
      </c>
      <c r="AB1123" s="33">
        <f>IF($AA1123&gt;0,VLOOKUP($K1123,Ruimtegroepen[],3,FALSE)*VLOOKUP($M1123,Vloersoorten[],3,FALSE)*VLOOKUP($Z1123,Frequenties[],3,FALSE)*VLOOKUP(#REF!,Locaties[],3,FALSE),0)</f>
        <v>0</v>
      </c>
      <c r="AC1123" s="33"/>
      <c r="AD1123" s="33"/>
      <c r="AE1123" s="33">
        <f>Ruimtestaat[[#This Row],[uren / jaar weekend]]*Tariefsopbouw!$D$40</f>
        <v>0</v>
      </c>
      <c r="AF1123" s="79">
        <f>Ruimtestaat[[#This Row],[Prest. (m2 /jaar) weekend]]+Ruimtestaat[[#This Row],[Prest. (m2 /jaar) werkdagen]]</f>
        <v>11400</v>
      </c>
      <c r="AG1123" s="79">
        <f>Ruimtestaat[[#This Row],[uren / jaar weekend]]+Ruimtestaat[[#This Row],[uren / jaar werkdagen]]</f>
        <v>0</v>
      </c>
      <c r="AH1123" s="80">
        <f>Ruimtestaat[[#This Row],[kosten / jaar weekend]]+Ruimtestaat[[#This Row],[kosten / jaar werkdagen]]</f>
        <v>0</v>
      </c>
    </row>
    <row r="1124" spans="1:34" ht="15" customHeight="1">
      <c r="A1124" s="256">
        <v>12</v>
      </c>
      <c r="B1124" s="171" t="str">
        <f>VLOOKUP(Ruimtestaat[[#This Row],[Code]],Locaties[#All],2,FALSE)</f>
        <v>Onderwijscentrum Het Roessingh &amp; De Huifkar</v>
      </c>
      <c r="C1124" s="258" t="str">
        <f>VLOOKUP(Ruimtestaat[[#This Row],[Code]],Locaties[#All],4,FALSE)</f>
        <v>Roessinghsbleekweg 35</v>
      </c>
      <c r="D1124" s="258" t="str">
        <f>VLOOKUP(Ruimtestaat[[#This Row],[Code]],Locaties[#All],5,FALSE)</f>
        <v>7522 AH</v>
      </c>
      <c r="E1124" s="258" t="str">
        <f>VLOOKUP(Ruimtestaat[[#This Row],[Code]],Locaties[#All],6,FALSE)</f>
        <v>Enschede</v>
      </c>
      <c r="F1124" s="257"/>
      <c r="G1124" s="257" t="s">
        <v>857</v>
      </c>
      <c r="H1124" s="171"/>
      <c r="I1124" s="257">
        <v>242</v>
      </c>
      <c r="J1124" s="259" t="s">
        <v>936</v>
      </c>
      <c r="K1124" s="185">
        <v>16</v>
      </c>
      <c r="L1124" s="260" t="str">
        <f>VLOOKUP(Ruimtestaat[[#This Row],[Ruimte code]],Ruimtegroepen[#All],2,FALSE)</f>
        <v>Leslokalen</v>
      </c>
      <c r="M1124" s="258" t="s">
        <v>598</v>
      </c>
      <c r="N1124" s="257" t="s">
        <v>132</v>
      </c>
      <c r="O1124" s="261">
        <v>18</v>
      </c>
      <c r="P1124" s="183"/>
      <c r="Q1124" s="212" t="str">
        <f>VLOOKUP(Ruimtestaat[[#This Row],[Ruimte code]],Ruimtegroepen[#All],4,FALSE)</f>
        <v>L  (Lesruimte)</v>
      </c>
      <c r="R1124" s="184"/>
      <c r="S1124" s="185">
        <v>40</v>
      </c>
      <c r="T1124" s="185" t="s">
        <v>2</v>
      </c>
      <c r="U1124" s="185">
        <f>IF(S1124&gt;0,IF(RIGHT(Ruimtestaat[[#This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4" s="185">
        <f>IF(U1124&gt;0,VLOOKUP($K1124,Ruimtegroepen[],3,FALSE)*VLOOKUP($M1124,Vloersoorten[],3,FALSE)*VLOOKUP($T1124,Frequenties[],3,FALSE)*VLOOKUP($A1124,Locaties[],3,FALSE),0)</f>
        <v>0</v>
      </c>
      <c r="W1124" s="185">
        <f>Ruimtestaat[[#This Row],[Uitvoeringen werkdagen]]*Ruimtestaat[[#This Row],[Oppervlak (netto)]]</f>
        <v>3600</v>
      </c>
      <c r="X1124" s="220">
        <f>IF(V1124&gt;0,Ruimtestaat[[#This Row],[Prest. (m2 /jaar) werkdagen]]/Ruimtestaat[[#This Row],[Norm (m2/uur) werkdagen]],0)</f>
        <v>0</v>
      </c>
      <c r="Y1124" s="221">
        <f>Ruimtestaat[[#This Row],[uren / jaar werkdagen]]*Tariefsopbouw!$D$38</f>
        <v>0</v>
      </c>
      <c r="Z1124" s="33"/>
      <c r="AA1124" s="33">
        <f>IF(Ruimtestaat[[#This Row],[Frequentie weekend]]&gt;0,VALUE(LEFT(Z1124,1))*S1124,0)</f>
        <v>0</v>
      </c>
      <c r="AB1124" s="33">
        <f>IF($AA1124&gt;0,VLOOKUP($K1124,Ruimtegroepen[],3,FALSE)*VLOOKUP($M1124,Vloersoorten[],3,FALSE)*VLOOKUP($Z1124,Frequenties[],3,FALSE)*VLOOKUP(#REF!,Locaties[],3,FALSE),0)</f>
        <v>0</v>
      </c>
      <c r="AC1124" s="33"/>
      <c r="AD1124" s="33"/>
      <c r="AE1124" s="33">
        <f>Ruimtestaat[[#This Row],[uren / jaar weekend]]*Tariefsopbouw!$D$40</f>
        <v>0</v>
      </c>
      <c r="AF1124" s="79">
        <f>Ruimtestaat[[#This Row],[Prest. (m2 /jaar) weekend]]+Ruimtestaat[[#This Row],[Prest. (m2 /jaar) werkdagen]]</f>
        <v>3600</v>
      </c>
      <c r="AG1124" s="79">
        <f>Ruimtestaat[[#This Row],[uren / jaar weekend]]+Ruimtestaat[[#This Row],[uren / jaar werkdagen]]</f>
        <v>0</v>
      </c>
      <c r="AH1124" s="80">
        <f>Ruimtestaat[[#This Row],[kosten / jaar weekend]]+Ruimtestaat[[#This Row],[kosten / jaar werkdagen]]</f>
        <v>0</v>
      </c>
    </row>
    <row r="1125" spans="1:34" ht="15" customHeight="1">
      <c r="A1125" s="256">
        <v>12</v>
      </c>
      <c r="B1125" s="171" t="str">
        <f>VLOOKUP(Ruimtestaat[[#This Row],[Code]],Locaties[#All],2,FALSE)</f>
        <v>Onderwijscentrum Het Roessingh &amp; De Huifkar</v>
      </c>
      <c r="C1125" s="258" t="str">
        <f>VLOOKUP(Ruimtestaat[[#This Row],[Code]],Locaties[#All],4,FALSE)</f>
        <v>Roessinghsbleekweg 35</v>
      </c>
      <c r="D1125" s="258" t="str">
        <f>VLOOKUP(Ruimtestaat[[#This Row],[Code]],Locaties[#All],5,FALSE)</f>
        <v>7522 AH</v>
      </c>
      <c r="E1125" s="258" t="str">
        <f>VLOOKUP(Ruimtestaat[[#This Row],[Code]],Locaties[#All],6,FALSE)</f>
        <v>Enschede</v>
      </c>
      <c r="F1125" s="257"/>
      <c r="G1125" s="257" t="s">
        <v>857</v>
      </c>
      <c r="H1125" s="171"/>
      <c r="I1125" s="257">
        <v>243</v>
      </c>
      <c r="J1125" s="259" t="s">
        <v>977</v>
      </c>
      <c r="K1125" s="171">
        <v>9</v>
      </c>
      <c r="L1125" s="260" t="str">
        <f>VLOOKUP(Ruimtestaat[[#This Row],[Ruimte code]],Ruimtegroepen[#All],2,FALSE)</f>
        <v>Time-out ruimte</v>
      </c>
      <c r="M1125" s="258" t="s">
        <v>598</v>
      </c>
      <c r="N1125" s="257" t="s">
        <v>132</v>
      </c>
      <c r="O1125" s="261">
        <v>9.1999999999999993</v>
      </c>
      <c r="P1125" s="183"/>
      <c r="Q1125" s="212" t="str">
        <f>VLOOKUP(Ruimtestaat[[#This Row],[Ruimte code]],Ruimtegroepen[#All],4,FALSE)</f>
        <v>V  (Verkeersruimte)</v>
      </c>
      <c r="R1125" s="184"/>
      <c r="S1125" s="185">
        <v>40</v>
      </c>
      <c r="T1125" s="185" t="s">
        <v>18</v>
      </c>
      <c r="U1125" s="185">
        <f>IF(S1125&gt;0,IF(RIGHT(Ruimtestaat[[#This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25" s="185">
        <f>IF(U1125&gt;0,VLOOKUP($K1125,Ruimtegroepen[],3,FALSE)*VLOOKUP($M1125,Vloersoorten[],3,FALSE)*VLOOKUP($T1125,Frequenties[],3,FALSE)*VLOOKUP($A1125,Locaties[],3,FALSE),0)</f>
        <v>0</v>
      </c>
      <c r="W1125" s="185">
        <f>Ruimtestaat[[#This Row],[Uitvoeringen werkdagen]]*Ruimtestaat[[#This Row],[Oppervlak (netto)]]</f>
        <v>1104</v>
      </c>
      <c r="X1125" s="220">
        <f>IF(V1125&gt;0,Ruimtestaat[[#This Row],[Prest. (m2 /jaar) werkdagen]]/Ruimtestaat[[#This Row],[Norm (m2/uur) werkdagen]],0)</f>
        <v>0</v>
      </c>
      <c r="Y1125" s="221">
        <f>Ruimtestaat[[#This Row],[uren / jaar werkdagen]]*Tariefsopbouw!$D$38</f>
        <v>0</v>
      </c>
      <c r="Z1125" s="33"/>
      <c r="AA1125" s="33">
        <f>IF(Ruimtestaat[[#This Row],[Frequentie weekend]]&gt;0,VALUE(LEFT(Z1125,1))*S1125,0)</f>
        <v>0</v>
      </c>
      <c r="AB1125" s="33">
        <f>IF($AA1125&gt;0,VLOOKUP($K1125,Ruimtegroepen[],3,FALSE)*VLOOKUP($M1125,Vloersoorten[],3,FALSE)*VLOOKUP($Z1125,Frequenties[],3,FALSE)*VLOOKUP(#REF!,Locaties[],3,FALSE),0)</f>
        <v>0</v>
      </c>
      <c r="AC1125" s="33"/>
      <c r="AD1125" s="33"/>
      <c r="AE1125" s="33">
        <f>Ruimtestaat[[#This Row],[uren / jaar weekend]]*Tariefsopbouw!$D$40</f>
        <v>0</v>
      </c>
      <c r="AF1125" s="79">
        <f>Ruimtestaat[[#This Row],[Prest. (m2 /jaar) weekend]]+Ruimtestaat[[#This Row],[Prest. (m2 /jaar) werkdagen]]</f>
        <v>1104</v>
      </c>
      <c r="AG1125" s="79">
        <f>Ruimtestaat[[#This Row],[uren / jaar weekend]]+Ruimtestaat[[#This Row],[uren / jaar werkdagen]]</f>
        <v>0</v>
      </c>
      <c r="AH1125" s="80">
        <f>Ruimtestaat[[#This Row],[kosten / jaar weekend]]+Ruimtestaat[[#This Row],[kosten / jaar werkdagen]]</f>
        <v>0</v>
      </c>
    </row>
    <row r="1126" spans="1:34" ht="15" customHeight="1">
      <c r="A1126" s="256">
        <v>12</v>
      </c>
      <c r="B1126" s="171" t="str">
        <f>VLOOKUP(Ruimtestaat[[#This Row],[Code]],Locaties[#All],2,FALSE)</f>
        <v>Onderwijscentrum Het Roessingh &amp; De Huifkar</v>
      </c>
      <c r="C1126" s="258" t="str">
        <f>VLOOKUP(Ruimtestaat[[#This Row],[Code]],Locaties[#All],4,FALSE)</f>
        <v>Roessinghsbleekweg 35</v>
      </c>
      <c r="D1126" s="258" t="str">
        <f>VLOOKUP(Ruimtestaat[[#This Row],[Code]],Locaties[#All],5,FALSE)</f>
        <v>7522 AH</v>
      </c>
      <c r="E1126" s="258" t="str">
        <f>VLOOKUP(Ruimtestaat[[#This Row],[Code]],Locaties[#All],6,FALSE)</f>
        <v>Enschede</v>
      </c>
      <c r="F1126" s="257"/>
      <c r="G1126" s="257" t="s">
        <v>857</v>
      </c>
      <c r="H1126" s="171"/>
      <c r="I1126" s="257">
        <v>244</v>
      </c>
      <c r="J1126" s="259" t="s">
        <v>600</v>
      </c>
      <c r="K1126" s="224">
        <v>15</v>
      </c>
      <c r="L1126" s="260" t="str">
        <f>VLOOKUP(Ruimtestaat[[#This Row],[Ruimte code]],Ruimtegroepen[#All],2,FALSE)</f>
        <v>Keuken/pantry</v>
      </c>
      <c r="M1126" s="258" t="s">
        <v>598</v>
      </c>
      <c r="N1126" s="257" t="s">
        <v>132</v>
      </c>
      <c r="O1126" s="261">
        <v>45</v>
      </c>
      <c r="P1126" s="183"/>
      <c r="Q1126" s="212" t="str">
        <f>VLOOKUP(Ruimtestaat[[#This Row],[Ruimte code]],Ruimtegroepen[#All],4,FALSE)</f>
        <v>V  (Verkeersruimte)</v>
      </c>
      <c r="R1126" s="184"/>
      <c r="S1126" s="185">
        <v>40</v>
      </c>
      <c r="T1126" s="185" t="s">
        <v>2</v>
      </c>
      <c r="U1126" s="185">
        <f>IF(S1126&gt;0,IF(RIGHT(Ruimtestaat[[#This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6" s="185">
        <f>IF(U1126&gt;0,VLOOKUP($K1126,Ruimtegroepen[],3,FALSE)*VLOOKUP($M1126,Vloersoorten[],3,FALSE)*VLOOKUP($T1126,Frequenties[],3,FALSE)*VLOOKUP($A1126,Locaties[],3,FALSE),0)</f>
        <v>0</v>
      </c>
      <c r="W1126" s="185">
        <f>Ruimtestaat[[#This Row],[Uitvoeringen werkdagen]]*Ruimtestaat[[#This Row],[Oppervlak (netto)]]</f>
        <v>9000</v>
      </c>
      <c r="X1126" s="220">
        <f>IF(V1126&gt;0,Ruimtestaat[[#This Row],[Prest. (m2 /jaar) werkdagen]]/Ruimtestaat[[#This Row],[Norm (m2/uur) werkdagen]],0)</f>
        <v>0</v>
      </c>
      <c r="Y1126" s="221">
        <f>Ruimtestaat[[#This Row],[uren / jaar werkdagen]]*Tariefsopbouw!$D$38</f>
        <v>0</v>
      </c>
      <c r="Z1126" s="33"/>
      <c r="AA1126" s="33">
        <f>IF(Ruimtestaat[[#This Row],[Frequentie weekend]]&gt;0,VALUE(LEFT(Z1126,1))*S1126,0)</f>
        <v>0</v>
      </c>
      <c r="AB1126" s="33">
        <f>IF($AA1126&gt;0,VLOOKUP($K1126,Ruimtegroepen[],3,FALSE)*VLOOKUP($M1126,Vloersoorten[],3,FALSE)*VLOOKUP($Z1126,Frequenties[],3,FALSE)*VLOOKUP(#REF!,Locaties[],3,FALSE),0)</f>
        <v>0</v>
      </c>
      <c r="AC1126" s="33"/>
      <c r="AD1126" s="33"/>
      <c r="AE1126" s="33">
        <f>Ruimtestaat[[#This Row],[uren / jaar weekend]]*Tariefsopbouw!$D$40</f>
        <v>0</v>
      </c>
      <c r="AF1126" s="79">
        <f>Ruimtestaat[[#This Row],[Prest. (m2 /jaar) weekend]]+Ruimtestaat[[#This Row],[Prest. (m2 /jaar) werkdagen]]</f>
        <v>9000</v>
      </c>
      <c r="AG1126" s="79">
        <f>Ruimtestaat[[#This Row],[uren / jaar weekend]]+Ruimtestaat[[#This Row],[uren / jaar werkdagen]]</f>
        <v>0</v>
      </c>
      <c r="AH1126" s="80">
        <f>Ruimtestaat[[#This Row],[kosten / jaar weekend]]+Ruimtestaat[[#This Row],[kosten / jaar werkdagen]]</f>
        <v>0</v>
      </c>
    </row>
    <row r="1127" spans="1:34" ht="15" customHeight="1">
      <c r="A1127" s="256">
        <v>12</v>
      </c>
      <c r="B1127" s="171" t="str">
        <f>VLOOKUP(Ruimtestaat[[#This Row],[Code]],Locaties[#All],2,FALSE)</f>
        <v>Onderwijscentrum Het Roessingh &amp; De Huifkar</v>
      </c>
      <c r="C1127" s="258" t="str">
        <f>VLOOKUP(Ruimtestaat[[#This Row],[Code]],Locaties[#All],4,FALSE)</f>
        <v>Roessinghsbleekweg 35</v>
      </c>
      <c r="D1127" s="258" t="str">
        <f>VLOOKUP(Ruimtestaat[[#This Row],[Code]],Locaties[#All],5,FALSE)</f>
        <v>7522 AH</v>
      </c>
      <c r="E1127" s="258" t="str">
        <f>VLOOKUP(Ruimtestaat[[#This Row],[Code]],Locaties[#All],6,FALSE)</f>
        <v>Enschede</v>
      </c>
      <c r="F1127" s="257"/>
      <c r="G1127" s="257" t="s">
        <v>857</v>
      </c>
      <c r="H1127" s="171"/>
      <c r="I1127" s="257">
        <v>261</v>
      </c>
      <c r="J1127" s="259" t="s">
        <v>576</v>
      </c>
      <c r="K1127" s="171">
        <v>16</v>
      </c>
      <c r="L1127" s="260" t="str">
        <f>VLOOKUP(Ruimtestaat[[#This Row],[Ruimte code]],Ruimtegroepen[#All],2,FALSE)</f>
        <v>Leslokalen</v>
      </c>
      <c r="M1127" s="258" t="s">
        <v>598</v>
      </c>
      <c r="N1127" s="257" t="s">
        <v>132</v>
      </c>
      <c r="O1127" s="261">
        <v>57</v>
      </c>
      <c r="P1127" s="183"/>
      <c r="Q1127" s="212" t="str">
        <f>VLOOKUP(Ruimtestaat[[#This Row],[Ruimte code]],Ruimtegroepen[#All],4,FALSE)</f>
        <v>L  (Lesruimte)</v>
      </c>
      <c r="R1127" s="184"/>
      <c r="S1127" s="185">
        <v>40</v>
      </c>
      <c r="T1127" s="185" t="s">
        <v>2</v>
      </c>
      <c r="U1127" s="185">
        <f>IF(S1127&gt;0,IF(RIGHT(Ruimtestaat[[#This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7" s="185">
        <f>IF(U1127&gt;0,VLOOKUP($K1127,Ruimtegroepen[],3,FALSE)*VLOOKUP($M1127,Vloersoorten[],3,FALSE)*VLOOKUP($T1127,Frequenties[],3,FALSE)*VLOOKUP($A1127,Locaties[],3,FALSE),0)</f>
        <v>0</v>
      </c>
      <c r="W1127" s="185">
        <f>Ruimtestaat[[#This Row],[Uitvoeringen werkdagen]]*Ruimtestaat[[#This Row],[Oppervlak (netto)]]</f>
        <v>11400</v>
      </c>
      <c r="X1127" s="220">
        <f>IF(V1127&gt;0,Ruimtestaat[[#This Row],[Prest. (m2 /jaar) werkdagen]]/Ruimtestaat[[#This Row],[Norm (m2/uur) werkdagen]],0)</f>
        <v>0</v>
      </c>
      <c r="Y1127" s="221">
        <f>Ruimtestaat[[#This Row],[uren / jaar werkdagen]]*Tariefsopbouw!$D$38</f>
        <v>0</v>
      </c>
      <c r="Z1127" s="33"/>
      <c r="AA1127" s="33">
        <f>IF(Ruimtestaat[[#This Row],[Frequentie weekend]]&gt;0,VALUE(LEFT(Z1127,1))*S1127,0)</f>
        <v>0</v>
      </c>
      <c r="AB1127" s="33">
        <f>IF($AA1127&gt;0,VLOOKUP($K1127,Ruimtegroepen[],3,FALSE)*VLOOKUP($M1127,Vloersoorten[],3,FALSE)*VLOOKUP($Z1127,Frequenties[],3,FALSE)*VLOOKUP(#REF!,Locaties[],3,FALSE),0)</f>
        <v>0</v>
      </c>
      <c r="AC1127" s="33"/>
      <c r="AD1127" s="33"/>
      <c r="AE1127" s="33">
        <f>Ruimtestaat[[#This Row],[uren / jaar weekend]]*Tariefsopbouw!$D$40</f>
        <v>0</v>
      </c>
      <c r="AF1127" s="79">
        <f>Ruimtestaat[[#This Row],[Prest. (m2 /jaar) weekend]]+Ruimtestaat[[#This Row],[Prest. (m2 /jaar) werkdagen]]</f>
        <v>11400</v>
      </c>
      <c r="AG1127" s="79">
        <f>Ruimtestaat[[#This Row],[uren / jaar weekend]]+Ruimtestaat[[#This Row],[uren / jaar werkdagen]]</f>
        <v>0</v>
      </c>
      <c r="AH1127" s="80">
        <f>Ruimtestaat[[#This Row],[kosten / jaar weekend]]+Ruimtestaat[[#This Row],[kosten / jaar werkdagen]]</f>
        <v>0</v>
      </c>
    </row>
    <row r="1128" spans="1:34" ht="15" customHeight="1">
      <c r="A1128" s="256">
        <v>12</v>
      </c>
      <c r="B1128" s="171" t="str">
        <f>VLOOKUP(Ruimtestaat[[#This Row],[Code]],Locaties[#All],2,FALSE)</f>
        <v>Onderwijscentrum Het Roessingh &amp; De Huifkar</v>
      </c>
      <c r="C1128" s="258" t="str">
        <f>VLOOKUP(Ruimtestaat[[#This Row],[Code]],Locaties[#All],4,FALSE)</f>
        <v>Roessinghsbleekweg 35</v>
      </c>
      <c r="D1128" s="258" t="str">
        <f>VLOOKUP(Ruimtestaat[[#This Row],[Code]],Locaties[#All],5,FALSE)</f>
        <v>7522 AH</v>
      </c>
      <c r="E1128" s="258" t="str">
        <f>VLOOKUP(Ruimtestaat[[#This Row],[Code]],Locaties[#All],6,FALSE)</f>
        <v>Enschede</v>
      </c>
      <c r="F1128" s="257"/>
      <c r="G1128" s="257" t="s">
        <v>857</v>
      </c>
      <c r="H1128" s="171"/>
      <c r="I1128" s="257">
        <v>262</v>
      </c>
      <c r="J1128" s="259" t="s">
        <v>936</v>
      </c>
      <c r="K1128" s="258">
        <v>16</v>
      </c>
      <c r="L1128" s="260" t="str">
        <f>VLOOKUP(Ruimtestaat[[#This Row],[Ruimte code]],Ruimtegroepen[#All],2,FALSE)</f>
        <v>Leslokalen</v>
      </c>
      <c r="M1128" s="258" t="s">
        <v>598</v>
      </c>
      <c r="N1128" s="257" t="s">
        <v>132</v>
      </c>
      <c r="O1128" s="261">
        <v>12</v>
      </c>
      <c r="P1128" s="183"/>
      <c r="Q1128" s="212" t="str">
        <f>VLOOKUP(Ruimtestaat[[#This Row],[Ruimte code]],Ruimtegroepen[#All],4,FALSE)</f>
        <v>L  (Lesruimte)</v>
      </c>
      <c r="R1128" s="184"/>
      <c r="S1128" s="185">
        <v>40</v>
      </c>
      <c r="T1128" s="185" t="s">
        <v>2</v>
      </c>
      <c r="U1128" s="185">
        <f>IF(S1128&gt;0,IF(RIGHT(Ruimtestaat[[#This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8" s="185">
        <f>IF(U1128&gt;0,VLOOKUP($K1128,Ruimtegroepen[],3,FALSE)*VLOOKUP($M1128,Vloersoorten[],3,FALSE)*VLOOKUP($T1128,Frequenties[],3,FALSE)*VLOOKUP($A1128,Locaties[],3,FALSE),0)</f>
        <v>0</v>
      </c>
      <c r="W1128" s="185">
        <f>Ruimtestaat[[#This Row],[Uitvoeringen werkdagen]]*Ruimtestaat[[#This Row],[Oppervlak (netto)]]</f>
        <v>2400</v>
      </c>
      <c r="X1128" s="220">
        <f>IF(V1128&gt;0,Ruimtestaat[[#This Row],[Prest. (m2 /jaar) werkdagen]]/Ruimtestaat[[#This Row],[Norm (m2/uur) werkdagen]],0)</f>
        <v>0</v>
      </c>
      <c r="Y1128" s="221">
        <f>Ruimtestaat[[#This Row],[uren / jaar werkdagen]]*Tariefsopbouw!$D$38</f>
        <v>0</v>
      </c>
      <c r="Z1128" s="33"/>
      <c r="AA1128" s="33">
        <f>IF(Ruimtestaat[[#This Row],[Frequentie weekend]]&gt;0,VALUE(LEFT(Z1128,1))*S1128,0)</f>
        <v>0</v>
      </c>
      <c r="AB1128" s="33">
        <f>IF($AA1128&gt;0,VLOOKUP($K1128,Ruimtegroepen[],3,FALSE)*VLOOKUP($M1128,Vloersoorten[],3,FALSE)*VLOOKUP($Z1128,Frequenties[],3,FALSE)*VLOOKUP(#REF!,Locaties[],3,FALSE),0)</f>
        <v>0</v>
      </c>
      <c r="AC1128" s="33"/>
      <c r="AD1128" s="33"/>
      <c r="AE1128" s="33">
        <f>Ruimtestaat[[#This Row],[uren / jaar weekend]]*Tariefsopbouw!$D$40</f>
        <v>0</v>
      </c>
      <c r="AF1128" s="79">
        <f>Ruimtestaat[[#This Row],[Prest. (m2 /jaar) weekend]]+Ruimtestaat[[#This Row],[Prest. (m2 /jaar) werkdagen]]</f>
        <v>2400</v>
      </c>
      <c r="AG1128" s="79">
        <f>Ruimtestaat[[#This Row],[uren / jaar weekend]]+Ruimtestaat[[#This Row],[uren / jaar werkdagen]]</f>
        <v>0</v>
      </c>
      <c r="AH1128" s="80">
        <f>Ruimtestaat[[#This Row],[kosten / jaar weekend]]+Ruimtestaat[[#This Row],[kosten / jaar werkdagen]]</f>
        <v>0</v>
      </c>
    </row>
    <row r="1129" spans="1:34" ht="15" customHeight="1">
      <c r="A1129" s="256">
        <v>12</v>
      </c>
      <c r="B1129" s="171" t="str">
        <f>VLOOKUP(Ruimtestaat[[#This Row],[Code]],Locaties[#All],2,FALSE)</f>
        <v>Onderwijscentrum Het Roessingh &amp; De Huifkar</v>
      </c>
      <c r="C1129" s="258" t="str">
        <f>VLOOKUP(Ruimtestaat[[#This Row],[Code]],Locaties[#All],4,FALSE)</f>
        <v>Roessinghsbleekweg 35</v>
      </c>
      <c r="D1129" s="258" t="str">
        <f>VLOOKUP(Ruimtestaat[[#This Row],[Code]],Locaties[#All],5,FALSE)</f>
        <v>7522 AH</v>
      </c>
      <c r="E1129" s="258" t="str">
        <f>VLOOKUP(Ruimtestaat[[#This Row],[Code]],Locaties[#All],6,FALSE)</f>
        <v>Enschede</v>
      </c>
      <c r="F1129" s="257"/>
      <c r="G1129" s="257" t="s">
        <v>857</v>
      </c>
      <c r="H1129" s="171"/>
      <c r="I1129" s="257">
        <v>263</v>
      </c>
      <c r="J1129" s="259" t="s">
        <v>569</v>
      </c>
      <c r="K1129" s="258">
        <v>5</v>
      </c>
      <c r="L1129" s="260" t="str">
        <f>VLOOKUP(Ruimtestaat[[#This Row],[Ruimte code]],Ruimtegroepen[#All],2,FALSE)</f>
        <v>Sanitair</v>
      </c>
      <c r="M1129" s="212" t="s">
        <v>111</v>
      </c>
      <c r="N1129" s="257" t="s">
        <v>606</v>
      </c>
      <c r="O1129" s="261">
        <v>9.1999999999999993</v>
      </c>
      <c r="P1129" s="183"/>
      <c r="Q1129" s="212" t="str">
        <f>VLOOKUP(Ruimtestaat[[#This Row],[Ruimte code]],Ruimtegroepen[#All],4,FALSE)</f>
        <v>S  (Sanitair)</v>
      </c>
      <c r="R1129" s="184"/>
      <c r="S1129" s="185">
        <v>40</v>
      </c>
      <c r="T1129" s="185" t="s">
        <v>2</v>
      </c>
      <c r="U1129" s="185">
        <f>IF(S1129&gt;0,IF(RIGHT(Ruimtestaat[[#This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9" s="185">
        <f>IF(U1129&gt;0,VLOOKUP($K1129,Ruimtegroepen[],3,FALSE)*VLOOKUP($M1129,Vloersoorten[],3,FALSE)*VLOOKUP($T1129,Frequenties[],3,FALSE)*VLOOKUP($A1129,Locaties[],3,FALSE),0)</f>
        <v>0</v>
      </c>
      <c r="W1129" s="185">
        <f>Ruimtestaat[[#This Row],[Uitvoeringen werkdagen]]*Ruimtestaat[[#This Row],[Oppervlak (netto)]]</f>
        <v>1839.9999999999998</v>
      </c>
      <c r="X1129" s="220">
        <f>IF(V1129&gt;0,Ruimtestaat[[#This Row],[Prest. (m2 /jaar) werkdagen]]/Ruimtestaat[[#This Row],[Norm (m2/uur) werkdagen]],0)</f>
        <v>0</v>
      </c>
      <c r="Y1129" s="221">
        <f>Ruimtestaat[[#This Row],[uren / jaar werkdagen]]*Tariefsopbouw!$D$38</f>
        <v>0</v>
      </c>
      <c r="Z1129" s="33"/>
      <c r="AA1129" s="33">
        <f>IF(Ruimtestaat[[#This Row],[Frequentie weekend]]&gt;0,VALUE(LEFT(Z1129,1))*S1129,0)</f>
        <v>0</v>
      </c>
      <c r="AB1129" s="33">
        <f>IF($AA1129&gt;0,VLOOKUP($K1129,Ruimtegroepen[],3,FALSE)*VLOOKUP($M1129,Vloersoorten[],3,FALSE)*VLOOKUP($Z1129,Frequenties[],3,FALSE)*VLOOKUP(#REF!,Locaties[],3,FALSE),0)</f>
        <v>0</v>
      </c>
      <c r="AC1129" s="33"/>
      <c r="AD1129" s="33"/>
      <c r="AE1129" s="33">
        <f>Ruimtestaat[[#This Row],[uren / jaar weekend]]*Tariefsopbouw!$D$40</f>
        <v>0</v>
      </c>
      <c r="AF1129" s="79">
        <f>Ruimtestaat[[#This Row],[Prest. (m2 /jaar) weekend]]+Ruimtestaat[[#This Row],[Prest. (m2 /jaar) werkdagen]]</f>
        <v>1839.9999999999998</v>
      </c>
      <c r="AG1129" s="79">
        <f>Ruimtestaat[[#This Row],[uren / jaar weekend]]+Ruimtestaat[[#This Row],[uren / jaar werkdagen]]</f>
        <v>0</v>
      </c>
      <c r="AH1129" s="80">
        <f>Ruimtestaat[[#This Row],[kosten / jaar weekend]]+Ruimtestaat[[#This Row],[kosten / jaar werkdagen]]</f>
        <v>0</v>
      </c>
    </row>
    <row r="1130" spans="1:34" ht="15" customHeight="1">
      <c r="A1130" s="256">
        <v>12</v>
      </c>
      <c r="B1130" s="171" t="str">
        <f>VLOOKUP(Ruimtestaat[[#This Row],[Code]],Locaties[#All],2,FALSE)</f>
        <v>Onderwijscentrum Het Roessingh &amp; De Huifkar</v>
      </c>
      <c r="C1130" s="258" t="str">
        <f>VLOOKUP(Ruimtestaat[[#This Row],[Code]],Locaties[#All],4,FALSE)</f>
        <v>Roessinghsbleekweg 35</v>
      </c>
      <c r="D1130" s="258" t="str">
        <f>VLOOKUP(Ruimtestaat[[#This Row],[Code]],Locaties[#All],5,FALSE)</f>
        <v>7522 AH</v>
      </c>
      <c r="E1130" s="258" t="str">
        <f>VLOOKUP(Ruimtestaat[[#This Row],[Code]],Locaties[#All],6,FALSE)</f>
        <v>Enschede</v>
      </c>
      <c r="F1130" s="257"/>
      <c r="G1130" s="257" t="s">
        <v>857</v>
      </c>
      <c r="H1130" s="171"/>
      <c r="I1130" s="257">
        <v>264</v>
      </c>
      <c r="J1130" s="259" t="s">
        <v>576</v>
      </c>
      <c r="K1130" s="171">
        <v>16</v>
      </c>
      <c r="L1130" s="260" t="str">
        <f>VLOOKUP(Ruimtestaat[[#This Row],[Ruimte code]],Ruimtegroepen[#All],2,FALSE)</f>
        <v>Leslokalen</v>
      </c>
      <c r="M1130" s="258" t="s">
        <v>598</v>
      </c>
      <c r="N1130" s="257" t="s">
        <v>132</v>
      </c>
      <c r="O1130" s="261">
        <v>45</v>
      </c>
      <c r="P1130" s="183"/>
      <c r="Q1130" s="212" t="str">
        <f>VLOOKUP(Ruimtestaat[[#This Row],[Ruimte code]],Ruimtegroepen[#All],4,FALSE)</f>
        <v>L  (Lesruimte)</v>
      </c>
      <c r="R1130" s="184"/>
      <c r="S1130" s="185">
        <v>40</v>
      </c>
      <c r="T1130" s="185" t="s">
        <v>2</v>
      </c>
      <c r="U1130" s="185">
        <f>IF(S1130&gt;0,IF(RIGHT(Ruimtestaat[[#This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0" s="185">
        <f>IF(U1130&gt;0,VLOOKUP($K1130,Ruimtegroepen[],3,FALSE)*VLOOKUP($M1130,Vloersoorten[],3,FALSE)*VLOOKUP($T1130,Frequenties[],3,FALSE)*VLOOKUP($A1130,Locaties[],3,FALSE),0)</f>
        <v>0</v>
      </c>
      <c r="W1130" s="185">
        <f>Ruimtestaat[[#This Row],[Uitvoeringen werkdagen]]*Ruimtestaat[[#This Row],[Oppervlak (netto)]]</f>
        <v>9000</v>
      </c>
      <c r="X1130" s="220">
        <f>IF(V1130&gt;0,Ruimtestaat[[#This Row],[Prest. (m2 /jaar) werkdagen]]/Ruimtestaat[[#This Row],[Norm (m2/uur) werkdagen]],0)</f>
        <v>0</v>
      </c>
      <c r="Y1130" s="221">
        <f>Ruimtestaat[[#This Row],[uren / jaar werkdagen]]*Tariefsopbouw!$D$38</f>
        <v>0</v>
      </c>
      <c r="Z1130" s="33"/>
      <c r="AA1130" s="33">
        <f>IF(Ruimtestaat[[#This Row],[Frequentie weekend]]&gt;0,VALUE(LEFT(Z1130,1))*S1130,0)</f>
        <v>0</v>
      </c>
      <c r="AB1130" s="33">
        <f>IF($AA1130&gt;0,VLOOKUP($K1130,Ruimtegroepen[],3,FALSE)*VLOOKUP($M1130,Vloersoorten[],3,FALSE)*VLOOKUP($Z1130,Frequenties[],3,FALSE)*VLOOKUP(#REF!,Locaties[],3,FALSE),0)</f>
        <v>0</v>
      </c>
      <c r="AC1130" s="33"/>
      <c r="AD1130" s="33"/>
      <c r="AE1130" s="33">
        <f>Ruimtestaat[[#This Row],[uren / jaar weekend]]*Tariefsopbouw!$D$40</f>
        <v>0</v>
      </c>
      <c r="AF1130" s="79">
        <f>Ruimtestaat[[#This Row],[Prest. (m2 /jaar) weekend]]+Ruimtestaat[[#This Row],[Prest. (m2 /jaar) werkdagen]]</f>
        <v>9000</v>
      </c>
      <c r="AG1130" s="79">
        <f>Ruimtestaat[[#This Row],[uren / jaar weekend]]+Ruimtestaat[[#This Row],[uren / jaar werkdagen]]</f>
        <v>0</v>
      </c>
      <c r="AH1130" s="80">
        <f>Ruimtestaat[[#This Row],[kosten / jaar weekend]]+Ruimtestaat[[#This Row],[kosten / jaar werkdagen]]</f>
        <v>0</v>
      </c>
    </row>
    <row r="1131" spans="1:34" ht="15" customHeight="1">
      <c r="A1131" s="256">
        <v>12</v>
      </c>
      <c r="B1131" s="171" t="str">
        <f>VLOOKUP(Ruimtestaat[[#This Row],[Code]],Locaties[#All],2,FALSE)</f>
        <v>Onderwijscentrum Het Roessingh &amp; De Huifkar</v>
      </c>
      <c r="C1131" s="258" t="str">
        <f>VLOOKUP(Ruimtestaat[[#This Row],[Code]],Locaties[#All],4,FALSE)</f>
        <v>Roessinghsbleekweg 35</v>
      </c>
      <c r="D1131" s="258" t="str">
        <f>VLOOKUP(Ruimtestaat[[#This Row],[Code]],Locaties[#All],5,FALSE)</f>
        <v>7522 AH</v>
      </c>
      <c r="E1131" s="258" t="str">
        <f>VLOOKUP(Ruimtestaat[[#This Row],[Code]],Locaties[#All],6,FALSE)</f>
        <v>Enschede</v>
      </c>
      <c r="F1131" s="257"/>
      <c r="G1131" s="257" t="s">
        <v>857</v>
      </c>
      <c r="H1131" s="171"/>
      <c r="I1131" s="257">
        <v>281</v>
      </c>
      <c r="J1131" s="259" t="s">
        <v>576</v>
      </c>
      <c r="K1131" s="171">
        <v>16</v>
      </c>
      <c r="L1131" s="260" t="str">
        <f>VLOOKUP(Ruimtestaat[[#This Row],[Ruimte code]],Ruimtegroepen[#All],2,FALSE)</f>
        <v>Leslokalen</v>
      </c>
      <c r="M1131" s="258" t="s">
        <v>598</v>
      </c>
      <c r="N1131" s="257" t="s">
        <v>132</v>
      </c>
      <c r="O1131" s="261">
        <v>57</v>
      </c>
      <c r="P1131" s="183"/>
      <c r="Q1131" s="212" t="str">
        <f>VLOOKUP(Ruimtestaat[[#This Row],[Ruimte code]],Ruimtegroepen[#All],4,FALSE)</f>
        <v>L  (Lesruimte)</v>
      </c>
      <c r="R1131" s="184"/>
      <c r="S1131" s="185">
        <v>40</v>
      </c>
      <c r="T1131" s="185" t="s">
        <v>2</v>
      </c>
      <c r="U1131" s="185">
        <f>IF(S1131&gt;0,IF(RIGHT(Ruimtestaat[[#This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1" s="185">
        <f>IF(U1131&gt;0,VLOOKUP($K1131,Ruimtegroepen[],3,FALSE)*VLOOKUP($M1131,Vloersoorten[],3,FALSE)*VLOOKUP($T1131,Frequenties[],3,FALSE)*VLOOKUP($A1131,Locaties[],3,FALSE),0)</f>
        <v>0</v>
      </c>
      <c r="W1131" s="185">
        <f>Ruimtestaat[[#This Row],[Uitvoeringen werkdagen]]*Ruimtestaat[[#This Row],[Oppervlak (netto)]]</f>
        <v>11400</v>
      </c>
      <c r="X1131" s="220">
        <f>IF(V1131&gt;0,Ruimtestaat[[#This Row],[Prest. (m2 /jaar) werkdagen]]/Ruimtestaat[[#This Row],[Norm (m2/uur) werkdagen]],0)</f>
        <v>0</v>
      </c>
      <c r="Y1131" s="221">
        <f>Ruimtestaat[[#This Row],[uren / jaar werkdagen]]*Tariefsopbouw!$D$38</f>
        <v>0</v>
      </c>
      <c r="Z1131" s="33"/>
      <c r="AA1131" s="33">
        <f>IF(Ruimtestaat[[#This Row],[Frequentie weekend]]&gt;0,VALUE(LEFT(Z1131,1))*S1131,0)</f>
        <v>0</v>
      </c>
      <c r="AB1131" s="33">
        <f>IF($AA1131&gt;0,VLOOKUP($K1131,Ruimtegroepen[],3,FALSE)*VLOOKUP($M1131,Vloersoorten[],3,FALSE)*VLOOKUP($Z1131,Frequenties[],3,FALSE)*VLOOKUP(#REF!,Locaties[],3,FALSE),0)</f>
        <v>0</v>
      </c>
      <c r="AC1131" s="33"/>
      <c r="AD1131" s="33"/>
      <c r="AE1131" s="33">
        <f>Ruimtestaat[[#This Row],[uren / jaar weekend]]*Tariefsopbouw!$D$40</f>
        <v>0</v>
      </c>
      <c r="AF1131" s="79">
        <f>Ruimtestaat[[#This Row],[Prest. (m2 /jaar) weekend]]+Ruimtestaat[[#This Row],[Prest. (m2 /jaar) werkdagen]]</f>
        <v>11400</v>
      </c>
      <c r="AG1131" s="79">
        <f>Ruimtestaat[[#This Row],[uren / jaar weekend]]+Ruimtestaat[[#This Row],[uren / jaar werkdagen]]</f>
        <v>0</v>
      </c>
      <c r="AH1131" s="80">
        <f>Ruimtestaat[[#This Row],[kosten / jaar weekend]]+Ruimtestaat[[#This Row],[kosten / jaar werkdagen]]</f>
        <v>0</v>
      </c>
    </row>
    <row r="1132" spans="1:34" ht="15" customHeight="1">
      <c r="A1132" s="256">
        <v>12</v>
      </c>
      <c r="B1132" s="171" t="str">
        <f>VLOOKUP(Ruimtestaat[[#This Row],[Code]],Locaties[#All],2,FALSE)</f>
        <v>Onderwijscentrum Het Roessingh &amp; De Huifkar</v>
      </c>
      <c r="C1132" s="258" t="str">
        <f>VLOOKUP(Ruimtestaat[[#This Row],[Code]],Locaties[#All],4,FALSE)</f>
        <v>Roessinghsbleekweg 35</v>
      </c>
      <c r="D1132" s="258" t="str">
        <f>VLOOKUP(Ruimtestaat[[#This Row],[Code]],Locaties[#All],5,FALSE)</f>
        <v>7522 AH</v>
      </c>
      <c r="E1132" s="258" t="str">
        <f>VLOOKUP(Ruimtestaat[[#This Row],[Code]],Locaties[#All],6,FALSE)</f>
        <v>Enschede</v>
      </c>
      <c r="F1132" s="257"/>
      <c r="G1132" s="257" t="s">
        <v>857</v>
      </c>
      <c r="H1132" s="171"/>
      <c r="I1132" s="257">
        <v>282</v>
      </c>
      <c r="J1132" s="259" t="s">
        <v>571</v>
      </c>
      <c r="K1132" s="258">
        <v>2</v>
      </c>
      <c r="L1132" s="260" t="str">
        <f>VLOOKUP(Ruimtestaat[[#This Row],[Ruimte code]],Ruimtegroepen[#All],2,FALSE)</f>
        <v>Kantoren</v>
      </c>
      <c r="M1132" s="258" t="s">
        <v>598</v>
      </c>
      <c r="N1132" s="257" t="s">
        <v>132</v>
      </c>
      <c r="O1132" s="261">
        <v>12</v>
      </c>
      <c r="P1132" s="183"/>
      <c r="Q1132" s="212" t="str">
        <f>VLOOKUP(Ruimtestaat[[#This Row],[Ruimte code]],Ruimtegroepen[#All],4,FALSE)</f>
        <v>B  (Bureauruimte)</v>
      </c>
      <c r="R1132" s="184"/>
      <c r="S1132" s="185">
        <v>40</v>
      </c>
      <c r="T1132" s="185" t="s">
        <v>2</v>
      </c>
      <c r="U1132" s="185">
        <f>IF(S1132&gt;0,IF(RIGHT(Ruimtestaat[[#This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2" s="185">
        <f>IF(U1132&gt;0,VLOOKUP($K1132,Ruimtegroepen[],3,FALSE)*VLOOKUP($M1132,Vloersoorten[],3,FALSE)*VLOOKUP($T1132,Frequenties[],3,FALSE)*VLOOKUP($A1132,Locaties[],3,FALSE),0)</f>
        <v>0</v>
      </c>
      <c r="W1132" s="185">
        <f>Ruimtestaat[[#This Row],[Uitvoeringen werkdagen]]*Ruimtestaat[[#This Row],[Oppervlak (netto)]]</f>
        <v>2400</v>
      </c>
      <c r="X1132" s="220">
        <f>IF(V1132&gt;0,Ruimtestaat[[#This Row],[Prest. (m2 /jaar) werkdagen]]/Ruimtestaat[[#This Row],[Norm (m2/uur) werkdagen]],0)</f>
        <v>0</v>
      </c>
      <c r="Y1132" s="221">
        <f>Ruimtestaat[[#This Row],[uren / jaar werkdagen]]*Tariefsopbouw!$D$38</f>
        <v>0</v>
      </c>
      <c r="Z1132" s="33"/>
      <c r="AA1132" s="33">
        <f>IF(Ruimtestaat[[#This Row],[Frequentie weekend]]&gt;0,VALUE(LEFT(Z1132,1))*S1132,0)</f>
        <v>0</v>
      </c>
      <c r="AB1132" s="33">
        <f>IF($AA1132&gt;0,VLOOKUP($K1132,Ruimtegroepen[],3,FALSE)*VLOOKUP($M1132,Vloersoorten[],3,FALSE)*VLOOKUP($Z1132,Frequenties[],3,FALSE)*VLOOKUP(#REF!,Locaties[],3,FALSE),0)</f>
        <v>0</v>
      </c>
      <c r="AC1132" s="33"/>
      <c r="AD1132" s="33"/>
      <c r="AE1132" s="33">
        <f>Ruimtestaat[[#This Row],[uren / jaar weekend]]*Tariefsopbouw!$D$40</f>
        <v>0</v>
      </c>
      <c r="AF1132" s="79">
        <f>Ruimtestaat[[#This Row],[Prest. (m2 /jaar) weekend]]+Ruimtestaat[[#This Row],[Prest. (m2 /jaar) werkdagen]]</f>
        <v>2400</v>
      </c>
      <c r="AG1132" s="79">
        <f>Ruimtestaat[[#This Row],[uren / jaar weekend]]+Ruimtestaat[[#This Row],[uren / jaar werkdagen]]</f>
        <v>0</v>
      </c>
      <c r="AH1132" s="80">
        <f>Ruimtestaat[[#This Row],[kosten / jaar weekend]]+Ruimtestaat[[#This Row],[kosten / jaar werkdagen]]</f>
        <v>0</v>
      </c>
    </row>
    <row r="1133" spans="1:34" ht="15" customHeight="1">
      <c r="A1133" s="256">
        <v>12</v>
      </c>
      <c r="B1133" s="171" t="str">
        <f>VLOOKUP(Ruimtestaat[[#This Row],[Code]],Locaties[#All],2,FALSE)</f>
        <v>Onderwijscentrum Het Roessingh &amp; De Huifkar</v>
      </c>
      <c r="C1133" s="258" t="str">
        <f>VLOOKUP(Ruimtestaat[[#This Row],[Code]],Locaties[#All],4,FALSE)</f>
        <v>Roessinghsbleekweg 35</v>
      </c>
      <c r="D1133" s="258" t="str">
        <f>VLOOKUP(Ruimtestaat[[#This Row],[Code]],Locaties[#All],5,FALSE)</f>
        <v>7522 AH</v>
      </c>
      <c r="E1133" s="258" t="str">
        <f>VLOOKUP(Ruimtestaat[[#This Row],[Code]],Locaties[#All],6,FALSE)</f>
        <v>Enschede</v>
      </c>
      <c r="F1133" s="257"/>
      <c r="G1133" s="257" t="s">
        <v>857</v>
      </c>
      <c r="H1133" s="171"/>
      <c r="I1133" s="257">
        <v>283</v>
      </c>
      <c r="J1133" s="259" t="s">
        <v>569</v>
      </c>
      <c r="K1133" s="258">
        <v>5</v>
      </c>
      <c r="L1133" s="260" t="str">
        <f>VLOOKUP(Ruimtestaat[[#This Row],[Ruimte code]],Ruimtegroepen[#All],2,FALSE)</f>
        <v>Sanitair</v>
      </c>
      <c r="M1133" s="258" t="s">
        <v>598</v>
      </c>
      <c r="N1133" s="257" t="s">
        <v>132</v>
      </c>
      <c r="O1133" s="261">
        <v>9.1999999999999993</v>
      </c>
      <c r="P1133" s="183"/>
      <c r="Q1133" s="212" t="str">
        <f>VLOOKUP(Ruimtestaat[[#This Row],[Ruimte code]],Ruimtegroepen[#All],4,FALSE)</f>
        <v>S  (Sanitair)</v>
      </c>
      <c r="R1133" s="184"/>
      <c r="S1133" s="185">
        <v>40</v>
      </c>
      <c r="T1133" s="185" t="s">
        <v>2</v>
      </c>
      <c r="U1133" s="185">
        <f>IF(S1133&gt;0,IF(RIGHT(Ruimtestaat[[#This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3" s="185">
        <f>IF(U1133&gt;0,VLOOKUP($K1133,Ruimtegroepen[],3,FALSE)*VLOOKUP($M1133,Vloersoorten[],3,FALSE)*VLOOKUP($T1133,Frequenties[],3,FALSE)*VLOOKUP($A1133,Locaties[],3,FALSE),0)</f>
        <v>0</v>
      </c>
      <c r="W1133" s="185">
        <f>Ruimtestaat[[#This Row],[Uitvoeringen werkdagen]]*Ruimtestaat[[#This Row],[Oppervlak (netto)]]</f>
        <v>1839.9999999999998</v>
      </c>
      <c r="X1133" s="220">
        <f>IF(V1133&gt;0,Ruimtestaat[[#This Row],[Prest. (m2 /jaar) werkdagen]]/Ruimtestaat[[#This Row],[Norm (m2/uur) werkdagen]],0)</f>
        <v>0</v>
      </c>
      <c r="Y1133" s="221">
        <f>Ruimtestaat[[#This Row],[uren / jaar werkdagen]]*Tariefsopbouw!$D$38</f>
        <v>0</v>
      </c>
      <c r="Z1133" s="33"/>
      <c r="AA1133" s="33">
        <f>IF(Ruimtestaat[[#This Row],[Frequentie weekend]]&gt;0,VALUE(LEFT(Z1133,1))*S1133,0)</f>
        <v>0</v>
      </c>
      <c r="AB1133" s="33">
        <f>IF($AA1133&gt;0,VLOOKUP($K1133,Ruimtegroepen[],3,FALSE)*VLOOKUP($M1133,Vloersoorten[],3,FALSE)*VLOOKUP($Z1133,Frequenties[],3,FALSE)*VLOOKUP(#REF!,Locaties[],3,FALSE),0)</f>
        <v>0</v>
      </c>
      <c r="AC1133" s="33"/>
      <c r="AD1133" s="33"/>
      <c r="AE1133" s="33">
        <f>Ruimtestaat[[#This Row],[uren / jaar weekend]]*Tariefsopbouw!$D$40</f>
        <v>0</v>
      </c>
      <c r="AF1133" s="79">
        <f>Ruimtestaat[[#This Row],[Prest. (m2 /jaar) weekend]]+Ruimtestaat[[#This Row],[Prest. (m2 /jaar) werkdagen]]</f>
        <v>1839.9999999999998</v>
      </c>
      <c r="AG1133" s="79">
        <f>Ruimtestaat[[#This Row],[uren / jaar weekend]]+Ruimtestaat[[#This Row],[uren / jaar werkdagen]]</f>
        <v>0</v>
      </c>
      <c r="AH1133" s="80">
        <f>Ruimtestaat[[#This Row],[kosten / jaar weekend]]+Ruimtestaat[[#This Row],[kosten / jaar werkdagen]]</f>
        <v>0</v>
      </c>
    </row>
    <row r="1134" spans="1:34" ht="15" customHeight="1">
      <c r="A1134" s="256">
        <v>12</v>
      </c>
      <c r="B1134" s="171" t="str">
        <f>VLOOKUP(Ruimtestaat[[#This Row],[Code]],Locaties[#All],2,FALSE)</f>
        <v>Onderwijscentrum Het Roessingh &amp; De Huifkar</v>
      </c>
      <c r="C1134" s="258" t="str">
        <f>VLOOKUP(Ruimtestaat[[#This Row],[Code]],Locaties[#All],4,FALSE)</f>
        <v>Roessinghsbleekweg 35</v>
      </c>
      <c r="D1134" s="258" t="str">
        <f>VLOOKUP(Ruimtestaat[[#This Row],[Code]],Locaties[#All],5,FALSE)</f>
        <v>7522 AH</v>
      </c>
      <c r="E1134" s="258" t="str">
        <f>VLOOKUP(Ruimtestaat[[#This Row],[Code]],Locaties[#All],6,FALSE)</f>
        <v>Enschede</v>
      </c>
      <c r="F1134" s="257"/>
      <c r="G1134" s="257" t="s">
        <v>857</v>
      </c>
      <c r="H1134" s="171"/>
      <c r="I1134" s="257">
        <v>284</v>
      </c>
      <c r="J1134" s="259" t="s">
        <v>574</v>
      </c>
      <c r="K1134" s="185">
        <v>6</v>
      </c>
      <c r="L1134" s="260" t="str">
        <f>VLOOKUP(Ruimtestaat[[#This Row],[Ruimte code]],Ruimtegroepen[#All],2,FALSE)</f>
        <v>Gangen/hallen</v>
      </c>
      <c r="M1134" s="258" t="s">
        <v>598</v>
      </c>
      <c r="N1134" s="257" t="s">
        <v>132</v>
      </c>
      <c r="O1134" s="261">
        <v>8</v>
      </c>
      <c r="P1134" s="183"/>
      <c r="Q1134" s="212" t="str">
        <f>VLOOKUP(Ruimtestaat[[#This Row],[Ruimte code]],Ruimtegroepen[#All],4,FALSE)</f>
        <v>V  (Verkeersruimte)</v>
      </c>
      <c r="R1134" s="184"/>
      <c r="S1134" s="185">
        <v>40</v>
      </c>
      <c r="T1134" s="185" t="s">
        <v>2</v>
      </c>
      <c r="U1134" s="185">
        <f>IF(S1134&gt;0,IF(RIGHT(Ruimtestaat[[#This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4" s="185">
        <f>IF(U1134&gt;0,VLOOKUP($K1134,Ruimtegroepen[],3,FALSE)*VLOOKUP($M1134,Vloersoorten[],3,FALSE)*VLOOKUP($T1134,Frequenties[],3,FALSE)*VLOOKUP($A1134,Locaties[],3,FALSE),0)</f>
        <v>0</v>
      </c>
      <c r="W1134" s="185">
        <f>Ruimtestaat[[#This Row],[Uitvoeringen werkdagen]]*Ruimtestaat[[#This Row],[Oppervlak (netto)]]</f>
        <v>1600</v>
      </c>
      <c r="X1134" s="220">
        <f>IF(V1134&gt;0,Ruimtestaat[[#This Row],[Prest. (m2 /jaar) werkdagen]]/Ruimtestaat[[#This Row],[Norm (m2/uur) werkdagen]],0)</f>
        <v>0</v>
      </c>
      <c r="Y1134" s="221">
        <f>Ruimtestaat[[#This Row],[uren / jaar werkdagen]]*Tariefsopbouw!$D$38</f>
        <v>0</v>
      </c>
      <c r="Z1134" s="33"/>
      <c r="AA1134" s="33">
        <f>IF(Ruimtestaat[[#This Row],[Frequentie weekend]]&gt;0,VALUE(LEFT(Z1134,1))*S1134,0)</f>
        <v>0</v>
      </c>
      <c r="AB1134" s="33">
        <f>IF($AA1134&gt;0,VLOOKUP($K1134,Ruimtegroepen[],3,FALSE)*VLOOKUP($M1134,Vloersoorten[],3,FALSE)*VLOOKUP($Z1134,Frequenties[],3,FALSE)*VLOOKUP(#REF!,Locaties[],3,FALSE),0)</f>
        <v>0</v>
      </c>
      <c r="AC1134" s="33"/>
      <c r="AD1134" s="33"/>
      <c r="AE1134" s="33">
        <f>Ruimtestaat[[#This Row],[uren / jaar weekend]]*Tariefsopbouw!$D$40</f>
        <v>0</v>
      </c>
      <c r="AF1134" s="79">
        <f>Ruimtestaat[[#This Row],[Prest. (m2 /jaar) weekend]]+Ruimtestaat[[#This Row],[Prest. (m2 /jaar) werkdagen]]</f>
        <v>1600</v>
      </c>
      <c r="AG1134" s="79">
        <f>Ruimtestaat[[#This Row],[uren / jaar weekend]]+Ruimtestaat[[#This Row],[uren / jaar werkdagen]]</f>
        <v>0</v>
      </c>
      <c r="AH1134" s="80">
        <f>Ruimtestaat[[#This Row],[kosten / jaar weekend]]+Ruimtestaat[[#This Row],[kosten / jaar werkdagen]]</f>
        <v>0</v>
      </c>
    </row>
    <row r="1135" spans="1:34" ht="15" customHeight="1">
      <c r="A1135" s="256">
        <v>12</v>
      </c>
      <c r="B1135" s="171" t="str">
        <f>VLOOKUP(Ruimtestaat[[#This Row],[Code]],Locaties[#All],2,FALSE)</f>
        <v>Onderwijscentrum Het Roessingh &amp; De Huifkar</v>
      </c>
      <c r="C1135" s="258" t="str">
        <f>VLOOKUP(Ruimtestaat[[#This Row],[Code]],Locaties[#All],4,FALSE)</f>
        <v>Roessinghsbleekweg 35</v>
      </c>
      <c r="D1135" s="258" t="str">
        <f>VLOOKUP(Ruimtestaat[[#This Row],[Code]],Locaties[#All],5,FALSE)</f>
        <v>7522 AH</v>
      </c>
      <c r="E1135" s="258" t="str">
        <f>VLOOKUP(Ruimtestaat[[#This Row],[Code]],Locaties[#All],6,FALSE)</f>
        <v>Enschede</v>
      </c>
      <c r="F1135" s="257"/>
      <c r="G1135" s="257" t="s">
        <v>857</v>
      </c>
      <c r="H1135" s="171"/>
      <c r="I1135" s="257">
        <v>285</v>
      </c>
      <c r="J1135" s="259" t="s">
        <v>586</v>
      </c>
      <c r="K1135" s="258">
        <v>20</v>
      </c>
      <c r="L1135" s="260" t="str">
        <f>VLOOKUP(Ruimtestaat[[#This Row],[Ruimte code]],Ruimtegroepen[#All],2,FALSE)</f>
        <v>Niet in onderhoud</v>
      </c>
      <c r="M1135" s="185"/>
      <c r="N1135" s="257"/>
      <c r="O1135" s="261"/>
      <c r="P1135" s="183"/>
      <c r="Q1135" s="212" t="str">
        <f>VLOOKUP(Ruimtestaat[[#This Row],[Ruimte code]],Ruimtegroepen[#All],4,FALSE)</f>
        <v>niet in onderhoud</v>
      </c>
      <c r="R1135" s="184"/>
      <c r="S1135" s="185"/>
      <c r="T1135" s="185"/>
      <c r="U1135" s="185">
        <f>IF(S1135&gt;0,IF(RIGHT(Ruimtestaat[[#This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35" s="185">
        <f>IF(U1135&gt;0,VLOOKUP($K1135,Ruimtegroepen[],3,FALSE)*VLOOKUP($M1135,Vloersoorten[],3,FALSE)*VLOOKUP($T1135,Frequenties[],3,FALSE)*VLOOKUP($A1135,Locaties[],3,FALSE),0)</f>
        <v>0</v>
      </c>
      <c r="W1135" s="185">
        <f>Ruimtestaat[[#This Row],[Uitvoeringen werkdagen]]*Ruimtestaat[[#This Row],[Oppervlak (netto)]]</f>
        <v>0</v>
      </c>
      <c r="X1135" s="220">
        <f>IF(V1135&gt;0,Ruimtestaat[[#This Row],[Prest. (m2 /jaar) werkdagen]]/Ruimtestaat[[#This Row],[Norm (m2/uur) werkdagen]],0)</f>
        <v>0</v>
      </c>
      <c r="Y1135" s="221">
        <f>Ruimtestaat[[#This Row],[uren / jaar werkdagen]]*Tariefsopbouw!$D$38</f>
        <v>0</v>
      </c>
      <c r="Z1135" s="33"/>
      <c r="AA1135" s="33">
        <f>IF(Ruimtestaat[[#This Row],[Frequentie weekend]]&gt;0,VALUE(LEFT(Z1135,1))*S1135,0)</f>
        <v>0</v>
      </c>
      <c r="AB1135" s="33">
        <f>IF($AA1135&gt;0,VLOOKUP($K1135,Ruimtegroepen[],3,FALSE)*VLOOKUP($M1135,Vloersoorten[],3,FALSE)*VLOOKUP($Z1135,Frequenties[],3,FALSE)*VLOOKUP(#REF!,Locaties[],3,FALSE),0)</f>
        <v>0</v>
      </c>
      <c r="AC1135" s="33"/>
      <c r="AD1135" s="33"/>
      <c r="AE1135" s="33">
        <f>Ruimtestaat[[#This Row],[uren / jaar weekend]]*Tariefsopbouw!$D$40</f>
        <v>0</v>
      </c>
      <c r="AF1135" s="79">
        <f>Ruimtestaat[[#This Row],[Prest. (m2 /jaar) weekend]]+Ruimtestaat[[#This Row],[Prest. (m2 /jaar) werkdagen]]</f>
        <v>0</v>
      </c>
      <c r="AG1135" s="79">
        <f>Ruimtestaat[[#This Row],[uren / jaar weekend]]+Ruimtestaat[[#This Row],[uren / jaar werkdagen]]</f>
        <v>0</v>
      </c>
      <c r="AH1135" s="80">
        <f>Ruimtestaat[[#This Row],[kosten / jaar weekend]]+Ruimtestaat[[#This Row],[kosten / jaar werkdagen]]</f>
        <v>0</v>
      </c>
    </row>
    <row r="1136" spans="1:34" ht="15" customHeight="1">
      <c r="A1136" s="256">
        <v>12</v>
      </c>
      <c r="B1136" s="171" t="str">
        <f>VLOOKUP(Ruimtestaat[[#This Row],[Code]],Locaties[#All],2,FALSE)</f>
        <v>Onderwijscentrum Het Roessingh &amp; De Huifkar</v>
      </c>
      <c r="C1136" s="258" t="str">
        <f>VLOOKUP(Ruimtestaat[[#This Row],[Code]],Locaties[#All],4,FALSE)</f>
        <v>Roessinghsbleekweg 35</v>
      </c>
      <c r="D1136" s="258" t="str">
        <f>VLOOKUP(Ruimtestaat[[#This Row],[Code]],Locaties[#All],5,FALSE)</f>
        <v>7522 AH</v>
      </c>
      <c r="E1136" s="258" t="str">
        <f>VLOOKUP(Ruimtestaat[[#This Row],[Code]],Locaties[#All],6,FALSE)</f>
        <v>Enschede</v>
      </c>
      <c r="F1136" s="257"/>
      <c r="G1136" s="257" t="s">
        <v>857</v>
      </c>
      <c r="H1136" s="171"/>
      <c r="I1136" s="257">
        <v>286</v>
      </c>
      <c r="J1136" s="259" t="s">
        <v>586</v>
      </c>
      <c r="K1136" s="258">
        <v>20</v>
      </c>
      <c r="L1136" s="260" t="str">
        <f>VLOOKUP(Ruimtestaat[[#This Row],[Ruimte code]],Ruimtegroepen[#All],2,FALSE)</f>
        <v>Niet in onderhoud</v>
      </c>
      <c r="M1136" s="185"/>
      <c r="N1136" s="257"/>
      <c r="O1136" s="261"/>
      <c r="P1136" s="183"/>
      <c r="Q1136" s="212" t="str">
        <f>VLOOKUP(Ruimtestaat[[#This Row],[Ruimte code]],Ruimtegroepen[#All],4,FALSE)</f>
        <v>niet in onderhoud</v>
      </c>
      <c r="R1136" s="184"/>
      <c r="S1136" s="185"/>
      <c r="T1136" s="185"/>
      <c r="U1136" s="185">
        <f>IF(S1136&gt;0,IF(RIGHT(Ruimtestaat[[#This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36" s="185">
        <f>IF(U1136&gt;0,VLOOKUP($K1136,Ruimtegroepen[],3,FALSE)*VLOOKUP($M1136,Vloersoorten[],3,FALSE)*VLOOKUP($T1136,Frequenties[],3,FALSE)*VLOOKUP($A1136,Locaties[],3,FALSE),0)</f>
        <v>0</v>
      </c>
      <c r="W1136" s="185">
        <f>Ruimtestaat[[#This Row],[Uitvoeringen werkdagen]]*Ruimtestaat[[#This Row],[Oppervlak (netto)]]</f>
        <v>0</v>
      </c>
      <c r="X1136" s="220">
        <f>IF(V1136&gt;0,Ruimtestaat[[#This Row],[Prest. (m2 /jaar) werkdagen]]/Ruimtestaat[[#This Row],[Norm (m2/uur) werkdagen]],0)</f>
        <v>0</v>
      </c>
      <c r="Y1136" s="221">
        <f>Ruimtestaat[[#This Row],[uren / jaar werkdagen]]*Tariefsopbouw!$D$38</f>
        <v>0</v>
      </c>
      <c r="Z1136" s="33"/>
      <c r="AA1136" s="33">
        <f>IF(Ruimtestaat[[#This Row],[Frequentie weekend]]&gt;0,VALUE(LEFT(Z1136,1))*S1136,0)</f>
        <v>0</v>
      </c>
      <c r="AB1136" s="33">
        <f>IF($AA1136&gt;0,VLOOKUP($K1136,Ruimtegroepen[],3,FALSE)*VLOOKUP($M1136,Vloersoorten[],3,FALSE)*VLOOKUP($Z1136,Frequenties[],3,FALSE)*VLOOKUP(#REF!,Locaties[],3,FALSE),0)</f>
        <v>0</v>
      </c>
      <c r="AC1136" s="33"/>
      <c r="AD1136" s="33"/>
      <c r="AE1136" s="33">
        <f>Ruimtestaat[[#This Row],[uren / jaar weekend]]*Tariefsopbouw!$D$40</f>
        <v>0</v>
      </c>
      <c r="AF1136" s="79">
        <f>Ruimtestaat[[#This Row],[Prest. (m2 /jaar) weekend]]+Ruimtestaat[[#This Row],[Prest. (m2 /jaar) werkdagen]]</f>
        <v>0</v>
      </c>
      <c r="AG1136" s="79">
        <f>Ruimtestaat[[#This Row],[uren / jaar weekend]]+Ruimtestaat[[#This Row],[uren / jaar werkdagen]]</f>
        <v>0</v>
      </c>
      <c r="AH1136" s="80">
        <f>Ruimtestaat[[#This Row],[kosten / jaar weekend]]+Ruimtestaat[[#This Row],[kosten / jaar werkdagen]]</f>
        <v>0</v>
      </c>
    </row>
    <row r="1137" spans="1:34" ht="15" customHeight="1">
      <c r="A1137" s="256">
        <v>12</v>
      </c>
      <c r="B1137" s="171" t="str">
        <f>VLOOKUP(Ruimtestaat[[#This Row],[Code]],Locaties[#All],2,FALSE)</f>
        <v>Onderwijscentrum Het Roessingh &amp; De Huifkar</v>
      </c>
      <c r="C1137" s="258" t="str">
        <f>VLOOKUP(Ruimtestaat[[#This Row],[Code]],Locaties[#All],4,FALSE)</f>
        <v>Roessinghsbleekweg 35</v>
      </c>
      <c r="D1137" s="258" t="str">
        <f>VLOOKUP(Ruimtestaat[[#This Row],[Code]],Locaties[#All],5,FALSE)</f>
        <v>7522 AH</v>
      </c>
      <c r="E1137" s="258" t="str">
        <f>VLOOKUP(Ruimtestaat[[#This Row],[Code]],Locaties[#All],6,FALSE)</f>
        <v>Enschede</v>
      </c>
      <c r="F1137" s="257"/>
      <c r="G1137" s="257" t="s">
        <v>857</v>
      </c>
      <c r="H1137" s="171"/>
      <c r="I1137" s="257">
        <v>287</v>
      </c>
      <c r="J1137" s="259" t="s">
        <v>574</v>
      </c>
      <c r="K1137" s="171">
        <v>6</v>
      </c>
      <c r="L1137" s="260" t="str">
        <f>VLOOKUP(Ruimtestaat[[#This Row],[Ruimte code]],Ruimtegroepen[#All],2,FALSE)</f>
        <v>Gangen/hallen</v>
      </c>
      <c r="M1137" s="258" t="s">
        <v>598</v>
      </c>
      <c r="N1137" s="257" t="s">
        <v>132</v>
      </c>
      <c r="O1137" s="261">
        <v>117</v>
      </c>
      <c r="P1137" s="183"/>
      <c r="Q1137" s="212" t="str">
        <f>VLOOKUP(Ruimtestaat[[#This Row],[Ruimte code]],Ruimtegroepen[#All],4,FALSE)</f>
        <v>V  (Verkeersruimte)</v>
      </c>
      <c r="R1137" s="184"/>
      <c r="S1137" s="185">
        <v>40</v>
      </c>
      <c r="T1137" s="185" t="s">
        <v>2</v>
      </c>
      <c r="U1137" s="185">
        <f>IF(S1137&gt;0,IF(RIGHT(Ruimtestaat[[#This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7" s="185">
        <f>IF(U1137&gt;0,VLOOKUP($K1137,Ruimtegroepen[],3,FALSE)*VLOOKUP($M1137,Vloersoorten[],3,FALSE)*VLOOKUP($T1137,Frequenties[],3,FALSE)*VLOOKUP($A1137,Locaties[],3,FALSE),0)</f>
        <v>0</v>
      </c>
      <c r="W1137" s="185">
        <f>Ruimtestaat[[#This Row],[Uitvoeringen werkdagen]]*Ruimtestaat[[#This Row],[Oppervlak (netto)]]</f>
        <v>23400</v>
      </c>
      <c r="X1137" s="220">
        <f>IF(V1137&gt;0,Ruimtestaat[[#This Row],[Prest. (m2 /jaar) werkdagen]]/Ruimtestaat[[#This Row],[Norm (m2/uur) werkdagen]],0)</f>
        <v>0</v>
      </c>
      <c r="Y1137" s="221">
        <f>Ruimtestaat[[#This Row],[uren / jaar werkdagen]]*Tariefsopbouw!$D$38</f>
        <v>0</v>
      </c>
      <c r="Z1137" s="33"/>
      <c r="AA1137" s="33">
        <f>IF(Ruimtestaat[[#This Row],[Frequentie weekend]]&gt;0,VALUE(LEFT(Z1137,1))*S1137,0)</f>
        <v>0</v>
      </c>
      <c r="AB1137" s="33">
        <f>IF($AA1137&gt;0,VLOOKUP($K1137,Ruimtegroepen[],3,FALSE)*VLOOKUP($M1137,Vloersoorten[],3,FALSE)*VLOOKUP($Z1137,Frequenties[],3,FALSE)*VLOOKUP(#REF!,Locaties[],3,FALSE),0)</f>
        <v>0</v>
      </c>
      <c r="AC1137" s="33"/>
      <c r="AD1137" s="33"/>
      <c r="AE1137" s="33">
        <f>Ruimtestaat[[#This Row],[uren / jaar weekend]]*Tariefsopbouw!$D$40</f>
        <v>0</v>
      </c>
      <c r="AF1137" s="79">
        <f>Ruimtestaat[[#This Row],[Prest. (m2 /jaar) weekend]]+Ruimtestaat[[#This Row],[Prest. (m2 /jaar) werkdagen]]</f>
        <v>23400</v>
      </c>
      <c r="AG1137" s="79">
        <f>Ruimtestaat[[#This Row],[uren / jaar weekend]]+Ruimtestaat[[#This Row],[uren / jaar werkdagen]]</f>
        <v>0</v>
      </c>
      <c r="AH1137" s="80">
        <f>Ruimtestaat[[#This Row],[kosten / jaar weekend]]+Ruimtestaat[[#This Row],[kosten / jaar werkdagen]]</f>
        <v>0</v>
      </c>
    </row>
    <row r="1138" spans="1:34" ht="15" customHeight="1">
      <c r="A1138" s="256">
        <v>12</v>
      </c>
      <c r="B1138" s="171" t="str">
        <f>VLOOKUP(Ruimtestaat[[#This Row],[Code]],Locaties[#All],2,FALSE)</f>
        <v>Onderwijscentrum Het Roessingh &amp; De Huifkar</v>
      </c>
      <c r="C1138" s="258" t="str">
        <f>VLOOKUP(Ruimtestaat[[#This Row],[Code]],Locaties[#All],4,FALSE)</f>
        <v>Roessinghsbleekweg 35</v>
      </c>
      <c r="D1138" s="258" t="str">
        <f>VLOOKUP(Ruimtestaat[[#This Row],[Code]],Locaties[#All],5,FALSE)</f>
        <v>7522 AH</v>
      </c>
      <c r="E1138" s="258" t="str">
        <f>VLOOKUP(Ruimtestaat[[#This Row],[Code]],Locaties[#All],6,FALSE)</f>
        <v>Enschede</v>
      </c>
      <c r="F1138" s="257"/>
      <c r="G1138" s="257" t="s">
        <v>857</v>
      </c>
      <c r="H1138" s="171"/>
      <c r="I1138" s="257">
        <v>290</v>
      </c>
      <c r="J1138" s="259" t="s">
        <v>574</v>
      </c>
      <c r="K1138" s="171">
        <v>6</v>
      </c>
      <c r="L1138" s="260" t="str">
        <f>VLOOKUP(Ruimtestaat[[#This Row],[Ruimte code]],Ruimtegroepen[#All],2,FALSE)</f>
        <v>Gangen/hallen</v>
      </c>
      <c r="M1138" s="212" t="s">
        <v>112</v>
      </c>
      <c r="N1138" s="257" t="s">
        <v>776</v>
      </c>
      <c r="O1138" s="261">
        <v>12</v>
      </c>
      <c r="P1138" s="183"/>
      <c r="Q1138" s="212" t="str">
        <f>VLOOKUP(Ruimtestaat[[#This Row],[Ruimte code]],Ruimtegroepen[#All],4,FALSE)</f>
        <v>V  (Verkeersruimte)</v>
      </c>
      <c r="R1138" s="184"/>
      <c r="S1138" s="185">
        <v>40</v>
      </c>
      <c r="T1138" s="185" t="s">
        <v>2</v>
      </c>
      <c r="U1138" s="185">
        <f>IF(S1138&gt;0,IF(RIGHT(Ruimtestaat[[#This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8" s="185">
        <f>IF(U1138&gt;0,VLOOKUP($K1138,Ruimtegroepen[],3,FALSE)*VLOOKUP($M1138,Vloersoorten[],3,FALSE)*VLOOKUP($T1138,Frequenties[],3,FALSE)*VLOOKUP($A1138,Locaties[],3,FALSE),0)</f>
        <v>0</v>
      </c>
      <c r="W1138" s="185">
        <f>Ruimtestaat[[#This Row],[Uitvoeringen werkdagen]]*Ruimtestaat[[#This Row],[Oppervlak (netto)]]</f>
        <v>2400</v>
      </c>
      <c r="X1138" s="220">
        <f>IF(V1138&gt;0,Ruimtestaat[[#This Row],[Prest. (m2 /jaar) werkdagen]]/Ruimtestaat[[#This Row],[Norm (m2/uur) werkdagen]],0)</f>
        <v>0</v>
      </c>
      <c r="Y1138" s="221">
        <f>Ruimtestaat[[#This Row],[uren / jaar werkdagen]]*Tariefsopbouw!$D$38</f>
        <v>0</v>
      </c>
      <c r="Z1138" s="33"/>
      <c r="AA1138" s="33">
        <f>IF(Ruimtestaat[[#This Row],[Frequentie weekend]]&gt;0,VALUE(LEFT(Z1138,1))*S1138,0)</f>
        <v>0</v>
      </c>
      <c r="AB1138" s="33">
        <f>IF($AA1138&gt;0,VLOOKUP($K1138,Ruimtegroepen[],3,FALSE)*VLOOKUP($M1138,Vloersoorten[],3,FALSE)*VLOOKUP($Z1138,Frequenties[],3,FALSE)*VLOOKUP(#REF!,Locaties[],3,FALSE),0)</f>
        <v>0</v>
      </c>
      <c r="AC1138" s="33"/>
      <c r="AD1138" s="33"/>
      <c r="AE1138" s="33">
        <f>Ruimtestaat[[#This Row],[uren / jaar weekend]]*Tariefsopbouw!$D$40</f>
        <v>0</v>
      </c>
      <c r="AF1138" s="79">
        <f>Ruimtestaat[[#This Row],[Prest. (m2 /jaar) weekend]]+Ruimtestaat[[#This Row],[Prest. (m2 /jaar) werkdagen]]</f>
        <v>2400</v>
      </c>
      <c r="AG1138" s="79">
        <f>Ruimtestaat[[#This Row],[uren / jaar weekend]]+Ruimtestaat[[#This Row],[uren / jaar werkdagen]]</f>
        <v>0</v>
      </c>
      <c r="AH1138" s="80">
        <f>Ruimtestaat[[#This Row],[kosten / jaar weekend]]+Ruimtestaat[[#This Row],[kosten / jaar werkdagen]]</f>
        <v>0</v>
      </c>
    </row>
    <row r="1139" spans="1:34" ht="15" customHeight="1">
      <c r="A1139" s="256">
        <v>12</v>
      </c>
      <c r="B1139" s="171" t="str">
        <f>VLOOKUP(Ruimtestaat[[#This Row],[Code]],Locaties[#All],2,FALSE)</f>
        <v>Onderwijscentrum Het Roessingh &amp; De Huifkar</v>
      </c>
      <c r="C1139" s="258" t="str">
        <f>VLOOKUP(Ruimtestaat[[#This Row],[Code]],Locaties[#All],4,FALSE)</f>
        <v>Roessinghsbleekweg 35</v>
      </c>
      <c r="D1139" s="258" t="str">
        <f>VLOOKUP(Ruimtestaat[[#This Row],[Code]],Locaties[#All],5,FALSE)</f>
        <v>7522 AH</v>
      </c>
      <c r="E1139" s="258" t="str">
        <f>VLOOKUP(Ruimtestaat[[#This Row],[Code]],Locaties[#All],6,FALSE)</f>
        <v>Enschede</v>
      </c>
      <c r="F1139" s="257"/>
      <c r="G1139" s="257" t="s">
        <v>857</v>
      </c>
      <c r="H1139" s="171"/>
      <c r="I1139" s="257">
        <v>291</v>
      </c>
      <c r="J1139" s="259" t="s">
        <v>574</v>
      </c>
      <c r="K1139" s="171">
        <v>6</v>
      </c>
      <c r="L1139" s="260" t="str">
        <f>VLOOKUP(Ruimtestaat[[#This Row],[Ruimte code]],Ruimtegroepen[#All],2,FALSE)</f>
        <v>Gangen/hallen</v>
      </c>
      <c r="M1139" s="258" t="s">
        <v>598</v>
      </c>
      <c r="N1139" s="257" t="s">
        <v>132</v>
      </c>
      <c r="O1139" s="261">
        <v>7.5</v>
      </c>
      <c r="P1139" s="183"/>
      <c r="Q1139" s="212" t="str">
        <f>VLOOKUP(Ruimtestaat[[#This Row],[Ruimte code]],Ruimtegroepen[#All],4,FALSE)</f>
        <v>V  (Verkeersruimte)</v>
      </c>
      <c r="R1139" s="184"/>
      <c r="S1139" s="185">
        <v>40</v>
      </c>
      <c r="T1139" s="185" t="s">
        <v>2</v>
      </c>
      <c r="U1139" s="185">
        <f>IF(S1139&gt;0,IF(RIGHT(Ruimtestaat[[#This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9" s="185">
        <f>IF(U1139&gt;0,VLOOKUP($K1139,Ruimtegroepen[],3,FALSE)*VLOOKUP($M1139,Vloersoorten[],3,FALSE)*VLOOKUP($T1139,Frequenties[],3,FALSE)*VLOOKUP($A1139,Locaties[],3,FALSE),0)</f>
        <v>0</v>
      </c>
      <c r="W1139" s="185">
        <f>Ruimtestaat[[#This Row],[Uitvoeringen werkdagen]]*Ruimtestaat[[#This Row],[Oppervlak (netto)]]</f>
        <v>1500</v>
      </c>
      <c r="X1139" s="220">
        <f>IF(V1139&gt;0,Ruimtestaat[[#This Row],[Prest. (m2 /jaar) werkdagen]]/Ruimtestaat[[#This Row],[Norm (m2/uur) werkdagen]],0)</f>
        <v>0</v>
      </c>
      <c r="Y1139" s="221">
        <f>Ruimtestaat[[#This Row],[uren / jaar werkdagen]]*Tariefsopbouw!$D$38</f>
        <v>0</v>
      </c>
      <c r="Z1139" s="33"/>
      <c r="AA1139" s="33">
        <f>IF(Ruimtestaat[[#This Row],[Frequentie weekend]]&gt;0,VALUE(LEFT(Z1139,1))*S1139,0)</f>
        <v>0</v>
      </c>
      <c r="AB1139" s="33">
        <f>IF($AA1139&gt;0,VLOOKUP($K1139,Ruimtegroepen[],3,FALSE)*VLOOKUP($M1139,Vloersoorten[],3,FALSE)*VLOOKUP($Z1139,Frequenties[],3,FALSE)*VLOOKUP(#REF!,Locaties[],3,FALSE),0)</f>
        <v>0</v>
      </c>
      <c r="AC1139" s="33"/>
      <c r="AD1139" s="33"/>
      <c r="AE1139" s="33">
        <f>Ruimtestaat[[#This Row],[uren / jaar weekend]]*Tariefsopbouw!$D$40</f>
        <v>0</v>
      </c>
      <c r="AF1139" s="79">
        <f>Ruimtestaat[[#This Row],[Prest. (m2 /jaar) weekend]]+Ruimtestaat[[#This Row],[Prest. (m2 /jaar) werkdagen]]</f>
        <v>1500</v>
      </c>
      <c r="AG1139" s="79">
        <f>Ruimtestaat[[#This Row],[uren / jaar weekend]]+Ruimtestaat[[#This Row],[uren / jaar werkdagen]]</f>
        <v>0</v>
      </c>
      <c r="AH1139" s="80">
        <f>Ruimtestaat[[#This Row],[kosten / jaar weekend]]+Ruimtestaat[[#This Row],[kosten / jaar werkdagen]]</f>
        <v>0</v>
      </c>
    </row>
    <row r="1140" spans="1:34" ht="15" customHeight="1">
      <c r="A1140" s="256">
        <v>12</v>
      </c>
      <c r="B1140" s="171" t="str">
        <f>VLOOKUP(Ruimtestaat[[#This Row],[Code]],Locaties[#All],2,FALSE)</f>
        <v>Onderwijscentrum Het Roessingh &amp; De Huifkar</v>
      </c>
      <c r="C1140" s="258" t="str">
        <f>VLOOKUP(Ruimtestaat[[#This Row],[Code]],Locaties[#All],4,FALSE)</f>
        <v>Roessinghsbleekweg 35</v>
      </c>
      <c r="D1140" s="258" t="str">
        <f>VLOOKUP(Ruimtestaat[[#This Row],[Code]],Locaties[#All],5,FALSE)</f>
        <v>7522 AH</v>
      </c>
      <c r="E1140" s="258" t="str">
        <f>VLOOKUP(Ruimtestaat[[#This Row],[Code]],Locaties[#All],6,FALSE)</f>
        <v>Enschede</v>
      </c>
      <c r="F1140" s="257"/>
      <c r="G1140" s="257" t="s">
        <v>857</v>
      </c>
      <c r="H1140" s="171"/>
      <c r="I1140" s="257">
        <v>292</v>
      </c>
      <c r="J1140" s="259" t="s">
        <v>571</v>
      </c>
      <c r="K1140" s="171">
        <v>2</v>
      </c>
      <c r="L1140" s="260" t="str">
        <f>VLOOKUP(Ruimtestaat[[#This Row],[Ruimte code]],Ruimtegroepen[#All],2,FALSE)</f>
        <v>Kantoren</v>
      </c>
      <c r="M1140" s="185" t="s">
        <v>597</v>
      </c>
      <c r="N1140" s="257" t="s">
        <v>38</v>
      </c>
      <c r="O1140" s="261">
        <v>22</v>
      </c>
      <c r="P1140" s="183"/>
      <c r="Q1140" s="212" t="str">
        <f>VLOOKUP(Ruimtestaat[[#This Row],[Ruimte code]],Ruimtegroepen[#All],4,FALSE)</f>
        <v>B  (Bureauruimte)</v>
      </c>
      <c r="R1140" s="184"/>
      <c r="S1140" s="185">
        <v>40</v>
      </c>
      <c r="T1140" s="185" t="s">
        <v>2</v>
      </c>
      <c r="U1140" s="185">
        <f>IF(S1140&gt;0,IF(RIGHT(Ruimtestaat[[#This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0" s="185">
        <f>IF(U1140&gt;0,VLOOKUP($K1140,Ruimtegroepen[],3,FALSE)*VLOOKUP($M1140,Vloersoorten[],3,FALSE)*VLOOKUP($T1140,Frequenties[],3,FALSE)*VLOOKUP($A1140,Locaties[],3,FALSE),0)</f>
        <v>0</v>
      </c>
      <c r="W1140" s="185">
        <f>Ruimtestaat[[#This Row],[Uitvoeringen werkdagen]]*Ruimtestaat[[#This Row],[Oppervlak (netto)]]</f>
        <v>4400</v>
      </c>
      <c r="X1140" s="220">
        <f>IF(V1140&gt;0,Ruimtestaat[[#This Row],[Prest. (m2 /jaar) werkdagen]]/Ruimtestaat[[#This Row],[Norm (m2/uur) werkdagen]],0)</f>
        <v>0</v>
      </c>
      <c r="Y1140" s="221">
        <f>Ruimtestaat[[#This Row],[uren / jaar werkdagen]]*Tariefsopbouw!$D$38</f>
        <v>0</v>
      </c>
      <c r="Z1140" s="33"/>
      <c r="AA1140" s="33">
        <f>IF(Ruimtestaat[[#This Row],[Frequentie weekend]]&gt;0,VALUE(LEFT(Z1140,1))*S1140,0)</f>
        <v>0</v>
      </c>
      <c r="AB1140" s="33">
        <f>IF($AA1140&gt;0,VLOOKUP($K1140,Ruimtegroepen[],3,FALSE)*VLOOKUP($M1140,Vloersoorten[],3,FALSE)*VLOOKUP($Z1140,Frequenties[],3,FALSE)*VLOOKUP(#REF!,Locaties[],3,FALSE),0)</f>
        <v>0</v>
      </c>
      <c r="AC1140" s="33"/>
      <c r="AD1140" s="33"/>
      <c r="AE1140" s="33">
        <f>Ruimtestaat[[#This Row],[uren / jaar weekend]]*Tariefsopbouw!$D$40</f>
        <v>0</v>
      </c>
      <c r="AF1140" s="79">
        <f>Ruimtestaat[[#This Row],[Prest. (m2 /jaar) weekend]]+Ruimtestaat[[#This Row],[Prest. (m2 /jaar) werkdagen]]</f>
        <v>4400</v>
      </c>
      <c r="AG1140" s="79">
        <f>Ruimtestaat[[#This Row],[uren / jaar weekend]]+Ruimtestaat[[#This Row],[uren / jaar werkdagen]]</f>
        <v>0</v>
      </c>
      <c r="AH1140" s="80">
        <f>Ruimtestaat[[#This Row],[kosten / jaar weekend]]+Ruimtestaat[[#This Row],[kosten / jaar werkdagen]]</f>
        <v>0</v>
      </c>
    </row>
    <row r="1141" spans="1:34" ht="15" customHeight="1">
      <c r="A1141" s="256">
        <v>12</v>
      </c>
      <c r="B1141" s="171" t="str">
        <f>VLOOKUP(Ruimtestaat[[#This Row],[Code]],Locaties[#All],2,FALSE)</f>
        <v>Onderwijscentrum Het Roessingh &amp; De Huifkar</v>
      </c>
      <c r="C1141" s="258" t="str">
        <f>VLOOKUP(Ruimtestaat[[#This Row],[Code]],Locaties[#All],4,FALSE)</f>
        <v>Roessinghsbleekweg 35</v>
      </c>
      <c r="D1141" s="258" t="str">
        <f>VLOOKUP(Ruimtestaat[[#This Row],[Code]],Locaties[#All],5,FALSE)</f>
        <v>7522 AH</v>
      </c>
      <c r="E1141" s="258" t="str">
        <f>VLOOKUP(Ruimtestaat[[#This Row],[Code]],Locaties[#All],6,FALSE)</f>
        <v>Enschede</v>
      </c>
      <c r="F1141" s="257"/>
      <c r="G1141" s="257" t="s">
        <v>857</v>
      </c>
      <c r="H1141" s="171"/>
      <c r="I1141" s="257">
        <v>293</v>
      </c>
      <c r="J1141" s="259" t="s">
        <v>571</v>
      </c>
      <c r="K1141" s="185">
        <v>2</v>
      </c>
      <c r="L1141" s="260" t="str">
        <f>VLOOKUP(Ruimtestaat[[#This Row],[Ruimte code]],Ruimtegroepen[#All],2,FALSE)</f>
        <v>Kantoren</v>
      </c>
      <c r="M1141" s="185" t="s">
        <v>597</v>
      </c>
      <c r="N1141" s="257" t="s">
        <v>38</v>
      </c>
      <c r="O1141" s="261">
        <v>29</v>
      </c>
      <c r="P1141" s="183"/>
      <c r="Q1141" s="212" t="str">
        <f>VLOOKUP(Ruimtestaat[[#This Row],[Ruimte code]],Ruimtegroepen[#All],4,FALSE)</f>
        <v>B  (Bureauruimte)</v>
      </c>
      <c r="R1141" s="184"/>
      <c r="S1141" s="185">
        <v>40</v>
      </c>
      <c r="T1141" s="185" t="s">
        <v>2</v>
      </c>
      <c r="U1141" s="185">
        <f>IF(S1141&gt;0,IF(RIGHT(Ruimtestaat[[#This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1" s="185">
        <f>IF(U1141&gt;0,VLOOKUP($K1141,Ruimtegroepen[],3,FALSE)*VLOOKUP($M1141,Vloersoorten[],3,FALSE)*VLOOKUP($T1141,Frequenties[],3,FALSE)*VLOOKUP($A1141,Locaties[],3,FALSE),0)</f>
        <v>0</v>
      </c>
      <c r="W1141" s="185">
        <f>Ruimtestaat[[#This Row],[Uitvoeringen werkdagen]]*Ruimtestaat[[#This Row],[Oppervlak (netto)]]</f>
        <v>5800</v>
      </c>
      <c r="X1141" s="220">
        <f>IF(V1141&gt;0,Ruimtestaat[[#This Row],[Prest. (m2 /jaar) werkdagen]]/Ruimtestaat[[#This Row],[Norm (m2/uur) werkdagen]],0)</f>
        <v>0</v>
      </c>
      <c r="Y1141" s="221">
        <f>Ruimtestaat[[#This Row],[uren / jaar werkdagen]]*Tariefsopbouw!$D$38</f>
        <v>0</v>
      </c>
      <c r="Z1141" s="33"/>
      <c r="AA1141" s="33">
        <f>IF(Ruimtestaat[[#This Row],[Frequentie weekend]]&gt;0,VALUE(LEFT(Z1141,1))*S1141,0)</f>
        <v>0</v>
      </c>
      <c r="AB1141" s="33">
        <f>IF($AA1141&gt;0,VLOOKUP($K1141,Ruimtegroepen[],3,FALSE)*VLOOKUP($M1141,Vloersoorten[],3,FALSE)*VLOOKUP($Z1141,Frequenties[],3,FALSE)*VLOOKUP(#REF!,Locaties[],3,FALSE),0)</f>
        <v>0</v>
      </c>
      <c r="AC1141" s="33"/>
      <c r="AD1141" s="33"/>
      <c r="AE1141" s="33">
        <f>Ruimtestaat[[#This Row],[uren / jaar weekend]]*Tariefsopbouw!$D$40</f>
        <v>0</v>
      </c>
      <c r="AF1141" s="79">
        <f>Ruimtestaat[[#This Row],[Prest. (m2 /jaar) weekend]]+Ruimtestaat[[#This Row],[Prest. (m2 /jaar) werkdagen]]</f>
        <v>5800</v>
      </c>
      <c r="AG1141" s="79">
        <f>Ruimtestaat[[#This Row],[uren / jaar weekend]]+Ruimtestaat[[#This Row],[uren / jaar werkdagen]]</f>
        <v>0</v>
      </c>
      <c r="AH1141" s="80">
        <f>Ruimtestaat[[#This Row],[kosten / jaar weekend]]+Ruimtestaat[[#This Row],[kosten / jaar werkdagen]]</f>
        <v>0</v>
      </c>
    </row>
    <row r="1142" spans="1:34" ht="15" customHeight="1">
      <c r="A1142" s="256">
        <v>12</v>
      </c>
      <c r="B1142" s="171" t="str">
        <f>VLOOKUP(Ruimtestaat[[#This Row],[Code]],Locaties[#All],2,FALSE)</f>
        <v>Onderwijscentrum Het Roessingh &amp; De Huifkar</v>
      </c>
      <c r="C1142" s="258" t="str">
        <f>VLOOKUP(Ruimtestaat[[#This Row],[Code]],Locaties[#All],4,FALSE)</f>
        <v>Roessinghsbleekweg 35</v>
      </c>
      <c r="D1142" s="258" t="str">
        <f>VLOOKUP(Ruimtestaat[[#This Row],[Code]],Locaties[#All],5,FALSE)</f>
        <v>7522 AH</v>
      </c>
      <c r="E1142" s="258" t="str">
        <f>VLOOKUP(Ruimtestaat[[#This Row],[Code]],Locaties[#All],6,FALSE)</f>
        <v>Enschede</v>
      </c>
      <c r="F1142" s="257"/>
      <c r="G1142" s="257" t="s">
        <v>857</v>
      </c>
      <c r="H1142" s="171"/>
      <c r="I1142" s="257">
        <v>2101</v>
      </c>
      <c r="J1142" s="259" t="s">
        <v>576</v>
      </c>
      <c r="K1142" s="171">
        <v>16</v>
      </c>
      <c r="L1142" s="260" t="str">
        <f>VLOOKUP(Ruimtestaat[[#This Row],[Ruimte code]],Ruimtegroepen[#All],2,FALSE)</f>
        <v>Leslokalen</v>
      </c>
      <c r="M1142" s="258" t="s">
        <v>598</v>
      </c>
      <c r="N1142" s="257" t="s">
        <v>132</v>
      </c>
      <c r="O1142" s="261">
        <v>57</v>
      </c>
      <c r="P1142" s="183"/>
      <c r="Q1142" s="212" t="str">
        <f>VLOOKUP(Ruimtestaat[[#This Row],[Ruimte code]],Ruimtegroepen[#All],4,FALSE)</f>
        <v>L  (Lesruimte)</v>
      </c>
      <c r="R1142" s="184"/>
      <c r="S1142" s="185">
        <v>40</v>
      </c>
      <c r="T1142" s="185" t="s">
        <v>2</v>
      </c>
      <c r="U1142" s="185">
        <f>IF(S1142&gt;0,IF(RIGHT(Ruimtestaat[[#This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2" s="185">
        <f>IF(U1142&gt;0,VLOOKUP($K1142,Ruimtegroepen[],3,FALSE)*VLOOKUP($M1142,Vloersoorten[],3,FALSE)*VLOOKUP($T1142,Frequenties[],3,FALSE)*VLOOKUP($A1142,Locaties[],3,FALSE),0)</f>
        <v>0</v>
      </c>
      <c r="W1142" s="185">
        <f>Ruimtestaat[[#This Row],[Uitvoeringen werkdagen]]*Ruimtestaat[[#This Row],[Oppervlak (netto)]]</f>
        <v>11400</v>
      </c>
      <c r="X1142" s="220">
        <f>IF(V1142&gt;0,Ruimtestaat[[#This Row],[Prest. (m2 /jaar) werkdagen]]/Ruimtestaat[[#This Row],[Norm (m2/uur) werkdagen]],0)</f>
        <v>0</v>
      </c>
      <c r="Y1142" s="221">
        <f>Ruimtestaat[[#This Row],[uren / jaar werkdagen]]*Tariefsopbouw!$D$38</f>
        <v>0</v>
      </c>
      <c r="Z1142" s="33"/>
      <c r="AA1142" s="33">
        <f>IF(Ruimtestaat[[#This Row],[Frequentie weekend]]&gt;0,VALUE(LEFT(Z1142,1))*S1142,0)</f>
        <v>0</v>
      </c>
      <c r="AB1142" s="33">
        <f>IF($AA1142&gt;0,VLOOKUP($K1142,Ruimtegroepen[],3,FALSE)*VLOOKUP($M1142,Vloersoorten[],3,FALSE)*VLOOKUP($Z1142,Frequenties[],3,FALSE)*VLOOKUP(#REF!,Locaties[],3,FALSE),0)</f>
        <v>0</v>
      </c>
      <c r="AC1142" s="33"/>
      <c r="AD1142" s="33"/>
      <c r="AE1142" s="33">
        <f>Ruimtestaat[[#This Row],[uren / jaar weekend]]*Tariefsopbouw!$D$40</f>
        <v>0</v>
      </c>
      <c r="AF1142" s="79">
        <f>Ruimtestaat[[#This Row],[Prest. (m2 /jaar) weekend]]+Ruimtestaat[[#This Row],[Prest. (m2 /jaar) werkdagen]]</f>
        <v>11400</v>
      </c>
      <c r="AG1142" s="79">
        <f>Ruimtestaat[[#This Row],[uren / jaar weekend]]+Ruimtestaat[[#This Row],[uren / jaar werkdagen]]</f>
        <v>0</v>
      </c>
      <c r="AH1142" s="80">
        <f>Ruimtestaat[[#This Row],[kosten / jaar weekend]]+Ruimtestaat[[#This Row],[kosten / jaar werkdagen]]</f>
        <v>0</v>
      </c>
    </row>
    <row r="1143" spans="1:34" ht="15" customHeight="1">
      <c r="A1143" s="256">
        <v>12</v>
      </c>
      <c r="B1143" s="171" t="str">
        <f>VLOOKUP(Ruimtestaat[[#This Row],[Code]],Locaties[#All],2,FALSE)</f>
        <v>Onderwijscentrum Het Roessingh &amp; De Huifkar</v>
      </c>
      <c r="C1143" s="258" t="str">
        <f>VLOOKUP(Ruimtestaat[[#This Row],[Code]],Locaties[#All],4,FALSE)</f>
        <v>Roessinghsbleekweg 35</v>
      </c>
      <c r="D1143" s="258" t="str">
        <f>VLOOKUP(Ruimtestaat[[#This Row],[Code]],Locaties[#All],5,FALSE)</f>
        <v>7522 AH</v>
      </c>
      <c r="E1143" s="258" t="str">
        <f>VLOOKUP(Ruimtestaat[[#This Row],[Code]],Locaties[#All],6,FALSE)</f>
        <v>Enschede</v>
      </c>
      <c r="F1143" s="257"/>
      <c r="G1143" s="257" t="s">
        <v>857</v>
      </c>
      <c r="H1143" s="171"/>
      <c r="I1143" s="257">
        <v>2102</v>
      </c>
      <c r="J1143" s="259" t="s">
        <v>599</v>
      </c>
      <c r="K1143" s="258">
        <v>12</v>
      </c>
      <c r="L1143" s="260" t="str">
        <f>VLOOKUP(Ruimtestaat[[#This Row],[Ruimte code]],Ruimtegroepen[#All],2,FALSE)</f>
        <v>Kantine</v>
      </c>
      <c r="M1143" s="258" t="s">
        <v>598</v>
      </c>
      <c r="N1143" s="257" t="s">
        <v>132</v>
      </c>
      <c r="O1143" s="261">
        <v>73</v>
      </c>
      <c r="P1143" s="183"/>
      <c r="Q1143" s="212" t="str">
        <f>VLOOKUP(Ruimtestaat[[#This Row],[Ruimte code]],Ruimtegroepen[#All],4,FALSE)</f>
        <v>V  (Verkeersruimte)</v>
      </c>
      <c r="R1143" s="184"/>
      <c r="S1143" s="185">
        <v>40</v>
      </c>
      <c r="T1143" s="185" t="s">
        <v>2</v>
      </c>
      <c r="U1143" s="185">
        <f>IF(S1143&gt;0,IF(RIGHT(Ruimtestaat[[#This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3" s="185">
        <f>IF(U1143&gt;0,VLOOKUP($K1143,Ruimtegroepen[],3,FALSE)*VLOOKUP($M1143,Vloersoorten[],3,FALSE)*VLOOKUP($T1143,Frequenties[],3,FALSE)*VLOOKUP($A1143,Locaties[],3,FALSE),0)</f>
        <v>0</v>
      </c>
      <c r="W1143" s="185">
        <f>Ruimtestaat[[#This Row],[Uitvoeringen werkdagen]]*Ruimtestaat[[#This Row],[Oppervlak (netto)]]</f>
        <v>14600</v>
      </c>
      <c r="X1143" s="220">
        <f>IF(V1143&gt;0,Ruimtestaat[[#This Row],[Prest. (m2 /jaar) werkdagen]]/Ruimtestaat[[#This Row],[Norm (m2/uur) werkdagen]],0)</f>
        <v>0</v>
      </c>
      <c r="Y1143" s="221">
        <f>Ruimtestaat[[#This Row],[uren / jaar werkdagen]]*Tariefsopbouw!$D$38</f>
        <v>0</v>
      </c>
      <c r="Z1143" s="33"/>
      <c r="AA1143" s="33">
        <f>IF(Ruimtestaat[[#This Row],[Frequentie weekend]]&gt;0,VALUE(LEFT(Z1143,1))*S1143,0)</f>
        <v>0</v>
      </c>
      <c r="AB1143" s="33">
        <f>IF($AA1143&gt;0,VLOOKUP($K1143,Ruimtegroepen[],3,FALSE)*VLOOKUP($M1143,Vloersoorten[],3,FALSE)*VLOOKUP($Z1143,Frequenties[],3,FALSE)*VLOOKUP(#REF!,Locaties[],3,FALSE),0)</f>
        <v>0</v>
      </c>
      <c r="AC1143" s="33"/>
      <c r="AD1143" s="33"/>
      <c r="AE1143" s="33">
        <f>Ruimtestaat[[#This Row],[uren / jaar weekend]]*Tariefsopbouw!$D$40</f>
        <v>0</v>
      </c>
      <c r="AF1143" s="79">
        <f>Ruimtestaat[[#This Row],[Prest. (m2 /jaar) weekend]]+Ruimtestaat[[#This Row],[Prest. (m2 /jaar) werkdagen]]</f>
        <v>14600</v>
      </c>
      <c r="AG1143" s="79">
        <f>Ruimtestaat[[#This Row],[uren / jaar weekend]]+Ruimtestaat[[#This Row],[uren / jaar werkdagen]]</f>
        <v>0</v>
      </c>
      <c r="AH1143" s="80">
        <f>Ruimtestaat[[#This Row],[kosten / jaar weekend]]+Ruimtestaat[[#This Row],[kosten / jaar werkdagen]]</f>
        <v>0</v>
      </c>
    </row>
    <row r="1144" spans="1:34" ht="15" customHeight="1">
      <c r="A1144" s="256">
        <v>12</v>
      </c>
      <c r="B1144" s="171" t="str">
        <f>VLOOKUP(Ruimtestaat[[#This Row],[Code]],Locaties[#All],2,FALSE)</f>
        <v>Onderwijscentrum Het Roessingh &amp; De Huifkar</v>
      </c>
      <c r="C1144" s="258" t="str">
        <f>VLOOKUP(Ruimtestaat[[#This Row],[Code]],Locaties[#All],4,FALSE)</f>
        <v>Roessinghsbleekweg 35</v>
      </c>
      <c r="D1144" s="258" t="str">
        <f>VLOOKUP(Ruimtestaat[[#This Row],[Code]],Locaties[#All],5,FALSE)</f>
        <v>7522 AH</v>
      </c>
      <c r="E1144" s="258" t="str">
        <f>VLOOKUP(Ruimtestaat[[#This Row],[Code]],Locaties[#All],6,FALSE)</f>
        <v>Enschede</v>
      </c>
      <c r="F1144" s="257"/>
      <c r="G1144" s="257" t="s">
        <v>857</v>
      </c>
      <c r="H1144" s="171"/>
      <c r="I1144" s="257">
        <v>2103</v>
      </c>
      <c r="J1144" s="259" t="s">
        <v>569</v>
      </c>
      <c r="K1144" s="224">
        <v>5</v>
      </c>
      <c r="L1144" s="260" t="str">
        <f>VLOOKUP(Ruimtestaat[[#This Row],[Ruimte code]],Ruimtegroepen[#All],2,FALSE)</f>
        <v>Sanitair</v>
      </c>
      <c r="M1144" s="212" t="s">
        <v>111</v>
      </c>
      <c r="N1144" s="257" t="s">
        <v>606</v>
      </c>
      <c r="O1144" s="261">
        <v>9.1999999999999993</v>
      </c>
      <c r="P1144" s="183"/>
      <c r="Q1144" s="212" t="str">
        <f>VLOOKUP(Ruimtestaat[[#This Row],[Ruimte code]],Ruimtegroepen[#All],4,FALSE)</f>
        <v>S  (Sanitair)</v>
      </c>
      <c r="R1144" s="184"/>
      <c r="S1144" s="185">
        <v>40</v>
      </c>
      <c r="T1144" s="185" t="s">
        <v>2</v>
      </c>
      <c r="U1144" s="185">
        <f>IF(S1144&gt;0,IF(RIGHT(Ruimtestaat[[#This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4" s="185">
        <f>IF(U1144&gt;0,VLOOKUP($K1144,Ruimtegroepen[],3,FALSE)*VLOOKUP($M1144,Vloersoorten[],3,FALSE)*VLOOKUP($T1144,Frequenties[],3,FALSE)*VLOOKUP($A1144,Locaties[],3,FALSE),0)</f>
        <v>0</v>
      </c>
      <c r="W1144" s="185">
        <f>Ruimtestaat[[#This Row],[Uitvoeringen werkdagen]]*Ruimtestaat[[#This Row],[Oppervlak (netto)]]</f>
        <v>1839.9999999999998</v>
      </c>
      <c r="X1144" s="220">
        <f>IF(V1144&gt;0,Ruimtestaat[[#This Row],[Prest. (m2 /jaar) werkdagen]]/Ruimtestaat[[#This Row],[Norm (m2/uur) werkdagen]],0)</f>
        <v>0</v>
      </c>
      <c r="Y1144" s="221">
        <f>Ruimtestaat[[#This Row],[uren / jaar werkdagen]]*Tariefsopbouw!$D$38</f>
        <v>0</v>
      </c>
      <c r="Z1144" s="33"/>
      <c r="AA1144" s="33">
        <f>IF(Ruimtestaat[[#This Row],[Frequentie weekend]]&gt;0,VALUE(LEFT(Z1144,1))*S1144,0)</f>
        <v>0</v>
      </c>
      <c r="AB1144" s="33">
        <f>IF($AA1144&gt;0,VLOOKUP($K1144,Ruimtegroepen[],3,FALSE)*VLOOKUP($M1144,Vloersoorten[],3,FALSE)*VLOOKUP($Z1144,Frequenties[],3,FALSE)*VLOOKUP(#REF!,Locaties[],3,FALSE),0)</f>
        <v>0</v>
      </c>
      <c r="AC1144" s="33"/>
      <c r="AD1144" s="33"/>
      <c r="AE1144" s="33">
        <f>Ruimtestaat[[#This Row],[uren / jaar weekend]]*Tariefsopbouw!$D$40</f>
        <v>0</v>
      </c>
      <c r="AF1144" s="79">
        <f>Ruimtestaat[[#This Row],[Prest. (m2 /jaar) weekend]]+Ruimtestaat[[#This Row],[Prest. (m2 /jaar) werkdagen]]</f>
        <v>1839.9999999999998</v>
      </c>
      <c r="AG1144" s="79">
        <f>Ruimtestaat[[#This Row],[uren / jaar weekend]]+Ruimtestaat[[#This Row],[uren / jaar werkdagen]]</f>
        <v>0</v>
      </c>
      <c r="AH1144" s="80">
        <f>Ruimtestaat[[#This Row],[kosten / jaar weekend]]+Ruimtestaat[[#This Row],[kosten / jaar werkdagen]]</f>
        <v>0</v>
      </c>
    </row>
    <row r="1145" spans="1:34" ht="15" customHeight="1">
      <c r="A1145" s="256">
        <v>12</v>
      </c>
      <c r="B1145" s="171" t="str">
        <f>VLOOKUP(Ruimtestaat[[#This Row],[Code]],Locaties[#All],2,FALSE)</f>
        <v>Onderwijscentrum Het Roessingh &amp; De Huifkar</v>
      </c>
      <c r="C1145" s="258" t="str">
        <f>VLOOKUP(Ruimtestaat[[#This Row],[Code]],Locaties[#All],4,FALSE)</f>
        <v>Roessinghsbleekweg 35</v>
      </c>
      <c r="D1145" s="258" t="str">
        <f>VLOOKUP(Ruimtestaat[[#This Row],[Code]],Locaties[#All],5,FALSE)</f>
        <v>7522 AH</v>
      </c>
      <c r="E1145" s="258" t="str">
        <f>VLOOKUP(Ruimtestaat[[#This Row],[Code]],Locaties[#All],6,FALSE)</f>
        <v>Enschede</v>
      </c>
      <c r="F1145" s="257"/>
      <c r="G1145" s="257" t="s">
        <v>857</v>
      </c>
      <c r="H1145" s="171"/>
      <c r="I1145" s="257">
        <v>2104</v>
      </c>
      <c r="J1145" s="259" t="s">
        <v>770</v>
      </c>
      <c r="K1145" s="171">
        <v>5</v>
      </c>
      <c r="L1145" s="260" t="str">
        <f>VLOOKUP(Ruimtestaat[[#This Row],[Ruimte code]],Ruimtegroepen[#All],2,FALSE)</f>
        <v>Sanitair</v>
      </c>
      <c r="M1145" s="212" t="s">
        <v>111</v>
      </c>
      <c r="N1145" s="257" t="s">
        <v>606</v>
      </c>
      <c r="O1145" s="261">
        <v>11.5</v>
      </c>
      <c r="P1145" s="183"/>
      <c r="Q1145" s="212" t="str">
        <f>VLOOKUP(Ruimtestaat[[#This Row],[Ruimte code]],Ruimtegroepen[#All],4,FALSE)</f>
        <v>S  (Sanitair)</v>
      </c>
      <c r="R1145" s="184"/>
      <c r="S1145" s="185">
        <v>40</v>
      </c>
      <c r="T1145" s="185" t="s">
        <v>2</v>
      </c>
      <c r="U1145" s="185">
        <f>IF(S1145&gt;0,IF(RIGHT(Ruimtestaat[[#This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5" s="185">
        <f>IF(U1145&gt;0,VLOOKUP($K1145,Ruimtegroepen[],3,FALSE)*VLOOKUP($M1145,Vloersoorten[],3,FALSE)*VLOOKUP($T1145,Frequenties[],3,FALSE)*VLOOKUP($A1145,Locaties[],3,FALSE),0)</f>
        <v>0</v>
      </c>
      <c r="W1145" s="185">
        <f>Ruimtestaat[[#This Row],[Uitvoeringen werkdagen]]*Ruimtestaat[[#This Row],[Oppervlak (netto)]]</f>
        <v>2300</v>
      </c>
      <c r="X1145" s="220">
        <f>IF(V1145&gt;0,Ruimtestaat[[#This Row],[Prest. (m2 /jaar) werkdagen]]/Ruimtestaat[[#This Row],[Norm (m2/uur) werkdagen]],0)</f>
        <v>0</v>
      </c>
      <c r="Y1145" s="221">
        <f>Ruimtestaat[[#This Row],[uren / jaar werkdagen]]*Tariefsopbouw!$D$38</f>
        <v>0</v>
      </c>
      <c r="Z1145" s="33"/>
      <c r="AA1145" s="33">
        <f>IF(Ruimtestaat[[#This Row],[Frequentie weekend]]&gt;0,VALUE(LEFT(Z1145,1))*S1145,0)</f>
        <v>0</v>
      </c>
      <c r="AB1145" s="33">
        <f>IF($AA1145&gt;0,VLOOKUP($K1145,Ruimtegroepen[],3,FALSE)*VLOOKUP($M1145,Vloersoorten[],3,FALSE)*VLOOKUP($Z1145,Frequenties[],3,FALSE)*VLOOKUP(#REF!,Locaties[],3,FALSE),0)</f>
        <v>0</v>
      </c>
      <c r="AC1145" s="33"/>
      <c r="AD1145" s="33"/>
      <c r="AE1145" s="33">
        <f>Ruimtestaat[[#This Row],[uren / jaar weekend]]*Tariefsopbouw!$D$40</f>
        <v>0</v>
      </c>
      <c r="AF1145" s="79">
        <f>Ruimtestaat[[#This Row],[Prest. (m2 /jaar) weekend]]+Ruimtestaat[[#This Row],[Prest. (m2 /jaar) werkdagen]]</f>
        <v>2300</v>
      </c>
      <c r="AG1145" s="79">
        <f>Ruimtestaat[[#This Row],[uren / jaar weekend]]+Ruimtestaat[[#This Row],[uren / jaar werkdagen]]</f>
        <v>0</v>
      </c>
      <c r="AH1145" s="80">
        <f>Ruimtestaat[[#This Row],[kosten / jaar weekend]]+Ruimtestaat[[#This Row],[kosten / jaar werkdagen]]</f>
        <v>0</v>
      </c>
    </row>
    <row r="1146" spans="1:34" ht="15" customHeight="1">
      <c r="A1146" s="256">
        <v>12</v>
      </c>
      <c r="B1146" s="171" t="str">
        <f>VLOOKUP(Ruimtestaat[[#This Row],[Code]],Locaties[#All],2,FALSE)</f>
        <v>Onderwijscentrum Het Roessingh &amp; De Huifkar</v>
      </c>
      <c r="C1146" s="258" t="str">
        <f>VLOOKUP(Ruimtestaat[[#This Row],[Code]],Locaties[#All],4,FALSE)</f>
        <v>Roessinghsbleekweg 35</v>
      </c>
      <c r="D1146" s="258" t="str">
        <f>VLOOKUP(Ruimtestaat[[#This Row],[Code]],Locaties[#All],5,FALSE)</f>
        <v>7522 AH</v>
      </c>
      <c r="E1146" s="258" t="str">
        <f>VLOOKUP(Ruimtestaat[[#This Row],[Code]],Locaties[#All],6,FALSE)</f>
        <v>Enschede</v>
      </c>
      <c r="F1146" s="257"/>
      <c r="G1146" s="257" t="s">
        <v>857</v>
      </c>
      <c r="H1146" s="171"/>
      <c r="I1146" s="257" t="s">
        <v>1058</v>
      </c>
      <c r="J1146" s="259" t="s">
        <v>569</v>
      </c>
      <c r="K1146" s="171">
        <v>5</v>
      </c>
      <c r="L1146" s="260" t="str">
        <f>VLOOKUP(Ruimtestaat[[#This Row],[Ruimte code]],Ruimtegroepen[#All],2,FALSE)</f>
        <v>Sanitair</v>
      </c>
      <c r="M1146" s="212" t="s">
        <v>111</v>
      </c>
      <c r="N1146" s="257" t="s">
        <v>606</v>
      </c>
      <c r="O1146" s="261">
        <v>5</v>
      </c>
      <c r="P1146" s="183"/>
      <c r="Q1146" s="212" t="str">
        <f>VLOOKUP(Ruimtestaat[[#This Row],[Ruimte code]],Ruimtegroepen[#All],4,FALSE)</f>
        <v>S  (Sanitair)</v>
      </c>
      <c r="R1146" s="184"/>
      <c r="S1146" s="185">
        <v>40</v>
      </c>
      <c r="T1146" s="185" t="s">
        <v>2</v>
      </c>
      <c r="U1146" s="185">
        <f>IF(S1146&gt;0,IF(RIGHT(Ruimtestaat[[#This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6" s="185">
        <f>IF(U1146&gt;0,VLOOKUP($K1146,Ruimtegroepen[],3,FALSE)*VLOOKUP($M1146,Vloersoorten[],3,FALSE)*VLOOKUP($T1146,Frequenties[],3,FALSE)*VLOOKUP($A1146,Locaties[],3,FALSE),0)</f>
        <v>0</v>
      </c>
      <c r="W1146" s="185">
        <f>Ruimtestaat[[#This Row],[Uitvoeringen werkdagen]]*Ruimtestaat[[#This Row],[Oppervlak (netto)]]</f>
        <v>1000</v>
      </c>
      <c r="X1146" s="220">
        <f>IF(V1146&gt;0,Ruimtestaat[[#This Row],[Prest. (m2 /jaar) werkdagen]]/Ruimtestaat[[#This Row],[Norm (m2/uur) werkdagen]],0)</f>
        <v>0</v>
      </c>
      <c r="Y1146" s="221">
        <f>Ruimtestaat[[#This Row],[uren / jaar werkdagen]]*Tariefsopbouw!$D$38</f>
        <v>0</v>
      </c>
      <c r="Z1146" s="33"/>
      <c r="AA1146" s="33">
        <f>IF(Ruimtestaat[[#This Row],[Frequentie weekend]]&gt;0,VALUE(LEFT(Z1146,1))*S1146,0)</f>
        <v>0</v>
      </c>
      <c r="AB1146" s="33">
        <f>IF($AA1146&gt;0,VLOOKUP($K1146,Ruimtegroepen[],3,FALSE)*VLOOKUP($M1146,Vloersoorten[],3,FALSE)*VLOOKUP($Z1146,Frequenties[],3,FALSE)*VLOOKUP(#REF!,Locaties[],3,FALSE),0)</f>
        <v>0</v>
      </c>
      <c r="AC1146" s="33"/>
      <c r="AD1146" s="33"/>
      <c r="AE1146" s="33">
        <f>Ruimtestaat[[#This Row],[uren / jaar weekend]]*Tariefsopbouw!$D$40</f>
        <v>0</v>
      </c>
      <c r="AF1146" s="79">
        <f>Ruimtestaat[[#This Row],[Prest. (m2 /jaar) weekend]]+Ruimtestaat[[#This Row],[Prest. (m2 /jaar) werkdagen]]</f>
        <v>1000</v>
      </c>
      <c r="AG1146" s="79">
        <f>Ruimtestaat[[#This Row],[uren / jaar weekend]]+Ruimtestaat[[#This Row],[uren / jaar werkdagen]]</f>
        <v>0</v>
      </c>
      <c r="AH1146" s="80">
        <f>Ruimtestaat[[#This Row],[kosten / jaar weekend]]+Ruimtestaat[[#This Row],[kosten / jaar werkdagen]]</f>
        <v>0</v>
      </c>
    </row>
    <row r="1147" spans="1:34" ht="15" customHeight="1">
      <c r="A1147" s="256">
        <v>12</v>
      </c>
      <c r="B1147" s="171" t="str">
        <f>VLOOKUP(Ruimtestaat[[#This Row],[Code]],Locaties[#All],2,FALSE)</f>
        <v>Onderwijscentrum Het Roessingh &amp; De Huifkar</v>
      </c>
      <c r="C1147" s="258" t="str">
        <f>VLOOKUP(Ruimtestaat[[#This Row],[Code]],Locaties[#All],4,FALSE)</f>
        <v>Roessinghsbleekweg 35</v>
      </c>
      <c r="D1147" s="258" t="str">
        <f>VLOOKUP(Ruimtestaat[[#This Row],[Code]],Locaties[#All],5,FALSE)</f>
        <v>7522 AH</v>
      </c>
      <c r="E1147" s="258" t="str">
        <f>VLOOKUP(Ruimtestaat[[#This Row],[Code]],Locaties[#All],6,FALSE)</f>
        <v>Enschede</v>
      </c>
      <c r="F1147" s="257"/>
      <c r="G1147" s="257" t="s">
        <v>857</v>
      </c>
      <c r="H1147" s="171"/>
      <c r="I1147" s="257">
        <v>2105</v>
      </c>
      <c r="J1147" s="259" t="s">
        <v>770</v>
      </c>
      <c r="K1147" s="171">
        <v>5</v>
      </c>
      <c r="L1147" s="260" t="str">
        <f>VLOOKUP(Ruimtestaat[[#This Row],[Ruimte code]],Ruimtegroepen[#All],2,FALSE)</f>
        <v>Sanitair</v>
      </c>
      <c r="M1147" s="212" t="s">
        <v>111</v>
      </c>
      <c r="N1147" s="257" t="s">
        <v>606</v>
      </c>
      <c r="O1147" s="261">
        <v>11.5</v>
      </c>
      <c r="P1147" s="183"/>
      <c r="Q1147" s="212" t="str">
        <f>VLOOKUP(Ruimtestaat[[#This Row],[Ruimte code]],Ruimtegroepen[#All],4,FALSE)</f>
        <v>S  (Sanitair)</v>
      </c>
      <c r="R1147" s="184"/>
      <c r="S1147" s="185">
        <v>40</v>
      </c>
      <c r="T1147" s="185" t="s">
        <v>2</v>
      </c>
      <c r="U1147" s="185">
        <f>IF(S1147&gt;0,IF(RIGHT(Ruimtestaat[[#This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7" s="185">
        <f>IF(U1147&gt;0,VLOOKUP($K1147,Ruimtegroepen[],3,FALSE)*VLOOKUP($M1147,Vloersoorten[],3,FALSE)*VLOOKUP($T1147,Frequenties[],3,FALSE)*VLOOKUP($A1147,Locaties[],3,FALSE),0)</f>
        <v>0</v>
      </c>
      <c r="W1147" s="185">
        <f>Ruimtestaat[[#This Row],[Uitvoeringen werkdagen]]*Ruimtestaat[[#This Row],[Oppervlak (netto)]]</f>
        <v>2300</v>
      </c>
      <c r="X1147" s="220">
        <f>IF(V1147&gt;0,Ruimtestaat[[#This Row],[Prest. (m2 /jaar) werkdagen]]/Ruimtestaat[[#This Row],[Norm (m2/uur) werkdagen]],0)</f>
        <v>0</v>
      </c>
      <c r="Y1147" s="221">
        <f>Ruimtestaat[[#This Row],[uren / jaar werkdagen]]*Tariefsopbouw!$D$38</f>
        <v>0</v>
      </c>
      <c r="Z1147" s="33"/>
      <c r="AA1147" s="33">
        <f>IF(Ruimtestaat[[#This Row],[Frequentie weekend]]&gt;0,VALUE(LEFT(Z1147,1))*S1147,0)</f>
        <v>0</v>
      </c>
      <c r="AB1147" s="33">
        <f>IF($AA1147&gt;0,VLOOKUP($K1147,Ruimtegroepen[],3,FALSE)*VLOOKUP($M1147,Vloersoorten[],3,FALSE)*VLOOKUP($Z1147,Frequenties[],3,FALSE)*VLOOKUP(#REF!,Locaties[],3,FALSE),0)</f>
        <v>0</v>
      </c>
      <c r="AC1147" s="33"/>
      <c r="AD1147" s="33"/>
      <c r="AE1147" s="33">
        <f>Ruimtestaat[[#This Row],[uren / jaar weekend]]*Tariefsopbouw!$D$40</f>
        <v>0</v>
      </c>
      <c r="AF1147" s="79">
        <f>Ruimtestaat[[#This Row],[Prest. (m2 /jaar) weekend]]+Ruimtestaat[[#This Row],[Prest. (m2 /jaar) werkdagen]]</f>
        <v>2300</v>
      </c>
      <c r="AG1147" s="79">
        <f>Ruimtestaat[[#This Row],[uren / jaar weekend]]+Ruimtestaat[[#This Row],[uren / jaar werkdagen]]</f>
        <v>0</v>
      </c>
      <c r="AH1147" s="80">
        <f>Ruimtestaat[[#This Row],[kosten / jaar weekend]]+Ruimtestaat[[#This Row],[kosten / jaar werkdagen]]</f>
        <v>0</v>
      </c>
    </row>
    <row r="1148" spans="1:34" ht="15" customHeight="1">
      <c r="A1148" s="256">
        <v>12</v>
      </c>
      <c r="B1148" s="171" t="str">
        <f>VLOOKUP(Ruimtestaat[[#This Row],[Code]],Locaties[#All],2,FALSE)</f>
        <v>Onderwijscentrum Het Roessingh &amp; De Huifkar</v>
      </c>
      <c r="C1148" s="258" t="str">
        <f>VLOOKUP(Ruimtestaat[[#This Row],[Code]],Locaties[#All],4,FALSE)</f>
        <v>Roessinghsbleekweg 35</v>
      </c>
      <c r="D1148" s="258" t="str">
        <f>VLOOKUP(Ruimtestaat[[#This Row],[Code]],Locaties[#All],5,FALSE)</f>
        <v>7522 AH</v>
      </c>
      <c r="E1148" s="258" t="str">
        <f>VLOOKUP(Ruimtestaat[[#This Row],[Code]],Locaties[#All],6,FALSE)</f>
        <v>Enschede</v>
      </c>
      <c r="F1148" s="257"/>
      <c r="G1148" s="257" t="s">
        <v>857</v>
      </c>
      <c r="H1148" s="171"/>
      <c r="I1148" s="257" t="s">
        <v>1059</v>
      </c>
      <c r="J1148" s="259" t="s">
        <v>569</v>
      </c>
      <c r="K1148" s="185">
        <v>5</v>
      </c>
      <c r="L1148" s="260" t="str">
        <f>VLOOKUP(Ruimtestaat[[#This Row],[Ruimte code]],Ruimtegroepen[#All],2,FALSE)</f>
        <v>Sanitair</v>
      </c>
      <c r="M1148" s="212" t="s">
        <v>111</v>
      </c>
      <c r="N1148" s="257" t="s">
        <v>606</v>
      </c>
      <c r="O1148" s="261">
        <v>5</v>
      </c>
      <c r="P1148" s="183"/>
      <c r="Q1148" s="212" t="str">
        <f>VLOOKUP(Ruimtestaat[[#This Row],[Ruimte code]],Ruimtegroepen[#All],4,FALSE)</f>
        <v>S  (Sanitair)</v>
      </c>
      <c r="R1148" s="184"/>
      <c r="S1148" s="185">
        <v>40</v>
      </c>
      <c r="T1148" s="185" t="s">
        <v>2</v>
      </c>
      <c r="U1148" s="185">
        <f>IF(S1148&gt;0,IF(RIGHT(Ruimtestaat[[#This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8" s="185">
        <f>IF(U1148&gt;0,VLOOKUP($K1148,Ruimtegroepen[],3,FALSE)*VLOOKUP($M1148,Vloersoorten[],3,FALSE)*VLOOKUP($T1148,Frequenties[],3,FALSE)*VLOOKUP($A1148,Locaties[],3,FALSE),0)</f>
        <v>0</v>
      </c>
      <c r="W1148" s="185">
        <f>Ruimtestaat[[#This Row],[Uitvoeringen werkdagen]]*Ruimtestaat[[#This Row],[Oppervlak (netto)]]</f>
        <v>1000</v>
      </c>
      <c r="X1148" s="220">
        <f>IF(V1148&gt;0,Ruimtestaat[[#This Row],[Prest. (m2 /jaar) werkdagen]]/Ruimtestaat[[#This Row],[Norm (m2/uur) werkdagen]],0)</f>
        <v>0</v>
      </c>
      <c r="Y1148" s="221">
        <f>Ruimtestaat[[#This Row],[uren / jaar werkdagen]]*Tariefsopbouw!$D$38</f>
        <v>0</v>
      </c>
      <c r="Z1148" s="33"/>
      <c r="AA1148" s="33">
        <f>IF(Ruimtestaat[[#This Row],[Frequentie weekend]]&gt;0,VALUE(LEFT(Z1148,1))*S1148,0)</f>
        <v>0</v>
      </c>
      <c r="AB1148" s="33">
        <f>IF($AA1148&gt;0,VLOOKUP($K1148,Ruimtegroepen[],3,FALSE)*VLOOKUP($M1148,Vloersoorten[],3,FALSE)*VLOOKUP($Z1148,Frequenties[],3,FALSE)*VLOOKUP(#REF!,Locaties[],3,FALSE),0)</f>
        <v>0</v>
      </c>
      <c r="AC1148" s="33"/>
      <c r="AD1148" s="33"/>
      <c r="AE1148" s="33">
        <f>Ruimtestaat[[#This Row],[uren / jaar weekend]]*Tariefsopbouw!$D$40</f>
        <v>0</v>
      </c>
      <c r="AF1148" s="79">
        <f>Ruimtestaat[[#This Row],[Prest. (m2 /jaar) weekend]]+Ruimtestaat[[#This Row],[Prest. (m2 /jaar) werkdagen]]</f>
        <v>1000</v>
      </c>
      <c r="AG1148" s="79">
        <f>Ruimtestaat[[#This Row],[uren / jaar weekend]]+Ruimtestaat[[#This Row],[uren / jaar werkdagen]]</f>
        <v>0</v>
      </c>
      <c r="AH1148" s="80">
        <f>Ruimtestaat[[#This Row],[kosten / jaar weekend]]+Ruimtestaat[[#This Row],[kosten / jaar werkdagen]]</f>
        <v>0</v>
      </c>
    </row>
    <row r="1149" spans="1:34" ht="15" customHeight="1">
      <c r="A1149" s="256">
        <v>12</v>
      </c>
      <c r="B1149" s="171" t="str">
        <f>VLOOKUP(Ruimtestaat[[#This Row],[Code]],Locaties[#All],2,FALSE)</f>
        <v>Onderwijscentrum Het Roessingh &amp; De Huifkar</v>
      </c>
      <c r="C1149" s="258" t="str">
        <f>VLOOKUP(Ruimtestaat[[#This Row],[Code]],Locaties[#All],4,FALSE)</f>
        <v>Roessinghsbleekweg 35</v>
      </c>
      <c r="D1149" s="258" t="str">
        <f>VLOOKUP(Ruimtestaat[[#This Row],[Code]],Locaties[#All],5,FALSE)</f>
        <v>7522 AH</v>
      </c>
      <c r="E1149" s="258" t="str">
        <f>VLOOKUP(Ruimtestaat[[#This Row],[Code]],Locaties[#All],6,FALSE)</f>
        <v>Enschede</v>
      </c>
      <c r="F1149" s="257"/>
      <c r="G1149" s="257" t="s">
        <v>857</v>
      </c>
      <c r="H1149" s="171"/>
      <c r="I1149" s="257">
        <v>2106</v>
      </c>
      <c r="J1149" s="259" t="s">
        <v>1060</v>
      </c>
      <c r="K1149" s="185">
        <v>2</v>
      </c>
      <c r="L1149" s="260" t="str">
        <f>VLOOKUP(Ruimtestaat[[#This Row],[Ruimte code]],Ruimtegroepen[#All],2,FALSE)</f>
        <v>Kantoren</v>
      </c>
      <c r="M1149" s="258" t="s">
        <v>598</v>
      </c>
      <c r="N1149" s="257" t="s">
        <v>132</v>
      </c>
      <c r="O1149" s="261">
        <v>20</v>
      </c>
      <c r="P1149" s="183"/>
      <c r="Q1149" s="212" t="str">
        <f>VLOOKUP(Ruimtestaat[[#This Row],[Ruimte code]],Ruimtegroepen[#All],4,FALSE)</f>
        <v>B  (Bureauruimte)</v>
      </c>
      <c r="R1149" s="184"/>
      <c r="S1149" s="185">
        <v>40</v>
      </c>
      <c r="T1149" s="185" t="s">
        <v>2</v>
      </c>
      <c r="U1149" s="185">
        <f>IF(S1149&gt;0,IF(RIGHT(Ruimtestaat[[#This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9" s="185">
        <f>IF(U1149&gt;0,VLOOKUP($K1149,Ruimtegroepen[],3,FALSE)*VLOOKUP($M1149,Vloersoorten[],3,FALSE)*VLOOKUP($T1149,Frequenties[],3,FALSE)*VLOOKUP($A1149,Locaties[],3,FALSE),0)</f>
        <v>0</v>
      </c>
      <c r="W1149" s="185">
        <f>Ruimtestaat[[#This Row],[Uitvoeringen werkdagen]]*Ruimtestaat[[#This Row],[Oppervlak (netto)]]</f>
        <v>4000</v>
      </c>
      <c r="X1149" s="220">
        <f>IF(V1149&gt;0,Ruimtestaat[[#This Row],[Prest. (m2 /jaar) werkdagen]]/Ruimtestaat[[#This Row],[Norm (m2/uur) werkdagen]],0)</f>
        <v>0</v>
      </c>
      <c r="Y1149" s="221">
        <f>Ruimtestaat[[#This Row],[uren / jaar werkdagen]]*Tariefsopbouw!$D$38</f>
        <v>0</v>
      </c>
      <c r="Z1149" s="33"/>
      <c r="AA1149" s="33">
        <f>IF(Ruimtestaat[[#This Row],[Frequentie weekend]]&gt;0,VALUE(LEFT(Z1149,1))*S1149,0)</f>
        <v>0</v>
      </c>
      <c r="AB1149" s="33">
        <f>IF($AA1149&gt;0,VLOOKUP($K1149,Ruimtegroepen[],3,FALSE)*VLOOKUP($M1149,Vloersoorten[],3,FALSE)*VLOOKUP($Z1149,Frequenties[],3,FALSE)*VLOOKUP(#REF!,Locaties[],3,FALSE),0)</f>
        <v>0</v>
      </c>
      <c r="AC1149" s="33"/>
      <c r="AD1149" s="33"/>
      <c r="AE1149" s="33">
        <f>Ruimtestaat[[#This Row],[uren / jaar weekend]]*Tariefsopbouw!$D$40</f>
        <v>0</v>
      </c>
      <c r="AF1149" s="79">
        <f>Ruimtestaat[[#This Row],[Prest. (m2 /jaar) weekend]]+Ruimtestaat[[#This Row],[Prest. (m2 /jaar) werkdagen]]</f>
        <v>4000</v>
      </c>
      <c r="AG1149" s="79">
        <f>Ruimtestaat[[#This Row],[uren / jaar weekend]]+Ruimtestaat[[#This Row],[uren / jaar werkdagen]]</f>
        <v>0</v>
      </c>
      <c r="AH1149" s="80">
        <f>Ruimtestaat[[#This Row],[kosten / jaar weekend]]+Ruimtestaat[[#This Row],[kosten / jaar werkdagen]]</f>
        <v>0</v>
      </c>
    </row>
    <row r="1150" spans="1:34" ht="15" customHeight="1">
      <c r="A1150" s="256">
        <v>12</v>
      </c>
      <c r="B1150" s="171" t="str">
        <f>VLOOKUP(Ruimtestaat[[#This Row],[Code]],Locaties[#All],2,FALSE)</f>
        <v>Onderwijscentrum Het Roessingh &amp; De Huifkar</v>
      </c>
      <c r="C1150" s="258" t="str">
        <f>VLOOKUP(Ruimtestaat[[#This Row],[Code]],Locaties[#All],4,FALSE)</f>
        <v>Roessinghsbleekweg 35</v>
      </c>
      <c r="D1150" s="258" t="str">
        <f>VLOOKUP(Ruimtestaat[[#This Row],[Code]],Locaties[#All],5,FALSE)</f>
        <v>7522 AH</v>
      </c>
      <c r="E1150" s="258" t="str">
        <f>VLOOKUP(Ruimtestaat[[#This Row],[Code]],Locaties[#All],6,FALSE)</f>
        <v>Enschede</v>
      </c>
      <c r="F1150" s="257"/>
      <c r="G1150" s="257" t="s">
        <v>857</v>
      </c>
      <c r="H1150" s="171"/>
      <c r="I1150" s="257">
        <v>2107</v>
      </c>
      <c r="J1150" s="259" t="s">
        <v>574</v>
      </c>
      <c r="K1150" s="171">
        <v>6</v>
      </c>
      <c r="L1150" s="260" t="str">
        <f>VLOOKUP(Ruimtestaat[[#This Row],[Ruimte code]],Ruimtegroepen[#All],2,FALSE)</f>
        <v>Gangen/hallen</v>
      </c>
      <c r="M1150" s="258" t="s">
        <v>598</v>
      </c>
      <c r="N1150" s="257" t="s">
        <v>132</v>
      </c>
      <c r="O1150" s="261">
        <v>26</v>
      </c>
      <c r="P1150" s="183"/>
      <c r="Q1150" s="212" t="str">
        <f>VLOOKUP(Ruimtestaat[[#This Row],[Ruimte code]],Ruimtegroepen[#All],4,FALSE)</f>
        <v>V  (Verkeersruimte)</v>
      </c>
      <c r="R1150" s="184"/>
      <c r="S1150" s="185">
        <v>40</v>
      </c>
      <c r="T1150" s="185" t="s">
        <v>2</v>
      </c>
      <c r="U1150" s="185">
        <f>IF(S1150&gt;0,IF(RIGHT(Ruimtestaat[[#This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0" s="185">
        <f>IF(U1150&gt;0,VLOOKUP($K1150,Ruimtegroepen[],3,FALSE)*VLOOKUP($M1150,Vloersoorten[],3,FALSE)*VLOOKUP($T1150,Frequenties[],3,FALSE)*VLOOKUP($A1150,Locaties[],3,FALSE),0)</f>
        <v>0</v>
      </c>
      <c r="W1150" s="185">
        <f>Ruimtestaat[[#This Row],[Uitvoeringen werkdagen]]*Ruimtestaat[[#This Row],[Oppervlak (netto)]]</f>
        <v>5200</v>
      </c>
      <c r="X1150" s="220">
        <f>IF(V1150&gt;0,Ruimtestaat[[#This Row],[Prest. (m2 /jaar) werkdagen]]/Ruimtestaat[[#This Row],[Norm (m2/uur) werkdagen]],0)</f>
        <v>0</v>
      </c>
      <c r="Y1150" s="221">
        <f>Ruimtestaat[[#This Row],[uren / jaar werkdagen]]*Tariefsopbouw!$D$38</f>
        <v>0</v>
      </c>
      <c r="Z1150" s="33"/>
      <c r="AA1150" s="33">
        <f>IF(Ruimtestaat[[#This Row],[Frequentie weekend]]&gt;0,VALUE(LEFT(Z1150,1))*S1150,0)</f>
        <v>0</v>
      </c>
      <c r="AB1150" s="33">
        <f>IF($AA1150&gt;0,VLOOKUP($K1150,Ruimtegroepen[],3,FALSE)*VLOOKUP($M1150,Vloersoorten[],3,FALSE)*VLOOKUP($Z1150,Frequenties[],3,FALSE)*VLOOKUP(#REF!,Locaties[],3,FALSE),0)</f>
        <v>0</v>
      </c>
      <c r="AC1150" s="33"/>
      <c r="AD1150" s="33"/>
      <c r="AE1150" s="33">
        <f>Ruimtestaat[[#This Row],[uren / jaar weekend]]*Tariefsopbouw!$D$40</f>
        <v>0</v>
      </c>
      <c r="AF1150" s="79">
        <f>Ruimtestaat[[#This Row],[Prest. (m2 /jaar) weekend]]+Ruimtestaat[[#This Row],[Prest. (m2 /jaar) werkdagen]]</f>
        <v>5200</v>
      </c>
      <c r="AG1150" s="79">
        <f>Ruimtestaat[[#This Row],[uren / jaar weekend]]+Ruimtestaat[[#This Row],[uren / jaar werkdagen]]</f>
        <v>0</v>
      </c>
      <c r="AH1150" s="80">
        <f>Ruimtestaat[[#This Row],[kosten / jaar weekend]]+Ruimtestaat[[#This Row],[kosten / jaar werkdagen]]</f>
        <v>0</v>
      </c>
    </row>
    <row r="1151" spans="1:34" ht="15" customHeight="1">
      <c r="A1151" s="256">
        <v>12</v>
      </c>
      <c r="B1151" s="171" t="str">
        <f>VLOOKUP(Ruimtestaat[[#This Row],[Code]],Locaties[#All],2,FALSE)</f>
        <v>Onderwijscentrum Het Roessingh &amp; De Huifkar</v>
      </c>
      <c r="C1151" s="258" t="str">
        <f>VLOOKUP(Ruimtestaat[[#This Row],[Code]],Locaties[#All],4,FALSE)</f>
        <v>Roessinghsbleekweg 35</v>
      </c>
      <c r="D1151" s="258" t="str">
        <f>VLOOKUP(Ruimtestaat[[#This Row],[Code]],Locaties[#All],5,FALSE)</f>
        <v>7522 AH</v>
      </c>
      <c r="E1151" s="258" t="str">
        <f>VLOOKUP(Ruimtestaat[[#This Row],[Code]],Locaties[#All],6,FALSE)</f>
        <v>Enschede</v>
      </c>
      <c r="F1151" s="257"/>
      <c r="G1151" s="257" t="s">
        <v>857</v>
      </c>
      <c r="H1151" s="171"/>
      <c r="I1151" s="257">
        <v>2109</v>
      </c>
      <c r="J1151" s="259" t="s">
        <v>571</v>
      </c>
      <c r="K1151" s="258">
        <v>2</v>
      </c>
      <c r="L1151" s="260" t="str">
        <f>VLOOKUP(Ruimtestaat[[#This Row],[Ruimte code]],Ruimtegroepen[#All],2,FALSE)</f>
        <v>Kantoren</v>
      </c>
      <c r="M1151" s="212" t="s">
        <v>597</v>
      </c>
      <c r="N1151" s="257" t="s">
        <v>38</v>
      </c>
      <c r="O1151" s="261">
        <v>15</v>
      </c>
      <c r="P1151" s="183"/>
      <c r="Q1151" s="212" t="str">
        <f>VLOOKUP(Ruimtestaat[[#This Row],[Ruimte code]],Ruimtegroepen[#All],4,FALSE)</f>
        <v>B  (Bureauruimte)</v>
      </c>
      <c r="R1151" s="184"/>
      <c r="S1151" s="185">
        <v>40</v>
      </c>
      <c r="T1151" s="185" t="s">
        <v>2</v>
      </c>
      <c r="U1151" s="185">
        <f>IF(S1151&gt;0,IF(RIGHT(Ruimtestaat[[#This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1" s="185">
        <f>IF(U1151&gt;0,VLOOKUP($K1151,Ruimtegroepen[],3,FALSE)*VLOOKUP($M1151,Vloersoorten[],3,FALSE)*VLOOKUP($T1151,Frequenties[],3,FALSE)*VLOOKUP($A1151,Locaties[],3,FALSE),0)</f>
        <v>0</v>
      </c>
      <c r="W1151" s="185">
        <f>Ruimtestaat[[#This Row],[Uitvoeringen werkdagen]]*Ruimtestaat[[#This Row],[Oppervlak (netto)]]</f>
        <v>3000</v>
      </c>
      <c r="X1151" s="220">
        <f>IF(V1151&gt;0,Ruimtestaat[[#This Row],[Prest. (m2 /jaar) werkdagen]]/Ruimtestaat[[#This Row],[Norm (m2/uur) werkdagen]],0)</f>
        <v>0</v>
      </c>
      <c r="Y1151" s="221">
        <f>Ruimtestaat[[#This Row],[uren / jaar werkdagen]]*Tariefsopbouw!$D$38</f>
        <v>0</v>
      </c>
      <c r="Z1151" s="33"/>
      <c r="AA1151" s="33">
        <f>IF(Ruimtestaat[[#This Row],[Frequentie weekend]]&gt;0,VALUE(LEFT(Z1151,1))*S1151,0)</f>
        <v>0</v>
      </c>
      <c r="AB1151" s="33">
        <f>IF($AA1151&gt;0,VLOOKUP($K1151,Ruimtegroepen[],3,FALSE)*VLOOKUP($M1151,Vloersoorten[],3,FALSE)*VLOOKUP($Z1151,Frequenties[],3,FALSE)*VLOOKUP(#REF!,Locaties[],3,FALSE),0)</f>
        <v>0</v>
      </c>
      <c r="AC1151" s="33"/>
      <c r="AD1151" s="33"/>
      <c r="AE1151" s="33">
        <f>Ruimtestaat[[#This Row],[uren / jaar weekend]]*Tariefsopbouw!$D$40</f>
        <v>0</v>
      </c>
      <c r="AF1151" s="79">
        <f>Ruimtestaat[[#This Row],[Prest. (m2 /jaar) weekend]]+Ruimtestaat[[#This Row],[Prest. (m2 /jaar) werkdagen]]</f>
        <v>3000</v>
      </c>
      <c r="AG1151" s="79">
        <f>Ruimtestaat[[#This Row],[uren / jaar weekend]]+Ruimtestaat[[#This Row],[uren / jaar werkdagen]]</f>
        <v>0</v>
      </c>
      <c r="AH1151" s="80">
        <f>Ruimtestaat[[#This Row],[kosten / jaar weekend]]+Ruimtestaat[[#This Row],[kosten / jaar werkdagen]]</f>
        <v>0</v>
      </c>
    </row>
    <row r="1152" spans="1:34" ht="15" customHeight="1">
      <c r="A1152" s="256">
        <v>12</v>
      </c>
      <c r="B1152" s="171" t="str">
        <f>VLOOKUP(Ruimtestaat[[#This Row],[Code]],Locaties[#All],2,FALSE)</f>
        <v>Onderwijscentrum Het Roessingh &amp; De Huifkar</v>
      </c>
      <c r="C1152" s="258" t="str">
        <f>VLOOKUP(Ruimtestaat[[#This Row],[Code]],Locaties[#All],4,FALSE)</f>
        <v>Roessinghsbleekweg 35</v>
      </c>
      <c r="D1152" s="258" t="str">
        <f>VLOOKUP(Ruimtestaat[[#This Row],[Code]],Locaties[#All],5,FALSE)</f>
        <v>7522 AH</v>
      </c>
      <c r="E1152" s="258" t="str">
        <f>VLOOKUP(Ruimtestaat[[#This Row],[Code]],Locaties[#All],6,FALSE)</f>
        <v>Enschede</v>
      </c>
      <c r="F1152" s="257"/>
      <c r="G1152" s="257" t="s">
        <v>857</v>
      </c>
      <c r="H1152" s="171"/>
      <c r="I1152" s="257">
        <v>2110</v>
      </c>
      <c r="J1152" s="259" t="s">
        <v>571</v>
      </c>
      <c r="K1152" s="185">
        <v>2</v>
      </c>
      <c r="L1152" s="260" t="str">
        <f>VLOOKUP(Ruimtestaat[[#This Row],[Ruimte code]],Ruimtegroepen[#All],2,FALSE)</f>
        <v>Kantoren</v>
      </c>
      <c r="M1152" s="212" t="s">
        <v>597</v>
      </c>
      <c r="N1152" s="257" t="s">
        <v>38</v>
      </c>
      <c r="O1152" s="261">
        <v>10</v>
      </c>
      <c r="P1152" s="183"/>
      <c r="Q1152" s="212" t="str">
        <f>VLOOKUP(Ruimtestaat[[#This Row],[Ruimte code]],Ruimtegroepen[#All],4,FALSE)</f>
        <v>B  (Bureauruimte)</v>
      </c>
      <c r="R1152" s="184"/>
      <c r="S1152" s="185">
        <v>40</v>
      </c>
      <c r="T1152" s="185" t="s">
        <v>2</v>
      </c>
      <c r="U1152" s="185">
        <f>IF(S1152&gt;0,IF(RIGHT(Ruimtestaat[[#This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2" s="185">
        <f>IF(U1152&gt;0,VLOOKUP($K1152,Ruimtegroepen[],3,FALSE)*VLOOKUP($M1152,Vloersoorten[],3,FALSE)*VLOOKUP($T1152,Frequenties[],3,FALSE)*VLOOKUP($A1152,Locaties[],3,FALSE),0)</f>
        <v>0</v>
      </c>
      <c r="W1152" s="185">
        <f>Ruimtestaat[[#This Row],[Uitvoeringen werkdagen]]*Ruimtestaat[[#This Row],[Oppervlak (netto)]]</f>
        <v>2000</v>
      </c>
      <c r="X1152" s="220">
        <f>IF(V1152&gt;0,Ruimtestaat[[#This Row],[Prest. (m2 /jaar) werkdagen]]/Ruimtestaat[[#This Row],[Norm (m2/uur) werkdagen]],0)</f>
        <v>0</v>
      </c>
      <c r="Y1152" s="221">
        <f>Ruimtestaat[[#This Row],[uren / jaar werkdagen]]*Tariefsopbouw!$D$38</f>
        <v>0</v>
      </c>
      <c r="Z1152" s="33"/>
      <c r="AA1152" s="33">
        <f>IF(Ruimtestaat[[#This Row],[Frequentie weekend]]&gt;0,VALUE(LEFT(Z1152,1))*S1152,0)</f>
        <v>0</v>
      </c>
      <c r="AB1152" s="33">
        <f>IF($AA1152&gt;0,VLOOKUP($K1152,Ruimtegroepen[],3,FALSE)*VLOOKUP($M1152,Vloersoorten[],3,FALSE)*VLOOKUP($Z1152,Frequenties[],3,FALSE)*VLOOKUP(#REF!,Locaties[],3,FALSE),0)</f>
        <v>0</v>
      </c>
      <c r="AC1152" s="33"/>
      <c r="AD1152" s="33"/>
      <c r="AE1152" s="33">
        <f>Ruimtestaat[[#This Row],[uren / jaar weekend]]*Tariefsopbouw!$D$40</f>
        <v>0</v>
      </c>
      <c r="AF1152" s="79">
        <f>Ruimtestaat[[#This Row],[Prest. (m2 /jaar) weekend]]+Ruimtestaat[[#This Row],[Prest. (m2 /jaar) werkdagen]]</f>
        <v>2000</v>
      </c>
      <c r="AG1152" s="79">
        <f>Ruimtestaat[[#This Row],[uren / jaar weekend]]+Ruimtestaat[[#This Row],[uren / jaar werkdagen]]</f>
        <v>0</v>
      </c>
      <c r="AH1152" s="80">
        <f>Ruimtestaat[[#This Row],[kosten / jaar weekend]]+Ruimtestaat[[#This Row],[kosten / jaar werkdagen]]</f>
        <v>0</v>
      </c>
    </row>
    <row r="1153" spans="1:34" ht="15" customHeight="1">
      <c r="A1153" s="256">
        <v>12</v>
      </c>
      <c r="B1153" s="171" t="str">
        <f>VLOOKUP(Ruimtestaat[[#This Row],[Code]],Locaties[#All],2,FALSE)</f>
        <v>Onderwijscentrum Het Roessingh &amp; De Huifkar</v>
      </c>
      <c r="C1153" s="258" t="str">
        <f>VLOOKUP(Ruimtestaat[[#This Row],[Code]],Locaties[#All],4,FALSE)</f>
        <v>Roessinghsbleekweg 35</v>
      </c>
      <c r="D1153" s="258" t="str">
        <f>VLOOKUP(Ruimtestaat[[#This Row],[Code]],Locaties[#All],5,FALSE)</f>
        <v>7522 AH</v>
      </c>
      <c r="E1153" s="258" t="str">
        <f>VLOOKUP(Ruimtestaat[[#This Row],[Code]],Locaties[#All],6,FALSE)</f>
        <v>Enschede</v>
      </c>
      <c r="F1153" s="257"/>
      <c r="G1153" s="257" t="s">
        <v>857</v>
      </c>
      <c r="H1153" s="171"/>
      <c r="I1153" s="257">
        <v>2121</v>
      </c>
      <c r="J1153" s="259" t="s">
        <v>576</v>
      </c>
      <c r="K1153" s="171">
        <v>16</v>
      </c>
      <c r="L1153" s="260" t="str">
        <f>VLOOKUP(Ruimtestaat[[#This Row],[Ruimte code]],Ruimtegroepen[#All],2,FALSE)</f>
        <v>Leslokalen</v>
      </c>
      <c r="M1153" s="258" t="s">
        <v>598</v>
      </c>
      <c r="N1153" s="257" t="s">
        <v>132</v>
      </c>
      <c r="O1153" s="261">
        <v>57</v>
      </c>
      <c r="P1153" s="183"/>
      <c r="Q1153" s="212" t="str">
        <f>VLOOKUP(Ruimtestaat[[#This Row],[Ruimte code]],Ruimtegroepen[#All],4,FALSE)</f>
        <v>L  (Lesruimte)</v>
      </c>
      <c r="R1153" s="184"/>
      <c r="S1153" s="185">
        <v>40</v>
      </c>
      <c r="T1153" s="185" t="s">
        <v>2</v>
      </c>
      <c r="U1153" s="185">
        <f>IF(S1153&gt;0,IF(RIGHT(Ruimtestaat[[#This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3" s="185">
        <f>IF(U1153&gt;0,VLOOKUP($K1153,Ruimtegroepen[],3,FALSE)*VLOOKUP($M1153,Vloersoorten[],3,FALSE)*VLOOKUP($T1153,Frequenties[],3,FALSE)*VLOOKUP($A1153,Locaties[],3,FALSE),0)</f>
        <v>0</v>
      </c>
      <c r="W1153" s="185">
        <f>Ruimtestaat[[#This Row],[Uitvoeringen werkdagen]]*Ruimtestaat[[#This Row],[Oppervlak (netto)]]</f>
        <v>11400</v>
      </c>
      <c r="X1153" s="220">
        <f>IF(V1153&gt;0,Ruimtestaat[[#This Row],[Prest. (m2 /jaar) werkdagen]]/Ruimtestaat[[#This Row],[Norm (m2/uur) werkdagen]],0)</f>
        <v>0</v>
      </c>
      <c r="Y1153" s="221">
        <f>Ruimtestaat[[#This Row],[uren / jaar werkdagen]]*Tariefsopbouw!$D$38</f>
        <v>0</v>
      </c>
      <c r="Z1153" s="33"/>
      <c r="AA1153" s="33">
        <f>IF(Ruimtestaat[[#This Row],[Frequentie weekend]]&gt;0,VALUE(LEFT(Z1153,1))*S1153,0)</f>
        <v>0</v>
      </c>
      <c r="AB1153" s="33">
        <f>IF($AA1153&gt;0,VLOOKUP($K1153,Ruimtegroepen[],3,FALSE)*VLOOKUP($M1153,Vloersoorten[],3,FALSE)*VLOOKUP($Z1153,Frequenties[],3,FALSE)*VLOOKUP(#REF!,Locaties[],3,FALSE),0)</f>
        <v>0</v>
      </c>
      <c r="AC1153" s="33"/>
      <c r="AD1153" s="33"/>
      <c r="AE1153" s="33">
        <f>Ruimtestaat[[#This Row],[uren / jaar weekend]]*Tariefsopbouw!$D$40</f>
        <v>0</v>
      </c>
      <c r="AF1153" s="79">
        <f>Ruimtestaat[[#This Row],[Prest. (m2 /jaar) weekend]]+Ruimtestaat[[#This Row],[Prest. (m2 /jaar) werkdagen]]</f>
        <v>11400</v>
      </c>
      <c r="AG1153" s="79">
        <f>Ruimtestaat[[#This Row],[uren / jaar weekend]]+Ruimtestaat[[#This Row],[uren / jaar werkdagen]]</f>
        <v>0</v>
      </c>
      <c r="AH1153" s="80">
        <f>Ruimtestaat[[#This Row],[kosten / jaar weekend]]+Ruimtestaat[[#This Row],[kosten / jaar werkdagen]]</f>
        <v>0</v>
      </c>
    </row>
    <row r="1154" spans="1:34" ht="15" customHeight="1">
      <c r="A1154" s="256">
        <v>12</v>
      </c>
      <c r="B1154" s="171" t="str">
        <f>VLOOKUP(Ruimtestaat[[#This Row],[Code]],Locaties[#All],2,FALSE)</f>
        <v>Onderwijscentrum Het Roessingh &amp; De Huifkar</v>
      </c>
      <c r="C1154" s="258" t="str">
        <f>VLOOKUP(Ruimtestaat[[#This Row],[Code]],Locaties[#All],4,FALSE)</f>
        <v>Roessinghsbleekweg 35</v>
      </c>
      <c r="D1154" s="258" t="str">
        <f>VLOOKUP(Ruimtestaat[[#This Row],[Code]],Locaties[#All],5,FALSE)</f>
        <v>7522 AH</v>
      </c>
      <c r="E1154" s="258" t="str">
        <f>VLOOKUP(Ruimtestaat[[#This Row],[Code]],Locaties[#All],6,FALSE)</f>
        <v>Enschede</v>
      </c>
      <c r="F1154" s="257"/>
      <c r="G1154" s="257" t="s">
        <v>857</v>
      </c>
      <c r="H1154" s="171"/>
      <c r="I1154" s="257">
        <v>2122</v>
      </c>
      <c r="J1154" s="259" t="s">
        <v>576</v>
      </c>
      <c r="K1154" s="258">
        <v>16</v>
      </c>
      <c r="L1154" s="260" t="str">
        <f>VLOOKUP(Ruimtestaat[[#This Row],[Ruimte code]],Ruimtegroepen[#All],2,FALSE)</f>
        <v>Leslokalen</v>
      </c>
      <c r="M1154" s="258" t="s">
        <v>598</v>
      </c>
      <c r="N1154" s="257" t="s">
        <v>132</v>
      </c>
      <c r="O1154" s="261">
        <v>88</v>
      </c>
      <c r="P1154" s="183"/>
      <c r="Q1154" s="212" t="str">
        <f>VLOOKUP(Ruimtestaat[[#This Row],[Ruimte code]],Ruimtegroepen[#All],4,FALSE)</f>
        <v>L  (Lesruimte)</v>
      </c>
      <c r="R1154" s="184"/>
      <c r="S1154" s="185">
        <v>40</v>
      </c>
      <c r="T1154" s="185" t="s">
        <v>2</v>
      </c>
      <c r="U1154" s="185">
        <f>IF(S1154&gt;0,IF(RIGHT(Ruimtestaat[[#This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4" s="185">
        <f>IF(U1154&gt;0,VLOOKUP($K1154,Ruimtegroepen[],3,FALSE)*VLOOKUP($M1154,Vloersoorten[],3,FALSE)*VLOOKUP($T1154,Frequenties[],3,FALSE)*VLOOKUP($A1154,Locaties[],3,FALSE),0)</f>
        <v>0</v>
      </c>
      <c r="W1154" s="185">
        <f>Ruimtestaat[[#This Row],[Uitvoeringen werkdagen]]*Ruimtestaat[[#This Row],[Oppervlak (netto)]]</f>
        <v>17600</v>
      </c>
      <c r="X1154" s="220">
        <f>IF(V1154&gt;0,Ruimtestaat[[#This Row],[Prest. (m2 /jaar) werkdagen]]/Ruimtestaat[[#This Row],[Norm (m2/uur) werkdagen]],0)</f>
        <v>0</v>
      </c>
      <c r="Y1154" s="221">
        <f>Ruimtestaat[[#This Row],[uren / jaar werkdagen]]*Tariefsopbouw!$D$38</f>
        <v>0</v>
      </c>
      <c r="Z1154" s="33"/>
      <c r="AA1154" s="33">
        <f>IF(Ruimtestaat[[#This Row],[Frequentie weekend]]&gt;0,VALUE(LEFT(Z1154,1))*S1154,0)</f>
        <v>0</v>
      </c>
      <c r="AB1154" s="33">
        <f>IF($AA1154&gt;0,VLOOKUP($K1154,Ruimtegroepen[],3,FALSE)*VLOOKUP($M1154,Vloersoorten[],3,FALSE)*VLOOKUP($Z1154,Frequenties[],3,FALSE)*VLOOKUP(#REF!,Locaties[],3,FALSE),0)</f>
        <v>0</v>
      </c>
      <c r="AC1154" s="33"/>
      <c r="AD1154" s="33"/>
      <c r="AE1154" s="33">
        <f>Ruimtestaat[[#This Row],[uren / jaar weekend]]*Tariefsopbouw!$D$40</f>
        <v>0</v>
      </c>
      <c r="AF1154" s="79">
        <f>Ruimtestaat[[#This Row],[Prest. (m2 /jaar) weekend]]+Ruimtestaat[[#This Row],[Prest. (m2 /jaar) werkdagen]]</f>
        <v>17600</v>
      </c>
      <c r="AG1154" s="79">
        <f>Ruimtestaat[[#This Row],[uren / jaar weekend]]+Ruimtestaat[[#This Row],[uren / jaar werkdagen]]</f>
        <v>0</v>
      </c>
      <c r="AH1154" s="80">
        <f>Ruimtestaat[[#This Row],[kosten / jaar weekend]]+Ruimtestaat[[#This Row],[kosten / jaar werkdagen]]</f>
        <v>0</v>
      </c>
    </row>
    <row r="1155" spans="1:34" ht="15" customHeight="1">
      <c r="A1155" s="256">
        <v>12</v>
      </c>
      <c r="B1155" s="171" t="str">
        <f>VLOOKUP(Ruimtestaat[[#This Row],[Code]],Locaties[#All],2,FALSE)</f>
        <v>Onderwijscentrum Het Roessingh &amp; De Huifkar</v>
      </c>
      <c r="C1155" s="258" t="str">
        <f>VLOOKUP(Ruimtestaat[[#This Row],[Code]],Locaties[#All],4,FALSE)</f>
        <v>Roessinghsbleekweg 35</v>
      </c>
      <c r="D1155" s="258" t="str">
        <f>VLOOKUP(Ruimtestaat[[#This Row],[Code]],Locaties[#All],5,FALSE)</f>
        <v>7522 AH</v>
      </c>
      <c r="E1155" s="258" t="str">
        <f>VLOOKUP(Ruimtestaat[[#This Row],[Code]],Locaties[#All],6,FALSE)</f>
        <v>Enschede</v>
      </c>
      <c r="F1155" s="257"/>
      <c r="G1155" s="257" t="s">
        <v>857</v>
      </c>
      <c r="H1155" s="171"/>
      <c r="I1155" s="257">
        <v>2123</v>
      </c>
      <c r="J1155" s="259" t="s">
        <v>585</v>
      </c>
      <c r="K1155" s="171">
        <v>20</v>
      </c>
      <c r="L1155" s="260" t="str">
        <f>VLOOKUP(Ruimtestaat[[#This Row],[Ruimte code]],Ruimtegroepen[#All],2,FALSE)</f>
        <v>Niet in onderhoud</v>
      </c>
      <c r="M1155" s="258" t="s">
        <v>598</v>
      </c>
      <c r="N1155" s="257" t="s">
        <v>132</v>
      </c>
      <c r="O1155" s="261"/>
      <c r="P1155" s="183">
        <v>9</v>
      </c>
      <c r="Q1155" s="212" t="str">
        <f>VLOOKUP(Ruimtestaat[[#This Row],[Ruimte code]],Ruimtegroepen[#All],4,FALSE)</f>
        <v>niet in onderhoud</v>
      </c>
      <c r="R1155" s="184"/>
      <c r="S1155" s="185"/>
      <c r="T1155" s="185"/>
      <c r="U1155" s="185">
        <f>IF(S1155&gt;0,IF(RIGHT(Ruimtestaat[[#This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55" s="185">
        <f>IF(U1155&gt;0,VLOOKUP($K1155,Ruimtegroepen[],3,FALSE)*VLOOKUP($M1155,Vloersoorten[],3,FALSE)*VLOOKUP($T1155,Frequenties[],3,FALSE)*VLOOKUP($A1155,Locaties[],3,FALSE),0)</f>
        <v>0</v>
      </c>
      <c r="W1155" s="185">
        <f>Ruimtestaat[[#This Row],[Uitvoeringen werkdagen]]*Ruimtestaat[[#This Row],[Oppervlak (netto)]]</f>
        <v>0</v>
      </c>
      <c r="X1155" s="220">
        <f>IF(V1155&gt;0,Ruimtestaat[[#This Row],[Prest. (m2 /jaar) werkdagen]]/Ruimtestaat[[#This Row],[Norm (m2/uur) werkdagen]],0)</f>
        <v>0</v>
      </c>
      <c r="Y1155" s="221">
        <f>Ruimtestaat[[#This Row],[uren / jaar werkdagen]]*Tariefsopbouw!$D$38</f>
        <v>0</v>
      </c>
      <c r="Z1155" s="33"/>
      <c r="AA1155" s="33">
        <f>IF(Ruimtestaat[[#This Row],[Frequentie weekend]]&gt;0,VALUE(LEFT(Z1155,1))*S1155,0)</f>
        <v>0</v>
      </c>
      <c r="AB1155" s="33">
        <f>IF($AA1155&gt;0,VLOOKUP($K1155,Ruimtegroepen[],3,FALSE)*VLOOKUP($M1155,Vloersoorten[],3,FALSE)*VLOOKUP($Z1155,Frequenties[],3,FALSE)*VLOOKUP(#REF!,Locaties[],3,FALSE),0)</f>
        <v>0</v>
      </c>
      <c r="AC1155" s="33"/>
      <c r="AD1155" s="33"/>
      <c r="AE1155" s="33">
        <f>Ruimtestaat[[#This Row],[uren / jaar weekend]]*Tariefsopbouw!$D$40</f>
        <v>0</v>
      </c>
      <c r="AF1155" s="79">
        <f>Ruimtestaat[[#This Row],[Prest. (m2 /jaar) weekend]]+Ruimtestaat[[#This Row],[Prest. (m2 /jaar) werkdagen]]</f>
        <v>0</v>
      </c>
      <c r="AG1155" s="79">
        <f>Ruimtestaat[[#This Row],[uren / jaar weekend]]+Ruimtestaat[[#This Row],[uren / jaar werkdagen]]</f>
        <v>0</v>
      </c>
      <c r="AH1155" s="80">
        <f>Ruimtestaat[[#This Row],[kosten / jaar weekend]]+Ruimtestaat[[#This Row],[kosten / jaar werkdagen]]</f>
        <v>0</v>
      </c>
    </row>
    <row r="1156" spans="1:34" ht="15" customHeight="1">
      <c r="A1156" s="256">
        <v>12</v>
      </c>
      <c r="B1156" s="171" t="str">
        <f>VLOOKUP(Ruimtestaat[[#This Row],[Code]],Locaties[#All],2,FALSE)</f>
        <v>Onderwijscentrum Het Roessingh &amp; De Huifkar</v>
      </c>
      <c r="C1156" s="258" t="str">
        <f>VLOOKUP(Ruimtestaat[[#This Row],[Code]],Locaties[#All],4,FALSE)</f>
        <v>Roessinghsbleekweg 35</v>
      </c>
      <c r="D1156" s="258" t="str">
        <f>VLOOKUP(Ruimtestaat[[#This Row],[Code]],Locaties[#All],5,FALSE)</f>
        <v>7522 AH</v>
      </c>
      <c r="E1156" s="258" t="str">
        <f>VLOOKUP(Ruimtestaat[[#This Row],[Code]],Locaties[#All],6,FALSE)</f>
        <v>Enschede</v>
      </c>
      <c r="F1156" s="257"/>
      <c r="G1156" s="257" t="s">
        <v>857</v>
      </c>
      <c r="H1156" s="171"/>
      <c r="I1156" s="257">
        <v>2181</v>
      </c>
      <c r="J1156" s="259" t="s">
        <v>574</v>
      </c>
      <c r="K1156" s="258">
        <v>6</v>
      </c>
      <c r="L1156" s="260" t="str">
        <f>VLOOKUP(Ruimtestaat[[#This Row],[Ruimte code]],Ruimtegroepen[#All],2,FALSE)</f>
        <v>Gangen/hallen</v>
      </c>
      <c r="M1156" s="185" t="s">
        <v>598</v>
      </c>
      <c r="N1156" s="257" t="s">
        <v>132</v>
      </c>
      <c r="O1156" s="261">
        <v>57</v>
      </c>
      <c r="P1156" s="183"/>
      <c r="Q1156" s="212" t="str">
        <f>VLOOKUP(Ruimtestaat[[#This Row],[Ruimte code]],Ruimtegroepen[#All],4,FALSE)</f>
        <v>V  (Verkeersruimte)</v>
      </c>
      <c r="R1156" s="184"/>
      <c r="S1156" s="185">
        <v>40</v>
      </c>
      <c r="T1156" s="185" t="s">
        <v>2</v>
      </c>
      <c r="U1156" s="185">
        <f>IF(S1156&gt;0,IF(RIGHT(Ruimtestaat[[#This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6" s="185">
        <f>IF(U1156&gt;0,VLOOKUP($K1156,Ruimtegroepen[],3,FALSE)*VLOOKUP($M1156,Vloersoorten[],3,FALSE)*VLOOKUP($T1156,Frequenties[],3,FALSE)*VLOOKUP($A1156,Locaties[],3,FALSE),0)</f>
        <v>0</v>
      </c>
      <c r="W1156" s="185">
        <f>Ruimtestaat[[#This Row],[Uitvoeringen werkdagen]]*Ruimtestaat[[#This Row],[Oppervlak (netto)]]</f>
        <v>11400</v>
      </c>
      <c r="X1156" s="220">
        <f>IF(V1156&gt;0,Ruimtestaat[[#This Row],[Prest. (m2 /jaar) werkdagen]]/Ruimtestaat[[#This Row],[Norm (m2/uur) werkdagen]],0)</f>
        <v>0</v>
      </c>
      <c r="Y1156" s="221">
        <f>Ruimtestaat[[#This Row],[uren / jaar werkdagen]]*Tariefsopbouw!$D$38</f>
        <v>0</v>
      </c>
      <c r="Z1156" s="33"/>
      <c r="AA1156" s="33">
        <f>IF(Ruimtestaat[[#This Row],[Frequentie weekend]]&gt;0,VALUE(LEFT(Z1156,1))*S1156,0)</f>
        <v>0</v>
      </c>
      <c r="AB1156" s="33">
        <f>IF($AA1156&gt;0,VLOOKUP($K1156,Ruimtegroepen[],3,FALSE)*VLOOKUP($M1156,Vloersoorten[],3,FALSE)*VLOOKUP($Z1156,Frequenties[],3,FALSE)*VLOOKUP(#REF!,Locaties[],3,FALSE),0)</f>
        <v>0</v>
      </c>
      <c r="AC1156" s="33"/>
      <c r="AD1156" s="33"/>
      <c r="AE1156" s="33">
        <f>Ruimtestaat[[#This Row],[uren / jaar weekend]]*Tariefsopbouw!$D$40</f>
        <v>0</v>
      </c>
      <c r="AF1156" s="79">
        <f>Ruimtestaat[[#This Row],[Prest. (m2 /jaar) weekend]]+Ruimtestaat[[#This Row],[Prest. (m2 /jaar) werkdagen]]</f>
        <v>11400</v>
      </c>
      <c r="AG1156" s="79">
        <f>Ruimtestaat[[#This Row],[uren / jaar weekend]]+Ruimtestaat[[#This Row],[uren / jaar werkdagen]]</f>
        <v>0</v>
      </c>
      <c r="AH1156" s="80">
        <f>Ruimtestaat[[#This Row],[kosten / jaar weekend]]+Ruimtestaat[[#This Row],[kosten / jaar werkdagen]]</f>
        <v>0</v>
      </c>
    </row>
    <row r="1157" spans="1:34" ht="15" customHeight="1">
      <c r="A1157" s="256">
        <v>12</v>
      </c>
      <c r="B1157" s="171" t="str">
        <f>VLOOKUP(Ruimtestaat[[#This Row],[Code]],Locaties[#All],2,FALSE)</f>
        <v>Onderwijscentrum Het Roessingh &amp; De Huifkar</v>
      </c>
      <c r="C1157" s="258" t="str">
        <f>VLOOKUP(Ruimtestaat[[#This Row],[Code]],Locaties[#All],4,FALSE)</f>
        <v>Roessinghsbleekweg 35</v>
      </c>
      <c r="D1157" s="258" t="str">
        <f>VLOOKUP(Ruimtestaat[[#This Row],[Code]],Locaties[#All],5,FALSE)</f>
        <v>7522 AH</v>
      </c>
      <c r="E1157" s="258" t="str">
        <f>VLOOKUP(Ruimtestaat[[#This Row],[Code]],Locaties[#All],6,FALSE)</f>
        <v>Enschede</v>
      </c>
      <c r="F1157" s="257"/>
      <c r="G1157" s="257" t="s">
        <v>857</v>
      </c>
      <c r="H1157" s="171"/>
      <c r="I1157" s="257">
        <v>2185</v>
      </c>
      <c r="J1157" s="259" t="s">
        <v>576</v>
      </c>
      <c r="K1157" s="171">
        <v>16</v>
      </c>
      <c r="L1157" s="260" t="str">
        <f>VLOOKUP(Ruimtestaat[[#This Row],[Ruimte code]],Ruimtegroepen[#All],2,FALSE)</f>
        <v>Leslokalen</v>
      </c>
      <c r="M1157" s="258" t="s">
        <v>598</v>
      </c>
      <c r="N1157" s="257" t="s">
        <v>132</v>
      </c>
      <c r="O1157" s="261">
        <v>64</v>
      </c>
      <c r="P1157" s="183"/>
      <c r="Q1157" s="212" t="str">
        <f>VLOOKUP(Ruimtestaat[[#This Row],[Ruimte code]],Ruimtegroepen[#All],4,FALSE)</f>
        <v>L  (Lesruimte)</v>
      </c>
      <c r="R1157" s="184"/>
      <c r="S1157" s="185">
        <v>40</v>
      </c>
      <c r="T1157" s="185" t="s">
        <v>2</v>
      </c>
      <c r="U1157" s="185">
        <f>IF(S1157&gt;0,IF(RIGHT(Ruimtestaat[[#This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7" s="185">
        <f>IF(U1157&gt;0,VLOOKUP($K1157,Ruimtegroepen[],3,FALSE)*VLOOKUP($M1157,Vloersoorten[],3,FALSE)*VLOOKUP($T1157,Frequenties[],3,FALSE)*VLOOKUP($A1157,Locaties[],3,FALSE),0)</f>
        <v>0</v>
      </c>
      <c r="W1157" s="185">
        <f>Ruimtestaat[[#This Row],[Uitvoeringen werkdagen]]*Ruimtestaat[[#This Row],[Oppervlak (netto)]]</f>
        <v>12800</v>
      </c>
      <c r="X1157" s="220">
        <f>IF(V1157&gt;0,Ruimtestaat[[#This Row],[Prest. (m2 /jaar) werkdagen]]/Ruimtestaat[[#This Row],[Norm (m2/uur) werkdagen]],0)</f>
        <v>0</v>
      </c>
      <c r="Y1157" s="221">
        <f>Ruimtestaat[[#This Row],[uren / jaar werkdagen]]*Tariefsopbouw!$D$38</f>
        <v>0</v>
      </c>
      <c r="Z1157" s="33"/>
      <c r="AA1157" s="33">
        <f>IF(Ruimtestaat[[#This Row],[Frequentie weekend]]&gt;0,VALUE(LEFT(Z1157,1))*S1157,0)</f>
        <v>0</v>
      </c>
      <c r="AB1157" s="33">
        <f>IF($AA1157&gt;0,VLOOKUP($K1157,Ruimtegroepen[],3,FALSE)*VLOOKUP($M1157,Vloersoorten[],3,FALSE)*VLOOKUP($Z1157,Frequenties[],3,FALSE)*VLOOKUP(#REF!,Locaties[],3,FALSE),0)</f>
        <v>0</v>
      </c>
      <c r="AC1157" s="33"/>
      <c r="AD1157" s="33"/>
      <c r="AE1157" s="33">
        <f>Ruimtestaat[[#This Row],[uren / jaar weekend]]*Tariefsopbouw!$D$40</f>
        <v>0</v>
      </c>
      <c r="AF1157" s="79">
        <f>Ruimtestaat[[#This Row],[Prest. (m2 /jaar) weekend]]+Ruimtestaat[[#This Row],[Prest. (m2 /jaar) werkdagen]]</f>
        <v>12800</v>
      </c>
      <c r="AG1157" s="79">
        <f>Ruimtestaat[[#This Row],[uren / jaar weekend]]+Ruimtestaat[[#This Row],[uren / jaar werkdagen]]</f>
        <v>0</v>
      </c>
      <c r="AH1157" s="80">
        <f>Ruimtestaat[[#This Row],[kosten / jaar weekend]]+Ruimtestaat[[#This Row],[kosten / jaar werkdagen]]</f>
        <v>0</v>
      </c>
    </row>
    <row r="1158" spans="1:34" ht="15" customHeight="1">
      <c r="A1158" s="256">
        <v>12</v>
      </c>
      <c r="B1158" s="171" t="str">
        <f>VLOOKUP(Ruimtestaat[[#This Row],[Code]],Locaties[#All],2,FALSE)</f>
        <v>Onderwijscentrum Het Roessingh &amp; De Huifkar</v>
      </c>
      <c r="C1158" s="258" t="str">
        <f>VLOOKUP(Ruimtestaat[[#This Row],[Code]],Locaties[#All],4,FALSE)</f>
        <v>Roessinghsbleekweg 35</v>
      </c>
      <c r="D1158" s="258" t="str">
        <f>VLOOKUP(Ruimtestaat[[#This Row],[Code]],Locaties[#All],5,FALSE)</f>
        <v>7522 AH</v>
      </c>
      <c r="E1158" s="258" t="str">
        <f>VLOOKUP(Ruimtestaat[[#This Row],[Code]],Locaties[#All],6,FALSE)</f>
        <v>Enschede</v>
      </c>
      <c r="F1158" s="257"/>
      <c r="G1158" s="257" t="s">
        <v>857</v>
      </c>
      <c r="H1158" s="171"/>
      <c r="I1158" s="257">
        <v>2186</v>
      </c>
      <c r="J1158" s="259" t="s">
        <v>599</v>
      </c>
      <c r="K1158" s="171">
        <v>12</v>
      </c>
      <c r="L1158" s="260" t="str">
        <f>VLOOKUP(Ruimtestaat[[#This Row],[Ruimte code]],Ruimtegroepen[#All],2,FALSE)</f>
        <v>Kantine</v>
      </c>
      <c r="M1158" s="258" t="s">
        <v>598</v>
      </c>
      <c r="N1158" s="257" t="s">
        <v>132</v>
      </c>
      <c r="O1158" s="261">
        <v>95</v>
      </c>
      <c r="P1158" s="183"/>
      <c r="Q1158" s="212" t="str">
        <f>VLOOKUP(Ruimtestaat[[#This Row],[Ruimte code]],Ruimtegroepen[#All],4,FALSE)</f>
        <v>V  (Verkeersruimte)</v>
      </c>
      <c r="R1158" s="184"/>
      <c r="S1158" s="185">
        <v>40</v>
      </c>
      <c r="T1158" s="185" t="s">
        <v>2</v>
      </c>
      <c r="U1158" s="185">
        <f>IF(S1158&gt;0,IF(RIGHT(Ruimtestaat[[#This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8" s="185">
        <f>IF(U1158&gt;0,VLOOKUP($K1158,Ruimtegroepen[],3,FALSE)*VLOOKUP($M1158,Vloersoorten[],3,FALSE)*VLOOKUP($T1158,Frequenties[],3,FALSE)*VLOOKUP($A1158,Locaties[],3,FALSE),0)</f>
        <v>0</v>
      </c>
      <c r="W1158" s="185">
        <f>Ruimtestaat[[#This Row],[Uitvoeringen werkdagen]]*Ruimtestaat[[#This Row],[Oppervlak (netto)]]</f>
        <v>19000</v>
      </c>
      <c r="X1158" s="220">
        <f>IF(V1158&gt;0,Ruimtestaat[[#This Row],[Prest. (m2 /jaar) werkdagen]]/Ruimtestaat[[#This Row],[Norm (m2/uur) werkdagen]],0)</f>
        <v>0</v>
      </c>
      <c r="Y1158" s="221">
        <f>Ruimtestaat[[#This Row],[uren / jaar werkdagen]]*Tariefsopbouw!$D$38</f>
        <v>0</v>
      </c>
      <c r="Z1158" s="33"/>
      <c r="AA1158" s="33">
        <f>IF(Ruimtestaat[[#This Row],[Frequentie weekend]]&gt;0,VALUE(LEFT(Z1158,1))*S1158,0)</f>
        <v>0</v>
      </c>
      <c r="AB1158" s="33">
        <f>IF($AA1158&gt;0,VLOOKUP($K1158,Ruimtegroepen[],3,FALSE)*VLOOKUP($M1158,Vloersoorten[],3,FALSE)*VLOOKUP($Z1158,Frequenties[],3,FALSE)*VLOOKUP(#REF!,Locaties[],3,FALSE),0)</f>
        <v>0</v>
      </c>
      <c r="AC1158" s="33"/>
      <c r="AD1158" s="33"/>
      <c r="AE1158" s="33">
        <f>Ruimtestaat[[#This Row],[uren / jaar weekend]]*Tariefsopbouw!$D$40</f>
        <v>0</v>
      </c>
      <c r="AF1158" s="79">
        <f>Ruimtestaat[[#This Row],[Prest. (m2 /jaar) weekend]]+Ruimtestaat[[#This Row],[Prest. (m2 /jaar) werkdagen]]</f>
        <v>19000</v>
      </c>
      <c r="AG1158" s="79">
        <f>Ruimtestaat[[#This Row],[uren / jaar weekend]]+Ruimtestaat[[#This Row],[uren / jaar werkdagen]]</f>
        <v>0</v>
      </c>
      <c r="AH1158" s="80">
        <f>Ruimtestaat[[#This Row],[kosten / jaar weekend]]+Ruimtestaat[[#This Row],[kosten / jaar werkdagen]]</f>
        <v>0</v>
      </c>
    </row>
    <row r="1159" spans="1:34" ht="15" customHeight="1">
      <c r="A1159" s="256">
        <v>12</v>
      </c>
      <c r="B1159" s="171" t="str">
        <f>VLOOKUP(Ruimtestaat[[#This Row],[Code]],Locaties[#All],2,FALSE)</f>
        <v>Onderwijscentrum Het Roessingh &amp; De Huifkar</v>
      </c>
      <c r="C1159" s="258" t="str">
        <f>VLOOKUP(Ruimtestaat[[#This Row],[Code]],Locaties[#All],4,FALSE)</f>
        <v>Roessinghsbleekweg 35</v>
      </c>
      <c r="D1159" s="258" t="str">
        <f>VLOOKUP(Ruimtestaat[[#This Row],[Code]],Locaties[#All],5,FALSE)</f>
        <v>7522 AH</v>
      </c>
      <c r="E1159" s="258" t="str">
        <f>VLOOKUP(Ruimtestaat[[#This Row],[Code]],Locaties[#All],6,FALSE)</f>
        <v>Enschede</v>
      </c>
      <c r="F1159" s="257"/>
      <c r="G1159" s="257" t="s">
        <v>857</v>
      </c>
      <c r="H1159" s="171"/>
      <c r="I1159" s="257">
        <v>2188</v>
      </c>
      <c r="J1159" s="259" t="s">
        <v>576</v>
      </c>
      <c r="K1159" s="258">
        <v>16</v>
      </c>
      <c r="L1159" s="260" t="str">
        <f>VLOOKUP(Ruimtestaat[[#This Row],[Ruimte code]],Ruimtegroepen[#All],2,FALSE)</f>
        <v>Leslokalen</v>
      </c>
      <c r="M1159" s="258" t="s">
        <v>598</v>
      </c>
      <c r="N1159" s="257" t="s">
        <v>132</v>
      </c>
      <c r="O1159" s="261">
        <v>60</v>
      </c>
      <c r="P1159" s="183"/>
      <c r="Q1159" s="212" t="str">
        <f>VLOOKUP(Ruimtestaat[[#This Row],[Ruimte code]],Ruimtegroepen[#All],4,FALSE)</f>
        <v>L  (Lesruimte)</v>
      </c>
      <c r="R1159" s="184"/>
      <c r="S1159" s="185">
        <v>40</v>
      </c>
      <c r="T1159" s="185" t="s">
        <v>2</v>
      </c>
      <c r="U1159" s="185">
        <f>IF(S1159&gt;0,IF(RIGHT(Ruimtestaat[[#This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9" s="185">
        <f>IF(U1159&gt;0,VLOOKUP($K1159,Ruimtegroepen[],3,FALSE)*VLOOKUP($M1159,Vloersoorten[],3,FALSE)*VLOOKUP($T1159,Frequenties[],3,FALSE)*VLOOKUP($A1159,Locaties[],3,FALSE),0)</f>
        <v>0</v>
      </c>
      <c r="W1159" s="185">
        <f>Ruimtestaat[[#This Row],[Uitvoeringen werkdagen]]*Ruimtestaat[[#This Row],[Oppervlak (netto)]]</f>
        <v>12000</v>
      </c>
      <c r="X1159" s="220">
        <f>IF(V1159&gt;0,Ruimtestaat[[#This Row],[Prest. (m2 /jaar) werkdagen]]/Ruimtestaat[[#This Row],[Norm (m2/uur) werkdagen]],0)</f>
        <v>0</v>
      </c>
      <c r="Y1159" s="221">
        <f>Ruimtestaat[[#This Row],[uren / jaar werkdagen]]*Tariefsopbouw!$D$38</f>
        <v>0</v>
      </c>
      <c r="Z1159" s="33"/>
      <c r="AA1159" s="33">
        <f>IF(Ruimtestaat[[#This Row],[Frequentie weekend]]&gt;0,VALUE(LEFT(Z1159,1))*S1159,0)</f>
        <v>0</v>
      </c>
      <c r="AB1159" s="33">
        <f>IF($AA1159&gt;0,VLOOKUP($K1159,Ruimtegroepen[],3,FALSE)*VLOOKUP($M1159,Vloersoorten[],3,FALSE)*VLOOKUP($Z1159,Frequenties[],3,FALSE)*VLOOKUP(#REF!,Locaties[],3,FALSE),0)</f>
        <v>0</v>
      </c>
      <c r="AC1159" s="33"/>
      <c r="AD1159" s="33"/>
      <c r="AE1159" s="33">
        <f>Ruimtestaat[[#This Row],[uren / jaar weekend]]*Tariefsopbouw!$D$40</f>
        <v>0</v>
      </c>
      <c r="AF1159" s="79">
        <f>Ruimtestaat[[#This Row],[Prest. (m2 /jaar) weekend]]+Ruimtestaat[[#This Row],[Prest. (m2 /jaar) werkdagen]]</f>
        <v>12000</v>
      </c>
      <c r="AG1159" s="79">
        <f>Ruimtestaat[[#This Row],[uren / jaar weekend]]+Ruimtestaat[[#This Row],[uren / jaar werkdagen]]</f>
        <v>0</v>
      </c>
      <c r="AH1159" s="80">
        <f>Ruimtestaat[[#This Row],[kosten / jaar weekend]]+Ruimtestaat[[#This Row],[kosten / jaar werkdagen]]</f>
        <v>0</v>
      </c>
    </row>
    <row r="1160" spans="1:34" ht="15" customHeight="1">
      <c r="A1160" s="256">
        <v>12</v>
      </c>
      <c r="B1160" s="171" t="str">
        <f>VLOOKUP(Ruimtestaat[[#This Row],[Code]],Locaties[#All],2,FALSE)</f>
        <v>Onderwijscentrum Het Roessingh &amp; De Huifkar</v>
      </c>
      <c r="C1160" s="258" t="str">
        <f>VLOOKUP(Ruimtestaat[[#This Row],[Code]],Locaties[#All],4,FALSE)</f>
        <v>Roessinghsbleekweg 35</v>
      </c>
      <c r="D1160" s="258" t="str">
        <f>VLOOKUP(Ruimtestaat[[#This Row],[Code]],Locaties[#All],5,FALSE)</f>
        <v>7522 AH</v>
      </c>
      <c r="E1160" s="258" t="str">
        <f>VLOOKUP(Ruimtestaat[[#This Row],[Code]],Locaties[#All],6,FALSE)</f>
        <v>Enschede</v>
      </c>
      <c r="F1160" s="257"/>
      <c r="G1160" s="257" t="s">
        <v>857</v>
      </c>
      <c r="H1160" s="171"/>
      <c r="I1160" s="257">
        <v>2189</v>
      </c>
      <c r="J1160" s="259" t="s">
        <v>977</v>
      </c>
      <c r="K1160" s="171">
        <v>9</v>
      </c>
      <c r="L1160" s="260" t="str">
        <f>VLOOKUP(Ruimtestaat[[#This Row],[Ruimte code]],Ruimtegroepen[#All],2,FALSE)</f>
        <v>Time-out ruimte</v>
      </c>
      <c r="M1160" s="258" t="s">
        <v>598</v>
      </c>
      <c r="N1160" s="257" t="s">
        <v>132</v>
      </c>
      <c r="O1160" s="261">
        <v>14</v>
      </c>
      <c r="P1160" s="183"/>
      <c r="Q1160" s="212" t="str">
        <f>VLOOKUP(Ruimtestaat[[#This Row],[Ruimte code]],Ruimtegroepen[#All],4,FALSE)</f>
        <v>V  (Verkeersruimte)</v>
      </c>
      <c r="R1160" s="184"/>
      <c r="S1160" s="185">
        <v>40</v>
      </c>
      <c r="T1160" s="185" t="s">
        <v>18</v>
      </c>
      <c r="U1160" s="185">
        <f>IF(S1160&gt;0,IF(RIGHT(Ruimtestaat[[#This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60" s="185">
        <f>IF(U1160&gt;0,VLOOKUP($K1160,Ruimtegroepen[],3,FALSE)*VLOOKUP($M1160,Vloersoorten[],3,FALSE)*VLOOKUP($T1160,Frequenties[],3,FALSE)*VLOOKUP($A1160,Locaties[],3,FALSE),0)</f>
        <v>0</v>
      </c>
      <c r="W1160" s="185">
        <f>Ruimtestaat[[#This Row],[Uitvoeringen werkdagen]]*Ruimtestaat[[#This Row],[Oppervlak (netto)]]</f>
        <v>1680</v>
      </c>
      <c r="X1160" s="220">
        <f>IF(V1160&gt;0,Ruimtestaat[[#This Row],[Prest. (m2 /jaar) werkdagen]]/Ruimtestaat[[#This Row],[Norm (m2/uur) werkdagen]],0)</f>
        <v>0</v>
      </c>
      <c r="Y1160" s="221">
        <f>Ruimtestaat[[#This Row],[uren / jaar werkdagen]]*Tariefsopbouw!$D$38</f>
        <v>0</v>
      </c>
      <c r="Z1160" s="33"/>
      <c r="AA1160" s="33">
        <f>IF(Ruimtestaat[[#This Row],[Frequentie weekend]]&gt;0,VALUE(LEFT(Z1160,1))*S1160,0)</f>
        <v>0</v>
      </c>
      <c r="AB1160" s="33">
        <f>IF($AA1160&gt;0,VLOOKUP($K1160,Ruimtegroepen[],3,FALSE)*VLOOKUP($M1160,Vloersoorten[],3,FALSE)*VLOOKUP($Z1160,Frequenties[],3,FALSE)*VLOOKUP(#REF!,Locaties[],3,FALSE),0)</f>
        <v>0</v>
      </c>
      <c r="AC1160" s="33"/>
      <c r="AD1160" s="33"/>
      <c r="AE1160" s="33">
        <f>Ruimtestaat[[#This Row],[uren / jaar weekend]]*Tariefsopbouw!$D$40</f>
        <v>0</v>
      </c>
      <c r="AF1160" s="79">
        <f>Ruimtestaat[[#This Row],[Prest. (m2 /jaar) weekend]]+Ruimtestaat[[#This Row],[Prest. (m2 /jaar) werkdagen]]</f>
        <v>1680</v>
      </c>
      <c r="AG1160" s="79">
        <f>Ruimtestaat[[#This Row],[uren / jaar weekend]]+Ruimtestaat[[#This Row],[uren / jaar werkdagen]]</f>
        <v>0</v>
      </c>
      <c r="AH1160" s="80">
        <f>Ruimtestaat[[#This Row],[kosten / jaar weekend]]+Ruimtestaat[[#This Row],[kosten / jaar werkdagen]]</f>
        <v>0</v>
      </c>
    </row>
    <row r="1161" spans="1:34" ht="15" customHeight="1">
      <c r="A1161" s="256">
        <v>12</v>
      </c>
      <c r="B1161" s="171" t="str">
        <f>VLOOKUP(Ruimtestaat[[#This Row],[Code]],Locaties[#All],2,FALSE)</f>
        <v>Onderwijscentrum Het Roessingh &amp; De Huifkar</v>
      </c>
      <c r="C1161" s="258" t="str">
        <f>VLOOKUP(Ruimtestaat[[#This Row],[Code]],Locaties[#All],4,FALSE)</f>
        <v>Roessinghsbleekweg 35</v>
      </c>
      <c r="D1161" s="258" t="str">
        <f>VLOOKUP(Ruimtestaat[[#This Row],[Code]],Locaties[#All],5,FALSE)</f>
        <v>7522 AH</v>
      </c>
      <c r="E1161" s="258" t="str">
        <f>VLOOKUP(Ruimtestaat[[#This Row],[Code]],Locaties[#All],6,FALSE)</f>
        <v>Enschede</v>
      </c>
      <c r="F1161" s="257"/>
      <c r="G1161" s="257" t="s">
        <v>857</v>
      </c>
      <c r="H1161" s="171"/>
      <c r="I1161" s="257">
        <v>2190</v>
      </c>
      <c r="J1161" s="259" t="s">
        <v>770</v>
      </c>
      <c r="K1161" s="171">
        <v>5</v>
      </c>
      <c r="L1161" s="260" t="str">
        <f>VLOOKUP(Ruimtestaat[[#This Row],[Ruimte code]],Ruimtegroepen[#All],2,FALSE)</f>
        <v>Sanitair</v>
      </c>
      <c r="M1161" s="212" t="s">
        <v>111</v>
      </c>
      <c r="N1161" s="257" t="s">
        <v>606</v>
      </c>
      <c r="O1161" s="261">
        <v>14</v>
      </c>
      <c r="P1161" s="183"/>
      <c r="Q1161" s="212" t="str">
        <f>VLOOKUP(Ruimtestaat[[#This Row],[Ruimte code]],Ruimtegroepen[#All],4,FALSE)</f>
        <v>S  (Sanitair)</v>
      </c>
      <c r="R1161" s="184"/>
      <c r="S1161" s="185">
        <v>40</v>
      </c>
      <c r="T1161" s="185" t="s">
        <v>2</v>
      </c>
      <c r="U1161" s="185">
        <f>IF(S1161&gt;0,IF(RIGHT(Ruimtestaat[[#This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1" s="185">
        <f>IF(U1161&gt;0,VLOOKUP($K1161,Ruimtegroepen[],3,FALSE)*VLOOKUP($M1161,Vloersoorten[],3,FALSE)*VLOOKUP($T1161,Frequenties[],3,FALSE)*VLOOKUP($A1161,Locaties[],3,FALSE),0)</f>
        <v>0</v>
      </c>
      <c r="W1161" s="185">
        <f>Ruimtestaat[[#This Row],[Uitvoeringen werkdagen]]*Ruimtestaat[[#This Row],[Oppervlak (netto)]]</f>
        <v>2800</v>
      </c>
      <c r="X1161" s="220">
        <f>IF(V1161&gt;0,Ruimtestaat[[#This Row],[Prest. (m2 /jaar) werkdagen]]/Ruimtestaat[[#This Row],[Norm (m2/uur) werkdagen]],0)</f>
        <v>0</v>
      </c>
      <c r="Y1161" s="221">
        <f>Ruimtestaat[[#This Row],[uren / jaar werkdagen]]*Tariefsopbouw!$D$38</f>
        <v>0</v>
      </c>
      <c r="Z1161" s="33"/>
      <c r="AA1161" s="33">
        <f>IF(Ruimtestaat[[#This Row],[Frequentie weekend]]&gt;0,VALUE(LEFT(Z1161,1))*S1161,0)</f>
        <v>0</v>
      </c>
      <c r="AB1161" s="33">
        <f>IF($AA1161&gt;0,VLOOKUP($K1161,Ruimtegroepen[],3,FALSE)*VLOOKUP($M1161,Vloersoorten[],3,FALSE)*VLOOKUP($Z1161,Frequenties[],3,FALSE)*VLOOKUP(#REF!,Locaties[],3,FALSE),0)</f>
        <v>0</v>
      </c>
      <c r="AC1161" s="33"/>
      <c r="AD1161" s="33"/>
      <c r="AE1161" s="33">
        <f>Ruimtestaat[[#This Row],[uren / jaar weekend]]*Tariefsopbouw!$D$40</f>
        <v>0</v>
      </c>
      <c r="AF1161" s="79">
        <f>Ruimtestaat[[#This Row],[Prest. (m2 /jaar) weekend]]+Ruimtestaat[[#This Row],[Prest. (m2 /jaar) werkdagen]]</f>
        <v>2800</v>
      </c>
      <c r="AG1161" s="79">
        <f>Ruimtestaat[[#This Row],[uren / jaar weekend]]+Ruimtestaat[[#This Row],[uren / jaar werkdagen]]</f>
        <v>0</v>
      </c>
      <c r="AH1161" s="80">
        <f>Ruimtestaat[[#This Row],[kosten / jaar weekend]]+Ruimtestaat[[#This Row],[kosten / jaar werkdagen]]</f>
        <v>0</v>
      </c>
    </row>
    <row r="1162" spans="1:34" ht="15" customHeight="1">
      <c r="A1162" s="256">
        <v>12</v>
      </c>
      <c r="B1162" s="171" t="str">
        <f>VLOOKUP(Ruimtestaat[[#This Row],[Code]],Locaties[#All],2,FALSE)</f>
        <v>Onderwijscentrum Het Roessingh &amp; De Huifkar</v>
      </c>
      <c r="C1162" s="258" t="str">
        <f>VLOOKUP(Ruimtestaat[[#This Row],[Code]],Locaties[#All],4,FALSE)</f>
        <v>Roessinghsbleekweg 35</v>
      </c>
      <c r="D1162" s="258" t="str">
        <f>VLOOKUP(Ruimtestaat[[#This Row],[Code]],Locaties[#All],5,FALSE)</f>
        <v>7522 AH</v>
      </c>
      <c r="E1162" s="258" t="str">
        <f>VLOOKUP(Ruimtestaat[[#This Row],[Code]],Locaties[#All],6,FALSE)</f>
        <v>Enschede</v>
      </c>
      <c r="F1162" s="257"/>
      <c r="G1162" s="257" t="s">
        <v>857</v>
      </c>
      <c r="H1162" s="171"/>
      <c r="I1162" s="257">
        <v>2191</v>
      </c>
      <c r="J1162" s="259" t="s">
        <v>569</v>
      </c>
      <c r="K1162" s="258">
        <v>5</v>
      </c>
      <c r="L1162" s="260" t="str">
        <f>VLOOKUP(Ruimtestaat[[#This Row],[Ruimte code]],Ruimtegroepen[#All],2,FALSE)</f>
        <v>Sanitair</v>
      </c>
      <c r="M1162" s="212" t="s">
        <v>111</v>
      </c>
      <c r="N1162" s="257" t="s">
        <v>606</v>
      </c>
      <c r="O1162" s="261">
        <v>1.8</v>
      </c>
      <c r="P1162" s="183"/>
      <c r="Q1162" s="212" t="str">
        <f>VLOOKUP(Ruimtestaat[[#This Row],[Ruimte code]],Ruimtegroepen[#All],4,FALSE)</f>
        <v>S  (Sanitair)</v>
      </c>
      <c r="R1162" s="184"/>
      <c r="S1162" s="185">
        <v>40</v>
      </c>
      <c r="T1162" s="185" t="s">
        <v>2</v>
      </c>
      <c r="U1162" s="185">
        <f>IF(S1162&gt;0,IF(RIGHT(Ruimtestaat[[#This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2" s="185">
        <f>IF(U1162&gt;0,VLOOKUP($K1162,Ruimtegroepen[],3,FALSE)*VLOOKUP($M1162,Vloersoorten[],3,FALSE)*VLOOKUP($T1162,Frequenties[],3,FALSE)*VLOOKUP($A1162,Locaties[],3,FALSE),0)</f>
        <v>0</v>
      </c>
      <c r="W1162" s="185">
        <f>Ruimtestaat[[#This Row],[Uitvoeringen werkdagen]]*Ruimtestaat[[#This Row],[Oppervlak (netto)]]</f>
        <v>360</v>
      </c>
      <c r="X1162" s="220">
        <f>IF(V1162&gt;0,Ruimtestaat[[#This Row],[Prest. (m2 /jaar) werkdagen]]/Ruimtestaat[[#This Row],[Norm (m2/uur) werkdagen]],0)</f>
        <v>0</v>
      </c>
      <c r="Y1162" s="221">
        <f>Ruimtestaat[[#This Row],[uren / jaar werkdagen]]*Tariefsopbouw!$D$38</f>
        <v>0</v>
      </c>
      <c r="Z1162" s="33"/>
      <c r="AA1162" s="33">
        <f>IF(Ruimtestaat[[#This Row],[Frequentie weekend]]&gt;0,VALUE(LEFT(Z1162,1))*S1162,0)</f>
        <v>0</v>
      </c>
      <c r="AB1162" s="33">
        <f>IF($AA1162&gt;0,VLOOKUP($K1162,Ruimtegroepen[],3,FALSE)*VLOOKUP($M1162,Vloersoorten[],3,FALSE)*VLOOKUP($Z1162,Frequenties[],3,FALSE)*VLOOKUP(#REF!,Locaties[],3,FALSE),0)</f>
        <v>0</v>
      </c>
      <c r="AC1162" s="33"/>
      <c r="AD1162" s="33"/>
      <c r="AE1162" s="33">
        <f>Ruimtestaat[[#This Row],[uren / jaar weekend]]*Tariefsopbouw!$D$40</f>
        <v>0</v>
      </c>
      <c r="AF1162" s="79">
        <f>Ruimtestaat[[#This Row],[Prest. (m2 /jaar) weekend]]+Ruimtestaat[[#This Row],[Prest. (m2 /jaar) werkdagen]]</f>
        <v>360</v>
      </c>
      <c r="AG1162" s="79">
        <f>Ruimtestaat[[#This Row],[uren / jaar weekend]]+Ruimtestaat[[#This Row],[uren / jaar werkdagen]]</f>
        <v>0</v>
      </c>
      <c r="AH1162" s="80">
        <f>Ruimtestaat[[#This Row],[kosten / jaar weekend]]+Ruimtestaat[[#This Row],[kosten / jaar werkdagen]]</f>
        <v>0</v>
      </c>
    </row>
    <row r="1163" spans="1:34" ht="15" customHeight="1">
      <c r="A1163" s="256">
        <v>12</v>
      </c>
      <c r="B1163" s="171" t="str">
        <f>VLOOKUP(Ruimtestaat[[#This Row],[Code]],Locaties[#All],2,FALSE)</f>
        <v>Onderwijscentrum Het Roessingh &amp; De Huifkar</v>
      </c>
      <c r="C1163" s="258" t="str">
        <f>VLOOKUP(Ruimtestaat[[#This Row],[Code]],Locaties[#All],4,FALSE)</f>
        <v>Roessinghsbleekweg 35</v>
      </c>
      <c r="D1163" s="258" t="str">
        <f>VLOOKUP(Ruimtestaat[[#This Row],[Code]],Locaties[#All],5,FALSE)</f>
        <v>7522 AH</v>
      </c>
      <c r="E1163" s="258" t="str">
        <f>VLOOKUP(Ruimtestaat[[#This Row],[Code]],Locaties[#All],6,FALSE)</f>
        <v>Enschede</v>
      </c>
      <c r="F1163" s="257"/>
      <c r="G1163" s="257" t="s">
        <v>857</v>
      </c>
      <c r="H1163" s="171"/>
      <c r="I1163" s="257">
        <v>2192</v>
      </c>
      <c r="J1163" s="259" t="s">
        <v>569</v>
      </c>
      <c r="K1163" s="171">
        <v>5</v>
      </c>
      <c r="L1163" s="260" t="str">
        <f>VLOOKUP(Ruimtestaat[[#This Row],[Ruimte code]],Ruimtegroepen[#All],2,FALSE)</f>
        <v>Sanitair</v>
      </c>
      <c r="M1163" s="212" t="s">
        <v>111</v>
      </c>
      <c r="N1163" s="257" t="s">
        <v>606</v>
      </c>
      <c r="O1163" s="261">
        <v>1.8</v>
      </c>
      <c r="P1163" s="183"/>
      <c r="Q1163" s="212" t="str">
        <f>VLOOKUP(Ruimtestaat[[#This Row],[Ruimte code]],Ruimtegroepen[#All],4,FALSE)</f>
        <v>S  (Sanitair)</v>
      </c>
      <c r="R1163" s="184"/>
      <c r="S1163" s="185">
        <v>40</v>
      </c>
      <c r="T1163" s="185" t="s">
        <v>2</v>
      </c>
      <c r="U1163" s="185">
        <f>IF(S1163&gt;0,IF(RIGHT(Ruimtestaat[[#This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3" s="185">
        <f>IF(U1163&gt;0,VLOOKUP($K1163,Ruimtegroepen[],3,FALSE)*VLOOKUP($M1163,Vloersoorten[],3,FALSE)*VLOOKUP($T1163,Frequenties[],3,FALSE)*VLOOKUP($A1163,Locaties[],3,FALSE),0)</f>
        <v>0</v>
      </c>
      <c r="W1163" s="185">
        <f>Ruimtestaat[[#This Row],[Uitvoeringen werkdagen]]*Ruimtestaat[[#This Row],[Oppervlak (netto)]]</f>
        <v>360</v>
      </c>
      <c r="X1163" s="220">
        <f>IF(V1163&gt;0,Ruimtestaat[[#This Row],[Prest. (m2 /jaar) werkdagen]]/Ruimtestaat[[#This Row],[Norm (m2/uur) werkdagen]],0)</f>
        <v>0</v>
      </c>
      <c r="Y1163" s="221">
        <f>Ruimtestaat[[#This Row],[uren / jaar werkdagen]]*Tariefsopbouw!$D$38</f>
        <v>0</v>
      </c>
      <c r="Z1163" s="33"/>
      <c r="AA1163" s="33">
        <f>IF(Ruimtestaat[[#This Row],[Frequentie weekend]]&gt;0,VALUE(LEFT(Z1163,1))*S1163,0)</f>
        <v>0</v>
      </c>
      <c r="AB1163" s="33">
        <f>IF($AA1163&gt;0,VLOOKUP($K1163,Ruimtegroepen[],3,FALSE)*VLOOKUP($M1163,Vloersoorten[],3,FALSE)*VLOOKUP($Z1163,Frequenties[],3,FALSE)*VLOOKUP(#REF!,Locaties[],3,FALSE),0)</f>
        <v>0</v>
      </c>
      <c r="AC1163" s="33"/>
      <c r="AD1163" s="33"/>
      <c r="AE1163" s="33">
        <f>Ruimtestaat[[#This Row],[uren / jaar weekend]]*Tariefsopbouw!$D$40</f>
        <v>0</v>
      </c>
      <c r="AF1163" s="79">
        <f>Ruimtestaat[[#This Row],[Prest. (m2 /jaar) weekend]]+Ruimtestaat[[#This Row],[Prest. (m2 /jaar) werkdagen]]</f>
        <v>360</v>
      </c>
      <c r="AG1163" s="79">
        <f>Ruimtestaat[[#This Row],[uren / jaar weekend]]+Ruimtestaat[[#This Row],[uren / jaar werkdagen]]</f>
        <v>0</v>
      </c>
      <c r="AH1163" s="80">
        <f>Ruimtestaat[[#This Row],[kosten / jaar weekend]]+Ruimtestaat[[#This Row],[kosten / jaar werkdagen]]</f>
        <v>0</v>
      </c>
    </row>
    <row r="1164" spans="1:34" ht="15" customHeight="1">
      <c r="A1164" s="256">
        <v>12</v>
      </c>
      <c r="B1164" s="171" t="str">
        <f>VLOOKUP(Ruimtestaat[[#This Row],[Code]],Locaties[#All],2,FALSE)</f>
        <v>Onderwijscentrum Het Roessingh &amp; De Huifkar</v>
      </c>
      <c r="C1164" s="258" t="str">
        <f>VLOOKUP(Ruimtestaat[[#This Row],[Code]],Locaties[#All],4,FALSE)</f>
        <v>Roessinghsbleekweg 35</v>
      </c>
      <c r="D1164" s="258" t="str">
        <f>VLOOKUP(Ruimtestaat[[#This Row],[Code]],Locaties[#All],5,FALSE)</f>
        <v>7522 AH</v>
      </c>
      <c r="E1164" s="258" t="str">
        <f>VLOOKUP(Ruimtestaat[[#This Row],[Code]],Locaties[#All],6,FALSE)</f>
        <v>Enschede</v>
      </c>
      <c r="F1164" s="257"/>
      <c r="G1164" s="257" t="s">
        <v>857</v>
      </c>
      <c r="H1164" s="171"/>
      <c r="I1164" s="257">
        <v>2193</v>
      </c>
      <c r="J1164" s="259" t="s">
        <v>576</v>
      </c>
      <c r="K1164" s="258">
        <v>16</v>
      </c>
      <c r="L1164" s="260" t="str">
        <f>VLOOKUP(Ruimtestaat[[#This Row],[Ruimte code]],Ruimtegroepen[#All],2,FALSE)</f>
        <v>Leslokalen</v>
      </c>
      <c r="M1164" s="185" t="s">
        <v>598</v>
      </c>
      <c r="N1164" s="257" t="s">
        <v>132</v>
      </c>
      <c r="O1164" s="261">
        <v>64</v>
      </c>
      <c r="P1164" s="183"/>
      <c r="Q1164" s="212" t="str">
        <f>VLOOKUP(Ruimtestaat[[#This Row],[Ruimte code]],Ruimtegroepen[#All],4,FALSE)</f>
        <v>L  (Lesruimte)</v>
      </c>
      <c r="R1164" s="184"/>
      <c r="S1164" s="185">
        <v>40</v>
      </c>
      <c r="T1164" s="185" t="s">
        <v>2</v>
      </c>
      <c r="U1164" s="185">
        <f>IF(S1164&gt;0,IF(RIGHT(Ruimtestaat[[#This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4" s="185">
        <f>IF(U1164&gt;0,VLOOKUP($K1164,Ruimtegroepen[],3,FALSE)*VLOOKUP($M1164,Vloersoorten[],3,FALSE)*VLOOKUP($T1164,Frequenties[],3,FALSE)*VLOOKUP($A1164,Locaties[],3,FALSE),0)</f>
        <v>0</v>
      </c>
      <c r="W1164" s="185">
        <f>Ruimtestaat[[#This Row],[Uitvoeringen werkdagen]]*Ruimtestaat[[#This Row],[Oppervlak (netto)]]</f>
        <v>12800</v>
      </c>
      <c r="X1164" s="220">
        <f>IF(V1164&gt;0,Ruimtestaat[[#This Row],[Prest. (m2 /jaar) werkdagen]]/Ruimtestaat[[#This Row],[Norm (m2/uur) werkdagen]],0)</f>
        <v>0</v>
      </c>
      <c r="Y1164" s="221">
        <f>Ruimtestaat[[#This Row],[uren / jaar werkdagen]]*Tariefsopbouw!$D$38</f>
        <v>0</v>
      </c>
      <c r="Z1164" s="33"/>
      <c r="AA1164" s="33">
        <f>IF(Ruimtestaat[[#This Row],[Frequentie weekend]]&gt;0,VALUE(LEFT(Z1164,1))*S1164,0)</f>
        <v>0</v>
      </c>
      <c r="AB1164" s="33">
        <f>IF($AA1164&gt;0,VLOOKUP($K1164,Ruimtegroepen[],3,FALSE)*VLOOKUP($M1164,Vloersoorten[],3,FALSE)*VLOOKUP($Z1164,Frequenties[],3,FALSE)*VLOOKUP(#REF!,Locaties[],3,FALSE),0)</f>
        <v>0</v>
      </c>
      <c r="AC1164" s="33"/>
      <c r="AD1164" s="33"/>
      <c r="AE1164" s="33">
        <f>Ruimtestaat[[#This Row],[uren / jaar weekend]]*Tariefsopbouw!$D$40</f>
        <v>0</v>
      </c>
      <c r="AF1164" s="79">
        <f>Ruimtestaat[[#This Row],[Prest. (m2 /jaar) weekend]]+Ruimtestaat[[#This Row],[Prest. (m2 /jaar) werkdagen]]</f>
        <v>12800</v>
      </c>
      <c r="AG1164" s="79">
        <f>Ruimtestaat[[#This Row],[uren / jaar weekend]]+Ruimtestaat[[#This Row],[uren / jaar werkdagen]]</f>
        <v>0</v>
      </c>
      <c r="AH1164" s="80">
        <f>Ruimtestaat[[#This Row],[kosten / jaar weekend]]+Ruimtestaat[[#This Row],[kosten / jaar werkdagen]]</f>
        <v>0</v>
      </c>
    </row>
    <row r="1165" spans="1:34" ht="15" customHeight="1">
      <c r="A1165" s="256">
        <v>12</v>
      </c>
      <c r="B1165" s="171" t="str">
        <f>VLOOKUP(Ruimtestaat[[#This Row],[Code]],Locaties[#All],2,FALSE)</f>
        <v>Onderwijscentrum Het Roessingh &amp; De Huifkar</v>
      </c>
      <c r="C1165" s="258" t="str">
        <f>VLOOKUP(Ruimtestaat[[#This Row],[Code]],Locaties[#All],4,FALSE)</f>
        <v>Roessinghsbleekweg 35</v>
      </c>
      <c r="D1165" s="258" t="str">
        <f>VLOOKUP(Ruimtestaat[[#This Row],[Code]],Locaties[#All],5,FALSE)</f>
        <v>7522 AH</v>
      </c>
      <c r="E1165" s="258" t="str">
        <f>VLOOKUP(Ruimtestaat[[#This Row],[Code]],Locaties[#All],6,FALSE)</f>
        <v>Enschede</v>
      </c>
      <c r="F1165" s="257"/>
      <c r="G1165" s="257" t="s">
        <v>857</v>
      </c>
      <c r="H1165" s="171"/>
      <c r="I1165" s="257">
        <v>2194</v>
      </c>
      <c r="J1165" s="259" t="s">
        <v>1061</v>
      </c>
      <c r="K1165" s="171">
        <v>14</v>
      </c>
      <c r="L1165" s="260" t="str">
        <f>VLOOKUP(Ruimtestaat[[#This Row],[Ruimte code]],Ruimtegroepen[#All],2,FALSE)</f>
        <v>Praktijklokalen</v>
      </c>
      <c r="M1165" s="185" t="s">
        <v>598</v>
      </c>
      <c r="N1165" s="257" t="s">
        <v>132</v>
      </c>
      <c r="O1165" s="261">
        <v>64</v>
      </c>
      <c r="P1165" s="183"/>
      <c r="Q1165" s="212" t="str">
        <f>VLOOKUP(Ruimtestaat[[#This Row],[Ruimte code]],Ruimtegroepen[#All],4,FALSE)</f>
        <v>L  (Lesruimte)</v>
      </c>
      <c r="R1165" s="184"/>
      <c r="S1165" s="185">
        <v>40</v>
      </c>
      <c r="T1165" s="185" t="s">
        <v>2</v>
      </c>
      <c r="U1165" s="185">
        <f>IF(S1165&gt;0,IF(RIGHT(Ruimtestaat[[#This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5" s="185">
        <f>IF(U1165&gt;0,VLOOKUP($K1165,Ruimtegroepen[],3,FALSE)*VLOOKUP($M1165,Vloersoorten[],3,FALSE)*VLOOKUP($T1165,Frequenties[],3,FALSE)*VLOOKUP($A1165,Locaties[],3,FALSE),0)</f>
        <v>0</v>
      </c>
      <c r="W1165" s="185">
        <f>Ruimtestaat[[#This Row],[Uitvoeringen werkdagen]]*Ruimtestaat[[#This Row],[Oppervlak (netto)]]</f>
        <v>12800</v>
      </c>
      <c r="X1165" s="220">
        <f>IF(V1165&gt;0,Ruimtestaat[[#This Row],[Prest. (m2 /jaar) werkdagen]]/Ruimtestaat[[#This Row],[Norm (m2/uur) werkdagen]],0)</f>
        <v>0</v>
      </c>
      <c r="Y1165" s="221">
        <f>Ruimtestaat[[#This Row],[uren / jaar werkdagen]]*Tariefsopbouw!$D$38</f>
        <v>0</v>
      </c>
      <c r="Z1165" s="33"/>
      <c r="AA1165" s="33">
        <f>IF(Ruimtestaat[[#This Row],[Frequentie weekend]]&gt;0,VALUE(LEFT(Z1165,1))*S1165,0)</f>
        <v>0</v>
      </c>
      <c r="AB1165" s="33">
        <f>IF($AA1165&gt;0,VLOOKUP($K1165,Ruimtegroepen[],3,FALSE)*VLOOKUP($M1165,Vloersoorten[],3,FALSE)*VLOOKUP($Z1165,Frequenties[],3,FALSE)*VLOOKUP(#REF!,Locaties[],3,FALSE),0)</f>
        <v>0</v>
      </c>
      <c r="AC1165" s="33"/>
      <c r="AD1165" s="33"/>
      <c r="AE1165" s="33">
        <f>Ruimtestaat[[#This Row],[uren / jaar weekend]]*Tariefsopbouw!$D$40</f>
        <v>0</v>
      </c>
      <c r="AF1165" s="79">
        <f>Ruimtestaat[[#This Row],[Prest. (m2 /jaar) weekend]]+Ruimtestaat[[#This Row],[Prest. (m2 /jaar) werkdagen]]</f>
        <v>12800</v>
      </c>
      <c r="AG1165" s="79">
        <f>Ruimtestaat[[#This Row],[uren / jaar weekend]]+Ruimtestaat[[#This Row],[uren / jaar werkdagen]]</f>
        <v>0</v>
      </c>
      <c r="AH1165" s="80">
        <f>Ruimtestaat[[#This Row],[kosten / jaar weekend]]+Ruimtestaat[[#This Row],[kosten / jaar werkdagen]]</f>
        <v>0</v>
      </c>
    </row>
    <row r="1166" spans="1:34" ht="15" customHeight="1">
      <c r="A1166" s="256">
        <v>12</v>
      </c>
      <c r="B1166" s="171" t="str">
        <f>VLOOKUP(Ruimtestaat[[#This Row],[Code]],Locaties[#All],2,FALSE)</f>
        <v>Onderwijscentrum Het Roessingh &amp; De Huifkar</v>
      </c>
      <c r="C1166" s="258" t="str">
        <f>VLOOKUP(Ruimtestaat[[#This Row],[Code]],Locaties[#All],4,FALSE)</f>
        <v>Roessinghsbleekweg 35</v>
      </c>
      <c r="D1166" s="258" t="str">
        <f>VLOOKUP(Ruimtestaat[[#This Row],[Code]],Locaties[#All],5,FALSE)</f>
        <v>7522 AH</v>
      </c>
      <c r="E1166" s="258" t="str">
        <f>VLOOKUP(Ruimtestaat[[#This Row],[Code]],Locaties[#All],6,FALSE)</f>
        <v>Enschede</v>
      </c>
      <c r="F1166" s="257"/>
      <c r="G1166" s="257" t="s">
        <v>857</v>
      </c>
      <c r="H1166" s="171"/>
      <c r="I1166" s="257" t="s">
        <v>1062</v>
      </c>
      <c r="J1166" s="259" t="s">
        <v>423</v>
      </c>
      <c r="K1166" s="224">
        <v>20</v>
      </c>
      <c r="L1166" s="260" t="str">
        <f>VLOOKUP(Ruimtestaat[[#This Row],[Ruimte code]],Ruimtegroepen[#All],2,FALSE)</f>
        <v>Niet in onderhoud</v>
      </c>
      <c r="M1166" s="212" t="s">
        <v>112</v>
      </c>
      <c r="N1166" s="257" t="s">
        <v>776</v>
      </c>
      <c r="O1166" s="261"/>
      <c r="P1166" s="183">
        <v>10</v>
      </c>
      <c r="Q1166" s="212" t="str">
        <f>VLOOKUP(Ruimtestaat[[#This Row],[Ruimte code]],Ruimtegroepen[#All],4,FALSE)</f>
        <v>niet in onderhoud</v>
      </c>
      <c r="R1166" s="184"/>
      <c r="S1166" s="185"/>
      <c r="T1166" s="185"/>
      <c r="U1166" s="185">
        <f>IF(S1166&gt;0,IF(RIGHT(Ruimtestaat[[#This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66" s="185">
        <f>IF(U1166&gt;0,VLOOKUP($K1166,Ruimtegroepen[],3,FALSE)*VLOOKUP($M1166,Vloersoorten[],3,FALSE)*VLOOKUP($T1166,Frequenties[],3,FALSE)*VLOOKUP($A1166,Locaties[],3,FALSE),0)</f>
        <v>0</v>
      </c>
      <c r="W1166" s="185">
        <f>Ruimtestaat[[#This Row],[Uitvoeringen werkdagen]]*Ruimtestaat[[#This Row],[Oppervlak (netto)]]</f>
        <v>0</v>
      </c>
      <c r="X1166" s="220">
        <f>IF(V1166&gt;0,Ruimtestaat[[#This Row],[Prest. (m2 /jaar) werkdagen]]/Ruimtestaat[[#This Row],[Norm (m2/uur) werkdagen]],0)</f>
        <v>0</v>
      </c>
      <c r="Y1166" s="221">
        <f>Ruimtestaat[[#This Row],[uren / jaar werkdagen]]*Tariefsopbouw!$D$38</f>
        <v>0</v>
      </c>
      <c r="Z1166" s="33"/>
      <c r="AA1166" s="33">
        <f>IF(Ruimtestaat[[#This Row],[Frequentie weekend]]&gt;0,VALUE(LEFT(Z1166,1))*S1166,0)</f>
        <v>0</v>
      </c>
      <c r="AB1166" s="33">
        <f>IF($AA1166&gt;0,VLOOKUP($K1166,Ruimtegroepen[],3,FALSE)*VLOOKUP($M1166,Vloersoorten[],3,FALSE)*VLOOKUP($Z1166,Frequenties[],3,FALSE)*VLOOKUP(#REF!,Locaties[],3,FALSE),0)</f>
        <v>0</v>
      </c>
      <c r="AC1166" s="33"/>
      <c r="AD1166" s="33"/>
      <c r="AE1166" s="33">
        <f>Ruimtestaat[[#This Row],[uren / jaar weekend]]*Tariefsopbouw!$D$40</f>
        <v>0</v>
      </c>
      <c r="AF1166" s="79">
        <f>Ruimtestaat[[#This Row],[Prest. (m2 /jaar) weekend]]+Ruimtestaat[[#This Row],[Prest. (m2 /jaar) werkdagen]]</f>
        <v>0</v>
      </c>
      <c r="AG1166" s="79">
        <f>Ruimtestaat[[#This Row],[uren / jaar weekend]]+Ruimtestaat[[#This Row],[uren / jaar werkdagen]]</f>
        <v>0</v>
      </c>
      <c r="AH1166" s="80">
        <f>Ruimtestaat[[#This Row],[kosten / jaar weekend]]+Ruimtestaat[[#This Row],[kosten / jaar werkdagen]]</f>
        <v>0</v>
      </c>
    </row>
    <row r="1167" spans="1:34" ht="15" customHeight="1">
      <c r="A1167" s="256">
        <v>12</v>
      </c>
      <c r="B1167" s="171" t="str">
        <f>VLOOKUP(Ruimtestaat[[#This Row],[Code]],Locaties[#All],2,FALSE)</f>
        <v>Onderwijscentrum Het Roessingh &amp; De Huifkar</v>
      </c>
      <c r="C1167" s="258" t="str">
        <f>VLOOKUP(Ruimtestaat[[#This Row],[Code]],Locaties[#All],4,FALSE)</f>
        <v>Roessinghsbleekweg 35</v>
      </c>
      <c r="D1167" s="258" t="str">
        <f>VLOOKUP(Ruimtestaat[[#This Row],[Code]],Locaties[#All],5,FALSE)</f>
        <v>7522 AH</v>
      </c>
      <c r="E1167" s="258" t="str">
        <f>VLOOKUP(Ruimtestaat[[#This Row],[Code]],Locaties[#All],6,FALSE)</f>
        <v>Enschede</v>
      </c>
      <c r="F1167" s="257"/>
      <c r="G1167" s="257" t="s">
        <v>857</v>
      </c>
      <c r="H1167" s="171"/>
      <c r="I1167" s="257">
        <v>2195</v>
      </c>
      <c r="J1167" s="259" t="s">
        <v>571</v>
      </c>
      <c r="K1167" s="171">
        <v>2</v>
      </c>
      <c r="L1167" s="260" t="str">
        <f>VLOOKUP(Ruimtestaat[[#This Row],[Ruimte code]],Ruimtegroepen[#All],2,FALSE)</f>
        <v>Kantoren</v>
      </c>
      <c r="M1167" s="258" t="s">
        <v>597</v>
      </c>
      <c r="N1167" s="257" t="s">
        <v>38</v>
      </c>
      <c r="O1167" s="261">
        <v>19</v>
      </c>
      <c r="P1167" s="183"/>
      <c r="Q1167" s="212" t="str">
        <f>VLOOKUP(Ruimtestaat[[#This Row],[Ruimte code]],Ruimtegroepen[#All],4,FALSE)</f>
        <v>B  (Bureauruimte)</v>
      </c>
      <c r="R1167" s="184"/>
      <c r="S1167" s="185">
        <v>40</v>
      </c>
      <c r="T1167" s="185" t="s">
        <v>2</v>
      </c>
      <c r="U1167" s="185">
        <f>IF(S1167&gt;0,IF(RIGHT(Ruimtestaat[[#This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7" s="185">
        <f>IF(U1167&gt;0,VLOOKUP($K1167,Ruimtegroepen[],3,FALSE)*VLOOKUP($M1167,Vloersoorten[],3,FALSE)*VLOOKUP($T1167,Frequenties[],3,FALSE)*VLOOKUP($A1167,Locaties[],3,FALSE),0)</f>
        <v>0</v>
      </c>
      <c r="W1167" s="185">
        <f>Ruimtestaat[[#This Row],[Uitvoeringen werkdagen]]*Ruimtestaat[[#This Row],[Oppervlak (netto)]]</f>
        <v>3800</v>
      </c>
      <c r="X1167" s="220">
        <f>IF(V1167&gt;0,Ruimtestaat[[#This Row],[Prest. (m2 /jaar) werkdagen]]/Ruimtestaat[[#This Row],[Norm (m2/uur) werkdagen]],0)</f>
        <v>0</v>
      </c>
      <c r="Y1167" s="221">
        <f>Ruimtestaat[[#This Row],[uren / jaar werkdagen]]*Tariefsopbouw!$D$38</f>
        <v>0</v>
      </c>
      <c r="Z1167" s="33"/>
      <c r="AA1167" s="33">
        <f>IF(Ruimtestaat[[#This Row],[Frequentie weekend]]&gt;0,VALUE(LEFT(Z1167,1))*S1167,0)</f>
        <v>0</v>
      </c>
      <c r="AB1167" s="33">
        <f>IF($AA1167&gt;0,VLOOKUP($K1167,Ruimtegroepen[],3,FALSE)*VLOOKUP($M1167,Vloersoorten[],3,FALSE)*VLOOKUP($Z1167,Frequenties[],3,FALSE)*VLOOKUP(#REF!,Locaties[],3,FALSE),0)</f>
        <v>0</v>
      </c>
      <c r="AC1167" s="33"/>
      <c r="AD1167" s="33"/>
      <c r="AE1167" s="33">
        <f>Ruimtestaat[[#This Row],[uren / jaar weekend]]*Tariefsopbouw!$D$40</f>
        <v>0</v>
      </c>
      <c r="AF1167" s="79">
        <f>Ruimtestaat[[#This Row],[Prest. (m2 /jaar) weekend]]+Ruimtestaat[[#This Row],[Prest. (m2 /jaar) werkdagen]]</f>
        <v>3800</v>
      </c>
      <c r="AG1167" s="79">
        <f>Ruimtestaat[[#This Row],[uren / jaar weekend]]+Ruimtestaat[[#This Row],[uren / jaar werkdagen]]</f>
        <v>0</v>
      </c>
      <c r="AH1167" s="80">
        <f>Ruimtestaat[[#This Row],[kosten / jaar weekend]]+Ruimtestaat[[#This Row],[kosten / jaar werkdagen]]</f>
        <v>0</v>
      </c>
    </row>
    <row r="1168" spans="1:34" ht="15" customHeight="1">
      <c r="A1168" s="256">
        <v>14</v>
      </c>
      <c r="B1168" s="171" t="str">
        <f>VLOOKUP(Ruimtestaat[[#This Row],[Code]],Locaties[#All],2,FALSE)</f>
        <v>De Meander</v>
      </c>
      <c r="C1168" s="258" t="str">
        <f>VLOOKUP(Ruimtestaat[[#This Row],[Code]],Locaties[#All],4,FALSE)</f>
        <v>Oldenzaalsestraat 134</v>
      </c>
      <c r="D1168" s="258" t="str">
        <f>VLOOKUP(Ruimtestaat[[#This Row],[Code]],Locaties[#All],5,FALSE)</f>
        <v>7581 KL</v>
      </c>
      <c r="E1168" s="258" t="str">
        <f>VLOOKUP(Ruimtestaat[[#This Row],[Code]],Locaties[#All],6,FALSE)</f>
        <v>Losser</v>
      </c>
      <c r="F1168" s="257"/>
      <c r="G1168" s="257" t="s">
        <v>563</v>
      </c>
      <c r="H1168" s="171"/>
      <c r="I1168" s="257" t="s">
        <v>488</v>
      </c>
      <c r="J1168" s="259" t="s">
        <v>571</v>
      </c>
      <c r="K1168" s="171">
        <v>2</v>
      </c>
      <c r="L1168" s="260" t="str">
        <f>VLOOKUP(Ruimtestaat[[#This Row],[Ruimte code]],Ruimtegroepen[#All],2,FALSE)</f>
        <v>Kantoren</v>
      </c>
      <c r="M1168" s="185" t="s">
        <v>598</v>
      </c>
      <c r="N1168" s="257" t="s">
        <v>132</v>
      </c>
      <c r="O1168" s="261">
        <v>10</v>
      </c>
      <c r="P1168" s="183"/>
      <c r="Q1168" s="212" t="str">
        <f>VLOOKUP(Ruimtestaat[[#This Row],[Ruimte code]],Ruimtegroepen[#All],4,FALSE)</f>
        <v>B  (Bureauruimte)</v>
      </c>
      <c r="R1168" s="184"/>
      <c r="S1168" s="185">
        <v>40</v>
      </c>
      <c r="T1168" s="185" t="s">
        <v>2</v>
      </c>
      <c r="U1168" s="185">
        <f>IF(S1168&gt;0,IF(RIGHT(Ruimtestaat[[#This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8" s="185">
        <f>IF(U1168&gt;0,VLOOKUP($K1168,Ruimtegroepen[],3,FALSE)*VLOOKUP($M1168,Vloersoorten[],3,FALSE)*VLOOKUP($T1168,Frequenties[],3,FALSE)*VLOOKUP($A1168,Locaties[],3,FALSE),0)</f>
        <v>0</v>
      </c>
      <c r="W1168" s="185">
        <f>Ruimtestaat[[#This Row],[Uitvoeringen werkdagen]]*Ruimtestaat[[#This Row],[Oppervlak (netto)]]</f>
        <v>2000</v>
      </c>
      <c r="X1168" s="220">
        <f>IF(V1168&gt;0,Ruimtestaat[[#This Row],[Prest. (m2 /jaar) werkdagen]]/Ruimtestaat[[#This Row],[Norm (m2/uur) werkdagen]],0)</f>
        <v>0</v>
      </c>
      <c r="Y1168" s="221">
        <f>Ruimtestaat[[#This Row],[uren / jaar werkdagen]]*Tariefsopbouw!$D$38</f>
        <v>0</v>
      </c>
      <c r="Z1168" s="33"/>
      <c r="AA1168" s="33">
        <f>IF(Ruimtestaat[[#This Row],[Frequentie weekend]]&gt;0,VALUE(LEFT(Z1168,1))*S1168,0)</f>
        <v>0</v>
      </c>
      <c r="AB1168" s="33">
        <f>IF($AA1168&gt;0,VLOOKUP($K1168,Ruimtegroepen[],3,FALSE)*VLOOKUP($M1168,Vloersoorten[],3,FALSE)*VLOOKUP($Z1168,Frequenties[],3,FALSE)*VLOOKUP(#REF!,Locaties[],3,FALSE),0)</f>
        <v>0</v>
      </c>
      <c r="AC1168" s="33"/>
      <c r="AD1168" s="33"/>
      <c r="AE1168" s="33">
        <f>Ruimtestaat[[#This Row],[uren / jaar weekend]]*Tariefsopbouw!$D$40</f>
        <v>0</v>
      </c>
      <c r="AF1168" s="79">
        <f>Ruimtestaat[[#This Row],[Prest. (m2 /jaar) weekend]]+Ruimtestaat[[#This Row],[Prest. (m2 /jaar) werkdagen]]</f>
        <v>2000</v>
      </c>
      <c r="AG1168" s="79">
        <f>Ruimtestaat[[#This Row],[uren / jaar weekend]]+Ruimtestaat[[#This Row],[uren / jaar werkdagen]]</f>
        <v>0</v>
      </c>
      <c r="AH1168" s="80">
        <f>Ruimtestaat[[#This Row],[kosten / jaar weekend]]+Ruimtestaat[[#This Row],[kosten / jaar werkdagen]]</f>
        <v>0</v>
      </c>
    </row>
    <row r="1169" spans="1:34" ht="15" customHeight="1">
      <c r="A1169" s="256">
        <v>14</v>
      </c>
      <c r="B1169" s="171" t="str">
        <f>VLOOKUP(Ruimtestaat[[#This Row],[Code]],Locaties[#All],2,FALSE)</f>
        <v>De Meander</v>
      </c>
      <c r="C1169" s="258" t="str">
        <f>VLOOKUP(Ruimtestaat[[#This Row],[Code]],Locaties[#All],4,FALSE)</f>
        <v>Oldenzaalsestraat 134</v>
      </c>
      <c r="D1169" s="258" t="str">
        <f>VLOOKUP(Ruimtestaat[[#This Row],[Code]],Locaties[#All],5,FALSE)</f>
        <v>7581 KL</v>
      </c>
      <c r="E1169" s="258" t="str">
        <f>VLOOKUP(Ruimtestaat[[#This Row],[Code]],Locaties[#All],6,FALSE)</f>
        <v>Losser</v>
      </c>
      <c r="F1169" s="257"/>
      <c r="G1169" s="257" t="s">
        <v>563</v>
      </c>
      <c r="H1169" s="171"/>
      <c r="I1169" s="257" t="s">
        <v>464</v>
      </c>
      <c r="J1169" s="259" t="s">
        <v>583</v>
      </c>
      <c r="K1169" s="171">
        <v>20</v>
      </c>
      <c r="L1169" s="260" t="str">
        <f>VLOOKUP(Ruimtestaat[[#This Row],[Ruimte code]],Ruimtegroepen[#All],2,FALSE)</f>
        <v>Niet in onderhoud</v>
      </c>
      <c r="M1169" s="212" t="s">
        <v>111</v>
      </c>
      <c r="N1169" s="257" t="s">
        <v>605</v>
      </c>
      <c r="O1169" s="261"/>
      <c r="P1169" s="183">
        <v>12</v>
      </c>
      <c r="Q1169" s="212" t="str">
        <f>VLOOKUP(Ruimtestaat[[#This Row],[Ruimte code]],Ruimtegroepen[#All],4,FALSE)</f>
        <v>niet in onderhoud</v>
      </c>
      <c r="R1169" s="184"/>
      <c r="S1169" s="185"/>
      <c r="T1169" s="185"/>
      <c r="U1169" s="185">
        <f>IF(S1169&gt;0,IF(RIGHT(Ruimtestaat[[#This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69" s="185">
        <f>IF(U1169&gt;0,VLOOKUP($K1169,Ruimtegroepen[],3,FALSE)*VLOOKUP($M1169,Vloersoorten[],3,FALSE)*VLOOKUP($T1169,Frequenties[],3,FALSE)*VLOOKUP($A1169,Locaties[],3,FALSE),0)</f>
        <v>0</v>
      </c>
      <c r="W1169" s="185">
        <f>Ruimtestaat[[#This Row],[Uitvoeringen werkdagen]]*Ruimtestaat[[#This Row],[Oppervlak (netto)]]</f>
        <v>0</v>
      </c>
      <c r="X1169" s="220">
        <f>IF(V1169&gt;0,Ruimtestaat[[#This Row],[Prest. (m2 /jaar) werkdagen]]/Ruimtestaat[[#This Row],[Norm (m2/uur) werkdagen]],0)</f>
        <v>0</v>
      </c>
      <c r="Y1169" s="221">
        <f>Ruimtestaat[[#This Row],[uren / jaar werkdagen]]*Tariefsopbouw!$D$38</f>
        <v>0</v>
      </c>
      <c r="Z1169" s="33"/>
      <c r="AA1169" s="33">
        <f>IF(Ruimtestaat[[#This Row],[Frequentie weekend]]&gt;0,VALUE(LEFT(Z1169,1))*S1169,0)</f>
        <v>0</v>
      </c>
      <c r="AB1169" s="33">
        <f>IF($AA1169&gt;0,VLOOKUP($K1169,Ruimtegroepen[],3,FALSE)*VLOOKUP($M1169,Vloersoorten[],3,FALSE)*VLOOKUP($Z1169,Frequenties[],3,FALSE)*VLOOKUP(#REF!,Locaties[],3,FALSE),0)</f>
        <v>0</v>
      </c>
      <c r="AC1169" s="33"/>
      <c r="AD1169" s="33"/>
      <c r="AE1169" s="33">
        <f>Ruimtestaat[[#This Row],[uren / jaar weekend]]*Tariefsopbouw!$D$40</f>
        <v>0</v>
      </c>
      <c r="AF1169" s="79">
        <f>Ruimtestaat[[#This Row],[Prest. (m2 /jaar) weekend]]+Ruimtestaat[[#This Row],[Prest. (m2 /jaar) werkdagen]]</f>
        <v>0</v>
      </c>
      <c r="AG1169" s="79">
        <f>Ruimtestaat[[#This Row],[uren / jaar weekend]]+Ruimtestaat[[#This Row],[uren / jaar werkdagen]]</f>
        <v>0</v>
      </c>
      <c r="AH1169" s="80">
        <f>Ruimtestaat[[#This Row],[kosten / jaar weekend]]+Ruimtestaat[[#This Row],[kosten / jaar werkdagen]]</f>
        <v>0</v>
      </c>
    </row>
    <row r="1170" spans="1:34" ht="15" customHeight="1">
      <c r="A1170" s="256">
        <v>14</v>
      </c>
      <c r="B1170" s="171" t="str">
        <f>VLOOKUP(Ruimtestaat[[#This Row],[Code]],Locaties[#All],2,FALSE)</f>
        <v>De Meander</v>
      </c>
      <c r="C1170" s="258" t="str">
        <f>VLOOKUP(Ruimtestaat[[#This Row],[Code]],Locaties[#All],4,FALSE)</f>
        <v>Oldenzaalsestraat 134</v>
      </c>
      <c r="D1170" s="258" t="str">
        <f>VLOOKUP(Ruimtestaat[[#This Row],[Code]],Locaties[#All],5,FALSE)</f>
        <v>7581 KL</v>
      </c>
      <c r="E1170" s="258" t="str">
        <f>VLOOKUP(Ruimtestaat[[#This Row],[Code]],Locaties[#All],6,FALSE)</f>
        <v>Losser</v>
      </c>
      <c r="F1170" s="257"/>
      <c r="G1170" s="257" t="s">
        <v>563</v>
      </c>
      <c r="H1170" s="171"/>
      <c r="I1170" s="257" t="s">
        <v>471</v>
      </c>
      <c r="J1170" s="259" t="s">
        <v>591</v>
      </c>
      <c r="K1170" s="258">
        <v>16</v>
      </c>
      <c r="L1170" s="260" t="str">
        <f>VLOOKUP(Ruimtestaat[[#This Row],[Ruimte code]],Ruimtegroepen[#All],2,FALSE)</f>
        <v>Leslokalen</v>
      </c>
      <c r="M1170" s="258" t="s">
        <v>598</v>
      </c>
      <c r="N1170" s="257" t="s">
        <v>132</v>
      </c>
      <c r="O1170" s="261">
        <v>59</v>
      </c>
      <c r="P1170" s="183"/>
      <c r="Q1170" s="212" t="str">
        <f>VLOOKUP(Ruimtestaat[[#This Row],[Ruimte code]],Ruimtegroepen[#All],4,FALSE)</f>
        <v>L  (Lesruimte)</v>
      </c>
      <c r="R1170" s="184"/>
      <c r="S1170" s="185">
        <v>40</v>
      </c>
      <c r="T1170" s="185" t="s">
        <v>2</v>
      </c>
      <c r="U1170" s="185">
        <f>IF(S1170&gt;0,IF(RIGHT(Ruimtestaat[[#This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0" s="185">
        <f>IF(U1170&gt;0,VLOOKUP($K1170,Ruimtegroepen[],3,FALSE)*VLOOKUP($M1170,Vloersoorten[],3,FALSE)*VLOOKUP($T1170,Frequenties[],3,FALSE)*VLOOKUP($A1170,Locaties[],3,FALSE),0)</f>
        <v>0</v>
      </c>
      <c r="W1170" s="185">
        <f>Ruimtestaat[[#This Row],[Uitvoeringen werkdagen]]*Ruimtestaat[[#This Row],[Oppervlak (netto)]]</f>
        <v>11800</v>
      </c>
      <c r="X1170" s="220">
        <f>IF(V1170&gt;0,Ruimtestaat[[#This Row],[Prest. (m2 /jaar) werkdagen]]/Ruimtestaat[[#This Row],[Norm (m2/uur) werkdagen]],0)</f>
        <v>0</v>
      </c>
      <c r="Y1170" s="221">
        <f>Ruimtestaat[[#This Row],[uren / jaar werkdagen]]*Tariefsopbouw!$D$38</f>
        <v>0</v>
      </c>
      <c r="Z1170" s="33"/>
      <c r="AA1170" s="33">
        <f>IF(Ruimtestaat[[#This Row],[Frequentie weekend]]&gt;0,VALUE(LEFT(Z1170,1))*S1170,0)</f>
        <v>0</v>
      </c>
      <c r="AB1170" s="33">
        <f>IF($AA1170&gt;0,VLOOKUP($K1170,Ruimtegroepen[],3,FALSE)*VLOOKUP($M1170,Vloersoorten[],3,FALSE)*VLOOKUP($Z1170,Frequenties[],3,FALSE)*VLOOKUP(#REF!,Locaties[],3,FALSE),0)</f>
        <v>0</v>
      </c>
      <c r="AC1170" s="33"/>
      <c r="AD1170" s="33"/>
      <c r="AE1170" s="33">
        <f>Ruimtestaat[[#This Row],[uren / jaar weekend]]*Tariefsopbouw!$D$40</f>
        <v>0</v>
      </c>
      <c r="AF1170" s="79">
        <f>Ruimtestaat[[#This Row],[Prest. (m2 /jaar) weekend]]+Ruimtestaat[[#This Row],[Prest. (m2 /jaar) werkdagen]]</f>
        <v>11800</v>
      </c>
      <c r="AG1170" s="79">
        <f>Ruimtestaat[[#This Row],[uren / jaar weekend]]+Ruimtestaat[[#This Row],[uren / jaar werkdagen]]</f>
        <v>0</v>
      </c>
      <c r="AH1170" s="80">
        <f>Ruimtestaat[[#This Row],[kosten / jaar weekend]]+Ruimtestaat[[#This Row],[kosten / jaar werkdagen]]</f>
        <v>0</v>
      </c>
    </row>
    <row r="1171" spans="1:34" ht="15" customHeight="1">
      <c r="A1171" s="256">
        <v>14</v>
      </c>
      <c r="B1171" s="171" t="str">
        <f>VLOOKUP(Ruimtestaat[[#This Row],[Code]],Locaties[#All],2,FALSE)</f>
        <v>De Meander</v>
      </c>
      <c r="C1171" s="258" t="str">
        <f>VLOOKUP(Ruimtestaat[[#This Row],[Code]],Locaties[#All],4,FALSE)</f>
        <v>Oldenzaalsestraat 134</v>
      </c>
      <c r="D1171" s="258" t="str">
        <f>VLOOKUP(Ruimtestaat[[#This Row],[Code]],Locaties[#All],5,FALSE)</f>
        <v>7581 KL</v>
      </c>
      <c r="E1171" s="258" t="str">
        <f>VLOOKUP(Ruimtestaat[[#This Row],[Code]],Locaties[#All],6,FALSE)</f>
        <v>Losser</v>
      </c>
      <c r="F1171" s="257"/>
      <c r="G1171" s="257" t="s">
        <v>563</v>
      </c>
      <c r="H1171" s="171"/>
      <c r="I1171" s="257" t="s">
        <v>470</v>
      </c>
      <c r="J1171" s="259" t="s">
        <v>667</v>
      </c>
      <c r="K1171" s="258">
        <v>9</v>
      </c>
      <c r="L1171" s="260" t="str">
        <f>VLOOKUP(Ruimtestaat[[#This Row],[Ruimte code]],Ruimtegroepen[#All],2,FALSE)</f>
        <v>Time-out ruimte</v>
      </c>
      <c r="M1171" s="185" t="s">
        <v>598</v>
      </c>
      <c r="N1171" s="257" t="s">
        <v>132</v>
      </c>
      <c r="O1171" s="261">
        <v>8</v>
      </c>
      <c r="P1171" s="183"/>
      <c r="Q1171" s="212" t="str">
        <f>VLOOKUP(Ruimtestaat[[#This Row],[Ruimte code]],Ruimtegroepen[#All],4,FALSE)</f>
        <v>V  (Verkeersruimte)</v>
      </c>
      <c r="R1171" s="184"/>
      <c r="S1171" s="185">
        <v>40</v>
      </c>
      <c r="T1171" s="185" t="s">
        <v>2</v>
      </c>
      <c r="U1171" s="185">
        <f>IF(S1171&gt;0,IF(RIGHT(Ruimtestaat[[#This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1" s="185">
        <f>IF(U1171&gt;0,VLOOKUP($K1171,Ruimtegroepen[],3,FALSE)*VLOOKUP($M1171,Vloersoorten[],3,FALSE)*VLOOKUP($T1171,Frequenties[],3,FALSE)*VLOOKUP($A1171,Locaties[],3,FALSE),0)</f>
        <v>0</v>
      </c>
      <c r="W1171" s="185">
        <f>Ruimtestaat[[#This Row],[Uitvoeringen werkdagen]]*Ruimtestaat[[#This Row],[Oppervlak (netto)]]</f>
        <v>1600</v>
      </c>
      <c r="X1171" s="220">
        <f>IF(V1171&gt;0,Ruimtestaat[[#This Row],[Prest. (m2 /jaar) werkdagen]]/Ruimtestaat[[#This Row],[Norm (m2/uur) werkdagen]],0)</f>
        <v>0</v>
      </c>
      <c r="Y1171" s="221">
        <f>Ruimtestaat[[#This Row],[uren / jaar werkdagen]]*Tariefsopbouw!$D$38</f>
        <v>0</v>
      </c>
      <c r="Z1171" s="33"/>
      <c r="AA1171" s="33">
        <f>IF(Ruimtestaat[[#This Row],[Frequentie weekend]]&gt;0,VALUE(LEFT(Z1171,1))*S1171,0)</f>
        <v>0</v>
      </c>
      <c r="AB1171" s="33">
        <f>IF($AA1171&gt;0,VLOOKUP($K1171,Ruimtegroepen[],3,FALSE)*VLOOKUP($M1171,Vloersoorten[],3,FALSE)*VLOOKUP($Z1171,Frequenties[],3,FALSE)*VLOOKUP(#REF!,Locaties[],3,FALSE),0)</f>
        <v>0</v>
      </c>
      <c r="AC1171" s="33"/>
      <c r="AD1171" s="33"/>
      <c r="AE1171" s="33">
        <f>Ruimtestaat[[#This Row],[uren / jaar weekend]]*Tariefsopbouw!$D$40</f>
        <v>0</v>
      </c>
      <c r="AF1171" s="79">
        <f>Ruimtestaat[[#This Row],[Prest. (m2 /jaar) weekend]]+Ruimtestaat[[#This Row],[Prest. (m2 /jaar) werkdagen]]</f>
        <v>1600</v>
      </c>
      <c r="AG1171" s="79">
        <f>Ruimtestaat[[#This Row],[uren / jaar weekend]]+Ruimtestaat[[#This Row],[uren / jaar werkdagen]]</f>
        <v>0</v>
      </c>
      <c r="AH1171" s="80">
        <f>Ruimtestaat[[#This Row],[kosten / jaar weekend]]+Ruimtestaat[[#This Row],[kosten / jaar werkdagen]]</f>
        <v>0</v>
      </c>
    </row>
    <row r="1172" spans="1:34" ht="15" customHeight="1">
      <c r="A1172" s="256">
        <v>14</v>
      </c>
      <c r="B1172" s="171" t="str">
        <f>VLOOKUP(Ruimtestaat[[#This Row],[Code]],Locaties[#All],2,FALSE)</f>
        <v>De Meander</v>
      </c>
      <c r="C1172" s="258" t="str">
        <f>VLOOKUP(Ruimtestaat[[#This Row],[Code]],Locaties[#All],4,FALSE)</f>
        <v>Oldenzaalsestraat 134</v>
      </c>
      <c r="D1172" s="258" t="str">
        <f>VLOOKUP(Ruimtestaat[[#This Row],[Code]],Locaties[#All],5,FALSE)</f>
        <v>7581 KL</v>
      </c>
      <c r="E1172" s="258" t="str">
        <f>VLOOKUP(Ruimtestaat[[#This Row],[Code]],Locaties[#All],6,FALSE)</f>
        <v>Losser</v>
      </c>
      <c r="F1172" s="257"/>
      <c r="G1172" s="257" t="s">
        <v>563</v>
      </c>
      <c r="H1172" s="171"/>
      <c r="I1172" s="257" t="s">
        <v>469</v>
      </c>
      <c r="J1172" s="259" t="s">
        <v>667</v>
      </c>
      <c r="K1172" s="185">
        <v>9</v>
      </c>
      <c r="L1172" s="260" t="str">
        <f>VLOOKUP(Ruimtestaat[[#This Row],[Ruimte code]],Ruimtegroepen[#All],2,FALSE)</f>
        <v>Time-out ruimte</v>
      </c>
      <c r="M1172" s="258" t="s">
        <v>598</v>
      </c>
      <c r="N1172" s="257" t="s">
        <v>132</v>
      </c>
      <c r="O1172" s="261">
        <v>13</v>
      </c>
      <c r="P1172" s="183"/>
      <c r="Q1172" s="212" t="str">
        <f>VLOOKUP(Ruimtestaat[[#This Row],[Ruimte code]],Ruimtegroepen[#All],4,FALSE)</f>
        <v>V  (Verkeersruimte)</v>
      </c>
      <c r="R1172" s="184"/>
      <c r="S1172" s="185">
        <v>40</v>
      </c>
      <c r="T1172" s="185" t="s">
        <v>2</v>
      </c>
      <c r="U1172" s="185">
        <f>IF(S1172&gt;0,IF(RIGHT(Ruimtestaat[[#This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2" s="185">
        <f>IF(U1172&gt;0,VLOOKUP($K1172,Ruimtegroepen[],3,FALSE)*VLOOKUP($M1172,Vloersoorten[],3,FALSE)*VLOOKUP($T1172,Frequenties[],3,FALSE)*VLOOKUP($A1172,Locaties[],3,FALSE),0)</f>
        <v>0</v>
      </c>
      <c r="W1172" s="185">
        <f>Ruimtestaat[[#This Row],[Uitvoeringen werkdagen]]*Ruimtestaat[[#This Row],[Oppervlak (netto)]]</f>
        <v>2600</v>
      </c>
      <c r="X1172" s="220">
        <f>IF(V1172&gt;0,Ruimtestaat[[#This Row],[Prest. (m2 /jaar) werkdagen]]/Ruimtestaat[[#This Row],[Norm (m2/uur) werkdagen]],0)</f>
        <v>0</v>
      </c>
      <c r="Y1172" s="221">
        <f>Ruimtestaat[[#This Row],[uren / jaar werkdagen]]*Tariefsopbouw!$D$38</f>
        <v>0</v>
      </c>
      <c r="Z1172" s="33"/>
      <c r="AA1172" s="33">
        <f>IF(Ruimtestaat[[#This Row],[Frequentie weekend]]&gt;0,VALUE(LEFT(Z1172,1))*S1172,0)</f>
        <v>0</v>
      </c>
      <c r="AB1172" s="33">
        <f>IF($AA1172&gt;0,VLOOKUP($K1172,Ruimtegroepen[],3,FALSE)*VLOOKUP($M1172,Vloersoorten[],3,FALSE)*VLOOKUP($Z1172,Frequenties[],3,FALSE)*VLOOKUP(#REF!,Locaties[],3,FALSE),0)</f>
        <v>0</v>
      </c>
      <c r="AC1172" s="33"/>
      <c r="AD1172" s="33"/>
      <c r="AE1172" s="33">
        <f>Ruimtestaat[[#This Row],[uren / jaar weekend]]*Tariefsopbouw!$D$40</f>
        <v>0</v>
      </c>
      <c r="AF1172" s="79">
        <f>Ruimtestaat[[#This Row],[Prest. (m2 /jaar) weekend]]+Ruimtestaat[[#This Row],[Prest. (m2 /jaar) werkdagen]]</f>
        <v>2600</v>
      </c>
      <c r="AG1172" s="79">
        <f>Ruimtestaat[[#This Row],[uren / jaar weekend]]+Ruimtestaat[[#This Row],[uren / jaar werkdagen]]</f>
        <v>0</v>
      </c>
      <c r="AH1172" s="80">
        <f>Ruimtestaat[[#This Row],[kosten / jaar weekend]]+Ruimtestaat[[#This Row],[kosten / jaar werkdagen]]</f>
        <v>0</v>
      </c>
    </row>
    <row r="1173" spans="1:34" ht="15" customHeight="1">
      <c r="A1173" s="256">
        <v>14</v>
      </c>
      <c r="B1173" s="171" t="str">
        <f>VLOOKUP(Ruimtestaat[[#This Row],[Code]],Locaties[#All],2,FALSE)</f>
        <v>De Meander</v>
      </c>
      <c r="C1173" s="258" t="str">
        <f>VLOOKUP(Ruimtestaat[[#This Row],[Code]],Locaties[#All],4,FALSE)</f>
        <v>Oldenzaalsestraat 134</v>
      </c>
      <c r="D1173" s="258" t="str">
        <f>VLOOKUP(Ruimtestaat[[#This Row],[Code]],Locaties[#All],5,FALSE)</f>
        <v>7581 KL</v>
      </c>
      <c r="E1173" s="258" t="str">
        <f>VLOOKUP(Ruimtestaat[[#This Row],[Code]],Locaties[#All],6,FALSE)</f>
        <v>Losser</v>
      </c>
      <c r="F1173" s="257"/>
      <c r="G1173" s="257" t="s">
        <v>563</v>
      </c>
      <c r="H1173" s="171"/>
      <c r="I1173" s="257" t="s">
        <v>468</v>
      </c>
      <c r="J1173" s="259" t="s">
        <v>585</v>
      </c>
      <c r="K1173" s="185">
        <v>20</v>
      </c>
      <c r="L1173" s="260" t="str">
        <f>VLOOKUP(Ruimtestaat[[#This Row],[Ruimte code]],Ruimtegroepen[#All],2,FALSE)</f>
        <v>Niet in onderhoud</v>
      </c>
      <c r="M1173" s="258" t="s">
        <v>598</v>
      </c>
      <c r="N1173" s="257" t="s">
        <v>132</v>
      </c>
      <c r="O1173" s="261"/>
      <c r="P1173" s="183">
        <v>16</v>
      </c>
      <c r="Q1173" s="212" t="str">
        <f>VLOOKUP(Ruimtestaat[[#This Row],[Ruimte code]],Ruimtegroepen[#All],4,FALSE)</f>
        <v>niet in onderhoud</v>
      </c>
      <c r="R1173" s="184"/>
      <c r="S1173" s="185"/>
      <c r="T1173" s="185"/>
      <c r="U1173" s="185">
        <f>IF(S1173&gt;0,IF(RIGHT(Ruimtestaat[[#This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3" s="185">
        <f>IF(U1173&gt;0,VLOOKUP($K1173,Ruimtegroepen[],3,FALSE)*VLOOKUP($M1173,Vloersoorten[],3,FALSE)*VLOOKUP($T1173,Frequenties[],3,FALSE)*VLOOKUP($A1173,Locaties[],3,FALSE),0)</f>
        <v>0</v>
      </c>
      <c r="W1173" s="185">
        <f>Ruimtestaat[[#This Row],[Uitvoeringen werkdagen]]*Ruimtestaat[[#This Row],[Oppervlak (netto)]]</f>
        <v>0</v>
      </c>
      <c r="X1173" s="220">
        <f>IF(V1173&gt;0,Ruimtestaat[[#This Row],[Prest. (m2 /jaar) werkdagen]]/Ruimtestaat[[#This Row],[Norm (m2/uur) werkdagen]],0)</f>
        <v>0</v>
      </c>
      <c r="Y1173" s="221">
        <f>Ruimtestaat[[#This Row],[uren / jaar werkdagen]]*Tariefsopbouw!$D$38</f>
        <v>0</v>
      </c>
      <c r="Z1173" s="33"/>
      <c r="AA1173" s="33">
        <f>IF(Ruimtestaat[[#This Row],[Frequentie weekend]]&gt;0,VALUE(LEFT(Z1173,1))*S1173,0)</f>
        <v>0</v>
      </c>
      <c r="AB1173" s="33">
        <f>IF($AA1173&gt;0,VLOOKUP($K1173,Ruimtegroepen[],3,FALSE)*VLOOKUP($M1173,Vloersoorten[],3,FALSE)*VLOOKUP($Z1173,Frequenties[],3,FALSE)*VLOOKUP(#REF!,Locaties[],3,FALSE),0)</f>
        <v>0</v>
      </c>
      <c r="AC1173" s="33"/>
      <c r="AD1173" s="33"/>
      <c r="AE1173" s="33">
        <f>Ruimtestaat[[#This Row],[uren / jaar weekend]]*Tariefsopbouw!$D$40</f>
        <v>0</v>
      </c>
      <c r="AF1173" s="79">
        <f>Ruimtestaat[[#This Row],[Prest. (m2 /jaar) weekend]]+Ruimtestaat[[#This Row],[Prest. (m2 /jaar) werkdagen]]</f>
        <v>0</v>
      </c>
      <c r="AG1173" s="79">
        <f>Ruimtestaat[[#This Row],[uren / jaar weekend]]+Ruimtestaat[[#This Row],[uren / jaar werkdagen]]</f>
        <v>0</v>
      </c>
      <c r="AH1173" s="80">
        <f>Ruimtestaat[[#This Row],[kosten / jaar weekend]]+Ruimtestaat[[#This Row],[kosten / jaar werkdagen]]</f>
        <v>0</v>
      </c>
    </row>
    <row r="1174" spans="1:34" ht="15" customHeight="1">
      <c r="A1174" s="256">
        <v>14</v>
      </c>
      <c r="B1174" s="171" t="str">
        <f>VLOOKUP(Ruimtestaat[[#This Row],[Code]],Locaties[#All],2,FALSE)</f>
        <v>De Meander</v>
      </c>
      <c r="C1174" s="258" t="str">
        <f>VLOOKUP(Ruimtestaat[[#This Row],[Code]],Locaties[#All],4,FALSE)</f>
        <v>Oldenzaalsestraat 134</v>
      </c>
      <c r="D1174" s="258" t="str">
        <f>VLOOKUP(Ruimtestaat[[#This Row],[Code]],Locaties[#All],5,FALSE)</f>
        <v>7581 KL</v>
      </c>
      <c r="E1174" s="258" t="str">
        <f>VLOOKUP(Ruimtestaat[[#This Row],[Code]],Locaties[#All],6,FALSE)</f>
        <v>Losser</v>
      </c>
      <c r="F1174" s="257"/>
      <c r="G1174" s="257" t="s">
        <v>563</v>
      </c>
      <c r="H1174" s="171"/>
      <c r="I1174" s="257" t="s">
        <v>467</v>
      </c>
      <c r="J1174" s="259" t="s">
        <v>569</v>
      </c>
      <c r="K1174" s="185">
        <v>5</v>
      </c>
      <c r="L1174" s="260" t="str">
        <f>VLOOKUP(Ruimtestaat[[#This Row],[Ruimte code]],Ruimtegroepen[#All],2,FALSE)</f>
        <v>Sanitair</v>
      </c>
      <c r="M1174" s="212" t="s">
        <v>111</v>
      </c>
      <c r="N1174" s="257" t="s">
        <v>605</v>
      </c>
      <c r="O1174" s="261">
        <v>1</v>
      </c>
      <c r="P1174" s="183"/>
      <c r="Q1174" s="212" t="str">
        <f>VLOOKUP(Ruimtestaat[[#This Row],[Ruimte code]],Ruimtegroepen[#All],4,FALSE)</f>
        <v>S  (Sanitair)</v>
      </c>
      <c r="R1174" s="184"/>
      <c r="S1174" s="185">
        <v>48</v>
      </c>
      <c r="T1174" s="185" t="s">
        <v>2</v>
      </c>
      <c r="U1174" s="185">
        <f>IF(S1174&gt;0,IF(RIGHT(Ruimtestaat[[#This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74" s="185">
        <f>IF(U1174&gt;0,VLOOKUP($K1174,Ruimtegroepen[],3,FALSE)*VLOOKUP($M1174,Vloersoorten[],3,FALSE)*VLOOKUP($T1174,Frequenties[],3,FALSE)*VLOOKUP($A1174,Locaties[],3,FALSE),0)</f>
        <v>0</v>
      </c>
      <c r="W1174" s="185">
        <f>Ruimtestaat[[#This Row],[Uitvoeringen werkdagen]]*Ruimtestaat[[#This Row],[Oppervlak (netto)]]</f>
        <v>240</v>
      </c>
      <c r="X1174" s="220">
        <f>IF(V1174&gt;0,Ruimtestaat[[#This Row],[Prest. (m2 /jaar) werkdagen]]/Ruimtestaat[[#This Row],[Norm (m2/uur) werkdagen]],0)</f>
        <v>0</v>
      </c>
      <c r="Y1174" s="221">
        <f>Ruimtestaat[[#This Row],[uren / jaar werkdagen]]*Tariefsopbouw!$D$38</f>
        <v>0</v>
      </c>
      <c r="Z1174" s="33"/>
      <c r="AA1174" s="33">
        <f>IF(Ruimtestaat[[#This Row],[Frequentie weekend]]&gt;0,VALUE(LEFT(Z1174,1))*S1174,0)</f>
        <v>0</v>
      </c>
      <c r="AB1174" s="33">
        <f>IF($AA1174&gt;0,VLOOKUP($K1174,Ruimtegroepen[],3,FALSE)*VLOOKUP($M1174,Vloersoorten[],3,FALSE)*VLOOKUP($Z1174,Frequenties[],3,FALSE)*VLOOKUP(#REF!,Locaties[],3,FALSE),0)</f>
        <v>0</v>
      </c>
      <c r="AC1174" s="33"/>
      <c r="AD1174" s="33"/>
      <c r="AE1174" s="33">
        <f>Ruimtestaat[[#This Row],[uren / jaar weekend]]*Tariefsopbouw!$D$40</f>
        <v>0</v>
      </c>
      <c r="AF1174" s="79">
        <f>Ruimtestaat[[#This Row],[Prest. (m2 /jaar) weekend]]+Ruimtestaat[[#This Row],[Prest. (m2 /jaar) werkdagen]]</f>
        <v>240</v>
      </c>
      <c r="AG1174" s="79">
        <f>Ruimtestaat[[#This Row],[uren / jaar weekend]]+Ruimtestaat[[#This Row],[uren / jaar werkdagen]]</f>
        <v>0</v>
      </c>
      <c r="AH1174" s="80">
        <f>Ruimtestaat[[#This Row],[kosten / jaar weekend]]+Ruimtestaat[[#This Row],[kosten / jaar werkdagen]]</f>
        <v>0</v>
      </c>
    </row>
    <row r="1175" spans="1:34" ht="15" customHeight="1">
      <c r="A1175" s="256">
        <v>14</v>
      </c>
      <c r="B1175" s="171" t="str">
        <f>VLOOKUP(Ruimtestaat[[#This Row],[Code]],Locaties[#All],2,FALSE)</f>
        <v>De Meander</v>
      </c>
      <c r="C1175" s="258" t="str">
        <f>VLOOKUP(Ruimtestaat[[#This Row],[Code]],Locaties[#All],4,FALSE)</f>
        <v>Oldenzaalsestraat 134</v>
      </c>
      <c r="D1175" s="258" t="str">
        <f>VLOOKUP(Ruimtestaat[[#This Row],[Code]],Locaties[#All],5,FALSE)</f>
        <v>7581 KL</v>
      </c>
      <c r="E1175" s="258" t="str">
        <f>VLOOKUP(Ruimtestaat[[#This Row],[Code]],Locaties[#All],6,FALSE)</f>
        <v>Losser</v>
      </c>
      <c r="F1175" s="257"/>
      <c r="G1175" s="257" t="s">
        <v>563</v>
      </c>
      <c r="H1175" s="171"/>
      <c r="I1175" s="257" t="s">
        <v>466</v>
      </c>
      <c r="J1175" s="259" t="s">
        <v>569</v>
      </c>
      <c r="K1175" s="171">
        <v>5</v>
      </c>
      <c r="L1175" s="260" t="str">
        <f>VLOOKUP(Ruimtestaat[[#This Row],[Ruimte code]],Ruimtegroepen[#All],2,FALSE)</f>
        <v>Sanitair</v>
      </c>
      <c r="M1175" s="212" t="s">
        <v>111</v>
      </c>
      <c r="N1175" s="257" t="s">
        <v>605</v>
      </c>
      <c r="O1175" s="261">
        <v>1</v>
      </c>
      <c r="P1175" s="183"/>
      <c r="Q1175" s="212" t="str">
        <f>VLOOKUP(Ruimtestaat[[#This Row],[Ruimte code]],Ruimtegroepen[#All],4,FALSE)</f>
        <v>S  (Sanitair)</v>
      </c>
      <c r="R1175" s="184"/>
      <c r="S1175" s="185">
        <v>48</v>
      </c>
      <c r="T1175" s="185" t="s">
        <v>2</v>
      </c>
      <c r="U1175" s="185">
        <f>IF(S1175&gt;0,IF(RIGHT(Ruimtestaat[[#This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75" s="185">
        <f>IF(U1175&gt;0,VLOOKUP($K1175,Ruimtegroepen[],3,FALSE)*VLOOKUP($M1175,Vloersoorten[],3,FALSE)*VLOOKUP($T1175,Frequenties[],3,FALSE)*VLOOKUP($A1175,Locaties[],3,FALSE),0)</f>
        <v>0</v>
      </c>
      <c r="W1175" s="185">
        <f>Ruimtestaat[[#This Row],[Uitvoeringen werkdagen]]*Ruimtestaat[[#This Row],[Oppervlak (netto)]]</f>
        <v>240</v>
      </c>
      <c r="X1175" s="220">
        <f>IF(V1175&gt;0,Ruimtestaat[[#This Row],[Prest. (m2 /jaar) werkdagen]]/Ruimtestaat[[#This Row],[Norm (m2/uur) werkdagen]],0)</f>
        <v>0</v>
      </c>
      <c r="Y1175" s="221">
        <f>Ruimtestaat[[#This Row],[uren / jaar werkdagen]]*Tariefsopbouw!$D$38</f>
        <v>0</v>
      </c>
      <c r="Z1175" s="33"/>
      <c r="AA1175" s="33">
        <f>IF(Ruimtestaat[[#This Row],[Frequentie weekend]]&gt;0,VALUE(LEFT(Z1175,1))*S1175,0)</f>
        <v>0</v>
      </c>
      <c r="AB1175" s="33">
        <f>IF($AA1175&gt;0,VLOOKUP($K1175,Ruimtegroepen[],3,FALSE)*VLOOKUP($M1175,Vloersoorten[],3,FALSE)*VLOOKUP($Z1175,Frequenties[],3,FALSE)*VLOOKUP(#REF!,Locaties[],3,FALSE),0)</f>
        <v>0</v>
      </c>
      <c r="AC1175" s="33"/>
      <c r="AD1175" s="33"/>
      <c r="AE1175" s="33">
        <f>Ruimtestaat[[#This Row],[uren / jaar weekend]]*Tariefsopbouw!$D$40</f>
        <v>0</v>
      </c>
      <c r="AF1175" s="79">
        <f>Ruimtestaat[[#This Row],[Prest. (m2 /jaar) weekend]]+Ruimtestaat[[#This Row],[Prest. (m2 /jaar) werkdagen]]</f>
        <v>240</v>
      </c>
      <c r="AG1175" s="79">
        <f>Ruimtestaat[[#This Row],[uren / jaar weekend]]+Ruimtestaat[[#This Row],[uren / jaar werkdagen]]</f>
        <v>0</v>
      </c>
      <c r="AH1175" s="80">
        <f>Ruimtestaat[[#This Row],[kosten / jaar weekend]]+Ruimtestaat[[#This Row],[kosten / jaar werkdagen]]</f>
        <v>0</v>
      </c>
    </row>
    <row r="1176" spans="1:34" ht="15" customHeight="1">
      <c r="A1176" s="256">
        <v>14</v>
      </c>
      <c r="B1176" s="171" t="str">
        <f>VLOOKUP(Ruimtestaat[[#This Row],[Code]],Locaties[#All],2,FALSE)</f>
        <v>De Meander</v>
      </c>
      <c r="C1176" s="258" t="str">
        <f>VLOOKUP(Ruimtestaat[[#This Row],[Code]],Locaties[#All],4,FALSE)</f>
        <v>Oldenzaalsestraat 134</v>
      </c>
      <c r="D1176" s="258" t="str">
        <f>VLOOKUP(Ruimtestaat[[#This Row],[Code]],Locaties[#All],5,FALSE)</f>
        <v>7581 KL</v>
      </c>
      <c r="E1176" s="258" t="str">
        <f>VLOOKUP(Ruimtestaat[[#This Row],[Code]],Locaties[#All],6,FALSE)</f>
        <v>Losser</v>
      </c>
      <c r="F1176" s="257"/>
      <c r="G1176" s="257" t="s">
        <v>563</v>
      </c>
      <c r="H1176" s="171"/>
      <c r="I1176" s="257" t="s">
        <v>465</v>
      </c>
      <c r="J1176" s="259" t="s">
        <v>668</v>
      </c>
      <c r="K1176" s="171">
        <v>5</v>
      </c>
      <c r="L1176" s="260" t="str">
        <f>VLOOKUP(Ruimtestaat[[#This Row],[Ruimte code]],Ruimtegroepen[#All],2,FALSE)</f>
        <v>Sanitair</v>
      </c>
      <c r="M1176" s="212" t="s">
        <v>111</v>
      </c>
      <c r="N1176" s="257" t="s">
        <v>605</v>
      </c>
      <c r="O1176" s="261">
        <v>3</v>
      </c>
      <c r="P1176" s="183"/>
      <c r="Q1176" s="212" t="str">
        <f>VLOOKUP(Ruimtestaat[[#This Row],[Ruimte code]],Ruimtegroepen[#All],4,FALSE)</f>
        <v>S  (Sanitair)</v>
      </c>
      <c r="R1176" s="184"/>
      <c r="S1176" s="185">
        <v>48</v>
      </c>
      <c r="T1176" s="185" t="s">
        <v>2</v>
      </c>
      <c r="U1176" s="185">
        <f>IF(S1176&gt;0,IF(RIGHT(Ruimtestaat[[#This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76" s="185">
        <f>IF(U1176&gt;0,VLOOKUP($K1176,Ruimtegroepen[],3,FALSE)*VLOOKUP($M1176,Vloersoorten[],3,FALSE)*VLOOKUP($T1176,Frequenties[],3,FALSE)*VLOOKUP($A1176,Locaties[],3,FALSE),0)</f>
        <v>0</v>
      </c>
      <c r="W1176" s="185">
        <f>Ruimtestaat[[#This Row],[Uitvoeringen werkdagen]]*Ruimtestaat[[#This Row],[Oppervlak (netto)]]</f>
        <v>720</v>
      </c>
      <c r="X1176" s="220">
        <f>IF(V1176&gt;0,Ruimtestaat[[#This Row],[Prest. (m2 /jaar) werkdagen]]/Ruimtestaat[[#This Row],[Norm (m2/uur) werkdagen]],0)</f>
        <v>0</v>
      </c>
      <c r="Y1176" s="221">
        <f>Ruimtestaat[[#This Row],[uren / jaar werkdagen]]*Tariefsopbouw!$D$38</f>
        <v>0</v>
      </c>
      <c r="Z1176" s="33"/>
      <c r="AA1176" s="33">
        <f>IF(Ruimtestaat[[#This Row],[Frequentie weekend]]&gt;0,VALUE(LEFT(Z1176,1))*S1176,0)</f>
        <v>0</v>
      </c>
      <c r="AB1176" s="33">
        <f>IF($AA1176&gt;0,VLOOKUP($K1176,Ruimtegroepen[],3,FALSE)*VLOOKUP($M1176,Vloersoorten[],3,FALSE)*VLOOKUP($Z1176,Frequenties[],3,FALSE)*VLOOKUP(#REF!,Locaties[],3,FALSE),0)</f>
        <v>0</v>
      </c>
      <c r="AC1176" s="33"/>
      <c r="AD1176" s="33"/>
      <c r="AE1176" s="33">
        <f>Ruimtestaat[[#This Row],[uren / jaar weekend]]*Tariefsopbouw!$D$40</f>
        <v>0</v>
      </c>
      <c r="AF1176" s="79">
        <f>Ruimtestaat[[#This Row],[Prest. (m2 /jaar) weekend]]+Ruimtestaat[[#This Row],[Prest. (m2 /jaar) werkdagen]]</f>
        <v>720</v>
      </c>
      <c r="AG1176" s="79">
        <f>Ruimtestaat[[#This Row],[uren / jaar weekend]]+Ruimtestaat[[#This Row],[uren / jaar werkdagen]]</f>
        <v>0</v>
      </c>
      <c r="AH1176" s="80">
        <f>Ruimtestaat[[#This Row],[kosten / jaar weekend]]+Ruimtestaat[[#This Row],[kosten / jaar werkdagen]]</f>
        <v>0</v>
      </c>
    </row>
    <row r="1177" spans="1:34" ht="15" customHeight="1">
      <c r="A1177" s="256">
        <v>14</v>
      </c>
      <c r="B1177" s="171" t="str">
        <f>VLOOKUP(Ruimtestaat[[#This Row],[Code]],Locaties[#All],2,FALSE)</f>
        <v>De Meander</v>
      </c>
      <c r="C1177" s="258" t="str">
        <f>VLOOKUP(Ruimtestaat[[#This Row],[Code]],Locaties[#All],4,FALSE)</f>
        <v>Oldenzaalsestraat 134</v>
      </c>
      <c r="D1177" s="258" t="str">
        <f>VLOOKUP(Ruimtestaat[[#This Row],[Code]],Locaties[#All],5,FALSE)</f>
        <v>7581 KL</v>
      </c>
      <c r="E1177" s="258" t="str">
        <f>VLOOKUP(Ruimtestaat[[#This Row],[Code]],Locaties[#All],6,FALSE)</f>
        <v>Losser</v>
      </c>
      <c r="F1177" s="257"/>
      <c r="G1177" s="257" t="s">
        <v>563</v>
      </c>
      <c r="H1177" s="171"/>
      <c r="I1177" s="257" t="s">
        <v>474</v>
      </c>
      <c r="J1177" s="259" t="s">
        <v>669</v>
      </c>
      <c r="K1177" s="171">
        <v>9</v>
      </c>
      <c r="L1177" s="260" t="str">
        <f>VLOOKUP(Ruimtestaat[[#This Row],[Ruimte code]],Ruimtegroepen[#All],2,FALSE)</f>
        <v>Time-out ruimte</v>
      </c>
      <c r="M1177" s="258" t="s">
        <v>598</v>
      </c>
      <c r="N1177" s="257" t="s">
        <v>132</v>
      </c>
      <c r="O1177" s="261">
        <v>7</v>
      </c>
      <c r="P1177" s="183"/>
      <c r="Q1177" s="212" t="str">
        <f>VLOOKUP(Ruimtestaat[[#This Row],[Ruimte code]],Ruimtegroepen[#All],4,FALSE)</f>
        <v>V  (Verkeersruimte)</v>
      </c>
      <c r="R1177" s="184"/>
      <c r="S1177" s="185">
        <v>40</v>
      </c>
      <c r="T1177" s="185" t="s">
        <v>2</v>
      </c>
      <c r="U1177" s="185">
        <f>IF(S1177&gt;0,IF(RIGHT(Ruimtestaat[[#This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7" s="185">
        <f>IF(U1177&gt;0,VLOOKUP($K1177,Ruimtegroepen[],3,FALSE)*VLOOKUP($M1177,Vloersoorten[],3,FALSE)*VLOOKUP($T1177,Frequenties[],3,FALSE)*VLOOKUP($A1177,Locaties[],3,FALSE),0)</f>
        <v>0</v>
      </c>
      <c r="W1177" s="185">
        <f>Ruimtestaat[[#This Row],[Uitvoeringen werkdagen]]*Ruimtestaat[[#This Row],[Oppervlak (netto)]]</f>
        <v>1400</v>
      </c>
      <c r="X1177" s="220">
        <f>IF(V1177&gt;0,Ruimtestaat[[#This Row],[Prest. (m2 /jaar) werkdagen]]/Ruimtestaat[[#This Row],[Norm (m2/uur) werkdagen]],0)</f>
        <v>0</v>
      </c>
      <c r="Y1177" s="221">
        <f>Ruimtestaat[[#This Row],[uren / jaar werkdagen]]*Tariefsopbouw!$D$38</f>
        <v>0</v>
      </c>
      <c r="Z1177" s="33"/>
      <c r="AA1177" s="33">
        <f>IF(Ruimtestaat[[#This Row],[Frequentie weekend]]&gt;0,VALUE(LEFT(Z1177,1))*S1177,0)</f>
        <v>0</v>
      </c>
      <c r="AB1177" s="33">
        <f>IF($AA1177&gt;0,VLOOKUP($K1177,Ruimtegroepen[],3,FALSE)*VLOOKUP($M1177,Vloersoorten[],3,FALSE)*VLOOKUP($Z1177,Frequenties[],3,FALSE)*VLOOKUP(#REF!,Locaties[],3,FALSE),0)</f>
        <v>0</v>
      </c>
      <c r="AC1177" s="33"/>
      <c r="AD1177" s="33"/>
      <c r="AE1177" s="33">
        <f>Ruimtestaat[[#This Row],[uren / jaar weekend]]*Tariefsopbouw!$D$40</f>
        <v>0</v>
      </c>
      <c r="AF1177" s="79">
        <f>Ruimtestaat[[#This Row],[Prest. (m2 /jaar) weekend]]+Ruimtestaat[[#This Row],[Prest. (m2 /jaar) werkdagen]]</f>
        <v>1400</v>
      </c>
      <c r="AG1177" s="79">
        <f>Ruimtestaat[[#This Row],[uren / jaar weekend]]+Ruimtestaat[[#This Row],[uren / jaar werkdagen]]</f>
        <v>0</v>
      </c>
      <c r="AH1177" s="80">
        <f>Ruimtestaat[[#This Row],[kosten / jaar weekend]]+Ruimtestaat[[#This Row],[kosten / jaar werkdagen]]</f>
        <v>0</v>
      </c>
    </row>
    <row r="1178" spans="1:34" ht="15" customHeight="1">
      <c r="A1178" s="256">
        <v>14</v>
      </c>
      <c r="B1178" s="171" t="str">
        <f>VLOOKUP(Ruimtestaat[[#This Row],[Code]],Locaties[#All],2,FALSE)</f>
        <v>De Meander</v>
      </c>
      <c r="C1178" s="258" t="str">
        <f>VLOOKUP(Ruimtestaat[[#This Row],[Code]],Locaties[#All],4,FALSE)</f>
        <v>Oldenzaalsestraat 134</v>
      </c>
      <c r="D1178" s="258" t="str">
        <f>VLOOKUP(Ruimtestaat[[#This Row],[Code]],Locaties[#All],5,FALSE)</f>
        <v>7581 KL</v>
      </c>
      <c r="E1178" s="258" t="str">
        <f>VLOOKUP(Ruimtestaat[[#This Row],[Code]],Locaties[#All],6,FALSE)</f>
        <v>Losser</v>
      </c>
      <c r="F1178" s="257"/>
      <c r="G1178" s="257" t="s">
        <v>563</v>
      </c>
      <c r="H1178" s="171"/>
      <c r="I1178" s="257" t="s">
        <v>454</v>
      </c>
      <c r="J1178" s="259" t="s">
        <v>670</v>
      </c>
      <c r="K1178" s="171">
        <v>20</v>
      </c>
      <c r="L1178" s="260" t="str">
        <f>VLOOKUP(Ruimtestaat[[#This Row],[Ruimte code]],Ruimtegroepen[#All],2,FALSE)</f>
        <v>Niet in onderhoud</v>
      </c>
      <c r="M1178" s="212" t="s">
        <v>111</v>
      </c>
      <c r="N1178" s="257" t="s">
        <v>605</v>
      </c>
      <c r="O1178" s="261"/>
      <c r="P1178" s="183">
        <v>4</v>
      </c>
      <c r="Q1178" s="212" t="str">
        <f>VLOOKUP(Ruimtestaat[[#This Row],[Ruimte code]],Ruimtegroepen[#All],4,FALSE)</f>
        <v>niet in onderhoud</v>
      </c>
      <c r="R1178" s="184"/>
      <c r="S1178" s="185"/>
      <c r="T1178" s="185"/>
      <c r="U1178" s="185">
        <f>IF(S1178&gt;0,IF(RIGHT(Ruimtestaat[[#This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8" s="185">
        <f>IF(U1178&gt;0,VLOOKUP($K1178,Ruimtegroepen[],3,FALSE)*VLOOKUP($M1178,Vloersoorten[],3,FALSE)*VLOOKUP($T1178,Frequenties[],3,FALSE)*VLOOKUP($A1178,Locaties[],3,FALSE),0)</f>
        <v>0</v>
      </c>
      <c r="W1178" s="185">
        <f>Ruimtestaat[[#This Row],[Uitvoeringen werkdagen]]*Ruimtestaat[[#This Row],[Oppervlak (netto)]]</f>
        <v>0</v>
      </c>
      <c r="X1178" s="220">
        <f>IF(V1178&gt;0,Ruimtestaat[[#This Row],[Prest. (m2 /jaar) werkdagen]]/Ruimtestaat[[#This Row],[Norm (m2/uur) werkdagen]],0)</f>
        <v>0</v>
      </c>
      <c r="Y1178" s="221">
        <f>Ruimtestaat[[#This Row],[uren / jaar werkdagen]]*Tariefsopbouw!$D$38</f>
        <v>0</v>
      </c>
      <c r="Z1178" s="33"/>
      <c r="AA1178" s="33">
        <f>IF(Ruimtestaat[[#This Row],[Frequentie weekend]]&gt;0,VALUE(LEFT(Z1178,1))*S1178,0)</f>
        <v>0</v>
      </c>
      <c r="AB1178" s="33">
        <f>IF($AA1178&gt;0,VLOOKUP($K1178,Ruimtegroepen[],3,FALSE)*VLOOKUP($M1178,Vloersoorten[],3,FALSE)*VLOOKUP($Z1178,Frequenties[],3,FALSE)*VLOOKUP(#REF!,Locaties[],3,FALSE),0)</f>
        <v>0</v>
      </c>
      <c r="AC1178" s="33"/>
      <c r="AD1178" s="33"/>
      <c r="AE1178" s="33">
        <f>Ruimtestaat[[#This Row],[uren / jaar weekend]]*Tariefsopbouw!$D$40</f>
        <v>0</v>
      </c>
      <c r="AF1178" s="79">
        <f>Ruimtestaat[[#This Row],[Prest. (m2 /jaar) weekend]]+Ruimtestaat[[#This Row],[Prest. (m2 /jaar) werkdagen]]</f>
        <v>0</v>
      </c>
      <c r="AG1178" s="79">
        <f>Ruimtestaat[[#This Row],[uren / jaar weekend]]+Ruimtestaat[[#This Row],[uren / jaar werkdagen]]</f>
        <v>0</v>
      </c>
      <c r="AH1178" s="80">
        <f>Ruimtestaat[[#This Row],[kosten / jaar weekend]]+Ruimtestaat[[#This Row],[kosten / jaar werkdagen]]</f>
        <v>0</v>
      </c>
    </row>
    <row r="1179" spans="1:34" ht="15" customHeight="1">
      <c r="A1179" s="256">
        <v>14</v>
      </c>
      <c r="B1179" s="171" t="str">
        <f>VLOOKUP(Ruimtestaat[[#This Row],[Code]],Locaties[#All],2,FALSE)</f>
        <v>De Meander</v>
      </c>
      <c r="C1179" s="258" t="str">
        <f>VLOOKUP(Ruimtestaat[[#This Row],[Code]],Locaties[#All],4,FALSE)</f>
        <v>Oldenzaalsestraat 134</v>
      </c>
      <c r="D1179" s="258" t="str">
        <f>VLOOKUP(Ruimtestaat[[#This Row],[Code]],Locaties[#All],5,FALSE)</f>
        <v>7581 KL</v>
      </c>
      <c r="E1179" s="258" t="str">
        <f>VLOOKUP(Ruimtestaat[[#This Row],[Code]],Locaties[#All],6,FALSE)</f>
        <v>Losser</v>
      </c>
      <c r="F1179" s="257"/>
      <c r="G1179" s="257" t="s">
        <v>563</v>
      </c>
      <c r="H1179" s="171"/>
      <c r="I1179" s="257" t="s">
        <v>480</v>
      </c>
      <c r="J1179" s="259" t="s">
        <v>671</v>
      </c>
      <c r="K1179" s="171">
        <v>16</v>
      </c>
      <c r="L1179" s="260" t="str">
        <f>VLOOKUP(Ruimtestaat[[#This Row],[Ruimte code]],Ruimtegroepen[#All],2,FALSE)</f>
        <v>Leslokalen</v>
      </c>
      <c r="M1179" s="185" t="s">
        <v>598</v>
      </c>
      <c r="N1179" s="257" t="s">
        <v>132</v>
      </c>
      <c r="O1179" s="261">
        <v>9</v>
      </c>
      <c r="P1179" s="183"/>
      <c r="Q1179" s="212" t="str">
        <f>VLOOKUP(Ruimtestaat[[#This Row],[Ruimte code]],Ruimtegroepen[#All],4,FALSE)</f>
        <v>L  (Lesruimte)</v>
      </c>
      <c r="R1179" s="184"/>
      <c r="S1179" s="185">
        <v>48</v>
      </c>
      <c r="T1179" s="185" t="s">
        <v>2</v>
      </c>
      <c r="U1179" s="185">
        <f>IF(S1179&gt;0,IF(RIGHT(Ruimtestaat[[#This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79" s="185">
        <f>IF(U1179&gt;0,VLOOKUP($K1179,Ruimtegroepen[],3,FALSE)*VLOOKUP($M1179,Vloersoorten[],3,FALSE)*VLOOKUP($T1179,Frequenties[],3,FALSE)*VLOOKUP($A1179,Locaties[],3,FALSE),0)</f>
        <v>0</v>
      </c>
      <c r="W1179" s="185">
        <f>Ruimtestaat[[#This Row],[Uitvoeringen werkdagen]]*Ruimtestaat[[#This Row],[Oppervlak (netto)]]</f>
        <v>2160</v>
      </c>
      <c r="X1179" s="220">
        <f>IF(V1179&gt;0,Ruimtestaat[[#This Row],[Prest. (m2 /jaar) werkdagen]]/Ruimtestaat[[#This Row],[Norm (m2/uur) werkdagen]],0)</f>
        <v>0</v>
      </c>
      <c r="Y1179" s="221">
        <f>Ruimtestaat[[#This Row],[uren / jaar werkdagen]]*Tariefsopbouw!$D$38</f>
        <v>0</v>
      </c>
      <c r="Z1179" s="33"/>
      <c r="AA1179" s="33">
        <f>IF(Ruimtestaat[[#This Row],[Frequentie weekend]]&gt;0,VALUE(LEFT(Z1179,1))*S1179,0)</f>
        <v>0</v>
      </c>
      <c r="AB1179" s="33">
        <f>IF($AA1179&gt;0,VLOOKUP($K1179,Ruimtegroepen[],3,FALSE)*VLOOKUP($M1179,Vloersoorten[],3,FALSE)*VLOOKUP($Z1179,Frequenties[],3,FALSE)*VLOOKUP(#REF!,Locaties[],3,FALSE),0)</f>
        <v>0</v>
      </c>
      <c r="AC1179" s="33"/>
      <c r="AD1179" s="33"/>
      <c r="AE1179" s="33">
        <f>Ruimtestaat[[#This Row],[uren / jaar weekend]]*Tariefsopbouw!$D$40</f>
        <v>0</v>
      </c>
      <c r="AF1179" s="79">
        <f>Ruimtestaat[[#This Row],[Prest. (m2 /jaar) weekend]]+Ruimtestaat[[#This Row],[Prest. (m2 /jaar) werkdagen]]</f>
        <v>2160</v>
      </c>
      <c r="AG1179" s="79">
        <f>Ruimtestaat[[#This Row],[uren / jaar weekend]]+Ruimtestaat[[#This Row],[uren / jaar werkdagen]]</f>
        <v>0</v>
      </c>
      <c r="AH1179" s="80">
        <f>Ruimtestaat[[#This Row],[kosten / jaar weekend]]+Ruimtestaat[[#This Row],[kosten / jaar werkdagen]]</f>
        <v>0</v>
      </c>
    </row>
    <row r="1180" spans="1:34" ht="15" customHeight="1">
      <c r="A1180" s="256">
        <v>14</v>
      </c>
      <c r="B1180" s="171" t="str">
        <f>VLOOKUP(Ruimtestaat[[#This Row],[Code]],Locaties[#All],2,FALSE)</f>
        <v>De Meander</v>
      </c>
      <c r="C1180" s="258" t="str">
        <f>VLOOKUP(Ruimtestaat[[#This Row],[Code]],Locaties[#All],4,FALSE)</f>
        <v>Oldenzaalsestraat 134</v>
      </c>
      <c r="D1180" s="258" t="str">
        <f>VLOOKUP(Ruimtestaat[[#This Row],[Code]],Locaties[#All],5,FALSE)</f>
        <v>7581 KL</v>
      </c>
      <c r="E1180" s="258" t="str">
        <f>VLOOKUP(Ruimtestaat[[#This Row],[Code]],Locaties[#All],6,FALSE)</f>
        <v>Losser</v>
      </c>
      <c r="F1180" s="257"/>
      <c r="G1180" s="257" t="s">
        <v>563</v>
      </c>
      <c r="H1180" s="171"/>
      <c r="I1180" s="257" t="s">
        <v>479</v>
      </c>
      <c r="J1180" s="259" t="s">
        <v>585</v>
      </c>
      <c r="K1180" s="258">
        <v>20</v>
      </c>
      <c r="L1180" s="260" t="str">
        <f>VLOOKUP(Ruimtestaat[[#This Row],[Ruimte code]],Ruimtegroepen[#All],2,FALSE)</f>
        <v>Niet in onderhoud</v>
      </c>
      <c r="M1180" s="212" t="s">
        <v>111</v>
      </c>
      <c r="N1180" s="257" t="s">
        <v>605</v>
      </c>
      <c r="O1180" s="261"/>
      <c r="P1180" s="183">
        <v>19</v>
      </c>
      <c r="Q1180" s="212" t="str">
        <f>VLOOKUP(Ruimtestaat[[#This Row],[Ruimte code]],Ruimtegroepen[#All],4,FALSE)</f>
        <v>niet in onderhoud</v>
      </c>
      <c r="R1180" s="184"/>
      <c r="S1180" s="185"/>
      <c r="T1180" s="185"/>
      <c r="U1180" s="185">
        <f>IF(S1180&gt;0,IF(RIGHT(Ruimtestaat[[#This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0" s="185">
        <f>IF(U1180&gt;0,VLOOKUP($K1180,Ruimtegroepen[],3,FALSE)*VLOOKUP($M1180,Vloersoorten[],3,FALSE)*VLOOKUP($T1180,Frequenties[],3,FALSE)*VLOOKUP($A1180,Locaties[],3,FALSE),0)</f>
        <v>0</v>
      </c>
      <c r="W1180" s="185">
        <f>Ruimtestaat[[#This Row],[Uitvoeringen werkdagen]]*Ruimtestaat[[#This Row],[Oppervlak (netto)]]</f>
        <v>0</v>
      </c>
      <c r="X1180" s="220">
        <f>IF(V1180&gt;0,Ruimtestaat[[#This Row],[Prest. (m2 /jaar) werkdagen]]/Ruimtestaat[[#This Row],[Norm (m2/uur) werkdagen]],0)</f>
        <v>0</v>
      </c>
      <c r="Y1180" s="221">
        <f>Ruimtestaat[[#This Row],[uren / jaar werkdagen]]*Tariefsopbouw!$D$38</f>
        <v>0</v>
      </c>
      <c r="Z1180" s="33"/>
      <c r="AA1180" s="33">
        <f>IF(Ruimtestaat[[#This Row],[Frequentie weekend]]&gt;0,VALUE(LEFT(Z1180,1))*S1180,0)</f>
        <v>0</v>
      </c>
      <c r="AB1180" s="33">
        <f>IF($AA1180&gt;0,VLOOKUP($K1180,Ruimtegroepen[],3,FALSE)*VLOOKUP($M1180,Vloersoorten[],3,FALSE)*VLOOKUP($Z1180,Frequenties[],3,FALSE)*VLOOKUP(#REF!,Locaties[],3,FALSE),0)</f>
        <v>0</v>
      </c>
      <c r="AC1180" s="33"/>
      <c r="AD1180" s="33"/>
      <c r="AE1180" s="33">
        <f>Ruimtestaat[[#This Row],[uren / jaar weekend]]*Tariefsopbouw!$D$40</f>
        <v>0</v>
      </c>
      <c r="AF1180" s="79">
        <f>Ruimtestaat[[#This Row],[Prest. (m2 /jaar) weekend]]+Ruimtestaat[[#This Row],[Prest. (m2 /jaar) werkdagen]]</f>
        <v>0</v>
      </c>
      <c r="AG1180" s="79">
        <f>Ruimtestaat[[#This Row],[uren / jaar weekend]]+Ruimtestaat[[#This Row],[uren / jaar werkdagen]]</f>
        <v>0</v>
      </c>
      <c r="AH1180" s="80">
        <f>Ruimtestaat[[#This Row],[kosten / jaar weekend]]+Ruimtestaat[[#This Row],[kosten / jaar werkdagen]]</f>
        <v>0</v>
      </c>
    </row>
    <row r="1181" spans="1:34" ht="15" customHeight="1">
      <c r="A1181" s="256">
        <v>14</v>
      </c>
      <c r="B1181" s="171" t="str">
        <f>VLOOKUP(Ruimtestaat[[#This Row],[Code]],Locaties[#All],2,FALSE)</f>
        <v>De Meander</v>
      </c>
      <c r="C1181" s="258" t="str">
        <f>VLOOKUP(Ruimtestaat[[#This Row],[Code]],Locaties[#All],4,FALSE)</f>
        <v>Oldenzaalsestraat 134</v>
      </c>
      <c r="D1181" s="258" t="str">
        <f>VLOOKUP(Ruimtestaat[[#This Row],[Code]],Locaties[#All],5,FALSE)</f>
        <v>7581 KL</v>
      </c>
      <c r="E1181" s="258" t="str">
        <f>VLOOKUP(Ruimtestaat[[#This Row],[Code]],Locaties[#All],6,FALSE)</f>
        <v>Losser</v>
      </c>
      <c r="F1181" s="257"/>
      <c r="G1181" s="257" t="s">
        <v>563</v>
      </c>
      <c r="H1181" s="171"/>
      <c r="I1181" s="257" t="s">
        <v>473</v>
      </c>
      <c r="J1181" s="259" t="s">
        <v>574</v>
      </c>
      <c r="K1181" s="185">
        <v>6</v>
      </c>
      <c r="L1181" s="260" t="str">
        <f>VLOOKUP(Ruimtestaat[[#This Row],[Ruimte code]],Ruimtegroepen[#All],2,FALSE)</f>
        <v>Gangen/hallen</v>
      </c>
      <c r="M1181" s="258" t="s">
        <v>598</v>
      </c>
      <c r="N1181" s="257" t="s">
        <v>132</v>
      </c>
      <c r="O1181" s="261">
        <v>39</v>
      </c>
      <c r="P1181" s="183"/>
      <c r="Q1181" s="212" t="str">
        <f>VLOOKUP(Ruimtestaat[[#This Row],[Ruimte code]],Ruimtegroepen[#All],4,FALSE)</f>
        <v>V  (Verkeersruimte)</v>
      </c>
      <c r="R1181" s="184"/>
      <c r="S1181" s="185">
        <v>48</v>
      </c>
      <c r="T1181" s="185" t="s">
        <v>2</v>
      </c>
      <c r="U1181" s="185">
        <f>IF(S1181&gt;0,IF(RIGHT(Ruimtestaat[[#This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81" s="185">
        <f>IF(U1181&gt;0,VLOOKUP($K1181,Ruimtegroepen[],3,FALSE)*VLOOKUP($M1181,Vloersoorten[],3,FALSE)*VLOOKUP($T1181,Frequenties[],3,FALSE)*VLOOKUP($A1181,Locaties[],3,FALSE),0)</f>
        <v>0</v>
      </c>
      <c r="W1181" s="185">
        <f>Ruimtestaat[[#This Row],[Uitvoeringen werkdagen]]*Ruimtestaat[[#This Row],[Oppervlak (netto)]]</f>
        <v>9360</v>
      </c>
      <c r="X1181" s="220">
        <f>IF(V1181&gt;0,Ruimtestaat[[#This Row],[Prest. (m2 /jaar) werkdagen]]/Ruimtestaat[[#This Row],[Norm (m2/uur) werkdagen]],0)</f>
        <v>0</v>
      </c>
      <c r="Y1181" s="221">
        <f>Ruimtestaat[[#This Row],[uren / jaar werkdagen]]*Tariefsopbouw!$D$38</f>
        <v>0</v>
      </c>
      <c r="Z1181" s="33"/>
      <c r="AA1181" s="33">
        <f>IF(Ruimtestaat[[#This Row],[Frequentie weekend]]&gt;0,VALUE(LEFT(Z1181,1))*S1181,0)</f>
        <v>0</v>
      </c>
      <c r="AB1181" s="33">
        <f>IF($AA1181&gt;0,VLOOKUP($K1181,Ruimtegroepen[],3,FALSE)*VLOOKUP($M1181,Vloersoorten[],3,FALSE)*VLOOKUP($Z1181,Frequenties[],3,FALSE)*VLOOKUP(#REF!,Locaties[],3,FALSE),0)</f>
        <v>0</v>
      </c>
      <c r="AC1181" s="33"/>
      <c r="AD1181" s="33"/>
      <c r="AE1181" s="33">
        <f>Ruimtestaat[[#This Row],[uren / jaar weekend]]*Tariefsopbouw!$D$40</f>
        <v>0</v>
      </c>
      <c r="AF1181" s="79">
        <f>Ruimtestaat[[#This Row],[Prest. (m2 /jaar) weekend]]+Ruimtestaat[[#This Row],[Prest. (m2 /jaar) werkdagen]]</f>
        <v>9360</v>
      </c>
      <c r="AG1181" s="79">
        <f>Ruimtestaat[[#This Row],[uren / jaar weekend]]+Ruimtestaat[[#This Row],[uren / jaar werkdagen]]</f>
        <v>0</v>
      </c>
      <c r="AH1181" s="80">
        <f>Ruimtestaat[[#This Row],[kosten / jaar weekend]]+Ruimtestaat[[#This Row],[kosten / jaar werkdagen]]</f>
        <v>0</v>
      </c>
    </row>
    <row r="1182" spans="1:34" ht="15" customHeight="1">
      <c r="A1182" s="256">
        <v>14</v>
      </c>
      <c r="B1182" s="171" t="str">
        <f>VLOOKUP(Ruimtestaat[[#This Row],[Code]],Locaties[#All],2,FALSE)</f>
        <v>De Meander</v>
      </c>
      <c r="C1182" s="258" t="str">
        <f>VLOOKUP(Ruimtestaat[[#This Row],[Code]],Locaties[#All],4,FALSE)</f>
        <v>Oldenzaalsestraat 134</v>
      </c>
      <c r="D1182" s="258" t="str">
        <f>VLOOKUP(Ruimtestaat[[#This Row],[Code]],Locaties[#All],5,FALSE)</f>
        <v>7581 KL</v>
      </c>
      <c r="E1182" s="258" t="str">
        <f>VLOOKUP(Ruimtestaat[[#This Row],[Code]],Locaties[#All],6,FALSE)</f>
        <v>Losser</v>
      </c>
      <c r="F1182" s="257"/>
      <c r="G1182" s="257" t="s">
        <v>563</v>
      </c>
      <c r="H1182" s="171"/>
      <c r="I1182" s="257" t="s">
        <v>482</v>
      </c>
      <c r="J1182" s="259" t="s">
        <v>672</v>
      </c>
      <c r="K1182" s="171">
        <v>16</v>
      </c>
      <c r="L1182" s="260" t="str">
        <f>VLOOKUP(Ruimtestaat[[#This Row],[Ruimte code]],Ruimtegroepen[#All],2,FALSE)</f>
        <v>Leslokalen</v>
      </c>
      <c r="M1182" s="258" t="s">
        <v>598</v>
      </c>
      <c r="N1182" s="257" t="s">
        <v>132</v>
      </c>
      <c r="O1182" s="261">
        <v>6</v>
      </c>
      <c r="P1182" s="183"/>
      <c r="Q1182" s="212" t="str">
        <f>VLOOKUP(Ruimtestaat[[#This Row],[Ruimte code]],Ruimtegroepen[#All],4,FALSE)</f>
        <v>L  (Lesruimte)</v>
      </c>
      <c r="R1182" s="184"/>
      <c r="S1182" s="185">
        <v>40</v>
      </c>
      <c r="T1182" s="185" t="s">
        <v>2</v>
      </c>
      <c r="U1182" s="185">
        <f>IF(S1182&gt;0,IF(RIGHT(Ruimtestaat[[#This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2" s="185">
        <f>IF(U1182&gt;0,VLOOKUP($K1182,Ruimtegroepen[],3,FALSE)*VLOOKUP($M1182,Vloersoorten[],3,FALSE)*VLOOKUP($T1182,Frequenties[],3,FALSE)*VLOOKUP($A1182,Locaties[],3,FALSE),0)</f>
        <v>0</v>
      </c>
      <c r="W1182" s="185">
        <f>Ruimtestaat[[#This Row],[Uitvoeringen werkdagen]]*Ruimtestaat[[#This Row],[Oppervlak (netto)]]</f>
        <v>1200</v>
      </c>
      <c r="X1182" s="220">
        <f>IF(V1182&gt;0,Ruimtestaat[[#This Row],[Prest. (m2 /jaar) werkdagen]]/Ruimtestaat[[#This Row],[Norm (m2/uur) werkdagen]],0)</f>
        <v>0</v>
      </c>
      <c r="Y1182" s="221">
        <f>Ruimtestaat[[#This Row],[uren / jaar werkdagen]]*Tariefsopbouw!$D$38</f>
        <v>0</v>
      </c>
      <c r="Z1182" s="33"/>
      <c r="AA1182" s="33">
        <f>IF(Ruimtestaat[[#This Row],[Frequentie weekend]]&gt;0,VALUE(LEFT(Z1182,1))*S1182,0)</f>
        <v>0</v>
      </c>
      <c r="AB1182" s="33">
        <f>IF($AA1182&gt;0,VLOOKUP($K1182,Ruimtegroepen[],3,FALSE)*VLOOKUP($M1182,Vloersoorten[],3,FALSE)*VLOOKUP($Z1182,Frequenties[],3,FALSE)*VLOOKUP(#REF!,Locaties[],3,FALSE),0)</f>
        <v>0</v>
      </c>
      <c r="AC1182" s="33"/>
      <c r="AD1182" s="33"/>
      <c r="AE1182" s="33">
        <f>Ruimtestaat[[#This Row],[uren / jaar weekend]]*Tariefsopbouw!$D$40</f>
        <v>0</v>
      </c>
      <c r="AF1182" s="79">
        <f>Ruimtestaat[[#This Row],[Prest. (m2 /jaar) weekend]]+Ruimtestaat[[#This Row],[Prest. (m2 /jaar) werkdagen]]</f>
        <v>1200</v>
      </c>
      <c r="AG1182" s="79">
        <f>Ruimtestaat[[#This Row],[uren / jaar weekend]]+Ruimtestaat[[#This Row],[uren / jaar werkdagen]]</f>
        <v>0</v>
      </c>
      <c r="AH1182" s="80">
        <f>Ruimtestaat[[#This Row],[kosten / jaar weekend]]+Ruimtestaat[[#This Row],[kosten / jaar werkdagen]]</f>
        <v>0</v>
      </c>
    </row>
    <row r="1183" spans="1:34" ht="15" customHeight="1">
      <c r="A1183" s="256">
        <v>14</v>
      </c>
      <c r="B1183" s="171" t="str">
        <f>VLOOKUP(Ruimtestaat[[#This Row],[Code]],Locaties[#All],2,FALSE)</f>
        <v>De Meander</v>
      </c>
      <c r="C1183" s="258" t="str">
        <f>VLOOKUP(Ruimtestaat[[#This Row],[Code]],Locaties[#All],4,FALSE)</f>
        <v>Oldenzaalsestraat 134</v>
      </c>
      <c r="D1183" s="258" t="str">
        <f>VLOOKUP(Ruimtestaat[[#This Row],[Code]],Locaties[#All],5,FALSE)</f>
        <v>7581 KL</v>
      </c>
      <c r="E1183" s="258" t="str">
        <f>VLOOKUP(Ruimtestaat[[#This Row],[Code]],Locaties[#All],6,FALSE)</f>
        <v>Losser</v>
      </c>
      <c r="F1183" s="257"/>
      <c r="G1183" s="257" t="s">
        <v>563</v>
      </c>
      <c r="H1183" s="171"/>
      <c r="I1183" s="257" t="s">
        <v>476</v>
      </c>
      <c r="J1183" s="259" t="s">
        <v>651</v>
      </c>
      <c r="K1183" s="185">
        <v>20</v>
      </c>
      <c r="L1183" s="260" t="str">
        <f>VLOOKUP(Ruimtestaat[[#This Row],[Ruimte code]],Ruimtegroepen[#All],2,FALSE)</f>
        <v>Niet in onderhoud</v>
      </c>
      <c r="M1183" s="258" t="s">
        <v>598</v>
      </c>
      <c r="N1183" s="257" t="s">
        <v>132</v>
      </c>
      <c r="O1183" s="261"/>
      <c r="P1183" s="183">
        <v>1</v>
      </c>
      <c r="Q1183" s="212" t="str">
        <f>VLOOKUP(Ruimtestaat[[#This Row],[Ruimte code]],Ruimtegroepen[#All],4,FALSE)</f>
        <v>niet in onderhoud</v>
      </c>
      <c r="R1183" s="184"/>
      <c r="S1183" s="185"/>
      <c r="T1183" s="185"/>
      <c r="U1183" s="185">
        <f>IF(S1183&gt;0,IF(RIGHT(Ruimtestaat[[#This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3" s="185">
        <f>IF(U1183&gt;0,VLOOKUP($K1183,Ruimtegroepen[],3,FALSE)*VLOOKUP($M1183,Vloersoorten[],3,FALSE)*VLOOKUP($T1183,Frequenties[],3,FALSE)*VLOOKUP($A1183,Locaties[],3,FALSE),0)</f>
        <v>0</v>
      </c>
      <c r="W1183" s="185">
        <f>Ruimtestaat[[#This Row],[Uitvoeringen werkdagen]]*Ruimtestaat[[#This Row],[Oppervlak (netto)]]</f>
        <v>0</v>
      </c>
      <c r="X1183" s="220">
        <f>IF(V1183&gt;0,Ruimtestaat[[#This Row],[Prest. (m2 /jaar) werkdagen]]/Ruimtestaat[[#This Row],[Norm (m2/uur) werkdagen]],0)</f>
        <v>0</v>
      </c>
      <c r="Y1183" s="221">
        <f>Ruimtestaat[[#This Row],[uren / jaar werkdagen]]*Tariefsopbouw!$D$38</f>
        <v>0</v>
      </c>
      <c r="Z1183" s="33"/>
      <c r="AA1183" s="33">
        <f>IF(Ruimtestaat[[#This Row],[Frequentie weekend]]&gt;0,VALUE(LEFT(Z1183,1))*S1183,0)</f>
        <v>0</v>
      </c>
      <c r="AB1183" s="33">
        <f>IF($AA1183&gt;0,VLOOKUP($K1183,Ruimtegroepen[],3,FALSE)*VLOOKUP($M1183,Vloersoorten[],3,FALSE)*VLOOKUP($Z1183,Frequenties[],3,FALSE)*VLOOKUP(#REF!,Locaties[],3,FALSE),0)</f>
        <v>0</v>
      </c>
      <c r="AC1183" s="33"/>
      <c r="AD1183" s="33"/>
      <c r="AE1183" s="33">
        <f>Ruimtestaat[[#This Row],[uren / jaar weekend]]*Tariefsopbouw!$D$40</f>
        <v>0</v>
      </c>
      <c r="AF1183" s="79">
        <f>Ruimtestaat[[#This Row],[Prest. (m2 /jaar) weekend]]+Ruimtestaat[[#This Row],[Prest. (m2 /jaar) werkdagen]]</f>
        <v>0</v>
      </c>
      <c r="AG1183" s="79">
        <f>Ruimtestaat[[#This Row],[uren / jaar weekend]]+Ruimtestaat[[#This Row],[uren / jaar werkdagen]]</f>
        <v>0</v>
      </c>
      <c r="AH1183" s="80">
        <f>Ruimtestaat[[#This Row],[kosten / jaar weekend]]+Ruimtestaat[[#This Row],[kosten / jaar werkdagen]]</f>
        <v>0</v>
      </c>
    </row>
    <row r="1184" spans="1:34" ht="15" customHeight="1">
      <c r="A1184" s="256">
        <v>14</v>
      </c>
      <c r="B1184" s="171" t="str">
        <f>VLOOKUP(Ruimtestaat[[#This Row],[Code]],Locaties[#All],2,FALSE)</f>
        <v>De Meander</v>
      </c>
      <c r="C1184" s="258" t="str">
        <f>VLOOKUP(Ruimtestaat[[#This Row],[Code]],Locaties[#All],4,FALSE)</f>
        <v>Oldenzaalsestraat 134</v>
      </c>
      <c r="D1184" s="258" t="str">
        <f>VLOOKUP(Ruimtestaat[[#This Row],[Code]],Locaties[#All],5,FALSE)</f>
        <v>7581 KL</v>
      </c>
      <c r="E1184" s="258" t="str">
        <f>VLOOKUP(Ruimtestaat[[#This Row],[Code]],Locaties[#All],6,FALSE)</f>
        <v>Losser</v>
      </c>
      <c r="F1184" s="257"/>
      <c r="G1184" s="257" t="s">
        <v>563</v>
      </c>
      <c r="H1184" s="171"/>
      <c r="I1184" s="257" t="s">
        <v>475</v>
      </c>
      <c r="J1184" s="259" t="s">
        <v>651</v>
      </c>
      <c r="K1184" s="258">
        <v>20</v>
      </c>
      <c r="L1184" s="260" t="str">
        <f>VLOOKUP(Ruimtestaat[[#This Row],[Ruimte code]],Ruimtegroepen[#All],2,FALSE)</f>
        <v>Niet in onderhoud</v>
      </c>
      <c r="M1184" s="185" t="s">
        <v>598</v>
      </c>
      <c r="N1184" s="257" t="s">
        <v>132</v>
      </c>
      <c r="O1184" s="261"/>
      <c r="P1184" s="183">
        <v>3</v>
      </c>
      <c r="Q1184" s="212" t="str">
        <f>VLOOKUP(Ruimtestaat[[#This Row],[Ruimte code]],Ruimtegroepen[#All],4,FALSE)</f>
        <v>niet in onderhoud</v>
      </c>
      <c r="R1184" s="184"/>
      <c r="S1184" s="185"/>
      <c r="T1184" s="185"/>
      <c r="U1184" s="185">
        <f>IF(S1184&gt;0,IF(RIGHT(Ruimtestaat[[#This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4" s="185">
        <f>IF(U1184&gt;0,VLOOKUP($K1184,Ruimtegroepen[],3,FALSE)*VLOOKUP($M1184,Vloersoorten[],3,FALSE)*VLOOKUP($T1184,Frequenties[],3,FALSE)*VLOOKUP($A1184,Locaties[],3,FALSE),0)</f>
        <v>0</v>
      </c>
      <c r="W1184" s="185">
        <f>Ruimtestaat[[#This Row],[Uitvoeringen werkdagen]]*Ruimtestaat[[#This Row],[Oppervlak (netto)]]</f>
        <v>0</v>
      </c>
      <c r="X1184" s="220">
        <f>IF(V1184&gt;0,Ruimtestaat[[#This Row],[Prest. (m2 /jaar) werkdagen]]/Ruimtestaat[[#This Row],[Norm (m2/uur) werkdagen]],0)</f>
        <v>0</v>
      </c>
      <c r="Y1184" s="221">
        <f>Ruimtestaat[[#This Row],[uren / jaar werkdagen]]*Tariefsopbouw!$D$38</f>
        <v>0</v>
      </c>
      <c r="Z1184" s="33"/>
      <c r="AA1184" s="33">
        <f>IF(Ruimtestaat[[#This Row],[Frequentie weekend]]&gt;0,VALUE(LEFT(Z1184,1))*S1184,0)</f>
        <v>0</v>
      </c>
      <c r="AB1184" s="33">
        <f>IF($AA1184&gt;0,VLOOKUP($K1184,Ruimtegroepen[],3,FALSE)*VLOOKUP($M1184,Vloersoorten[],3,FALSE)*VLOOKUP($Z1184,Frequenties[],3,FALSE)*VLOOKUP(#REF!,Locaties[],3,FALSE),0)</f>
        <v>0</v>
      </c>
      <c r="AC1184" s="33"/>
      <c r="AD1184" s="33"/>
      <c r="AE1184" s="33">
        <f>Ruimtestaat[[#This Row],[uren / jaar weekend]]*Tariefsopbouw!$D$40</f>
        <v>0</v>
      </c>
      <c r="AF1184" s="79">
        <f>Ruimtestaat[[#This Row],[Prest. (m2 /jaar) weekend]]+Ruimtestaat[[#This Row],[Prest. (m2 /jaar) werkdagen]]</f>
        <v>0</v>
      </c>
      <c r="AG1184" s="79">
        <f>Ruimtestaat[[#This Row],[uren / jaar weekend]]+Ruimtestaat[[#This Row],[uren / jaar werkdagen]]</f>
        <v>0</v>
      </c>
      <c r="AH1184" s="80">
        <f>Ruimtestaat[[#This Row],[kosten / jaar weekend]]+Ruimtestaat[[#This Row],[kosten / jaar werkdagen]]</f>
        <v>0</v>
      </c>
    </row>
    <row r="1185" spans="1:34" ht="15" customHeight="1">
      <c r="A1185" s="256">
        <v>14</v>
      </c>
      <c r="B1185" s="171" t="str">
        <f>VLOOKUP(Ruimtestaat[[#This Row],[Code]],Locaties[#All],2,FALSE)</f>
        <v>De Meander</v>
      </c>
      <c r="C1185" s="258" t="str">
        <f>VLOOKUP(Ruimtestaat[[#This Row],[Code]],Locaties[#All],4,FALSE)</f>
        <v>Oldenzaalsestraat 134</v>
      </c>
      <c r="D1185" s="258" t="str">
        <f>VLOOKUP(Ruimtestaat[[#This Row],[Code]],Locaties[#All],5,FALSE)</f>
        <v>7581 KL</v>
      </c>
      <c r="E1185" s="258" t="str">
        <f>VLOOKUP(Ruimtestaat[[#This Row],[Code]],Locaties[#All],6,FALSE)</f>
        <v>Losser</v>
      </c>
      <c r="F1185" s="257"/>
      <c r="G1185" s="257" t="s">
        <v>563</v>
      </c>
      <c r="H1185" s="171"/>
      <c r="I1185" s="257" t="s">
        <v>483</v>
      </c>
      <c r="J1185" s="259" t="s">
        <v>669</v>
      </c>
      <c r="K1185" s="258">
        <v>9</v>
      </c>
      <c r="L1185" s="260" t="str">
        <f>VLOOKUP(Ruimtestaat[[#This Row],[Ruimte code]],Ruimtegroepen[#All],2,FALSE)</f>
        <v>Time-out ruimte</v>
      </c>
      <c r="M1185" s="185" t="s">
        <v>598</v>
      </c>
      <c r="N1185" s="257" t="s">
        <v>132</v>
      </c>
      <c r="O1185" s="261">
        <v>8</v>
      </c>
      <c r="P1185" s="183"/>
      <c r="Q1185" s="212" t="str">
        <f>VLOOKUP(Ruimtestaat[[#This Row],[Ruimte code]],Ruimtegroepen[#All],4,FALSE)</f>
        <v>V  (Verkeersruimte)</v>
      </c>
      <c r="R1185" s="184"/>
      <c r="S1185" s="185">
        <v>40</v>
      </c>
      <c r="T1185" s="185" t="s">
        <v>2</v>
      </c>
      <c r="U1185" s="185">
        <f>IF(S1185&gt;0,IF(RIGHT(Ruimtestaat[[#This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5" s="185">
        <f>IF(U1185&gt;0,VLOOKUP($K1185,Ruimtegroepen[],3,FALSE)*VLOOKUP($M1185,Vloersoorten[],3,FALSE)*VLOOKUP($T1185,Frequenties[],3,FALSE)*VLOOKUP($A1185,Locaties[],3,FALSE),0)</f>
        <v>0</v>
      </c>
      <c r="W1185" s="185">
        <f>Ruimtestaat[[#This Row],[Uitvoeringen werkdagen]]*Ruimtestaat[[#This Row],[Oppervlak (netto)]]</f>
        <v>1600</v>
      </c>
      <c r="X1185" s="220">
        <f>IF(V1185&gt;0,Ruimtestaat[[#This Row],[Prest. (m2 /jaar) werkdagen]]/Ruimtestaat[[#This Row],[Norm (m2/uur) werkdagen]],0)</f>
        <v>0</v>
      </c>
      <c r="Y1185" s="221">
        <f>Ruimtestaat[[#This Row],[uren / jaar werkdagen]]*Tariefsopbouw!$D$38</f>
        <v>0</v>
      </c>
      <c r="Z1185" s="33"/>
      <c r="AA1185" s="33">
        <f>IF(Ruimtestaat[[#This Row],[Frequentie weekend]]&gt;0,VALUE(LEFT(Z1185,1))*S1185,0)</f>
        <v>0</v>
      </c>
      <c r="AB1185" s="33">
        <f>IF($AA1185&gt;0,VLOOKUP($K1185,Ruimtegroepen[],3,FALSE)*VLOOKUP($M1185,Vloersoorten[],3,FALSE)*VLOOKUP($Z1185,Frequenties[],3,FALSE)*VLOOKUP(#REF!,Locaties[],3,FALSE),0)</f>
        <v>0</v>
      </c>
      <c r="AC1185" s="33"/>
      <c r="AD1185" s="33"/>
      <c r="AE1185" s="33">
        <f>Ruimtestaat[[#This Row],[uren / jaar weekend]]*Tariefsopbouw!$D$40</f>
        <v>0</v>
      </c>
      <c r="AF1185" s="79">
        <f>Ruimtestaat[[#This Row],[Prest. (m2 /jaar) weekend]]+Ruimtestaat[[#This Row],[Prest. (m2 /jaar) werkdagen]]</f>
        <v>1600</v>
      </c>
      <c r="AG1185" s="79">
        <f>Ruimtestaat[[#This Row],[uren / jaar weekend]]+Ruimtestaat[[#This Row],[uren / jaar werkdagen]]</f>
        <v>0</v>
      </c>
      <c r="AH1185" s="80">
        <f>Ruimtestaat[[#This Row],[kosten / jaar weekend]]+Ruimtestaat[[#This Row],[kosten / jaar werkdagen]]</f>
        <v>0</v>
      </c>
    </row>
    <row r="1186" spans="1:34" ht="15" customHeight="1">
      <c r="A1186" s="256">
        <v>14</v>
      </c>
      <c r="B1186" s="171" t="str">
        <f>VLOOKUP(Ruimtestaat[[#This Row],[Code]],Locaties[#All],2,FALSE)</f>
        <v>De Meander</v>
      </c>
      <c r="C1186" s="258" t="str">
        <f>VLOOKUP(Ruimtestaat[[#This Row],[Code]],Locaties[#All],4,FALSE)</f>
        <v>Oldenzaalsestraat 134</v>
      </c>
      <c r="D1186" s="258" t="str">
        <f>VLOOKUP(Ruimtestaat[[#This Row],[Code]],Locaties[#All],5,FALSE)</f>
        <v>7581 KL</v>
      </c>
      <c r="E1186" s="258" t="str">
        <f>VLOOKUP(Ruimtestaat[[#This Row],[Code]],Locaties[#All],6,FALSE)</f>
        <v>Losser</v>
      </c>
      <c r="F1186" s="257"/>
      <c r="G1186" s="257" t="s">
        <v>563</v>
      </c>
      <c r="H1186" s="171"/>
      <c r="I1186" s="257" t="s">
        <v>484</v>
      </c>
      <c r="J1186" s="259" t="s">
        <v>600</v>
      </c>
      <c r="K1186" s="258">
        <v>15</v>
      </c>
      <c r="L1186" s="260" t="str">
        <f>VLOOKUP(Ruimtestaat[[#This Row],[Ruimte code]],Ruimtegroepen[#All],2,FALSE)</f>
        <v>Keuken/pantry</v>
      </c>
      <c r="M1186" s="212" t="s">
        <v>111</v>
      </c>
      <c r="N1186" s="257" t="s">
        <v>605</v>
      </c>
      <c r="O1186" s="261">
        <v>36</v>
      </c>
      <c r="P1186" s="183"/>
      <c r="Q1186" s="212" t="str">
        <f>VLOOKUP(Ruimtestaat[[#This Row],[Ruimte code]],Ruimtegroepen[#All],4,FALSE)</f>
        <v>V  (Verkeersruimte)</v>
      </c>
      <c r="R1186" s="184"/>
      <c r="S1186" s="185">
        <v>48</v>
      </c>
      <c r="T1186" s="185" t="s">
        <v>2</v>
      </c>
      <c r="U1186" s="185">
        <f>IF(S1186&gt;0,IF(RIGHT(Ruimtestaat[[#This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86" s="185">
        <f>IF(U1186&gt;0,VLOOKUP($K1186,Ruimtegroepen[],3,FALSE)*VLOOKUP($M1186,Vloersoorten[],3,FALSE)*VLOOKUP($T1186,Frequenties[],3,FALSE)*VLOOKUP($A1186,Locaties[],3,FALSE),0)</f>
        <v>0</v>
      </c>
      <c r="W1186" s="185">
        <f>Ruimtestaat[[#This Row],[Uitvoeringen werkdagen]]*Ruimtestaat[[#This Row],[Oppervlak (netto)]]</f>
        <v>8640</v>
      </c>
      <c r="X1186" s="220">
        <f>IF(V1186&gt;0,Ruimtestaat[[#This Row],[Prest. (m2 /jaar) werkdagen]]/Ruimtestaat[[#This Row],[Norm (m2/uur) werkdagen]],0)</f>
        <v>0</v>
      </c>
      <c r="Y1186" s="221">
        <f>Ruimtestaat[[#This Row],[uren / jaar werkdagen]]*Tariefsopbouw!$D$38</f>
        <v>0</v>
      </c>
      <c r="Z1186" s="33"/>
      <c r="AA1186" s="33">
        <f>IF(Ruimtestaat[[#This Row],[Frequentie weekend]]&gt;0,VALUE(LEFT(Z1186,1))*S1186,0)</f>
        <v>0</v>
      </c>
      <c r="AB1186" s="33">
        <f>IF($AA1186&gt;0,VLOOKUP($K1186,Ruimtegroepen[],3,FALSE)*VLOOKUP($M1186,Vloersoorten[],3,FALSE)*VLOOKUP($Z1186,Frequenties[],3,FALSE)*VLOOKUP(#REF!,Locaties[],3,FALSE),0)</f>
        <v>0</v>
      </c>
      <c r="AC1186" s="33"/>
      <c r="AD1186" s="33"/>
      <c r="AE1186" s="33">
        <f>Ruimtestaat[[#This Row],[uren / jaar weekend]]*Tariefsopbouw!$D$40</f>
        <v>0</v>
      </c>
      <c r="AF1186" s="79">
        <f>Ruimtestaat[[#This Row],[Prest. (m2 /jaar) weekend]]+Ruimtestaat[[#This Row],[Prest. (m2 /jaar) werkdagen]]</f>
        <v>8640</v>
      </c>
      <c r="AG1186" s="79">
        <f>Ruimtestaat[[#This Row],[uren / jaar weekend]]+Ruimtestaat[[#This Row],[uren / jaar werkdagen]]</f>
        <v>0</v>
      </c>
      <c r="AH1186" s="80">
        <f>Ruimtestaat[[#This Row],[kosten / jaar weekend]]+Ruimtestaat[[#This Row],[kosten / jaar werkdagen]]</f>
        <v>0</v>
      </c>
    </row>
    <row r="1187" spans="1:34" ht="15" customHeight="1">
      <c r="A1187" s="256">
        <v>14</v>
      </c>
      <c r="B1187" s="171" t="str">
        <f>VLOOKUP(Ruimtestaat[[#This Row],[Code]],Locaties[#All],2,FALSE)</f>
        <v>De Meander</v>
      </c>
      <c r="C1187" s="258" t="str">
        <f>VLOOKUP(Ruimtestaat[[#This Row],[Code]],Locaties[#All],4,FALSE)</f>
        <v>Oldenzaalsestraat 134</v>
      </c>
      <c r="D1187" s="258" t="str">
        <f>VLOOKUP(Ruimtestaat[[#This Row],[Code]],Locaties[#All],5,FALSE)</f>
        <v>7581 KL</v>
      </c>
      <c r="E1187" s="258" t="str">
        <f>VLOOKUP(Ruimtestaat[[#This Row],[Code]],Locaties[#All],6,FALSE)</f>
        <v>Losser</v>
      </c>
      <c r="F1187" s="257"/>
      <c r="G1187" s="257" t="s">
        <v>563</v>
      </c>
      <c r="H1187" s="171"/>
      <c r="I1187" s="257" t="s">
        <v>485</v>
      </c>
      <c r="J1187" s="259" t="s">
        <v>585</v>
      </c>
      <c r="K1187" s="258">
        <v>20</v>
      </c>
      <c r="L1187" s="260" t="str">
        <f>VLOOKUP(Ruimtestaat[[#This Row],[Ruimte code]],Ruimtegroepen[#All],2,FALSE)</f>
        <v>Niet in onderhoud</v>
      </c>
      <c r="M1187" s="212" t="s">
        <v>111</v>
      </c>
      <c r="N1187" s="257" t="s">
        <v>605</v>
      </c>
      <c r="O1187" s="261"/>
      <c r="P1187" s="183">
        <v>7</v>
      </c>
      <c r="Q1187" s="212" t="str">
        <f>VLOOKUP(Ruimtestaat[[#This Row],[Ruimte code]],Ruimtegroepen[#All],4,FALSE)</f>
        <v>niet in onderhoud</v>
      </c>
      <c r="R1187" s="184"/>
      <c r="S1187" s="185"/>
      <c r="T1187" s="185"/>
      <c r="U1187" s="185">
        <f>IF(S1187&gt;0,IF(RIGHT(Ruimtestaat[[#This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7" s="185">
        <f>IF(U1187&gt;0,VLOOKUP($K1187,Ruimtegroepen[],3,FALSE)*VLOOKUP($M1187,Vloersoorten[],3,FALSE)*VLOOKUP($T1187,Frequenties[],3,FALSE)*VLOOKUP($A1187,Locaties[],3,FALSE),0)</f>
        <v>0</v>
      </c>
      <c r="W1187" s="185">
        <f>Ruimtestaat[[#This Row],[Uitvoeringen werkdagen]]*Ruimtestaat[[#This Row],[Oppervlak (netto)]]</f>
        <v>0</v>
      </c>
      <c r="X1187" s="220">
        <f>IF(V1187&gt;0,Ruimtestaat[[#This Row],[Prest. (m2 /jaar) werkdagen]]/Ruimtestaat[[#This Row],[Norm (m2/uur) werkdagen]],0)</f>
        <v>0</v>
      </c>
      <c r="Y1187" s="221">
        <f>Ruimtestaat[[#This Row],[uren / jaar werkdagen]]*Tariefsopbouw!$D$38</f>
        <v>0</v>
      </c>
      <c r="Z1187" s="33"/>
      <c r="AA1187" s="33">
        <f>IF(Ruimtestaat[[#This Row],[Frequentie weekend]]&gt;0,VALUE(LEFT(Z1187,1))*S1187,0)</f>
        <v>0</v>
      </c>
      <c r="AB1187" s="33">
        <f>IF($AA1187&gt;0,VLOOKUP($K1187,Ruimtegroepen[],3,FALSE)*VLOOKUP($M1187,Vloersoorten[],3,FALSE)*VLOOKUP($Z1187,Frequenties[],3,FALSE)*VLOOKUP(#REF!,Locaties[],3,FALSE),0)</f>
        <v>0</v>
      </c>
      <c r="AC1187" s="33"/>
      <c r="AD1187" s="33"/>
      <c r="AE1187" s="33">
        <f>Ruimtestaat[[#This Row],[uren / jaar weekend]]*Tariefsopbouw!$D$40</f>
        <v>0</v>
      </c>
      <c r="AF1187" s="79">
        <f>Ruimtestaat[[#This Row],[Prest. (m2 /jaar) weekend]]+Ruimtestaat[[#This Row],[Prest. (m2 /jaar) werkdagen]]</f>
        <v>0</v>
      </c>
      <c r="AG1187" s="79">
        <f>Ruimtestaat[[#This Row],[uren / jaar weekend]]+Ruimtestaat[[#This Row],[uren / jaar werkdagen]]</f>
        <v>0</v>
      </c>
      <c r="AH1187" s="80">
        <f>Ruimtestaat[[#This Row],[kosten / jaar weekend]]+Ruimtestaat[[#This Row],[kosten / jaar werkdagen]]</f>
        <v>0</v>
      </c>
    </row>
    <row r="1188" spans="1:34" ht="15" customHeight="1">
      <c r="A1188" s="256">
        <v>14</v>
      </c>
      <c r="B1188" s="171" t="str">
        <f>VLOOKUP(Ruimtestaat[[#This Row],[Code]],Locaties[#All],2,FALSE)</f>
        <v>De Meander</v>
      </c>
      <c r="C1188" s="258" t="str">
        <f>VLOOKUP(Ruimtestaat[[#This Row],[Code]],Locaties[#All],4,FALSE)</f>
        <v>Oldenzaalsestraat 134</v>
      </c>
      <c r="D1188" s="258" t="str">
        <f>VLOOKUP(Ruimtestaat[[#This Row],[Code]],Locaties[#All],5,FALSE)</f>
        <v>7581 KL</v>
      </c>
      <c r="E1188" s="258" t="str">
        <f>VLOOKUP(Ruimtestaat[[#This Row],[Code]],Locaties[#All],6,FALSE)</f>
        <v>Losser</v>
      </c>
      <c r="F1188" s="257"/>
      <c r="G1188" s="257" t="s">
        <v>563</v>
      </c>
      <c r="H1188" s="171"/>
      <c r="I1188" s="257" t="s">
        <v>477</v>
      </c>
      <c r="J1188" s="259" t="s">
        <v>669</v>
      </c>
      <c r="K1188" s="258">
        <v>9</v>
      </c>
      <c r="L1188" s="260" t="str">
        <f>VLOOKUP(Ruimtestaat[[#This Row],[Ruimte code]],Ruimtegroepen[#All],2,FALSE)</f>
        <v>Time-out ruimte</v>
      </c>
      <c r="M1188" s="258" t="s">
        <v>598</v>
      </c>
      <c r="N1188" s="257" t="s">
        <v>132</v>
      </c>
      <c r="O1188" s="261">
        <v>6</v>
      </c>
      <c r="P1188" s="183"/>
      <c r="Q1188" s="212" t="str">
        <f>VLOOKUP(Ruimtestaat[[#This Row],[Ruimte code]],Ruimtegroepen[#All],4,FALSE)</f>
        <v>V  (Verkeersruimte)</v>
      </c>
      <c r="R1188" s="184"/>
      <c r="S1188" s="185">
        <v>40</v>
      </c>
      <c r="T1188" s="185" t="s">
        <v>2</v>
      </c>
      <c r="U1188" s="185">
        <f>IF(S1188&gt;0,IF(RIGHT(Ruimtestaat[[#This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8" s="185">
        <f>IF(U1188&gt;0,VLOOKUP($K1188,Ruimtegroepen[],3,FALSE)*VLOOKUP($M1188,Vloersoorten[],3,FALSE)*VLOOKUP($T1188,Frequenties[],3,FALSE)*VLOOKUP($A1188,Locaties[],3,FALSE),0)</f>
        <v>0</v>
      </c>
      <c r="W1188" s="185">
        <f>Ruimtestaat[[#This Row],[Uitvoeringen werkdagen]]*Ruimtestaat[[#This Row],[Oppervlak (netto)]]</f>
        <v>1200</v>
      </c>
      <c r="X1188" s="220">
        <f>IF(V1188&gt;0,Ruimtestaat[[#This Row],[Prest. (m2 /jaar) werkdagen]]/Ruimtestaat[[#This Row],[Norm (m2/uur) werkdagen]],0)</f>
        <v>0</v>
      </c>
      <c r="Y1188" s="221">
        <f>Ruimtestaat[[#This Row],[uren / jaar werkdagen]]*Tariefsopbouw!$D$38</f>
        <v>0</v>
      </c>
      <c r="Z1188" s="33"/>
      <c r="AA1188" s="33">
        <f>IF(Ruimtestaat[[#This Row],[Frequentie weekend]]&gt;0,VALUE(LEFT(Z1188,1))*S1188,0)</f>
        <v>0</v>
      </c>
      <c r="AB1188" s="33">
        <f>IF($AA1188&gt;0,VLOOKUP($K1188,Ruimtegroepen[],3,FALSE)*VLOOKUP($M1188,Vloersoorten[],3,FALSE)*VLOOKUP($Z1188,Frequenties[],3,FALSE)*VLOOKUP(#REF!,Locaties[],3,FALSE),0)</f>
        <v>0</v>
      </c>
      <c r="AC1188" s="33"/>
      <c r="AD1188" s="33"/>
      <c r="AE1188" s="33">
        <f>Ruimtestaat[[#This Row],[uren / jaar weekend]]*Tariefsopbouw!$D$40</f>
        <v>0</v>
      </c>
      <c r="AF1188" s="79">
        <f>Ruimtestaat[[#This Row],[Prest. (m2 /jaar) weekend]]+Ruimtestaat[[#This Row],[Prest. (m2 /jaar) werkdagen]]</f>
        <v>1200</v>
      </c>
      <c r="AG1188" s="79">
        <f>Ruimtestaat[[#This Row],[uren / jaar weekend]]+Ruimtestaat[[#This Row],[uren / jaar werkdagen]]</f>
        <v>0</v>
      </c>
      <c r="AH1188" s="80">
        <f>Ruimtestaat[[#This Row],[kosten / jaar weekend]]+Ruimtestaat[[#This Row],[kosten / jaar werkdagen]]</f>
        <v>0</v>
      </c>
    </row>
    <row r="1189" spans="1:34" ht="15" customHeight="1">
      <c r="A1189" s="256">
        <v>14</v>
      </c>
      <c r="B1189" s="171" t="str">
        <f>VLOOKUP(Ruimtestaat[[#This Row],[Code]],Locaties[#All],2,FALSE)</f>
        <v>De Meander</v>
      </c>
      <c r="C1189" s="258" t="str">
        <f>VLOOKUP(Ruimtestaat[[#This Row],[Code]],Locaties[#All],4,FALSE)</f>
        <v>Oldenzaalsestraat 134</v>
      </c>
      <c r="D1189" s="258" t="str">
        <f>VLOOKUP(Ruimtestaat[[#This Row],[Code]],Locaties[#All],5,FALSE)</f>
        <v>7581 KL</v>
      </c>
      <c r="E1189" s="258" t="str">
        <f>VLOOKUP(Ruimtestaat[[#This Row],[Code]],Locaties[#All],6,FALSE)</f>
        <v>Losser</v>
      </c>
      <c r="F1189" s="257"/>
      <c r="G1189" s="257" t="s">
        <v>563</v>
      </c>
      <c r="H1189" s="171"/>
      <c r="I1189" s="257" t="s">
        <v>478</v>
      </c>
      <c r="J1189" s="259" t="s">
        <v>585</v>
      </c>
      <c r="K1189" s="258">
        <v>20</v>
      </c>
      <c r="L1189" s="260" t="str">
        <f>VLOOKUP(Ruimtestaat[[#This Row],[Ruimte code]],Ruimtegroepen[#All],2,FALSE)</f>
        <v>Niet in onderhoud</v>
      </c>
      <c r="M1189" s="212" t="s">
        <v>111</v>
      </c>
      <c r="N1189" s="257" t="s">
        <v>605</v>
      </c>
      <c r="O1189" s="261"/>
      <c r="P1189" s="183">
        <v>5</v>
      </c>
      <c r="Q1189" s="212" t="str">
        <f>VLOOKUP(Ruimtestaat[[#This Row],[Ruimte code]],Ruimtegroepen[#All],4,FALSE)</f>
        <v>niet in onderhoud</v>
      </c>
      <c r="R1189" s="184"/>
      <c r="S1189" s="185"/>
      <c r="T1189" s="185"/>
      <c r="U1189" s="185">
        <f>IF(S1189&gt;0,IF(RIGHT(Ruimtestaat[[#This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9" s="185">
        <f>IF(U1189&gt;0,VLOOKUP($K1189,Ruimtegroepen[],3,FALSE)*VLOOKUP($M1189,Vloersoorten[],3,FALSE)*VLOOKUP($T1189,Frequenties[],3,FALSE)*VLOOKUP($A1189,Locaties[],3,FALSE),0)</f>
        <v>0</v>
      </c>
      <c r="W1189" s="185">
        <f>Ruimtestaat[[#This Row],[Uitvoeringen werkdagen]]*Ruimtestaat[[#This Row],[Oppervlak (netto)]]</f>
        <v>0</v>
      </c>
      <c r="X1189" s="220">
        <f>IF(V1189&gt;0,Ruimtestaat[[#This Row],[Prest. (m2 /jaar) werkdagen]]/Ruimtestaat[[#This Row],[Norm (m2/uur) werkdagen]],0)</f>
        <v>0</v>
      </c>
      <c r="Y1189" s="221">
        <f>Ruimtestaat[[#This Row],[uren / jaar werkdagen]]*Tariefsopbouw!$D$38</f>
        <v>0</v>
      </c>
      <c r="Z1189" s="33"/>
      <c r="AA1189" s="33">
        <f>IF(Ruimtestaat[[#This Row],[Frequentie weekend]]&gt;0,VALUE(LEFT(Z1189,1))*S1189,0)</f>
        <v>0</v>
      </c>
      <c r="AB1189" s="33">
        <f>IF($AA1189&gt;0,VLOOKUP($K1189,Ruimtegroepen[],3,FALSE)*VLOOKUP($M1189,Vloersoorten[],3,FALSE)*VLOOKUP($Z1189,Frequenties[],3,FALSE)*VLOOKUP(#REF!,Locaties[],3,FALSE),0)</f>
        <v>0</v>
      </c>
      <c r="AC1189" s="33"/>
      <c r="AD1189" s="33"/>
      <c r="AE1189" s="33">
        <f>Ruimtestaat[[#This Row],[uren / jaar weekend]]*Tariefsopbouw!$D$40</f>
        <v>0</v>
      </c>
      <c r="AF1189" s="79">
        <f>Ruimtestaat[[#This Row],[Prest. (m2 /jaar) weekend]]+Ruimtestaat[[#This Row],[Prest. (m2 /jaar) werkdagen]]</f>
        <v>0</v>
      </c>
      <c r="AG1189" s="79">
        <f>Ruimtestaat[[#This Row],[uren / jaar weekend]]+Ruimtestaat[[#This Row],[uren / jaar werkdagen]]</f>
        <v>0</v>
      </c>
      <c r="AH1189" s="80">
        <f>Ruimtestaat[[#This Row],[kosten / jaar weekend]]+Ruimtestaat[[#This Row],[kosten / jaar werkdagen]]</f>
        <v>0</v>
      </c>
    </row>
    <row r="1190" spans="1:34" ht="15" customHeight="1">
      <c r="A1190" s="256">
        <v>14</v>
      </c>
      <c r="B1190" s="171" t="str">
        <f>VLOOKUP(Ruimtestaat[[#This Row],[Code]],Locaties[#All],2,FALSE)</f>
        <v>De Meander</v>
      </c>
      <c r="C1190" s="258" t="str">
        <f>VLOOKUP(Ruimtestaat[[#This Row],[Code]],Locaties[#All],4,FALSE)</f>
        <v>Oldenzaalsestraat 134</v>
      </c>
      <c r="D1190" s="258" t="str">
        <f>VLOOKUP(Ruimtestaat[[#This Row],[Code]],Locaties[#All],5,FALSE)</f>
        <v>7581 KL</v>
      </c>
      <c r="E1190" s="258" t="str">
        <f>VLOOKUP(Ruimtestaat[[#This Row],[Code]],Locaties[#All],6,FALSE)</f>
        <v>Losser</v>
      </c>
      <c r="F1190" s="257"/>
      <c r="G1190" s="257" t="s">
        <v>563</v>
      </c>
      <c r="H1190" s="171"/>
      <c r="I1190" s="257" t="s">
        <v>472</v>
      </c>
      <c r="J1190" s="259" t="s">
        <v>673</v>
      </c>
      <c r="K1190" s="171">
        <v>12</v>
      </c>
      <c r="L1190" s="260" t="str">
        <f>VLOOKUP(Ruimtestaat[[#This Row],[Ruimte code]],Ruimtegroepen[#All],2,FALSE)</f>
        <v>Kantine</v>
      </c>
      <c r="M1190" s="212" t="s">
        <v>597</v>
      </c>
      <c r="N1190" s="257" t="s">
        <v>38</v>
      </c>
      <c r="O1190" s="261">
        <v>17</v>
      </c>
      <c r="P1190" s="183"/>
      <c r="Q1190" s="212" t="str">
        <f>VLOOKUP(Ruimtestaat[[#This Row],[Ruimte code]],Ruimtegroepen[#All],4,FALSE)</f>
        <v>V  (Verkeersruimte)</v>
      </c>
      <c r="R1190" s="184"/>
      <c r="S1190" s="185">
        <v>40</v>
      </c>
      <c r="T1190" s="185" t="s">
        <v>2</v>
      </c>
      <c r="U1190" s="185">
        <f>IF(S1190&gt;0,IF(RIGHT(Ruimtestaat[[#This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90" s="185">
        <f>IF(U1190&gt;0,VLOOKUP($K1190,Ruimtegroepen[],3,FALSE)*VLOOKUP($M1190,Vloersoorten[],3,FALSE)*VLOOKUP($T1190,Frequenties[],3,FALSE)*VLOOKUP($A1190,Locaties[],3,FALSE),0)</f>
        <v>0</v>
      </c>
      <c r="W1190" s="185">
        <f>Ruimtestaat[[#This Row],[Uitvoeringen werkdagen]]*Ruimtestaat[[#This Row],[Oppervlak (netto)]]</f>
        <v>3400</v>
      </c>
      <c r="X1190" s="220">
        <f>IF(V1190&gt;0,Ruimtestaat[[#This Row],[Prest. (m2 /jaar) werkdagen]]/Ruimtestaat[[#This Row],[Norm (m2/uur) werkdagen]],0)</f>
        <v>0</v>
      </c>
      <c r="Y1190" s="221">
        <f>Ruimtestaat[[#This Row],[uren / jaar werkdagen]]*Tariefsopbouw!$D$38</f>
        <v>0</v>
      </c>
      <c r="Z1190" s="33"/>
      <c r="AA1190" s="33">
        <f>IF(Ruimtestaat[[#This Row],[Frequentie weekend]]&gt;0,VALUE(LEFT(Z1190,1))*S1190,0)</f>
        <v>0</v>
      </c>
      <c r="AB1190" s="33">
        <f>IF($AA1190&gt;0,VLOOKUP($K1190,Ruimtegroepen[],3,FALSE)*VLOOKUP($M1190,Vloersoorten[],3,FALSE)*VLOOKUP($Z1190,Frequenties[],3,FALSE)*VLOOKUP(#REF!,Locaties[],3,FALSE),0)</f>
        <v>0</v>
      </c>
      <c r="AC1190" s="33"/>
      <c r="AD1190" s="33"/>
      <c r="AE1190" s="33">
        <f>Ruimtestaat[[#This Row],[uren / jaar weekend]]*Tariefsopbouw!$D$40</f>
        <v>0</v>
      </c>
      <c r="AF1190" s="79">
        <f>Ruimtestaat[[#This Row],[Prest. (m2 /jaar) weekend]]+Ruimtestaat[[#This Row],[Prest. (m2 /jaar) werkdagen]]</f>
        <v>3400</v>
      </c>
      <c r="AG1190" s="79">
        <f>Ruimtestaat[[#This Row],[uren / jaar weekend]]+Ruimtestaat[[#This Row],[uren / jaar werkdagen]]</f>
        <v>0</v>
      </c>
      <c r="AH1190" s="80">
        <f>Ruimtestaat[[#This Row],[kosten / jaar weekend]]+Ruimtestaat[[#This Row],[kosten / jaar werkdagen]]</f>
        <v>0</v>
      </c>
    </row>
    <row r="1191" spans="1:34" ht="15" customHeight="1">
      <c r="A1191" s="256">
        <v>14</v>
      </c>
      <c r="B1191" s="171" t="str">
        <f>VLOOKUP(Ruimtestaat[[#This Row],[Code]],Locaties[#All],2,FALSE)</f>
        <v>De Meander</v>
      </c>
      <c r="C1191" s="258" t="str">
        <f>VLOOKUP(Ruimtestaat[[#This Row],[Code]],Locaties[#All],4,FALSE)</f>
        <v>Oldenzaalsestraat 134</v>
      </c>
      <c r="D1191" s="258" t="str">
        <f>VLOOKUP(Ruimtestaat[[#This Row],[Code]],Locaties[#All],5,FALSE)</f>
        <v>7581 KL</v>
      </c>
      <c r="E1191" s="258" t="str">
        <f>VLOOKUP(Ruimtestaat[[#This Row],[Code]],Locaties[#All],6,FALSE)</f>
        <v>Losser</v>
      </c>
      <c r="F1191" s="257"/>
      <c r="G1191" s="257" t="s">
        <v>563</v>
      </c>
      <c r="H1191" s="171"/>
      <c r="I1191" s="257" t="s">
        <v>452</v>
      </c>
      <c r="J1191" s="259" t="s">
        <v>571</v>
      </c>
      <c r="K1191" s="258">
        <v>2</v>
      </c>
      <c r="L1191" s="260" t="str">
        <f>VLOOKUP(Ruimtestaat[[#This Row],[Ruimte code]],Ruimtegroepen[#All],2,FALSE)</f>
        <v>Kantoren</v>
      </c>
      <c r="M1191" s="185" t="s">
        <v>598</v>
      </c>
      <c r="N1191" s="257" t="s">
        <v>132</v>
      </c>
      <c r="O1191" s="261">
        <v>16</v>
      </c>
      <c r="P1191" s="183"/>
      <c r="Q1191" s="212" t="str">
        <f>VLOOKUP(Ruimtestaat[[#This Row],[Ruimte code]],Ruimtegroepen[#All],4,FALSE)</f>
        <v>B  (Bureauruimte)</v>
      </c>
      <c r="R1191" s="184"/>
      <c r="S1191" s="185">
        <v>40</v>
      </c>
      <c r="T1191" s="185" t="s">
        <v>18</v>
      </c>
      <c r="U1191" s="185">
        <f>IF(S1191&gt;0,IF(RIGHT(Ruimtestaat[[#This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91" s="185">
        <f>IF(U1191&gt;0,VLOOKUP($K1191,Ruimtegroepen[],3,FALSE)*VLOOKUP($M1191,Vloersoorten[],3,FALSE)*VLOOKUP($T1191,Frequenties[],3,FALSE)*VLOOKUP($A1191,Locaties[],3,FALSE),0)</f>
        <v>0</v>
      </c>
      <c r="W1191" s="185">
        <f>Ruimtestaat[[#This Row],[Uitvoeringen werkdagen]]*Ruimtestaat[[#This Row],[Oppervlak (netto)]]</f>
        <v>1920</v>
      </c>
      <c r="X1191" s="220">
        <f>IF(V1191&gt;0,Ruimtestaat[[#This Row],[Prest. (m2 /jaar) werkdagen]]/Ruimtestaat[[#This Row],[Norm (m2/uur) werkdagen]],0)</f>
        <v>0</v>
      </c>
      <c r="Y1191" s="221">
        <f>Ruimtestaat[[#This Row],[uren / jaar werkdagen]]*Tariefsopbouw!$D$38</f>
        <v>0</v>
      </c>
      <c r="Z1191" s="33"/>
      <c r="AA1191" s="33">
        <f>IF(Ruimtestaat[[#This Row],[Frequentie weekend]]&gt;0,VALUE(LEFT(Z1191,1))*S1191,0)</f>
        <v>0</v>
      </c>
      <c r="AB1191" s="33">
        <f>IF($AA1191&gt;0,VLOOKUP($K1191,Ruimtegroepen[],3,FALSE)*VLOOKUP($M1191,Vloersoorten[],3,FALSE)*VLOOKUP($Z1191,Frequenties[],3,FALSE)*VLOOKUP(#REF!,Locaties[],3,FALSE),0)</f>
        <v>0</v>
      </c>
      <c r="AC1191" s="33"/>
      <c r="AD1191" s="33"/>
      <c r="AE1191" s="33">
        <f>Ruimtestaat[[#This Row],[uren / jaar weekend]]*Tariefsopbouw!$D$40</f>
        <v>0</v>
      </c>
      <c r="AF1191" s="79">
        <f>Ruimtestaat[[#This Row],[Prest. (m2 /jaar) weekend]]+Ruimtestaat[[#This Row],[Prest. (m2 /jaar) werkdagen]]</f>
        <v>1920</v>
      </c>
      <c r="AG1191" s="79">
        <f>Ruimtestaat[[#This Row],[uren / jaar weekend]]+Ruimtestaat[[#This Row],[uren / jaar werkdagen]]</f>
        <v>0</v>
      </c>
      <c r="AH1191" s="80">
        <f>Ruimtestaat[[#This Row],[kosten / jaar weekend]]+Ruimtestaat[[#This Row],[kosten / jaar werkdagen]]</f>
        <v>0</v>
      </c>
    </row>
    <row r="1192" spans="1:34" ht="15" customHeight="1">
      <c r="A1192" s="256">
        <v>14</v>
      </c>
      <c r="B1192" s="171" t="str">
        <f>VLOOKUP(Ruimtestaat[[#This Row],[Code]],Locaties[#All],2,FALSE)</f>
        <v>De Meander</v>
      </c>
      <c r="C1192" s="258" t="str">
        <f>VLOOKUP(Ruimtestaat[[#This Row],[Code]],Locaties[#All],4,FALSE)</f>
        <v>Oldenzaalsestraat 134</v>
      </c>
      <c r="D1192" s="258" t="str">
        <f>VLOOKUP(Ruimtestaat[[#This Row],[Code]],Locaties[#All],5,FALSE)</f>
        <v>7581 KL</v>
      </c>
      <c r="E1192" s="258" t="str">
        <f>VLOOKUP(Ruimtestaat[[#This Row],[Code]],Locaties[#All],6,FALSE)</f>
        <v>Losser</v>
      </c>
      <c r="F1192" s="257"/>
      <c r="G1192" s="257" t="s">
        <v>563</v>
      </c>
      <c r="H1192" s="171"/>
      <c r="I1192" s="257" t="s">
        <v>453</v>
      </c>
      <c r="J1192" s="259" t="s">
        <v>569</v>
      </c>
      <c r="K1192" s="258">
        <v>5</v>
      </c>
      <c r="L1192" s="260" t="str">
        <f>VLOOKUP(Ruimtestaat[[#This Row],[Ruimte code]],Ruimtegroepen[#All],2,FALSE)</f>
        <v>Sanitair</v>
      </c>
      <c r="M1192" s="212" t="s">
        <v>111</v>
      </c>
      <c r="N1192" s="257" t="s">
        <v>605</v>
      </c>
      <c r="O1192" s="261">
        <v>5</v>
      </c>
      <c r="P1192" s="183"/>
      <c r="Q1192" s="212" t="str">
        <f>VLOOKUP(Ruimtestaat[[#This Row],[Ruimte code]],Ruimtegroepen[#All],4,FALSE)</f>
        <v>S  (Sanitair)</v>
      </c>
      <c r="R1192" s="184"/>
      <c r="S1192" s="185">
        <v>48</v>
      </c>
      <c r="T1192" s="185" t="s">
        <v>2</v>
      </c>
      <c r="U1192" s="185">
        <f>IF(S1192&gt;0,IF(RIGHT(Ruimtestaat[[#This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92" s="185">
        <f>IF(U1192&gt;0,VLOOKUP($K1192,Ruimtegroepen[],3,FALSE)*VLOOKUP($M1192,Vloersoorten[],3,FALSE)*VLOOKUP($T1192,Frequenties[],3,FALSE)*VLOOKUP($A1192,Locaties[],3,FALSE),0)</f>
        <v>0</v>
      </c>
      <c r="W1192" s="185">
        <f>Ruimtestaat[[#This Row],[Uitvoeringen werkdagen]]*Ruimtestaat[[#This Row],[Oppervlak (netto)]]</f>
        <v>1200</v>
      </c>
      <c r="X1192" s="220">
        <f>IF(V1192&gt;0,Ruimtestaat[[#This Row],[Prest. (m2 /jaar) werkdagen]]/Ruimtestaat[[#This Row],[Norm (m2/uur) werkdagen]],0)</f>
        <v>0</v>
      </c>
      <c r="Y1192" s="221">
        <f>Ruimtestaat[[#This Row],[uren / jaar werkdagen]]*Tariefsopbouw!$D$38</f>
        <v>0</v>
      </c>
      <c r="Z1192" s="33"/>
      <c r="AA1192" s="33">
        <f>IF(Ruimtestaat[[#This Row],[Frequentie weekend]]&gt;0,VALUE(LEFT(Z1192,1))*S1192,0)</f>
        <v>0</v>
      </c>
      <c r="AB1192" s="33">
        <f>IF($AA1192&gt;0,VLOOKUP($K1192,Ruimtegroepen[],3,FALSE)*VLOOKUP($M1192,Vloersoorten[],3,FALSE)*VLOOKUP($Z1192,Frequenties[],3,FALSE)*VLOOKUP(#REF!,Locaties[],3,FALSE),0)</f>
        <v>0</v>
      </c>
      <c r="AC1192" s="33"/>
      <c r="AD1192" s="33"/>
      <c r="AE1192" s="33">
        <f>Ruimtestaat[[#This Row],[uren / jaar weekend]]*Tariefsopbouw!$D$40</f>
        <v>0</v>
      </c>
      <c r="AF1192" s="79">
        <f>Ruimtestaat[[#This Row],[Prest. (m2 /jaar) weekend]]+Ruimtestaat[[#This Row],[Prest. (m2 /jaar) werkdagen]]</f>
        <v>1200</v>
      </c>
      <c r="AG1192" s="79">
        <f>Ruimtestaat[[#This Row],[uren / jaar weekend]]+Ruimtestaat[[#This Row],[uren / jaar werkdagen]]</f>
        <v>0</v>
      </c>
      <c r="AH1192" s="80">
        <f>Ruimtestaat[[#This Row],[kosten / jaar weekend]]+Ruimtestaat[[#This Row],[kosten / jaar werkdagen]]</f>
        <v>0</v>
      </c>
    </row>
    <row r="1193" spans="1:34" ht="15" customHeight="1">
      <c r="A1193" s="256">
        <v>14</v>
      </c>
      <c r="B1193" s="171" t="str">
        <f>VLOOKUP(Ruimtestaat[[#This Row],[Code]],Locaties[#All],2,FALSE)</f>
        <v>De Meander</v>
      </c>
      <c r="C1193" s="258" t="str">
        <f>VLOOKUP(Ruimtestaat[[#This Row],[Code]],Locaties[#All],4,FALSE)</f>
        <v>Oldenzaalsestraat 134</v>
      </c>
      <c r="D1193" s="258" t="str">
        <f>VLOOKUP(Ruimtestaat[[#This Row],[Code]],Locaties[#All],5,FALSE)</f>
        <v>7581 KL</v>
      </c>
      <c r="E1193" s="258" t="str">
        <f>VLOOKUP(Ruimtestaat[[#This Row],[Code]],Locaties[#All],6,FALSE)</f>
        <v>Losser</v>
      </c>
      <c r="F1193" s="257"/>
      <c r="G1193" s="257" t="s">
        <v>563</v>
      </c>
      <c r="H1193" s="171"/>
      <c r="I1193" s="257" t="s">
        <v>449</v>
      </c>
      <c r="J1193" s="259" t="s">
        <v>674</v>
      </c>
      <c r="K1193" s="258">
        <v>16</v>
      </c>
      <c r="L1193" s="260" t="str">
        <f>VLOOKUP(Ruimtestaat[[#This Row],[Ruimte code]],Ruimtegroepen[#All],2,FALSE)</f>
        <v>Leslokalen</v>
      </c>
      <c r="M1193" s="185" t="s">
        <v>598</v>
      </c>
      <c r="N1193" s="257" t="s">
        <v>132</v>
      </c>
      <c r="O1193" s="261">
        <v>40</v>
      </c>
      <c r="P1193" s="183"/>
      <c r="Q1193" s="212" t="str">
        <f>VLOOKUP(Ruimtestaat[[#This Row],[Ruimte code]],Ruimtegroepen[#All],4,FALSE)</f>
        <v>L  (Lesruimte)</v>
      </c>
      <c r="R1193" s="184"/>
      <c r="S1193" s="185">
        <v>48</v>
      </c>
      <c r="T1193" s="185" t="s">
        <v>2</v>
      </c>
      <c r="U1193" s="185">
        <f>IF(S1193&gt;0,IF(RIGHT(Ruimtestaat[[#This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93" s="185">
        <f>IF(U1193&gt;0,VLOOKUP($K1193,Ruimtegroepen[],3,FALSE)*VLOOKUP($M1193,Vloersoorten[],3,FALSE)*VLOOKUP($T1193,Frequenties[],3,FALSE)*VLOOKUP($A1193,Locaties[],3,FALSE),0)</f>
        <v>0</v>
      </c>
      <c r="W1193" s="185">
        <f>Ruimtestaat[[#This Row],[Uitvoeringen werkdagen]]*Ruimtestaat[[#This Row],[Oppervlak (netto)]]</f>
        <v>9600</v>
      </c>
      <c r="X1193" s="220">
        <f>IF(V1193&gt;0,Ruimtestaat[[#This Row],[Prest. (m2 /jaar) werkdagen]]/Ruimtestaat[[#This Row],[Norm (m2/uur) werkdagen]],0)</f>
        <v>0</v>
      </c>
      <c r="Y1193" s="221">
        <f>Ruimtestaat[[#This Row],[uren / jaar werkdagen]]*Tariefsopbouw!$D$38</f>
        <v>0</v>
      </c>
      <c r="Z1193" s="33"/>
      <c r="AA1193" s="33">
        <f>IF(Ruimtestaat[[#This Row],[Frequentie weekend]]&gt;0,VALUE(LEFT(Z1193,1))*S1193,0)</f>
        <v>0</v>
      </c>
      <c r="AB1193" s="33">
        <f>IF($AA1193&gt;0,VLOOKUP($K1193,Ruimtegroepen[],3,FALSE)*VLOOKUP($M1193,Vloersoorten[],3,FALSE)*VLOOKUP($Z1193,Frequenties[],3,FALSE)*VLOOKUP(#REF!,Locaties[],3,FALSE),0)</f>
        <v>0</v>
      </c>
      <c r="AC1193" s="33"/>
      <c r="AD1193" s="33"/>
      <c r="AE1193" s="33">
        <f>Ruimtestaat[[#This Row],[uren / jaar weekend]]*Tariefsopbouw!$D$40</f>
        <v>0</v>
      </c>
      <c r="AF1193" s="79">
        <f>Ruimtestaat[[#This Row],[Prest. (m2 /jaar) weekend]]+Ruimtestaat[[#This Row],[Prest. (m2 /jaar) werkdagen]]</f>
        <v>9600</v>
      </c>
      <c r="AG1193" s="79">
        <f>Ruimtestaat[[#This Row],[uren / jaar weekend]]+Ruimtestaat[[#This Row],[uren / jaar werkdagen]]</f>
        <v>0</v>
      </c>
      <c r="AH1193" s="80">
        <f>Ruimtestaat[[#This Row],[kosten / jaar weekend]]+Ruimtestaat[[#This Row],[kosten / jaar werkdagen]]</f>
        <v>0</v>
      </c>
    </row>
    <row r="1194" spans="1:34" ht="15" customHeight="1">
      <c r="A1194" s="256">
        <v>14</v>
      </c>
      <c r="B1194" s="171" t="str">
        <f>VLOOKUP(Ruimtestaat[[#This Row],[Code]],Locaties[#All],2,FALSE)</f>
        <v>De Meander</v>
      </c>
      <c r="C1194" s="258" t="str">
        <f>VLOOKUP(Ruimtestaat[[#This Row],[Code]],Locaties[#All],4,FALSE)</f>
        <v>Oldenzaalsestraat 134</v>
      </c>
      <c r="D1194" s="258" t="str">
        <f>VLOOKUP(Ruimtestaat[[#This Row],[Code]],Locaties[#All],5,FALSE)</f>
        <v>7581 KL</v>
      </c>
      <c r="E1194" s="258" t="str">
        <f>VLOOKUP(Ruimtestaat[[#This Row],[Code]],Locaties[#All],6,FALSE)</f>
        <v>Losser</v>
      </c>
      <c r="F1194" s="257"/>
      <c r="G1194" s="257" t="s">
        <v>563</v>
      </c>
      <c r="H1194" s="171"/>
      <c r="I1194" s="257" t="s">
        <v>450</v>
      </c>
      <c r="J1194" s="259" t="s">
        <v>571</v>
      </c>
      <c r="K1194" s="171">
        <v>2</v>
      </c>
      <c r="L1194" s="260" t="str">
        <f>VLOOKUP(Ruimtestaat[[#This Row],[Ruimte code]],Ruimtegroepen[#All],2,FALSE)</f>
        <v>Kantoren</v>
      </c>
      <c r="M1194" s="258" t="s">
        <v>598</v>
      </c>
      <c r="N1194" s="257" t="s">
        <v>132</v>
      </c>
      <c r="O1194" s="261">
        <v>8</v>
      </c>
      <c r="P1194" s="183"/>
      <c r="Q1194" s="212" t="str">
        <f>VLOOKUP(Ruimtestaat[[#This Row],[Ruimte code]],Ruimtegroepen[#All],4,FALSE)</f>
        <v>B  (Bureauruimte)</v>
      </c>
      <c r="R1194" s="184"/>
      <c r="S1194" s="185">
        <v>40</v>
      </c>
      <c r="T1194" s="185" t="s">
        <v>2</v>
      </c>
      <c r="U1194" s="185">
        <f>IF(S1194&gt;0,IF(RIGHT(Ruimtestaat[[#This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94" s="185">
        <f>IF(U1194&gt;0,VLOOKUP($K1194,Ruimtegroepen[],3,FALSE)*VLOOKUP($M1194,Vloersoorten[],3,FALSE)*VLOOKUP($T1194,Frequenties[],3,FALSE)*VLOOKUP($A1194,Locaties[],3,FALSE),0)</f>
        <v>0</v>
      </c>
      <c r="W1194" s="185">
        <f>Ruimtestaat[[#This Row],[Uitvoeringen werkdagen]]*Ruimtestaat[[#This Row],[Oppervlak (netto)]]</f>
        <v>1600</v>
      </c>
      <c r="X1194" s="220">
        <f>IF(V1194&gt;0,Ruimtestaat[[#This Row],[Prest. (m2 /jaar) werkdagen]]/Ruimtestaat[[#This Row],[Norm (m2/uur) werkdagen]],0)</f>
        <v>0</v>
      </c>
      <c r="Y1194" s="221">
        <f>Ruimtestaat[[#This Row],[uren / jaar werkdagen]]*Tariefsopbouw!$D$38</f>
        <v>0</v>
      </c>
      <c r="Z1194" s="33"/>
      <c r="AA1194" s="33">
        <f>IF(Ruimtestaat[[#This Row],[Frequentie weekend]]&gt;0,VALUE(LEFT(Z1194,1))*S1194,0)</f>
        <v>0</v>
      </c>
      <c r="AB1194" s="33">
        <f>IF($AA1194&gt;0,VLOOKUP($K1194,Ruimtegroepen[],3,FALSE)*VLOOKUP($M1194,Vloersoorten[],3,FALSE)*VLOOKUP($Z1194,Frequenties[],3,FALSE)*VLOOKUP(#REF!,Locaties[],3,FALSE),0)</f>
        <v>0</v>
      </c>
      <c r="AC1194" s="33"/>
      <c r="AD1194" s="33"/>
      <c r="AE1194" s="33">
        <f>Ruimtestaat[[#This Row],[uren / jaar weekend]]*Tariefsopbouw!$D$40</f>
        <v>0</v>
      </c>
      <c r="AF1194" s="79">
        <f>Ruimtestaat[[#This Row],[Prest. (m2 /jaar) weekend]]+Ruimtestaat[[#This Row],[Prest. (m2 /jaar) werkdagen]]</f>
        <v>1600</v>
      </c>
      <c r="AG1194" s="79">
        <f>Ruimtestaat[[#This Row],[uren / jaar weekend]]+Ruimtestaat[[#This Row],[uren / jaar werkdagen]]</f>
        <v>0</v>
      </c>
      <c r="AH1194" s="80">
        <f>Ruimtestaat[[#This Row],[kosten / jaar weekend]]+Ruimtestaat[[#This Row],[kosten / jaar werkdagen]]</f>
        <v>0</v>
      </c>
    </row>
    <row r="1195" spans="1:34" ht="15" customHeight="1">
      <c r="A1195" s="256">
        <v>14</v>
      </c>
      <c r="B1195" s="171" t="str">
        <f>VLOOKUP(Ruimtestaat[[#This Row],[Code]],Locaties[#All],2,FALSE)</f>
        <v>De Meander</v>
      </c>
      <c r="C1195" s="258" t="str">
        <f>VLOOKUP(Ruimtestaat[[#This Row],[Code]],Locaties[#All],4,FALSE)</f>
        <v>Oldenzaalsestraat 134</v>
      </c>
      <c r="D1195" s="258" t="str">
        <f>VLOOKUP(Ruimtestaat[[#This Row],[Code]],Locaties[#All],5,FALSE)</f>
        <v>7581 KL</v>
      </c>
      <c r="E1195" s="258" t="str">
        <f>VLOOKUP(Ruimtestaat[[#This Row],[Code]],Locaties[#All],6,FALSE)</f>
        <v>Losser</v>
      </c>
      <c r="F1195" s="257"/>
      <c r="G1195" s="257" t="s">
        <v>563</v>
      </c>
      <c r="H1195" s="171"/>
      <c r="I1195" s="257" t="s">
        <v>451</v>
      </c>
      <c r="J1195" s="259" t="s">
        <v>571</v>
      </c>
      <c r="K1195" s="258">
        <v>2</v>
      </c>
      <c r="L1195" s="260" t="str">
        <f>VLOOKUP(Ruimtestaat[[#This Row],[Ruimte code]],Ruimtegroepen[#All],2,FALSE)</f>
        <v>Kantoren</v>
      </c>
      <c r="M1195" s="258" t="s">
        <v>598</v>
      </c>
      <c r="N1195" s="257" t="s">
        <v>132</v>
      </c>
      <c r="O1195" s="261">
        <v>8</v>
      </c>
      <c r="P1195" s="183"/>
      <c r="Q1195" s="212" t="str">
        <f>VLOOKUP(Ruimtestaat[[#This Row],[Ruimte code]],Ruimtegroepen[#All],4,FALSE)</f>
        <v>B  (Bureauruimte)</v>
      </c>
      <c r="R1195" s="184"/>
      <c r="S1195" s="185">
        <v>40</v>
      </c>
      <c r="T1195" s="185" t="s">
        <v>2</v>
      </c>
      <c r="U1195" s="185">
        <f>IF(S1195&gt;0,IF(RIGHT(Ruimtestaat[[#This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95" s="185">
        <f>IF(U1195&gt;0,VLOOKUP($K1195,Ruimtegroepen[],3,FALSE)*VLOOKUP($M1195,Vloersoorten[],3,FALSE)*VLOOKUP($T1195,Frequenties[],3,FALSE)*VLOOKUP($A1195,Locaties[],3,FALSE),0)</f>
        <v>0</v>
      </c>
      <c r="W1195" s="185">
        <f>Ruimtestaat[[#This Row],[Uitvoeringen werkdagen]]*Ruimtestaat[[#This Row],[Oppervlak (netto)]]</f>
        <v>1600</v>
      </c>
      <c r="X1195" s="220">
        <f>IF(V1195&gt;0,Ruimtestaat[[#This Row],[Prest. (m2 /jaar) werkdagen]]/Ruimtestaat[[#This Row],[Norm (m2/uur) werkdagen]],0)</f>
        <v>0</v>
      </c>
      <c r="Y1195" s="221">
        <f>Ruimtestaat[[#This Row],[uren / jaar werkdagen]]*Tariefsopbouw!$D$38</f>
        <v>0</v>
      </c>
      <c r="Z1195" s="33"/>
      <c r="AA1195" s="33">
        <f>IF(Ruimtestaat[[#This Row],[Frequentie weekend]]&gt;0,VALUE(LEFT(Z1195,1))*S1195,0)</f>
        <v>0</v>
      </c>
      <c r="AB1195" s="33">
        <f>IF($AA1195&gt;0,VLOOKUP($K1195,Ruimtegroepen[],3,FALSE)*VLOOKUP($M1195,Vloersoorten[],3,FALSE)*VLOOKUP($Z1195,Frequenties[],3,FALSE)*VLOOKUP(#REF!,Locaties[],3,FALSE),0)</f>
        <v>0</v>
      </c>
      <c r="AC1195" s="33"/>
      <c r="AD1195" s="33"/>
      <c r="AE1195" s="33">
        <f>Ruimtestaat[[#This Row],[uren / jaar weekend]]*Tariefsopbouw!$D$40</f>
        <v>0</v>
      </c>
      <c r="AF1195" s="79">
        <f>Ruimtestaat[[#This Row],[Prest. (m2 /jaar) weekend]]+Ruimtestaat[[#This Row],[Prest. (m2 /jaar) werkdagen]]</f>
        <v>1600</v>
      </c>
      <c r="AG1195" s="79">
        <f>Ruimtestaat[[#This Row],[uren / jaar weekend]]+Ruimtestaat[[#This Row],[uren / jaar werkdagen]]</f>
        <v>0</v>
      </c>
      <c r="AH1195" s="80">
        <f>Ruimtestaat[[#This Row],[kosten / jaar weekend]]+Ruimtestaat[[#This Row],[kosten / jaar werkdagen]]</f>
        <v>0</v>
      </c>
    </row>
    <row r="1196" spans="1:34" ht="15" customHeight="1">
      <c r="A1196" s="256">
        <v>14</v>
      </c>
      <c r="B1196" s="171" t="str">
        <f>VLOOKUP(Ruimtestaat[[#This Row],[Code]],Locaties[#All],2,FALSE)</f>
        <v>De Meander</v>
      </c>
      <c r="C1196" s="258" t="str">
        <f>VLOOKUP(Ruimtestaat[[#This Row],[Code]],Locaties[#All],4,FALSE)</f>
        <v>Oldenzaalsestraat 134</v>
      </c>
      <c r="D1196" s="258" t="str">
        <f>VLOOKUP(Ruimtestaat[[#This Row],[Code]],Locaties[#All],5,FALSE)</f>
        <v>7581 KL</v>
      </c>
      <c r="E1196" s="258" t="str">
        <f>VLOOKUP(Ruimtestaat[[#This Row],[Code]],Locaties[#All],6,FALSE)</f>
        <v>Losser</v>
      </c>
      <c r="F1196" s="257"/>
      <c r="G1196" s="257" t="s">
        <v>563</v>
      </c>
      <c r="H1196" s="171"/>
      <c r="I1196" s="257" t="s">
        <v>448</v>
      </c>
      <c r="J1196" s="259" t="s">
        <v>658</v>
      </c>
      <c r="K1196" s="258">
        <v>15</v>
      </c>
      <c r="L1196" s="260" t="str">
        <f>VLOOKUP(Ruimtestaat[[#This Row],[Ruimte code]],Ruimtegroepen[#All],2,FALSE)</f>
        <v>Keuken/pantry</v>
      </c>
      <c r="M1196" s="258" t="s">
        <v>598</v>
      </c>
      <c r="N1196" s="257" t="s">
        <v>132</v>
      </c>
      <c r="O1196" s="261">
        <v>24</v>
      </c>
      <c r="P1196" s="183"/>
      <c r="Q1196" s="212" t="str">
        <f>VLOOKUP(Ruimtestaat[[#This Row],[Ruimte code]],Ruimtegroepen[#All],4,FALSE)</f>
        <v>V  (Verkeersruimte)</v>
      </c>
      <c r="R1196" s="184"/>
      <c r="S1196" s="185">
        <v>48</v>
      </c>
      <c r="T1196" s="185" t="s">
        <v>2</v>
      </c>
      <c r="U1196" s="185">
        <f>IF(S1196&gt;0,IF(RIGHT(Ruimtestaat[[#This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96" s="185">
        <f>IF(U1196&gt;0,VLOOKUP($K1196,Ruimtegroepen[],3,FALSE)*VLOOKUP($M1196,Vloersoorten[],3,FALSE)*VLOOKUP($T1196,Frequenties[],3,FALSE)*VLOOKUP($A1196,Locaties[],3,FALSE),0)</f>
        <v>0</v>
      </c>
      <c r="W1196" s="185">
        <f>Ruimtestaat[[#This Row],[Uitvoeringen werkdagen]]*Ruimtestaat[[#This Row],[Oppervlak (netto)]]</f>
        <v>5760</v>
      </c>
      <c r="X1196" s="220">
        <f>IF(V1196&gt;0,Ruimtestaat[[#This Row],[Prest. (m2 /jaar) werkdagen]]/Ruimtestaat[[#This Row],[Norm (m2/uur) werkdagen]],0)</f>
        <v>0</v>
      </c>
      <c r="Y1196" s="221">
        <f>Ruimtestaat[[#This Row],[uren / jaar werkdagen]]*Tariefsopbouw!$D$38</f>
        <v>0</v>
      </c>
      <c r="Z1196" s="33"/>
      <c r="AA1196" s="33">
        <f>IF(Ruimtestaat[[#This Row],[Frequentie weekend]]&gt;0,VALUE(LEFT(Z1196,1))*S1196,0)</f>
        <v>0</v>
      </c>
      <c r="AB1196" s="33">
        <f>IF($AA1196&gt;0,VLOOKUP($K1196,Ruimtegroepen[],3,FALSE)*VLOOKUP($M1196,Vloersoorten[],3,FALSE)*VLOOKUP($Z1196,Frequenties[],3,FALSE)*VLOOKUP(#REF!,Locaties[],3,FALSE),0)</f>
        <v>0</v>
      </c>
      <c r="AC1196" s="33"/>
      <c r="AD1196" s="33"/>
      <c r="AE1196" s="33">
        <f>Ruimtestaat[[#This Row],[uren / jaar weekend]]*Tariefsopbouw!$D$40</f>
        <v>0</v>
      </c>
      <c r="AF1196" s="79">
        <f>Ruimtestaat[[#This Row],[Prest. (m2 /jaar) weekend]]+Ruimtestaat[[#This Row],[Prest. (m2 /jaar) werkdagen]]</f>
        <v>5760</v>
      </c>
      <c r="AG1196" s="79">
        <f>Ruimtestaat[[#This Row],[uren / jaar weekend]]+Ruimtestaat[[#This Row],[uren / jaar werkdagen]]</f>
        <v>0</v>
      </c>
      <c r="AH1196" s="80">
        <f>Ruimtestaat[[#This Row],[kosten / jaar weekend]]+Ruimtestaat[[#This Row],[kosten / jaar werkdagen]]</f>
        <v>0</v>
      </c>
    </row>
    <row r="1197" spans="1:34" ht="15" customHeight="1">
      <c r="A1197" s="256">
        <v>14</v>
      </c>
      <c r="B1197" s="171" t="str">
        <f>VLOOKUP(Ruimtestaat[[#This Row],[Code]],Locaties[#All],2,FALSE)</f>
        <v>De Meander</v>
      </c>
      <c r="C1197" s="258" t="str">
        <f>VLOOKUP(Ruimtestaat[[#This Row],[Code]],Locaties[#All],4,FALSE)</f>
        <v>Oldenzaalsestraat 134</v>
      </c>
      <c r="D1197" s="258" t="str">
        <f>VLOOKUP(Ruimtestaat[[#This Row],[Code]],Locaties[#All],5,FALSE)</f>
        <v>7581 KL</v>
      </c>
      <c r="E1197" s="258" t="str">
        <f>VLOOKUP(Ruimtestaat[[#This Row],[Code]],Locaties[#All],6,FALSE)</f>
        <v>Losser</v>
      </c>
      <c r="F1197" s="257"/>
      <c r="G1197" s="257" t="s">
        <v>563</v>
      </c>
      <c r="H1197" s="171"/>
      <c r="I1197" s="257" t="s">
        <v>447</v>
      </c>
      <c r="J1197" s="259" t="s">
        <v>574</v>
      </c>
      <c r="K1197" s="258">
        <v>6</v>
      </c>
      <c r="L1197" s="260" t="str">
        <f>VLOOKUP(Ruimtestaat[[#This Row],[Ruimte code]],Ruimtegroepen[#All],2,FALSE)</f>
        <v>Gangen/hallen</v>
      </c>
      <c r="M1197" s="258" t="s">
        <v>598</v>
      </c>
      <c r="N1197" s="257" t="s">
        <v>132</v>
      </c>
      <c r="O1197" s="261">
        <v>173</v>
      </c>
      <c r="P1197" s="183"/>
      <c r="Q1197" s="212" t="str">
        <f>VLOOKUP(Ruimtestaat[[#This Row],[Ruimte code]],Ruimtegroepen[#All],4,FALSE)</f>
        <v>V  (Verkeersruimte)</v>
      </c>
      <c r="R1197" s="184"/>
      <c r="S1197" s="185">
        <v>48</v>
      </c>
      <c r="T1197" s="185" t="s">
        <v>2</v>
      </c>
      <c r="U1197" s="185">
        <f>IF(S1197&gt;0,IF(RIGHT(Ruimtestaat[[#This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97" s="185">
        <f>IF(U1197&gt;0,VLOOKUP($K1197,Ruimtegroepen[],3,FALSE)*VLOOKUP($M1197,Vloersoorten[],3,FALSE)*VLOOKUP($T1197,Frequenties[],3,FALSE)*VLOOKUP($A1197,Locaties[],3,FALSE),0)</f>
        <v>0</v>
      </c>
      <c r="W1197" s="185">
        <f>Ruimtestaat[[#This Row],[Uitvoeringen werkdagen]]*Ruimtestaat[[#This Row],[Oppervlak (netto)]]</f>
        <v>41520</v>
      </c>
      <c r="X1197" s="220">
        <f>IF(V1197&gt;0,Ruimtestaat[[#This Row],[Prest. (m2 /jaar) werkdagen]]/Ruimtestaat[[#This Row],[Norm (m2/uur) werkdagen]],0)</f>
        <v>0</v>
      </c>
      <c r="Y1197" s="221">
        <f>Ruimtestaat[[#This Row],[uren / jaar werkdagen]]*Tariefsopbouw!$D$38</f>
        <v>0</v>
      </c>
      <c r="Z1197" s="33"/>
      <c r="AA1197" s="33">
        <f>IF(Ruimtestaat[[#This Row],[Frequentie weekend]]&gt;0,VALUE(LEFT(Z1197,1))*S1197,0)</f>
        <v>0</v>
      </c>
      <c r="AB1197" s="33">
        <f>IF($AA1197&gt;0,VLOOKUP($K1197,Ruimtegroepen[],3,FALSE)*VLOOKUP($M1197,Vloersoorten[],3,FALSE)*VLOOKUP($Z1197,Frequenties[],3,FALSE)*VLOOKUP(#REF!,Locaties[],3,FALSE),0)</f>
        <v>0</v>
      </c>
      <c r="AC1197" s="33"/>
      <c r="AD1197" s="33"/>
      <c r="AE1197" s="33">
        <f>Ruimtestaat[[#This Row],[uren / jaar weekend]]*Tariefsopbouw!$D$40</f>
        <v>0</v>
      </c>
      <c r="AF1197" s="79">
        <f>Ruimtestaat[[#This Row],[Prest. (m2 /jaar) weekend]]+Ruimtestaat[[#This Row],[Prest. (m2 /jaar) werkdagen]]</f>
        <v>41520</v>
      </c>
      <c r="AG1197" s="79">
        <f>Ruimtestaat[[#This Row],[uren / jaar weekend]]+Ruimtestaat[[#This Row],[uren / jaar werkdagen]]</f>
        <v>0</v>
      </c>
      <c r="AH1197" s="80">
        <f>Ruimtestaat[[#This Row],[kosten / jaar weekend]]+Ruimtestaat[[#This Row],[kosten / jaar werkdagen]]</f>
        <v>0</v>
      </c>
    </row>
    <row r="1198" spans="1:34" ht="15" customHeight="1">
      <c r="A1198" s="256">
        <v>14</v>
      </c>
      <c r="B1198" s="171" t="str">
        <f>VLOOKUP(Ruimtestaat[[#This Row],[Code]],Locaties[#All],2,FALSE)</f>
        <v>De Meander</v>
      </c>
      <c r="C1198" s="258" t="str">
        <f>VLOOKUP(Ruimtestaat[[#This Row],[Code]],Locaties[#All],4,FALSE)</f>
        <v>Oldenzaalsestraat 134</v>
      </c>
      <c r="D1198" s="258" t="str">
        <f>VLOOKUP(Ruimtestaat[[#This Row],[Code]],Locaties[#All],5,FALSE)</f>
        <v>7581 KL</v>
      </c>
      <c r="E1198" s="258" t="str">
        <f>VLOOKUP(Ruimtestaat[[#This Row],[Code]],Locaties[#All],6,FALSE)</f>
        <v>Losser</v>
      </c>
      <c r="F1198" s="257"/>
      <c r="G1198" s="257" t="s">
        <v>563</v>
      </c>
      <c r="H1198" s="171"/>
      <c r="I1198" s="257" t="s">
        <v>446</v>
      </c>
      <c r="J1198" s="259" t="s">
        <v>604</v>
      </c>
      <c r="K1198" s="258">
        <v>7</v>
      </c>
      <c r="L1198" s="260" t="str">
        <f>VLOOKUP(Ruimtestaat[[#This Row],[Ruimte code]],Ruimtegroepen[#All],2,FALSE)</f>
        <v>Entree</v>
      </c>
      <c r="M1198" s="258" t="s">
        <v>597</v>
      </c>
      <c r="N1198" s="257" t="s">
        <v>38</v>
      </c>
      <c r="O1198" s="261">
        <v>14</v>
      </c>
      <c r="P1198" s="183"/>
      <c r="Q1198" s="212" t="str">
        <f>VLOOKUP(Ruimtestaat[[#This Row],[Ruimte code]],Ruimtegroepen[#All],4,FALSE)</f>
        <v>V  (Verkeersruimte)</v>
      </c>
      <c r="R1198" s="184"/>
      <c r="S1198" s="185">
        <v>48</v>
      </c>
      <c r="T1198" s="185" t="s">
        <v>2</v>
      </c>
      <c r="U1198" s="185">
        <f>IF(S1198&gt;0,IF(RIGHT(Ruimtestaat[[#This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198" s="185">
        <f>IF(U1198&gt;0,VLOOKUP($K1198,Ruimtegroepen[],3,FALSE)*VLOOKUP($M1198,Vloersoorten[],3,FALSE)*VLOOKUP($T1198,Frequenties[],3,FALSE)*VLOOKUP($A1198,Locaties[],3,FALSE),0)</f>
        <v>0</v>
      </c>
      <c r="W1198" s="185">
        <f>Ruimtestaat[[#This Row],[Uitvoeringen werkdagen]]*Ruimtestaat[[#This Row],[Oppervlak (netto)]]</f>
        <v>3360</v>
      </c>
      <c r="X1198" s="220">
        <f>IF(V1198&gt;0,Ruimtestaat[[#This Row],[Prest. (m2 /jaar) werkdagen]]/Ruimtestaat[[#This Row],[Norm (m2/uur) werkdagen]],0)</f>
        <v>0</v>
      </c>
      <c r="Y1198" s="221">
        <f>Ruimtestaat[[#This Row],[uren / jaar werkdagen]]*Tariefsopbouw!$D$38</f>
        <v>0</v>
      </c>
      <c r="Z1198" s="33"/>
      <c r="AA1198" s="33">
        <f>IF(Ruimtestaat[[#This Row],[Frequentie weekend]]&gt;0,VALUE(LEFT(Z1198,1))*S1198,0)</f>
        <v>0</v>
      </c>
      <c r="AB1198" s="33">
        <f>IF($AA1198&gt;0,VLOOKUP($K1198,Ruimtegroepen[],3,FALSE)*VLOOKUP($M1198,Vloersoorten[],3,FALSE)*VLOOKUP($Z1198,Frequenties[],3,FALSE)*VLOOKUP(#REF!,Locaties[],3,FALSE),0)</f>
        <v>0</v>
      </c>
      <c r="AC1198" s="33"/>
      <c r="AD1198" s="33"/>
      <c r="AE1198" s="33">
        <f>Ruimtestaat[[#This Row],[uren / jaar weekend]]*Tariefsopbouw!$D$40</f>
        <v>0</v>
      </c>
      <c r="AF1198" s="79">
        <f>Ruimtestaat[[#This Row],[Prest. (m2 /jaar) weekend]]+Ruimtestaat[[#This Row],[Prest. (m2 /jaar) werkdagen]]</f>
        <v>3360</v>
      </c>
      <c r="AG1198" s="79">
        <f>Ruimtestaat[[#This Row],[uren / jaar weekend]]+Ruimtestaat[[#This Row],[uren / jaar werkdagen]]</f>
        <v>0</v>
      </c>
      <c r="AH1198" s="80">
        <f>Ruimtestaat[[#This Row],[kosten / jaar weekend]]+Ruimtestaat[[#This Row],[kosten / jaar werkdagen]]</f>
        <v>0</v>
      </c>
    </row>
    <row r="1199" spans="1:34" ht="15" customHeight="1">
      <c r="A1199" s="256">
        <v>14</v>
      </c>
      <c r="B1199" s="171" t="str">
        <f>VLOOKUP(Ruimtestaat[[#This Row],[Code]],Locaties[#All],2,FALSE)</f>
        <v>De Meander</v>
      </c>
      <c r="C1199" s="258" t="str">
        <f>VLOOKUP(Ruimtestaat[[#This Row],[Code]],Locaties[#All],4,FALSE)</f>
        <v>Oldenzaalsestraat 134</v>
      </c>
      <c r="D1199" s="258" t="str">
        <f>VLOOKUP(Ruimtestaat[[#This Row],[Code]],Locaties[#All],5,FALSE)</f>
        <v>7581 KL</v>
      </c>
      <c r="E1199" s="258" t="str">
        <f>VLOOKUP(Ruimtestaat[[#This Row],[Code]],Locaties[#All],6,FALSE)</f>
        <v>Losser</v>
      </c>
      <c r="F1199" s="257"/>
      <c r="G1199" s="257" t="s">
        <v>563</v>
      </c>
      <c r="H1199" s="171"/>
      <c r="I1199" s="257" t="s">
        <v>489</v>
      </c>
      <c r="J1199" s="259" t="s">
        <v>571</v>
      </c>
      <c r="K1199" s="258">
        <v>2</v>
      </c>
      <c r="L1199" s="260" t="str">
        <f>VLOOKUP(Ruimtestaat[[#This Row],[Ruimte code]],Ruimtegroepen[#All],2,FALSE)</f>
        <v>Kantoren</v>
      </c>
      <c r="M1199" s="258" t="s">
        <v>598</v>
      </c>
      <c r="N1199" s="257" t="s">
        <v>132</v>
      </c>
      <c r="O1199" s="261">
        <v>11</v>
      </c>
      <c r="P1199" s="183"/>
      <c r="Q1199" s="212" t="str">
        <f>VLOOKUP(Ruimtestaat[[#This Row],[Ruimte code]],Ruimtegroepen[#All],4,FALSE)</f>
        <v>B  (Bureauruimte)</v>
      </c>
      <c r="R1199" s="184"/>
      <c r="S1199" s="185">
        <v>40</v>
      </c>
      <c r="T1199" s="185" t="s">
        <v>2</v>
      </c>
      <c r="U1199" s="185">
        <f>IF(S1199&gt;0,IF(RIGHT(Ruimtestaat[[#This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99" s="185">
        <f>IF(U1199&gt;0,VLOOKUP($K1199,Ruimtegroepen[],3,FALSE)*VLOOKUP($M1199,Vloersoorten[],3,FALSE)*VLOOKUP($T1199,Frequenties[],3,FALSE)*VLOOKUP($A1199,Locaties[],3,FALSE),0)</f>
        <v>0</v>
      </c>
      <c r="W1199" s="185">
        <f>Ruimtestaat[[#This Row],[Uitvoeringen werkdagen]]*Ruimtestaat[[#This Row],[Oppervlak (netto)]]</f>
        <v>2200</v>
      </c>
      <c r="X1199" s="220">
        <f>IF(V1199&gt;0,Ruimtestaat[[#This Row],[Prest. (m2 /jaar) werkdagen]]/Ruimtestaat[[#This Row],[Norm (m2/uur) werkdagen]],0)</f>
        <v>0</v>
      </c>
      <c r="Y1199" s="221">
        <f>Ruimtestaat[[#This Row],[uren / jaar werkdagen]]*Tariefsopbouw!$D$38</f>
        <v>0</v>
      </c>
      <c r="Z1199" s="33"/>
      <c r="AA1199" s="33">
        <f>IF(Ruimtestaat[[#This Row],[Frequentie weekend]]&gt;0,VALUE(LEFT(Z1199,1))*S1199,0)</f>
        <v>0</v>
      </c>
      <c r="AB1199" s="33">
        <f>IF($AA1199&gt;0,VLOOKUP($K1199,Ruimtegroepen[],3,FALSE)*VLOOKUP($M1199,Vloersoorten[],3,FALSE)*VLOOKUP($Z1199,Frequenties[],3,FALSE)*VLOOKUP(#REF!,Locaties[],3,FALSE),0)</f>
        <v>0</v>
      </c>
      <c r="AC1199" s="33"/>
      <c r="AD1199" s="33"/>
      <c r="AE1199" s="33">
        <f>Ruimtestaat[[#This Row],[uren / jaar weekend]]*Tariefsopbouw!$D$40</f>
        <v>0</v>
      </c>
      <c r="AF1199" s="79">
        <f>Ruimtestaat[[#This Row],[Prest. (m2 /jaar) weekend]]+Ruimtestaat[[#This Row],[Prest. (m2 /jaar) werkdagen]]</f>
        <v>2200</v>
      </c>
      <c r="AG1199" s="79">
        <f>Ruimtestaat[[#This Row],[uren / jaar weekend]]+Ruimtestaat[[#This Row],[uren / jaar werkdagen]]</f>
        <v>0</v>
      </c>
      <c r="AH1199" s="80">
        <f>Ruimtestaat[[#This Row],[kosten / jaar weekend]]+Ruimtestaat[[#This Row],[kosten / jaar werkdagen]]</f>
        <v>0</v>
      </c>
    </row>
    <row r="1200" spans="1:34" ht="15" customHeight="1">
      <c r="A1200" s="256">
        <v>14</v>
      </c>
      <c r="B1200" s="171" t="str">
        <f>VLOOKUP(Ruimtestaat[[#This Row],[Code]],Locaties[#All],2,FALSE)</f>
        <v>De Meander</v>
      </c>
      <c r="C1200" s="258" t="str">
        <f>VLOOKUP(Ruimtestaat[[#This Row],[Code]],Locaties[#All],4,FALSE)</f>
        <v>Oldenzaalsestraat 134</v>
      </c>
      <c r="D1200" s="258" t="str">
        <f>VLOOKUP(Ruimtestaat[[#This Row],[Code]],Locaties[#All],5,FALSE)</f>
        <v>7581 KL</v>
      </c>
      <c r="E1200" s="258" t="str">
        <f>VLOOKUP(Ruimtestaat[[#This Row],[Code]],Locaties[#All],6,FALSE)</f>
        <v>Losser</v>
      </c>
      <c r="F1200" s="257"/>
      <c r="G1200" s="257" t="s">
        <v>563</v>
      </c>
      <c r="H1200" s="171"/>
      <c r="I1200" s="257" t="s">
        <v>487</v>
      </c>
      <c r="J1200" s="259" t="s">
        <v>571</v>
      </c>
      <c r="K1200" s="171">
        <v>2</v>
      </c>
      <c r="L1200" s="260" t="str">
        <f>VLOOKUP(Ruimtestaat[[#This Row],[Ruimte code]],Ruimtegroepen[#All],2,FALSE)</f>
        <v>Kantoren</v>
      </c>
      <c r="M1200" s="258" t="s">
        <v>598</v>
      </c>
      <c r="N1200" s="257" t="s">
        <v>132</v>
      </c>
      <c r="O1200" s="261">
        <v>10</v>
      </c>
      <c r="P1200" s="183"/>
      <c r="Q1200" s="212" t="str">
        <f>VLOOKUP(Ruimtestaat[[#This Row],[Ruimte code]],Ruimtegroepen[#All],4,FALSE)</f>
        <v>B  (Bureauruimte)</v>
      </c>
      <c r="R1200" s="184"/>
      <c r="S1200" s="185">
        <v>40</v>
      </c>
      <c r="T1200" s="185" t="s">
        <v>2</v>
      </c>
      <c r="U1200" s="185">
        <f>IF(S1200&gt;0,IF(RIGHT(Ruimtestaat[[#This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0" s="185">
        <f>IF(U1200&gt;0,VLOOKUP($K1200,Ruimtegroepen[],3,FALSE)*VLOOKUP($M1200,Vloersoorten[],3,FALSE)*VLOOKUP($T1200,Frequenties[],3,FALSE)*VLOOKUP($A1200,Locaties[],3,FALSE),0)</f>
        <v>0</v>
      </c>
      <c r="W1200" s="185">
        <f>Ruimtestaat[[#This Row],[Uitvoeringen werkdagen]]*Ruimtestaat[[#This Row],[Oppervlak (netto)]]</f>
        <v>2000</v>
      </c>
      <c r="X1200" s="220">
        <f>IF(V1200&gt;0,Ruimtestaat[[#This Row],[Prest. (m2 /jaar) werkdagen]]/Ruimtestaat[[#This Row],[Norm (m2/uur) werkdagen]],0)</f>
        <v>0</v>
      </c>
      <c r="Y1200" s="221">
        <f>Ruimtestaat[[#This Row],[uren / jaar werkdagen]]*Tariefsopbouw!$D$38</f>
        <v>0</v>
      </c>
      <c r="Z1200" s="33"/>
      <c r="AA1200" s="33">
        <f>IF(Ruimtestaat[[#This Row],[Frequentie weekend]]&gt;0,VALUE(LEFT(Z1200,1))*S1200,0)</f>
        <v>0</v>
      </c>
      <c r="AB1200" s="33">
        <f>IF($AA1200&gt;0,VLOOKUP($K1200,Ruimtegroepen[],3,FALSE)*VLOOKUP($M1200,Vloersoorten[],3,FALSE)*VLOOKUP($Z1200,Frequenties[],3,FALSE)*VLOOKUP(#REF!,Locaties[],3,FALSE),0)</f>
        <v>0</v>
      </c>
      <c r="AC1200" s="33"/>
      <c r="AD1200" s="33"/>
      <c r="AE1200" s="33">
        <f>Ruimtestaat[[#This Row],[uren / jaar weekend]]*Tariefsopbouw!$D$40</f>
        <v>0</v>
      </c>
      <c r="AF1200" s="79">
        <f>Ruimtestaat[[#This Row],[Prest. (m2 /jaar) weekend]]+Ruimtestaat[[#This Row],[Prest. (m2 /jaar) werkdagen]]</f>
        <v>2000</v>
      </c>
      <c r="AG1200" s="79">
        <f>Ruimtestaat[[#This Row],[uren / jaar weekend]]+Ruimtestaat[[#This Row],[uren / jaar werkdagen]]</f>
        <v>0</v>
      </c>
      <c r="AH1200" s="80">
        <f>Ruimtestaat[[#This Row],[kosten / jaar weekend]]+Ruimtestaat[[#This Row],[kosten / jaar werkdagen]]</f>
        <v>0</v>
      </c>
    </row>
    <row r="1201" spans="1:34" ht="15" customHeight="1">
      <c r="A1201" s="256">
        <v>14</v>
      </c>
      <c r="B1201" s="171" t="str">
        <f>VLOOKUP(Ruimtestaat[[#This Row],[Code]],Locaties[#All],2,FALSE)</f>
        <v>De Meander</v>
      </c>
      <c r="C1201" s="258" t="str">
        <f>VLOOKUP(Ruimtestaat[[#This Row],[Code]],Locaties[#All],4,FALSE)</f>
        <v>Oldenzaalsestraat 134</v>
      </c>
      <c r="D1201" s="258" t="str">
        <f>VLOOKUP(Ruimtestaat[[#This Row],[Code]],Locaties[#All],5,FALSE)</f>
        <v>7581 KL</v>
      </c>
      <c r="E1201" s="258" t="str">
        <f>VLOOKUP(Ruimtestaat[[#This Row],[Code]],Locaties[#All],6,FALSE)</f>
        <v>Losser</v>
      </c>
      <c r="F1201" s="257"/>
      <c r="G1201" s="257" t="s">
        <v>563</v>
      </c>
      <c r="H1201" s="171"/>
      <c r="I1201" s="257" t="s">
        <v>486</v>
      </c>
      <c r="J1201" s="259" t="s">
        <v>675</v>
      </c>
      <c r="K1201" s="171">
        <v>16</v>
      </c>
      <c r="L1201" s="260" t="str">
        <f>VLOOKUP(Ruimtestaat[[#This Row],[Ruimte code]],Ruimtegroepen[#All],2,FALSE)</f>
        <v>Leslokalen</v>
      </c>
      <c r="M1201" s="258" t="s">
        <v>598</v>
      </c>
      <c r="N1201" s="257" t="s">
        <v>132</v>
      </c>
      <c r="O1201" s="261">
        <v>38</v>
      </c>
      <c r="P1201" s="183"/>
      <c r="Q1201" s="212" t="str">
        <f>VLOOKUP(Ruimtestaat[[#This Row],[Ruimte code]],Ruimtegroepen[#All],4,FALSE)</f>
        <v>L  (Lesruimte)</v>
      </c>
      <c r="R1201" s="184"/>
      <c r="S1201" s="185">
        <v>48</v>
      </c>
      <c r="T1201" s="185" t="s">
        <v>2</v>
      </c>
      <c r="U1201" s="185">
        <f>IF(S1201&gt;0,IF(RIGHT(Ruimtestaat[[#This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01" s="185">
        <f>IF(U1201&gt;0,VLOOKUP($K1201,Ruimtegroepen[],3,FALSE)*VLOOKUP($M1201,Vloersoorten[],3,FALSE)*VLOOKUP($T1201,Frequenties[],3,FALSE)*VLOOKUP($A1201,Locaties[],3,FALSE),0)</f>
        <v>0</v>
      </c>
      <c r="W1201" s="185">
        <f>Ruimtestaat[[#This Row],[Uitvoeringen werkdagen]]*Ruimtestaat[[#This Row],[Oppervlak (netto)]]</f>
        <v>9120</v>
      </c>
      <c r="X1201" s="220">
        <f>IF(V1201&gt;0,Ruimtestaat[[#This Row],[Prest. (m2 /jaar) werkdagen]]/Ruimtestaat[[#This Row],[Norm (m2/uur) werkdagen]],0)</f>
        <v>0</v>
      </c>
      <c r="Y1201" s="221">
        <f>Ruimtestaat[[#This Row],[uren / jaar werkdagen]]*Tariefsopbouw!$D$38</f>
        <v>0</v>
      </c>
      <c r="Z1201" s="33"/>
      <c r="AA1201" s="33">
        <f>IF(Ruimtestaat[[#This Row],[Frequentie weekend]]&gt;0,VALUE(LEFT(Z1201,1))*S1201,0)</f>
        <v>0</v>
      </c>
      <c r="AB1201" s="33">
        <f>IF($AA1201&gt;0,VLOOKUP($K1201,Ruimtegroepen[],3,FALSE)*VLOOKUP($M1201,Vloersoorten[],3,FALSE)*VLOOKUP($Z1201,Frequenties[],3,FALSE)*VLOOKUP(#REF!,Locaties[],3,FALSE),0)</f>
        <v>0</v>
      </c>
      <c r="AC1201" s="33"/>
      <c r="AD1201" s="33"/>
      <c r="AE1201" s="33">
        <f>Ruimtestaat[[#This Row],[uren / jaar weekend]]*Tariefsopbouw!$D$40</f>
        <v>0</v>
      </c>
      <c r="AF1201" s="79">
        <f>Ruimtestaat[[#This Row],[Prest. (m2 /jaar) weekend]]+Ruimtestaat[[#This Row],[Prest. (m2 /jaar) werkdagen]]</f>
        <v>9120</v>
      </c>
      <c r="AG1201" s="79">
        <f>Ruimtestaat[[#This Row],[uren / jaar weekend]]+Ruimtestaat[[#This Row],[uren / jaar werkdagen]]</f>
        <v>0</v>
      </c>
      <c r="AH1201" s="80">
        <f>Ruimtestaat[[#This Row],[kosten / jaar weekend]]+Ruimtestaat[[#This Row],[kosten / jaar werkdagen]]</f>
        <v>0</v>
      </c>
    </row>
    <row r="1202" spans="1:34" ht="15" customHeight="1">
      <c r="A1202" s="256">
        <v>14</v>
      </c>
      <c r="B1202" s="171" t="str">
        <f>VLOOKUP(Ruimtestaat[[#This Row],[Code]],Locaties[#All],2,FALSE)</f>
        <v>De Meander</v>
      </c>
      <c r="C1202" s="258" t="str">
        <f>VLOOKUP(Ruimtestaat[[#This Row],[Code]],Locaties[#All],4,FALSE)</f>
        <v>Oldenzaalsestraat 134</v>
      </c>
      <c r="D1202" s="258" t="str">
        <f>VLOOKUP(Ruimtestaat[[#This Row],[Code]],Locaties[#All],5,FALSE)</f>
        <v>7581 KL</v>
      </c>
      <c r="E1202" s="258" t="str">
        <f>VLOOKUP(Ruimtestaat[[#This Row],[Code]],Locaties[#All],6,FALSE)</f>
        <v>Losser</v>
      </c>
      <c r="F1202" s="257"/>
      <c r="G1202" s="257" t="s">
        <v>563</v>
      </c>
      <c r="H1202" s="171"/>
      <c r="I1202" s="257" t="s">
        <v>455</v>
      </c>
      <c r="J1202" s="259" t="s">
        <v>569</v>
      </c>
      <c r="K1202" s="171">
        <v>5</v>
      </c>
      <c r="L1202" s="260" t="str">
        <f>VLOOKUP(Ruimtestaat[[#This Row],[Ruimte code]],Ruimtegroepen[#All],2,FALSE)</f>
        <v>Sanitair</v>
      </c>
      <c r="M1202" s="212" t="s">
        <v>111</v>
      </c>
      <c r="N1202" s="257" t="s">
        <v>605</v>
      </c>
      <c r="O1202" s="261">
        <v>10</v>
      </c>
      <c r="P1202" s="183"/>
      <c r="Q1202" s="212" t="str">
        <f>VLOOKUP(Ruimtestaat[[#This Row],[Ruimte code]],Ruimtegroepen[#All],4,FALSE)</f>
        <v>S  (Sanitair)</v>
      </c>
      <c r="R1202" s="184"/>
      <c r="S1202" s="185">
        <v>48</v>
      </c>
      <c r="T1202" s="185" t="s">
        <v>2</v>
      </c>
      <c r="U1202" s="185">
        <f>IF(S1202&gt;0,IF(RIGHT(Ruimtestaat[[#This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02" s="185">
        <f>IF(U1202&gt;0,VLOOKUP($K1202,Ruimtegroepen[],3,FALSE)*VLOOKUP($M1202,Vloersoorten[],3,FALSE)*VLOOKUP($T1202,Frequenties[],3,FALSE)*VLOOKUP($A1202,Locaties[],3,FALSE),0)</f>
        <v>0</v>
      </c>
      <c r="W1202" s="185">
        <f>Ruimtestaat[[#This Row],[Uitvoeringen werkdagen]]*Ruimtestaat[[#This Row],[Oppervlak (netto)]]</f>
        <v>2400</v>
      </c>
      <c r="X1202" s="220">
        <f>IF(V1202&gt;0,Ruimtestaat[[#This Row],[Prest. (m2 /jaar) werkdagen]]/Ruimtestaat[[#This Row],[Norm (m2/uur) werkdagen]],0)</f>
        <v>0</v>
      </c>
      <c r="Y1202" s="221">
        <f>Ruimtestaat[[#This Row],[uren / jaar werkdagen]]*Tariefsopbouw!$D$38</f>
        <v>0</v>
      </c>
      <c r="Z1202" s="33"/>
      <c r="AA1202" s="33">
        <f>IF(Ruimtestaat[[#This Row],[Frequentie weekend]]&gt;0,VALUE(LEFT(Z1202,1))*S1202,0)</f>
        <v>0</v>
      </c>
      <c r="AB1202" s="33">
        <f>IF($AA1202&gt;0,VLOOKUP($K1202,Ruimtegroepen[],3,FALSE)*VLOOKUP($M1202,Vloersoorten[],3,FALSE)*VLOOKUP($Z1202,Frequenties[],3,FALSE)*VLOOKUP(#REF!,Locaties[],3,FALSE),0)</f>
        <v>0</v>
      </c>
      <c r="AC1202" s="33"/>
      <c r="AD1202" s="33"/>
      <c r="AE1202" s="33">
        <f>Ruimtestaat[[#This Row],[uren / jaar weekend]]*Tariefsopbouw!$D$40</f>
        <v>0</v>
      </c>
      <c r="AF1202" s="79">
        <f>Ruimtestaat[[#This Row],[Prest. (m2 /jaar) weekend]]+Ruimtestaat[[#This Row],[Prest. (m2 /jaar) werkdagen]]</f>
        <v>2400</v>
      </c>
      <c r="AG1202" s="79">
        <f>Ruimtestaat[[#This Row],[uren / jaar weekend]]+Ruimtestaat[[#This Row],[uren / jaar werkdagen]]</f>
        <v>0</v>
      </c>
      <c r="AH1202" s="80">
        <f>Ruimtestaat[[#This Row],[kosten / jaar weekend]]+Ruimtestaat[[#This Row],[kosten / jaar werkdagen]]</f>
        <v>0</v>
      </c>
    </row>
    <row r="1203" spans="1:34" ht="15" customHeight="1">
      <c r="A1203" s="256">
        <v>14</v>
      </c>
      <c r="B1203" s="171" t="str">
        <f>VLOOKUP(Ruimtestaat[[#This Row],[Code]],Locaties[#All],2,FALSE)</f>
        <v>De Meander</v>
      </c>
      <c r="C1203" s="258" t="str">
        <f>VLOOKUP(Ruimtestaat[[#This Row],[Code]],Locaties[#All],4,FALSE)</f>
        <v>Oldenzaalsestraat 134</v>
      </c>
      <c r="D1203" s="258" t="str">
        <f>VLOOKUP(Ruimtestaat[[#This Row],[Code]],Locaties[#All],5,FALSE)</f>
        <v>7581 KL</v>
      </c>
      <c r="E1203" s="258" t="str">
        <f>VLOOKUP(Ruimtestaat[[#This Row],[Code]],Locaties[#All],6,FALSE)</f>
        <v>Losser</v>
      </c>
      <c r="F1203" s="257"/>
      <c r="G1203" s="257" t="s">
        <v>563</v>
      </c>
      <c r="H1203" s="171"/>
      <c r="I1203" s="257" t="s">
        <v>456</v>
      </c>
      <c r="J1203" s="259" t="s">
        <v>569</v>
      </c>
      <c r="K1203" s="258">
        <v>5</v>
      </c>
      <c r="L1203" s="260" t="str">
        <f>VLOOKUP(Ruimtestaat[[#This Row],[Ruimte code]],Ruimtegroepen[#All],2,FALSE)</f>
        <v>Sanitair</v>
      </c>
      <c r="M1203" s="212" t="s">
        <v>111</v>
      </c>
      <c r="N1203" s="257" t="s">
        <v>605</v>
      </c>
      <c r="O1203" s="261">
        <v>10</v>
      </c>
      <c r="P1203" s="183"/>
      <c r="Q1203" s="212" t="str">
        <f>VLOOKUP(Ruimtestaat[[#This Row],[Ruimte code]],Ruimtegroepen[#All],4,FALSE)</f>
        <v>S  (Sanitair)</v>
      </c>
      <c r="R1203" s="184"/>
      <c r="S1203" s="185">
        <v>48</v>
      </c>
      <c r="T1203" s="185" t="s">
        <v>2</v>
      </c>
      <c r="U1203" s="185">
        <f>IF(S1203&gt;0,IF(RIGHT(Ruimtestaat[[#This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03" s="185">
        <f>IF(U1203&gt;0,VLOOKUP($K1203,Ruimtegroepen[],3,FALSE)*VLOOKUP($M1203,Vloersoorten[],3,FALSE)*VLOOKUP($T1203,Frequenties[],3,FALSE)*VLOOKUP($A1203,Locaties[],3,FALSE),0)</f>
        <v>0</v>
      </c>
      <c r="W1203" s="185">
        <f>Ruimtestaat[[#This Row],[Uitvoeringen werkdagen]]*Ruimtestaat[[#This Row],[Oppervlak (netto)]]</f>
        <v>2400</v>
      </c>
      <c r="X1203" s="220">
        <f>IF(V1203&gt;0,Ruimtestaat[[#This Row],[Prest. (m2 /jaar) werkdagen]]/Ruimtestaat[[#This Row],[Norm (m2/uur) werkdagen]],0)</f>
        <v>0</v>
      </c>
      <c r="Y1203" s="221">
        <f>Ruimtestaat[[#This Row],[uren / jaar werkdagen]]*Tariefsopbouw!$D$38</f>
        <v>0</v>
      </c>
      <c r="Z1203" s="33"/>
      <c r="AA1203" s="33">
        <f>IF(Ruimtestaat[[#This Row],[Frequentie weekend]]&gt;0,VALUE(LEFT(Z1203,1))*S1203,0)</f>
        <v>0</v>
      </c>
      <c r="AB1203" s="33">
        <f>IF($AA1203&gt;0,VLOOKUP($K1203,Ruimtegroepen[],3,FALSE)*VLOOKUP($M1203,Vloersoorten[],3,FALSE)*VLOOKUP($Z1203,Frequenties[],3,FALSE)*VLOOKUP(#REF!,Locaties[],3,FALSE),0)</f>
        <v>0</v>
      </c>
      <c r="AC1203" s="33"/>
      <c r="AD1203" s="33"/>
      <c r="AE1203" s="33">
        <f>Ruimtestaat[[#This Row],[uren / jaar weekend]]*Tariefsopbouw!$D$40</f>
        <v>0</v>
      </c>
      <c r="AF1203" s="79">
        <f>Ruimtestaat[[#This Row],[Prest. (m2 /jaar) weekend]]+Ruimtestaat[[#This Row],[Prest. (m2 /jaar) werkdagen]]</f>
        <v>2400</v>
      </c>
      <c r="AG1203" s="79">
        <f>Ruimtestaat[[#This Row],[uren / jaar weekend]]+Ruimtestaat[[#This Row],[uren / jaar werkdagen]]</f>
        <v>0</v>
      </c>
      <c r="AH1203" s="80">
        <f>Ruimtestaat[[#This Row],[kosten / jaar weekend]]+Ruimtestaat[[#This Row],[kosten / jaar werkdagen]]</f>
        <v>0</v>
      </c>
    </row>
    <row r="1204" spans="1:34" ht="15" customHeight="1">
      <c r="A1204" s="256">
        <v>14</v>
      </c>
      <c r="B1204" s="171" t="str">
        <f>VLOOKUP(Ruimtestaat[[#This Row],[Code]],Locaties[#All],2,FALSE)</f>
        <v>De Meander</v>
      </c>
      <c r="C1204" s="258" t="str">
        <f>VLOOKUP(Ruimtestaat[[#This Row],[Code]],Locaties[#All],4,FALSE)</f>
        <v>Oldenzaalsestraat 134</v>
      </c>
      <c r="D1204" s="258" t="str">
        <f>VLOOKUP(Ruimtestaat[[#This Row],[Code]],Locaties[#All],5,FALSE)</f>
        <v>7581 KL</v>
      </c>
      <c r="E1204" s="258" t="str">
        <f>VLOOKUP(Ruimtestaat[[#This Row],[Code]],Locaties[#All],6,FALSE)</f>
        <v>Losser</v>
      </c>
      <c r="F1204" s="257"/>
      <c r="G1204" s="257" t="s">
        <v>563</v>
      </c>
      <c r="H1204" s="171"/>
      <c r="I1204" s="257" t="s">
        <v>676</v>
      </c>
      <c r="J1204" s="259" t="s">
        <v>573</v>
      </c>
      <c r="K1204" s="258">
        <v>20</v>
      </c>
      <c r="L1204" s="260" t="str">
        <f>VLOOKUP(Ruimtestaat[[#This Row],[Ruimte code]],Ruimtegroepen[#All],2,FALSE)</f>
        <v>Niet in onderhoud</v>
      </c>
      <c r="M1204" s="212" t="s">
        <v>111</v>
      </c>
      <c r="N1204" s="257" t="s">
        <v>626</v>
      </c>
      <c r="O1204" s="261"/>
      <c r="P1204" s="183">
        <v>11</v>
      </c>
      <c r="Q1204" s="212" t="str">
        <f>VLOOKUP(Ruimtestaat[[#This Row],[Ruimte code]],Ruimtegroepen[#All],4,FALSE)</f>
        <v>niet in onderhoud</v>
      </c>
      <c r="R1204" s="184"/>
      <c r="S1204" s="185"/>
      <c r="T1204" s="185"/>
      <c r="U1204" s="185">
        <f>IF(S1204&gt;0,IF(RIGHT(Ruimtestaat[[#This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4" s="185">
        <f>IF(U1204&gt;0,VLOOKUP($K1204,Ruimtegroepen[],3,FALSE)*VLOOKUP($M1204,Vloersoorten[],3,FALSE)*VLOOKUP($T1204,Frequenties[],3,FALSE)*VLOOKUP($A1204,Locaties[],3,FALSE),0)</f>
        <v>0</v>
      </c>
      <c r="W1204" s="185">
        <f>Ruimtestaat[[#This Row],[Uitvoeringen werkdagen]]*Ruimtestaat[[#This Row],[Oppervlak (netto)]]</f>
        <v>0</v>
      </c>
      <c r="X1204" s="220">
        <f>IF(V1204&gt;0,Ruimtestaat[[#This Row],[Prest. (m2 /jaar) werkdagen]]/Ruimtestaat[[#This Row],[Norm (m2/uur) werkdagen]],0)</f>
        <v>0</v>
      </c>
      <c r="Y1204" s="221">
        <f>Ruimtestaat[[#This Row],[uren / jaar werkdagen]]*Tariefsopbouw!$D$38</f>
        <v>0</v>
      </c>
      <c r="Z1204" s="33"/>
      <c r="AA1204" s="33">
        <f>IF(Ruimtestaat[[#This Row],[Frequentie weekend]]&gt;0,VALUE(LEFT(Z1204,1))*S1204,0)</f>
        <v>0</v>
      </c>
      <c r="AB1204" s="33">
        <f>IF($AA1204&gt;0,VLOOKUP($K1204,Ruimtegroepen[],3,FALSE)*VLOOKUP($M1204,Vloersoorten[],3,FALSE)*VLOOKUP($Z1204,Frequenties[],3,FALSE)*VLOOKUP(#REF!,Locaties[],3,FALSE),0)</f>
        <v>0</v>
      </c>
      <c r="AC1204" s="33"/>
      <c r="AD1204" s="33"/>
      <c r="AE1204" s="33">
        <f>Ruimtestaat[[#This Row],[uren / jaar weekend]]*Tariefsopbouw!$D$40</f>
        <v>0</v>
      </c>
      <c r="AF1204" s="79">
        <f>Ruimtestaat[[#This Row],[Prest. (m2 /jaar) weekend]]+Ruimtestaat[[#This Row],[Prest. (m2 /jaar) werkdagen]]</f>
        <v>0</v>
      </c>
      <c r="AG1204" s="79">
        <f>Ruimtestaat[[#This Row],[uren / jaar weekend]]+Ruimtestaat[[#This Row],[uren / jaar werkdagen]]</f>
        <v>0</v>
      </c>
      <c r="AH1204" s="80">
        <f>Ruimtestaat[[#This Row],[kosten / jaar weekend]]+Ruimtestaat[[#This Row],[kosten / jaar werkdagen]]</f>
        <v>0</v>
      </c>
    </row>
    <row r="1205" spans="1:34" ht="15" customHeight="1">
      <c r="A1205" s="256">
        <v>14</v>
      </c>
      <c r="B1205" s="171" t="str">
        <f>VLOOKUP(Ruimtestaat[[#This Row],[Code]],Locaties[#All],2,FALSE)</f>
        <v>De Meander</v>
      </c>
      <c r="C1205" s="258" t="str">
        <f>VLOOKUP(Ruimtestaat[[#This Row],[Code]],Locaties[#All],4,FALSE)</f>
        <v>Oldenzaalsestraat 134</v>
      </c>
      <c r="D1205" s="258" t="str">
        <f>VLOOKUP(Ruimtestaat[[#This Row],[Code]],Locaties[#All],5,FALSE)</f>
        <v>7581 KL</v>
      </c>
      <c r="E1205" s="258" t="str">
        <f>VLOOKUP(Ruimtestaat[[#This Row],[Code]],Locaties[#All],6,FALSE)</f>
        <v>Losser</v>
      </c>
      <c r="F1205" s="257"/>
      <c r="G1205" s="257" t="s">
        <v>563</v>
      </c>
      <c r="H1205" s="171"/>
      <c r="I1205" s="257" t="s">
        <v>677</v>
      </c>
      <c r="J1205" s="259" t="s">
        <v>573</v>
      </c>
      <c r="K1205" s="258">
        <v>20</v>
      </c>
      <c r="L1205" s="260" t="str">
        <f>VLOOKUP(Ruimtestaat[[#This Row],[Ruimte code]],Ruimtegroepen[#All],2,FALSE)</f>
        <v>Niet in onderhoud</v>
      </c>
      <c r="M1205" s="212" t="s">
        <v>111</v>
      </c>
      <c r="N1205" s="257" t="s">
        <v>626</v>
      </c>
      <c r="O1205" s="261"/>
      <c r="P1205" s="183">
        <v>11</v>
      </c>
      <c r="Q1205" s="212" t="str">
        <f>VLOOKUP(Ruimtestaat[[#This Row],[Ruimte code]],Ruimtegroepen[#All],4,FALSE)</f>
        <v>niet in onderhoud</v>
      </c>
      <c r="R1205" s="184"/>
      <c r="S1205" s="185"/>
      <c r="T1205" s="185"/>
      <c r="U1205" s="185">
        <f>IF(S1205&gt;0,IF(RIGHT(Ruimtestaat[[#This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5" s="185">
        <f>IF(U1205&gt;0,VLOOKUP($K1205,Ruimtegroepen[],3,FALSE)*VLOOKUP($M1205,Vloersoorten[],3,FALSE)*VLOOKUP($T1205,Frequenties[],3,FALSE)*VLOOKUP($A1205,Locaties[],3,FALSE),0)</f>
        <v>0</v>
      </c>
      <c r="W1205" s="185">
        <f>Ruimtestaat[[#This Row],[Uitvoeringen werkdagen]]*Ruimtestaat[[#This Row],[Oppervlak (netto)]]</f>
        <v>0</v>
      </c>
      <c r="X1205" s="220">
        <f>IF(V1205&gt;0,Ruimtestaat[[#This Row],[Prest. (m2 /jaar) werkdagen]]/Ruimtestaat[[#This Row],[Norm (m2/uur) werkdagen]],0)</f>
        <v>0</v>
      </c>
      <c r="Y1205" s="221">
        <f>Ruimtestaat[[#This Row],[uren / jaar werkdagen]]*Tariefsopbouw!$D$38</f>
        <v>0</v>
      </c>
      <c r="Z1205" s="33"/>
      <c r="AA1205" s="33">
        <f>IF(Ruimtestaat[[#This Row],[Frequentie weekend]]&gt;0,VALUE(LEFT(Z1205,1))*S1205,0)</f>
        <v>0</v>
      </c>
      <c r="AB1205" s="33">
        <f>IF($AA1205&gt;0,VLOOKUP($K1205,Ruimtegroepen[],3,FALSE)*VLOOKUP($M1205,Vloersoorten[],3,FALSE)*VLOOKUP($Z1205,Frequenties[],3,FALSE)*VLOOKUP(#REF!,Locaties[],3,FALSE),0)</f>
        <v>0</v>
      </c>
      <c r="AC1205" s="33"/>
      <c r="AD1205" s="33"/>
      <c r="AE1205" s="33">
        <f>Ruimtestaat[[#This Row],[uren / jaar weekend]]*Tariefsopbouw!$D$40</f>
        <v>0</v>
      </c>
      <c r="AF1205" s="79">
        <f>Ruimtestaat[[#This Row],[Prest. (m2 /jaar) weekend]]+Ruimtestaat[[#This Row],[Prest. (m2 /jaar) werkdagen]]</f>
        <v>0</v>
      </c>
      <c r="AG1205" s="79">
        <f>Ruimtestaat[[#This Row],[uren / jaar weekend]]+Ruimtestaat[[#This Row],[uren / jaar werkdagen]]</f>
        <v>0</v>
      </c>
      <c r="AH1205" s="80">
        <f>Ruimtestaat[[#This Row],[kosten / jaar weekend]]+Ruimtestaat[[#This Row],[kosten / jaar werkdagen]]</f>
        <v>0</v>
      </c>
    </row>
    <row r="1206" spans="1:34" ht="15" customHeight="1">
      <c r="A1206" s="256">
        <v>15</v>
      </c>
      <c r="B1206" s="171" t="str">
        <f>VLOOKUP(Ruimtestaat[[#This Row],[Code]],Locaties[#All],2,FALSE)</f>
        <v>Gymzaal Lijsterstraat</v>
      </c>
      <c r="C1206" s="258" t="str">
        <f>VLOOKUP(Ruimtestaat[[#This Row],[Code]],Locaties[#All],4,FALSE)</f>
        <v>Lijsterstraat 117</v>
      </c>
      <c r="D1206" s="258" t="str">
        <f>VLOOKUP(Ruimtestaat[[#This Row],[Code]],Locaties[#All],5,FALSE)</f>
        <v xml:space="preserve">7523 ES </v>
      </c>
      <c r="E1206" s="258" t="str">
        <f>VLOOKUP(Ruimtestaat[[#This Row],[Code]],Locaties[#All],6,FALSE)</f>
        <v>Enschede</v>
      </c>
      <c r="F1206" s="257"/>
      <c r="G1206" s="257" t="s">
        <v>563</v>
      </c>
      <c r="H1206" s="171"/>
      <c r="I1206" s="257" t="s">
        <v>696</v>
      </c>
      <c r="J1206" s="259" t="s">
        <v>587</v>
      </c>
      <c r="K1206" s="171">
        <v>6</v>
      </c>
      <c r="L1206" s="260" t="str">
        <f>VLOOKUP(Ruimtestaat[[#This Row],[Ruimte code]],Ruimtegroepen[#All],2,FALSE)</f>
        <v>Gangen/hallen</v>
      </c>
      <c r="M1206" s="212" t="s">
        <v>111</v>
      </c>
      <c r="N1206" s="257" t="s">
        <v>605</v>
      </c>
      <c r="O1206" s="261">
        <v>16.98</v>
      </c>
      <c r="P1206" s="183"/>
      <c r="Q1206" s="212" t="str">
        <f>VLOOKUP(Ruimtestaat[[#This Row],[Ruimte code]],Ruimtegroepen[#All],4,FALSE)</f>
        <v>V  (Verkeersruimte)</v>
      </c>
      <c r="R1206" s="184"/>
      <c r="S1206" s="185">
        <v>40</v>
      </c>
      <c r="T1206" s="185" t="s">
        <v>18</v>
      </c>
      <c r="U1206" s="185">
        <f>IF(S1206&gt;0,IF(RIGHT(Ruimtestaat[[#This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06" s="185">
        <f>IF(U1206&gt;0,VLOOKUP($K1206,Ruimtegroepen[],3,FALSE)*VLOOKUP($M1206,Vloersoorten[],3,FALSE)*VLOOKUP($T1206,Frequenties[],3,FALSE)*VLOOKUP($A1206,Locaties[],3,FALSE),0)</f>
        <v>0</v>
      </c>
      <c r="W1206" s="185">
        <f>Ruimtestaat[[#This Row],[Uitvoeringen werkdagen]]*Ruimtestaat[[#This Row],[Oppervlak (netto)]]</f>
        <v>2037.6000000000001</v>
      </c>
      <c r="X1206" s="220">
        <f>IF(V1206&gt;0,Ruimtestaat[[#This Row],[Prest. (m2 /jaar) werkdagen]]/Ruimtestaat[[#This Row],[Norm (m2/uur) werkdagen]],0)</f>
        <v>0</v>
      </c>
      <c r="Y1206" s="221">
        <f>Ruimtestaat[[#This Row],[uren / jaar werkdagen]]*Tariefsopbouw!$D$38</f>
        <v>0</v>
      </c>
      <c r="Z1206" s="33"/>
      <c r="AA1206" s="33">
        <f>IF(Ruimtestaat[[#This Row],[Frequentie weekend]]&gt;0,VALUE(LEFT(Z1206,1))*S1206,0)</f>
        <v>0</v>
      </c>
      <c r="AB1206" s="33">
        <f>IF($AA1206&gt;0,VLOOKUP($K1206,Ruimtegroepen[],3,FALSE)*VLOOKUP($M1206,Vloersoorten[],3,FALSE)*VLOOKUP($Z1206,Frequenties[],3,FALSE)*VLOOKUP(#REF!,Locaties[],3,FALSE),0)</f>
        <v>0</v>
      </c>
      <c r="AC1206" s="33"/>
      <c r="AD1206" s="33"/>
      <c r="AE1206" s="33">
        <f>Ruimtestaat[[#This Row],[uren / jaar weekend]]*Tariefsopbouw!$D$40</f>
        <v>0</v>
      </c>
      <c r="AF1206" s="79">
        <f>Ruimtestaat[[#This Row],[Prest. (m2 /jaar) weekend]]+Ruimtestaat[[#This Row],[Prest. (m2 /jaar) werkdagen]]</f>
        <v>2037.6000000000001</v>
      </c>
      <c r="AG1206" s="79">
        <f>Ruimtestaat[[#This Row],[uren / jaar weekend]]+Ruimtestaat[[#This Row],[uren / jaar werkdagen]]</f>
        <v>0</v>
      </c>
      <c r="AH1206" s="80">
        <f>Ruimtestaat[[#This Row],[kosten / jaar weekend]]+Ruimtestaat[[#This Row],[kosten / jaar werkdagen]]</f>
        <v>0</v>
      </c>
    </row>
    <row r="1207" spans="1:34" ht="15" customHeight="1">
      <c r="A1207" s="256">
        <v>15</v>
      </c>
      <c r="B1207" s="171" t="str">
        <f>VLOOKUP(Ruimtestaat[[#This Row],[Code]],Locaties[#All],2,FALSE)</f>
        <v>Gymzaal Lijsterstraat</v>
      </c>
      <c r="C1207" s="258" t="str">
        <f>VLOOKUP(Ruimtestaat[[#This Row],[Code]],Locaties[#All],4,FALSE)</f>
        <v>Lijsterstraat 117</v>
      </c>
      <c r="D1207" s="258" t="str">
        <f>VLOOKUP(Ruimtestaat[[#This Row],[Code]],Locaties[#All],5,FALSE)</f>
        <v xml:space="preserve">7523 ES </v>
      </c>
      <c r="E1207" s="258" t="str">
        <f>VLOOKUP(Ruimtestaat[[#This Row],[Code]],Locaties[#All],6,FALSE)</f>
        <v>Enschede</v>
      </c>
      <c r="F1207" s="257"/>
      <c r="G1207" s="257" t="s">
        <v>563</v>
      </c>
      <c r="H1207" s="171"/>
      <c r="I1207" s="257" t="s">
        <v>697</v>
      </c>
      <c r="J1207" s="259" t="s">
        <v>623</v>
      </c>
      <c r="K1207" s="258">
        <v>20</v>
      </c>
      <c r="L1207" s="260" t="str">
        <f>VLOOKUP(Ruimtestaat[[#This Row],[Ruimte code]],Ruimtegroepen[#All],2,FALSE)</f>
        <v>Niet in onderhoud</v>
      </c>
      <c r="M1207" s="212" t="s">
        <v>111</v>
      </c>
      <c r="N1207" s="257" t="s">
        <v>605</v>
      </c>
      <c r="O1207" s="261"/>
      <c r="P1207" s="183">
        <v>1.1200000000000001</v>
      </c>
      <c r="Q1207" s="212" t="str">
        <f>VLOOKUP(Ruimtestaat[[#This Row],[Ruimte code]],Ruimtegroepen[#All],4,FALSE)</f>
        <v>niet in onderhoud</v>
      </c>
      <c r="R1207" s="184"/>
      <c r="S1207" s="185"/>
      <c r="T1207" s="185"/>
      <c r="U1207" s="185">
        <f>IF(S1207&gt;0,IF(RIGHT(Ruimtestaat[[#This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7" s="185">
        <f>IF(U1207&gt;0,VLOOKUP($K1207,Ruimtegroepen[],3,FALSE)*VLOOKUP($M1207,Vloersoorten[],3,FALSE)*VLOOKUP($T1207,Frequenties[],3,FALSE)*VLOOKUP($A1207,Locaties[],3,FALSE),0)</f>
        <v>0</v>
      </c>
      <c r="W1207" s="185">
        <f>Ruimtestaat[[#This Row],[Uitvoeringen werkdagen]]*Ruimtestaat[[#This Row],[Oppervlak (netto)]]</f>
        <v>0</v>
      </c>
      <c r="X1207" s="220">
        <f>IF(V1207&gt;0,Ruimtestaat[[#This Row],[Prest. (m2 /jaar) werkdagen]]/Ruimtestaat[[#This Row],[Norm (m2/uur) werkdagen]],0)</f>
        <v>0</v>
      </c>
      <c r="Y1207" s="221">
        <f>Ruimtestaat[[#This Row],[uren / jaar werkdagen]]*Tariefsopbouw!$D$38</f>
        <v>0</v>
      </c>
      <c r="Z1207" s="33"/>
      <c r="AA1207" s="33">
        <f>IF(Ruimtestaat[[#This Row],[Frequentie weekend]]&gt;0,VALUE(LEFT(Z1207,1))*S1207,0)</f>
        <v>0</v>
      </c>
      <c r="AB1207" s="33">
        <f>IF($AA1207&gt;0,VLOOKUP($K1207,Ruimtegroepen[],3,FALSE)*VLOOKUP($M1207,Vloersoorten[],3,FALSE)*VLOOKUP($Z1207,Frequenties[],3,FALSE)*VLOOKUP(#REF!,Locaties[],3,FALSE),0)</f>
        <v>0</v>
      </c>
      <c r="AC1207" s="33"/>
      <c r="AD1207" s="33"/>
      <c r="AE1207" s="33">
        <f>Ruimtestaat[[#This Row],[uren / jaar weekend]]*Tariefsopbouw!$D$40</f>
        <v>0</v>
      </c>
      <c r="AF1207" s="79">
        <f>Ruimtestaat[[#This Row],[Prest. (m2 /jaar) weekend]]+Ruimtestaat[[#This Row],[Prest. (m2 /jaar) werkdagen]]</f>
        <v>0</v>
      </c>
      <c r="AG1207" s="79">
        <f>Ruimtestaat[[#This Row],[uren / jaar weekend]]+Ruimtestaat[[#This Row],[uren / jaar werkdagen]]</f>
        <v>0</v>
      </c>
      <c r="AH1207" s="80">
        <f>Ruimtestaat[[#This Row],[kosten / jaar weekend]]+Ruimtestaat[[#This Row],[kosten / jaar werkdagen]]</f>
        <v>0</v>
      </c>
    </row>
    <row r="1208" spans="1:34" ht="15" customHeight="1">
      <c r="A1208" s="256">
        <v>15</v>
      </c>
      <c r="B1208" s="171" t="str">
        <f>VLOOKUP(Ruimtestaat[[#This Row],[Code]],Locaties[#All],2,FALSE)</f>
        <v>Gymzaal Lijsterstraat</v>
      </c>
      <c r="C1208" s="258" t="str">
        <f>VLOOKUP(Ruimtestaat[[#This Row],[Code]],Locaties[#All],4,FALSE)</f>
        <v>Lijsterstraat 117</v>
      </c>
      <c r="D1208" s="258" t="str">
        <f>VLOOKUP(Ruimtestaat[[#This Row],[Code]],Locaties[#All],5,FALSE)</f>
        <v xml:space="preserve">7523 ES </v>
      </c>
      <c r="E1208" s="258" t="str">
        <f>VLOOKUP(Ruimtestaat[[#This Row],[Code]],Locaties[#All],6,FALSE)</f>
        <v>Enschede</v>
      </c>
      <c r="F1208" s="257"/>
      <c r="G1208" s="257" t="s">
        <v>563</v>
      </c>
      <c r="H1208" s="171"/>
      <c r="I1208" s="257" t="s">
        <v>698</v>
      </c>
      <c r="J1208" s="259" t="s">
        <v>654</v>
      </c>
      <c r="K1208" s="258">
        <v>20</v>
      </c>
      <c r="L1208" s="260" t="str">
        <f>VLOOKUP(Ruimtestaat[[#This Row],[Ruimte code]],Ruimtegroepen[#All],2,FALSE)</f>
        <v>Niet in onderhoud</v>
      </c>
      <c r="M1208" s="212" t="s">
        <v>111</v>
      </c>
      <c r="N1208" s="257" t="s">
        <v>605</v>
      </c>
      <c r="O1208" s="261"/>
      <c r="P1208" s="183">
        <v>0.94</v>
      </c>
      <c r="Q1208" s="212" t="str">
        <f>VLOOKUP(Ruimtestaat[[#This Row],[Ruimte code]],Ruimtegroepen[#All],4,FALSE)</f>
        <v>niet in onderhoud</v>
      </c>
      <c r="R1208" s="184"/>
      <c r="S1208" s="185"/>
      <c r="T1208" s="185"/>
      <c r="U1208" s="185">
        <f>IF(S1208&gt;0,IF(RIGHT(Ruimtestaat[[#This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8" s="185">
        <f>IF(U1208&gt;0,VLOOKUP($K1208,Ruimtegroepen[],3,FALSE)*VLOOKUP($M1208,Vloersoorten[],3,FALSE)*VLOOKUP($T1208,Frequenties[],3,FALSE)*VLOOKUP($A1208,Locaties[],3,FALSE),0)</f>
        <v>0</v>
      </c>
      <c r="W1208" s="185">
        <f>Ruimtestaat[[#This Row],[Uitvoeringen werkdagen]]*Ruimtestaat[[#This Row],[Oppervlak (netto)]]</f>
        <v>0</v>
      </c>
      <c r="X1208" s="220">
        <f>IF(V1208&gt;0,Ruimtestaat[[#This Row],[Prest. (m2 /jaar) werkdagen]]/Ruimtestaat[[#This Row],[Norm (m2/uur) werkdagen]],0)</f>
        <v>0</v>
      </c>
      <c r="Y1208" s="221">
        <f>Ruimtestaat[[#This Row],[uren / jaar werkdagen]]*Tariefsopbouw!$D$38</f>
        <v>0</v>
      </c>
      <c r="Z1208" s="33"/>
      <c r="AA1208" s="33">
        <f>IF(Ruimtestaat[[#This Row],[Frequentie weekend]]&gt;0,VALUE(LEFT(Z1208,1))*S1208,0)</f>
        <v>0</v>
      </c>
      <c r="AB1208" s="33">
        <f>IF($AA1208&gt;0,VLOOKUP($K1208,Ruimtegroepen[],3,FALSE)*VLOOKUP($M1208,Vloersoorten[],3,FALSE)*VLOOKUP($Z1208,Frequenties[],3,FALSE)*VLOOKUP(#REF!,Locaties[],3,FALSE),0)</f>
        <v>0</v>
      </c>
      <c r="AC1208" s="33"/>
      <c r="AD1208" s="33"/>
      <c r="AE1208" s="33">
        <f>Ruimtestaat[[#This Row],[uren / jaar weekend]]*Tariefsopbouw!$D$40</f>
        <v>0</v>
      </c>
      <c r="AF1208" s="79">
        <f>Ruimtestaat[[#This Row],[Prest. (m2 /jaar) weekend]]+Ruimtestaat[[#This Row],[Prest. (m2 /jaar) werkdagen]]</f>
        <v>0</v>
      </c>
      <c r="AG1208" s="79">
        <f>Ruimtestaat[[#This Row],[uren / jaar weekend]]+Ruimtestaat[[#This Row],[uren / jaar werkdagen]]</f>
        <v>0</v>
      </c>
      <c r="AH1208" s="80">
        <f>Ruimtestaat[[#This Row],[kosten / jaar weekend]]+Ruimtestaat[[#This Row],[kosten / jaar werkdagen]]</f>
        <v>0</v>
      </c>
    </row>
    <row r="1209" spans="1:34" ht="15" customHeight="1">
      <c r="A1209" s="256">
        <v>15</v>
      </c>
      <c r="B1209" s="171" t="str">
        <f>VLOOKUP(Ruimtestaat[[#This Row],[Code]],Locaties[#All],2,FALSE)</f>
        <v>Gymzaal Lijsterstraat</v>
      </c>
      <c r="C1209" s="258" t="str">
        <f>VLOOKUP(Ruimtestaat[[#This Row],[Code]],Locaties[#All],4,FALSE)</f>
        <v>Lijsterstraat 117</v>
      </c>
      <c r="D1209" s="258" t="str">
        <f>VLOOKUP(Ruimtestaat[[#This Row],[Code]],Locaties[#All],5,FALSE)</f>
        <v xml:space="preserve">7523 ES </v>
      </c>
      <c r="E1209" s="258" t="str">
        <f>VLOOKUP(Ruimtestaat[[#This Row],[Code]],Locaties[#All],6,FALSE)</f>
        <v>Enschede</v>
      </c>
      <c r="F1209" s="257"/>
      <c r="G1209" s="257" t="s">
        <v>563</v>
      </c>
      <c r="H1209" s="171"/>
      <c r="I1209" s="257" t="s">
        <v>699</v>
      </c>
      <c r="J1209" s="259" t="s">
        <v>569</v>
      </c>
      <c r="K1209" s="171">
        <v>5</v>
      </c>
      <c r="L1209" s="260" t="str">
        <f>VLOOKUP(Ruimtestaat[[#This Row],[Ruimte code]],Ruimtegroepen[#All],2,FALSE)</f>
        <v>Sanitair</v>
      </c>
      <c r="M1209" s="212" t="s">
        <v>111</v>
      </c>
      <c r="N1209" s="257" t="s">
        <v>605</v>
      </c>
      <c r="O1209" s="261">
        <v>1.48</v>
      </c>
      <c r="P1209" s="183"/>
      <c r="Q1209" s="212" t="str">
        <f>VLOOKUP(Ruimtestaat[[#This Row],[Ruimte code]],Ruimtegroepen[#All],4,FALSE)</f>
        <v>S  (Sanitair)</v>
      </c>
      <c r="R1209" s="184"/>
      <c r="S1209" s="185">
        <v>40</v>
      </c>
      <c r="T1209" s="185" t="s">
        <v>18</v>
      </c>
      <c r="U1209" s="185">
        <f>IF(S1209&gt;0,IF(RIGHT(Ruimtestaat[[#This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09" s="185">
        <f>IF(U1209&gt;0,VLOOKUP($K1209,Ruimtegroepen[],3,FALSE)*VLOOKUP($M1209,Vloersoorten[],3,FALSE)*VLOOKUP($T1209,Frequenties[],3,FALSE)*VLOOKUP($A1209,Locaties[],3,FALSE),0)</f>
        <v>0</v>
      </c>
      <c r="W1209" s="185">
        <f>Ruimtestaat[[#This Row],[Uitvoeringen werkdagen]]*Ruimtestaat[[#This Row],[Oppervlak (netto)]]</f>
        <v>177.6</v>
      </c>
      <c r="X1209" s="220">
        <f>IF(V1209&gt;0,Ruimtestaat[[#This Row],[Prest. (m2 /jaar) werkdagen]]/Ruimtestaat[[#This Row],[Norm (m2/uur) werkdagen]],0)</f>
        <v>0</v>
      </c>
      <c r="Y1209" s="221">
        <f>Ruimtestaat[[#This Row],[uren / jaar werkdagen]]*Tariefsopbouw!$D$38</f>
        <v>0</v>
      </c>
      <c r="Z1209" s="33"/>
      <c r="AA1209" s="33">
        <f>IF(Ruimtestaat[[#This Row],[Frequentie weekend]]&gt;0,VALUE(LEFT(Z1209,1))*S1209,0)</f>
        <v>0</v>
      </c>
      <c r="AB1209" s="33">
        <f>IF($AA1209&gt;0,VLOOKUP($K1209,Ruimtegroepen[],3,FALSE)*VLOOKUP($M1209,Vloersoorten[],3,FALSE)*VLOOKUP($Z1209,Frequenties[],3,FALSE)*VLOOKUP(#REF!,Locaties[],3,FALSE),0)</f>
        <v>0</v>
      </c>
      <c r="AC1209" s="33"/>
      <c r="AD1209" s="33"/>
      <c r="AE1209" s="33">
        <f>Ruimtestaat[[#This Row],[uren / jaar weekend]]*Tariefsopbouw!$D$40</f>
        <v>0</v>
      </c>
      <c r="AF1209" s="79">
        <f>Ruimtestaat[[#This Row],[Prest. (m2 /jaar) weekend]]+Ruimtestaat[[#This Row],[Prest. (m2 /jaar) werkdagen]]</f>
        <v>177.6</v>
      </c>
      <c r="AG1209" s="79">
        <f>Ruimtestaat[[#This Row],[uren / jaar weekend]]+Ruimtestaat[[#This Row],[uren / jaar werkdagen]]</f>
        <v>0</v>
      </c>
      <c r="AH1209" s="80">
        <f>Ruimtestaat[[#This Row],[kosten / jaar weekend]]+Ruimtestaat[[#This Row],[kosten / jaar werkdagen]]</f>
        <v>0</v>
      </c>
    </row>
    <row r="1210" spans="1:34" ht="15" customHeight="1">
      <c r="A1210" s="256">
        <v>15</v>
      </c>
      <c r="B1210" s="171" t="str">
        <f>VLOOKUP(Ruimtestaat[[#This Row],[Code]],Locaties[#All],2,FALSE)</f>
        <v>Gymzaal Lijsterstraat</v>
      </c>
      <c r="C1210" s="258" t="str">
        <f>VLOOKUP(Ruimtestaat[[#This Row],[Code]],Locaties[#All],4,FALSE)</f>
        <v>Lijsterstraat 117</v>
      </c>
      <c r="D1210" s="258" t="str">
        <f>VLOOKUP(Ruimtestaat[[#This Row],[Code]],Locaties[#All],5,FALSE)</f>
        <v xml:space="preserve">7523 ES </v>
      </c>
      <c r="E1210" s="258" t="str">
        <f>VLOOKUP(Ruimtestaat[[#This Row],[Code]],Locaties[#All],6,FALSE)</f>
        <v>Enschede</v>
      </c>
      <c r="F1210" s="257"/>
      <c r="G1210" s="257" t="s">
        <v>563</v>
      </c>
      <c r="H1210" s="171"/>
      <c r="I1210" s="257" t="s">
        <v>700</v>
      </c>
      <c r="J1210" s="259" t="s">
        <v>701</v>
      </c>
      <c r="K1210" s="171">
        <v>20</v>
      </c>
      <c r="L1210" s="260" t="str">
        <f>VLOOKUP(Ruimtestaat[[#This Row],[Ruimte code]],Ruimtegroepen[#All],2,FALSE)</f>
        <v>Niet in onderhoud</v>
      </c>
      <c r="M1210" s="212" t="s">
        <v>111</v>
      </c>
      <c r="N1210" s="257" t="s">
        <v>605</v>
      </c>
      <c r="O1210" s="261"/>
      <c r="P1210" s="183">
        <v>0.74</v>
      </c>
      <c r="Q1210" s="212" t="str">
        <f>VLOOKUP(Ruimtestaat[[#This Row],[Ruimte code]],Ruimtegroepen[#All],4,FALSE)</f>
        <v>niet in onderhoud</v>
      </c>
      <c r="R1210" s="184"/>
      <c r="S1210" s="185"/>
      <c r="T1210" s="185"/>
      <c r="U1210" s="185">
        <f>IF(S1210&gt;0,IF(RIGHT(Ruimtestaat[[#This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10" s="185">
        <f>IF(U1210&gt;0,VLOOKUP($K1210,Ruimtegroepen[],3,FALSE)*VLOOKUP($M1210,Vloersoorten[],3,FALSE)*VLOOKUP($T1210,Frequenties[],3,FALSE)*VLOOKUP($A1210,Locaties[],3,FALSE),0)</f>
        <v>0</v>
      </c>
      <c r="W1210" s="185">
        <f>Ruimtestaat[[#This Row],[Uitvoeringen werkdagen]]*Ruimtestaat[[#This Row],[Oppervlak (netto)]]</f>
        <v>0</v>
      </c>
      <c r="X1210" s="220">
        <f>IF(V1210&gt;0,Ruimtestaat[[#This Row],[Prest. (m2 /jaar) werkdagen]]/Ruimtestaat[[#This Row],[Norm (m2/uur) werkdagen]],0)</f>
        <v>0</v>
      </c>
      <c r="Y1210" s="221">
        <f>Ruimtestaat[[#This Row],[uren / jaar werkdagen]]*Tariefsopbouw!$D$38</f>
        <v>0</v>
      </c>
      <c r="Z1210" s="33"/>
      <c r="AA1210" s="33">
        <f>IF(Ruimtestaat[[#This Row],[Frequentie weekend]]&gt;0,VALUE(LEFT(Z1210,1))*S1210,0)</f>
        <v>0</v>
      </c>
      <c r="AB1210" s="33">
        <f>IF($AA1210&gt;0,VLOOKUP($K1210,Ruimtegroepen[],3,FALSE)*VLOOKUP($M1210,Vloersoorten[],3,FALSE)*VLOOKUP($Z1210,Frequenties[],3,FALSE)*VLOOKUP(#REF!,Locaties[],3,FALSE),0)</f>
        <v>0</v>
      </c>
      <c r="AC1210" s="33"/>
      <c r="AD1210" s="33"/>
      <c r="AE1210" s="33">
        <f>Ruimtestaat[[#This Row],[uren / jaar weekend]]*Tariefsopbouw!$D$40</f>
        <v>0</v>
      </c>
      <c r="AF1210" s="79">
        <f>Ruimtestaat[[#This Row],[Prest. (m2 /jaar) weekend]]+Ruimtestaat[[#This Row],[Prest. (m2 /jaar) werkdagen]]</f>
        <v>0</v>
      </c>
      <c r="AG1210" s="79">
        <f>Ruimtestaat[[#This Row],[uren / jaar weekend]]+Ruimtestaat[[#This Row],[uren / jaar werkdagen]]</f>
        <v>0</v>
      </c>
      <c r="AH1210" s="80">
        <f>Ruimtestaat[[#This Row],[kosten / jaar weekend]]+Ruimtestaat[[#This Row],[kosten / jaar werkdagen]]</f>
        <v>0</v>
      </c>
    </row>
    <row r="1211" spans="1:34" ht="15" customHeight="1">
      <c r="A1211" s="256">
        <v>15</v>
      </c>
      <c r="B1211" s="171" t="str">
        <f>VLOOKUP(Ruimtestaat[[#This Row],[Code]],Locaties[#All],2,FALSE)</f>
        <v>Gymzaal Lijsterstraat</v>
      </c>
      <c r="C1211" s="258" t="str">
        <f>VLOOKUP(Ruimtestaat[[#This Row],[Code]],Locaties[#All],4,FALSE)</f>
        <v>Lijsterstraat 117</v>
      </c>
      <c r="D1211" s="258" t="str">
        <f>VLOOKUP(Ruimtestaat[[#This Row],[Code]],Locaties[#All],5,FALSE)</f>
        <v xml:space="preserve">7523 ES </v>
      </c>
      <c r="E1211" s="258" t="str">
        <f>VLOOKUP(Ruimtestaat[[#This Row],[Code]],Locaties[#All],6,FALSE)</f>
        <v>Enschede</v>
      </c>
      <c r="F1211" s="257"/>
      <c r="G1211" s="257" t="s">
        <v>563</v>
      </c>
      <c r="H1211" s="171"/>
      <c r="I1211" s="257" t="s">
        <v>702</v>
      </c>
      <c r="J1211" s="259" t="s">
        <v>581</v>
      </c>
      <c r="K1211" s="185">
        <v>19</v>
      </c>
      <c r="L1211" s="260" t="str">
        <f>VLOOKUP(Ruimtestaat[[#This Row],[Ruimte code]],Ruimtegroepen[#All],2,FALSE)</f>
        <v>Kleedruimten</v>
      </c>
      <c r="M1211" s="212" t="s">
        <v>111</v>
      </c>
      <c r="N1211" s="257" t="s">
        <v>605</v>
      </c>
      <c r="O1211" s="261">
        <v>24.3</v>
      </c>
      <c r="P1211" s="183"/>
      <c r="Q1211" s="212" t="str">
        <f>VLOOKUP(Ruimtestaat[[#This Row],[Ruimte code]],Ruimtegroepen[#All],4,FALSE)</f>
        <v>V  (Verkeersruimte)</v>
      </c>
      <c r="R1211" s="184"/>
      <c r="S1211" s="185">
        <v>40</v>
      </c>
      <c r="T1211" s="185" t="s">
        <v>18</v>
      </c>
      <c r="U1211" s="185">
        <f>IF(S1211&gt;0,IF(RIGHT(Ruimtestaat[[#This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1" s="185">
        <f>IF(U1211&gt;0,VLOOKUP($K1211,Ruimtegroepen[],3,FALSE)*VLOOKUP($M1211,Vloersoorten[],3,FALSE)*VLOOKUP($T1211,Frequenties[],3,FALSE)*VLOOKUP($A1211,Locaties[],3,FALSE),0)</f>
        <v>0</v>
      </c>
      <c r="W1211" s="185">
        <f>Ruimtestaat[[#This Row],[Uitvoeringen werkdagen]]*Ruimtestaat[[#This Row],[Oppervlak (netto)]]</f>
        <v>2916</v>
      </c>
      <c r="X1211" s="220">
        <f>IF(V1211&gt;0,Ruimtestaat[[#This Row],[Prest. (m2 /jaar) werkdagen]]/Ruimtestaat[[#This Row],[Norm (m2/uur) werkdagen]],0)</f>
        <v>0</v>
      </c>
      <c r="Y1211" s="221">
        <f>Ruimtestaat[[#This Row],[uren / jaar werkdagen]]*Tariefsopbouw!$D$38</f>
        <v>0</v>
      </c>
      <c r="Z1211" s="33"/>
      <c r="AA1211" s="33">
        <f>IF(Ruimtestaat[[#This Row],[Frequentie weekend]]&gt;0,VALUE(LEFT(Z1211,1))*S1211,0)</f>
        <v>0</v>
      </c>
      <c r="AB1211" s="33">
        <f>IF($AA1211&gt;0,VLOOKUP($K1211,Ruimtegroepen[],3,FALSE)*VLOOKUP($M1211,Vloersoorten[],3,FALSE)*VLOOKUP($Z1211,Frequenties[],3,FALSE)*VLOOKUP(#REF!,Locaties[],3,FALSE),0)</f>
        <v>0</v>
      </c>
      <c r="AC1211" s="33"/>
      <c r="AD1211" s="33"/>
      <c r="AE1211" s="33">
        <f>Ruimtestaat[[#This Row],[uren / jaar weekend]]*Tariefsopbouw!$D$40</f>
        <v>0</v>
      </c>
      <c r="AF1211" s="79">
        <f>Ruimtestaat[[#This Row],[Prest. (m2 /jaar) weekend]]+Ruimtestaat[[#This Row],[Prest. (m2 /jaar) werkdagen]]</f>
        <v>2916</v>
      </c>
      <c r="AG1211" s="79">
        <f>Ruimtestaat[[#This Row],[uren / jaar weekend]]+Ruimtestaat[[#This Row],[uren / jaar werkdagen]]</f>
        <v>0</v>
      </c>
      <c r="AH1211" s="80">
        <f>Ruimtestaat[[#This Row],[kosten / jaar weekend]]+Ruimtestaat[[#This Row],[kosten / jaar werkdagen]]</f>
        <v>0</v>
      </c>
    </row>
    <row r="1212" spans="1:34" ht="15" customHeight="1">
      <c r="A1212" s="256">
        <v>15</v>
      </c>
      <c r="B1212" s="171" t="str">
        <f>VLOOKUP(Ruimtestaat[[#This Row],[Code]],Locaties[#All],2,FALSE)</f>
        <v>Gymzaal Lijsterstraat</v>
      </c>
      <c r="C1212" s="258" t="str">
        <f>VLOOKUP(Ruimtestaat[[#This Row],[Code]],Locaties[#All],4,FALSE)</f>
        <v>Lijsterstraat 117</v>
      </c>
      <c r="D1212" s="258" t="str">
        <f>VLOOKUP(Ruimtestaat[[#This Row],[Code]],Locaties[#All],5,FALSE)</f>
        <v xml:space="preserve">7523 ES </v>
      </c>
      <c r="E1212" s="258" t="str">
        <f>VLOOKUP(Ruimtestaat[[#This Row],[Code]],Locaties[#All],6,FALSE)</f>
        <v>Enschede</v>
      </c>
      <c r="F1212" s="257"/>
      <c r="G1212" s="257" t="s">
        <v>563</v>
      </c>
      <c r="H1212" s="171"/>
      <c r="I1212" s="257" t="s">
        <v>703</v>
      </c>
      <c r="J1212" s="259" t="s">
        <v>704</v>
      </c>
      <c r="K1212" s="258">
        <v>5</v>
      </c>
      <c r="L1212" s="260" t="str">
        <f>VLOOKUP(Ruimtestaat[[#This Row],[Ruimte code]],Ruimtegroepen[#All],2,FALSE)</f>
        <v>Sanitair</v>
      </c>
      <c r="M1212" s="212" t="s">
        <v>111</v>
      </c>
      <c r="N1212" s="257" t="s">
        <v>605</v>
      </c>
      <c r="O1212" s="261">
        <v>12.54</v>
      </c>
      <c r="P1212" s="183"/>
      <c r="Q1212" s="212" t="str">
        <f>VLOOKUP(Ruimtestaat[[#This Row],[Ruimte code]],Ruimtegroepen[#All],4,FALSE)</f>
        <v>S  (Sanitair)</v>
      </c>
      <c r="R1212" s="184"/>
      <c r="S1212" s="185">
        <v>40</v>
      </c>
      <c r="T1212" s="185" t="s">
        <v>18</v>
      </c>
      <c r="U1212" s="185">
        <f>IF(S1212&gt;0,IF(RIGHT(Ruimtestaat[[#This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2" s="185">
        <f>IF(U1212&gt;0,VLOOKUP($K1212,Ruimtegroepen[],3,FALSE)*VLOOKUP($M1212,Vloersoorten[],3,FALSE)*VLOOKUP($T1212,Frequenties[],3,FALSE)*VLOOKUP($A1212,Locaties[],3,FALSE),0)</f>
        <v>0</v>
      </c>
      <c r="W1212" s="185">
        <f>Ruimtestaat[[#This Row],[Uitvoeringen werkdagen]]*Ruimtestaat[[#This Row],[Oppervlak (netto)]]</f>
        <v>1504.8</v>
      </c>
      <c r="X1212" s="220">
        <f>IF(V1212&gt;0,Ruimtestaat[[#This Row],[Prest. (m2 /jaar) werkdagen]]/Ruimtestaat[[#This Row],[Norm (m2/uur) werkdagen]],0)</f>
        <v>0</v>
      </c>
      <c r="Y1212" s="221">
        <f>Ruimtestaat[[#This Row],[uren / jaar werkdagen]]*Tariefsopbouw!$D$38</f>
        <v>0</v>
      </c>
      <c r="Z1212" s="33"/>
      <c r="AA1212" s="33">
        <f>IF(Ruimtestaat[[#This Row],[Frequentie weekend]]&gt;0,VALUE(LEFT(Z1212,1))*S1212,0)</f>
        <v>0</v>
      </c>
      <c r="AB1212" s="33">
        <f>IF($AA1212&gt;0,VLOOKUP($K1212,Ruimtegroepen[],3,FALSE)*VLOOKUP($M1212,Vloersoorten[],3,FALSE)*VLOOKUP($Z1212,Frequenties[],3,FALSE)*VLOOKUP(#REF!,Locaties[],3,FALSE),0)</f>
        <v>0</v>
      </c>
      <c r="AC1212" s="33"/>
      <c r="AD1212" s="33"/>
      <c r="AE1212" s="33">
        <f>Ruimtestaat[[#This Row],[uren / jaar weekend]]*Tariefsopbouw!$D$40</f>
        <v>0</v>
      </c>
      <c r="AF1212" s="79">
        <f>Ruimtestaat[[#This Row],[Prest. (m2 /jaar) weekend]]+Ruimtestaat[[#This Row],[Prest. (m2 /jaar) werkdagen]]</f>
        <v>1504.8</v>
      </c>
      <c r="AG1212" s="79">
        <f>Ruimtestaat[[#This Row],[uren / jaar weekend]]+Ruimtestaat[[#This Row],[uren / jaar werkdagen]]</f>
        <v>0</v>
      </c>
      <c r="AH1212" s="80">
        <f>Ruimtestaat[[#This Row],[kosten / jaar weekend]]+Ruimtestaat[[#This Row],[kosten / jaar werkdagen]]</f>
        <v>0</v>
      </c>
    </row>
    <row r="1213" spans="1:34" ht="15" customHeight="1">
      <c r="A1213" s="256">
        <v>15</v>
      </c>
      <c r="B1213" s="171" t="str">
        <f>VLOOKUP(Ruimtestaat[[#This Row],[Code]],Locaties[#All],2,FALSE)</f>
        <v>Gymzaal Lijsterstraat</v>
      </c>
      <c r="C1213" s="258" t="str">
        <f>VLOOKUP(Ruimtestaat[[#This Row],[Code]],Locaties[#All],4,FALSE)</f>
        <v>Lijsterstraat 117</v>
      </c>
      <c r="D1213" s="258" t="str">
        <f>VLOOKUP(Ruimtestaat[[#This Row],[Code]],Locaties[#All],5,FALSE)</f>
        <v xml:space="preserve">7523 ES </v>
      </c>
      <c r="E1213" s="258" t="str">
        <f>VLOOKUP(Ruimtestaat[[#This Row],[Code]],Locaties[#All],6,FALSE)</f>
        <v>Enschede</v>
      </c>
      <c r="F1213" s="257"/>
      <c r="G1213" s="257" t="s">
        <v>563</v>
      </c>
      <c r="H1213" s="171"/>
      <c r="I1213" s="257" t="s">
        <v>705</v>
      </c>
      <c r="J1213" s="259" t="s">
        <v>704</v>
      </c>
      <c r="K1213" s="171">
        <v>5</v>
      </c>
      <c r="L1213" s="260" t="str">
        <f>VLOOKUP(Ruimtestaat[[#This Row],[Ruimte code]],Ruimtegroepen[#All],2,FALSE)</f>
        <v>Sanitair</v>
      </c>
      <c r="M1213" s="212" t="s">
        <v>111</v>
      </c>
      <c r="N1213" s="257" t="s">
        <v>605</v>
      </c>
      <c r="O1213" s="261">
        <v>12.54</v>
      </c>
      <c r="P1213" s="183"/>
      <c r="Q1213" s="212" t="str">
        <f>VLOOKUP(Ruimtestaat[[#This Row],[Ruimte code]],Ruimtegroepen[#All],4,FALSE)</f>
        <v>S  (Sanitair)</v>
      </c>
      <c r="R1213" s="184"/>
      <c r="S1213" s="185">
        <v>40</v>
      </c>
      <c r="T1213" s="185" t="s">
        <v>18</v>
      </c>
      <c r="U1213" s="185">
        <f>IF(S1213&gt;0,IF(RIGHT(Ruimtestaat[[#This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3" s="185">
        <f>IF(U1213&gt;0,VLOOKUP($K1213,Ruimtegroepen[],3,FALSE)*VLOOKUP($M1213,Vloersoorten[],3,FALSE)*VLOOKUP($T1213,Frequenties[],3,FALSE)*VLOOKUP($A1213,Locaties[],3,FALSE),0)</f>
        <v>0</v>
      </c>
      <c r="W1213" s="185">
        <f>Ruimtestaat[[#This Row],[Uitvoeringen werkdagen]]*Ruimtestaat[[#This Row],[Oppervlak (netto)]]</f>
        <v>1504.8</v>
      </c>
      <c r="X1213" s="220">
        <f>IF(V1213&gt;0,Ruimtestaat[[#This Row],[Prest. (m2 /jaar) werkdagen]]/Ruimtestaat[[#This Row],[Norm (m2/uur) werkdagen]],0)</f>
        <v>0</v>
      </c>
      <c r="Y1213" s="221">
        <f>Ruimtestaat[[#This Row],[uren / jaar werkdagen]]*Tariefsopbouw!$D$38</f>
        <v>0</v>
      </c>
      <c r="Z1213" s="33"/>
      <c r="AA1213" s="33">
        <f>IF(Ruimtestaat[[#This Row],[Frequentie weekend]]&gt;0,VALUE(LEFT(Z1213,1))*S1213,0)</f>
        <v>0</v>
      </c>
      <c r="AB1213" s="33">
        <f>IF($AA1213&gt;0,VLOOKUP($K1213,Ruimtegroepen[],3,FALSE)*VLOOKUP($M1213,Vloersoorten[],3,FALSE)*VLOOKUP($Z1213,Frequenties[],3,FALSE)*VLOOKUP(#REF!,Locaties[],3,FALSE),0)</f>
        <v>0</v>
      </c>
      <c r="AC1213" s="33"/>
      <c r="AD1213" s="33"/>
      <c r="AE1213" s="33">
        <f>Ruimtestaat[[#This Row],[uren / jaar weekend]]*Tariefsopbouw!$D$40</f>
        <v>0</v>
      </c>
      <c r="AF1213" s="79">
        <f>Ruimtestaat[[#This Row],[Prest. (m2 /jaar) weekend]]+Ruimtestaat[[#This Row],[Prest. (m2 /jaar) werkdagen]]</f>
        <v>1504.8</v>
      </c>
      <c r="AG1213" s="79">
        <f>Ruimtestaat[[#This Row],[uren / jaar weekend]]+Ruimtestaat[[#This Row],[uren / jaar werkdagen]]</f>
        <v>0</v>
      </c>
      <c r="AH1213" s="80">
        <f>Ruimtestaat[[#This Row],[kosten / jaar weekend]]+Ruimtestaat[[#This Row],[kosten / jaar werkdagen]]</f>
        <v>0</v>
      </c>
    </row>
    <row r="1214" spans="1:34" ht="15" customHeight="1">
      <c r="A1214" s="256">
        <v>15</v>
      </c>
      <c r="B1214" s="171" t="str">
        <f>VLOOKUP(Ruimtestaat[[#This Row],[Code]],Locaties[#All],2,FALSE)</f>
        <v>Gymzaal Lijsterstraat</v>
      </c>
      <c r="C1214" s="258" t="str">
        <f>VLOOKUP(Ruimtestaat[[#This Row],[Code]],Locaties[#All],4,FALSE)</f>
        <v>Lijsterstraat 117</v>
      </c>
      <c r="D1214" s="258" t="str">
        <f>VLOOKUP(Ruimtestaat[[#This Row],[Code]],Locaties[#All],5,FALSE)</f>
        <v xml:space="preserve">7523 ES </v>
      </c>
      <c r="E1214" s="258" t="str">
        <f>VLOOKUP(Ruimtestaat[[#This Row],[Code]],Locaties[#All],6,FALSE)</f>
        <v>Enschede</v>
      </c>
      <c r="F1214" s="257"/>
      <c r="G1214" s="257" t="s">
        <v>563</v>
      </c>
      <c r="H1214" s="171"/>
      <c r="I1214" s="257" t="s">
        <v>706</v>
      </c>
      <c r="J1214" s="259" t="s">
        <v>581</v>
      </c>
      <c r="K1214" s="224">
        <v>19</v>
      </c>
      <c r="L1214" s="260" t="str">
        <f>VLOOKUP(Ruimtestaat[[#This Row],[Ruimte code]],Ruimtegroepen[#All],2,FALSE)</f>
        <v>Kleedruimten</v>
      </c>
      <c r="M1214" s="212" t="s">
        <v>111</v>
      </c>
      <c r="N1214" s="257" t="s">
        <v>605</v>
      </c>
      <c r="O1214" s="261">
        <v>24.87</v>
      </c>
      <c r="P1214" s="183"/>
      <c r="Q1214" s="212" t="str">
        <f>VLOOKUP(Ruimtestaat[[#This Row],[Ruimte code]],Ruimtegroepen[#All],4,FALSE)</f>
        <v>V  (Verkeersruimte)</v>
      </c>
      <c r="R1214" s="184"/>
      <c r="S1214" s="185">
        <v>40</v>
      </c>
      <c r="T1214" s="185" t="s">
        <v>18</v>
      </c>
      <c r="U1214" s="185">
        <f>IF(S1214&gt;0,IF(RIGHT(Ruimtestaat[[#This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4" s="185">
        <f>IF(U1214&gt;0,VLOOKUP($K1214,Ruimtegroepen[],3,FALSE)*VLOOKUP($M1214,Vloersoorten[],3,FALSE)*VLOOKUP($T1214,Frequenties[],3,FALSE)*VLOOKUP($A1214,Locaties[],3,FALSE),0)</f>
        <v>0</v>
      </c>
      <c r="W1214" s="185">
        <f>Ruimtestaat[[#This Row],[Uitvoeringen werkdagen]]*Ruimtestaat[[#This Row],[Oppervlak (netto)]]</f>
        <v>2984.4</v>
      </c>
      <c r="X1214" s="220">
        <f>IF(V1214&gt;0,Ruimtestaat[[#This Row],[Prest. (m2 /jaar) werkdagen]]/Ruimtestaat[[#This Row],[Norm (m2/uur) werkdagen]],0)</f>
        <v>0</v>
      </c>
      <c r="Y1214" s="221">
        <f>Ruimtestaat[[#This Row],[uren / jaar werkdagen]]*Tariefsopbouw!$D$38</f>
        <v>0</v>
      </c>
      <c r="Z1214" s="33"/>
      <c r="AA1214" s="33">
        <f>IF(Ruimtestaat[[#This Row],[Frequentie weekend]]&gt;0,VALUE(LEFT(Z1214,1))*S1214,0)</f>
        <v>0</v>
      </c>
      <c r="AB1214" s="33">
        <f>IF($AA1214&gt;0,VLOOKUP($K1214,Ruimtegroepen[],3,FALSE)*VLOOKUP($M1214,Vloersoorten[],3,FALSE)*VLOOKUP($Z1214,Frequenties[],3,FALSE)*VLOOKUP(#REF!,Locaties[],3,FALSE),0)</f>
        <v>0</v>
      </c>
      <c r="AC1214" s="33"/>
      <c r="AD1214" s="33"/>
      <c r="AE1214" s="33">
        <f>Ruimtestaat[[#This Row],[uren / jaar weekend]]*Tariefsopbouw!$D$40</f>
        <v>0</v>
      </c>
      <c r="AF1214" s="79">
        <f>Ruimtestaat[[#This Row],[Prest. (m2 /jaar) weekend]]+Ruimtestaat[[#This Row],[Prest. (m2 /jaar) werkdagen]]</f>
        <v>2984.4</v>
      </c>
      <c r="AG1214" s="79">
        <f>Ruimtestaat[[#This Row],[uren / jaar weekend]]+Ruimtestaat[[#This Row],[uren / jaar werkdagen]]</f>
        <v>0</v>
      </c>
      <c r="AH1214" s="80">
        <f>Ruimtestaat[[#This Row],[kosten / jaar weekend]]+Ruimtestaat[[#This Row],[kosten / jaar werkdagen]]</f>
        <v>0</v>
      </c>
    </row>
    <row r="1215" spans="1:34" ht="15" customHeight="1">
      <c r="A1215" s="256">
        <v>15</v>
      </c>
      <c r="B1215" s="171" t="str">
        <f>VLOOKUP(Ruimtestaat[[#This Row],[Code]],Locaties[#All],2,FALSE)</f>
        <v>Gymzaal Lijsterstraat</v>
      </c>
      <c r="C1215" s="258" t="str">
        <f>VLOOKUP(Ruimtestaat[[#This Row],[Code]],Locaties[#All],4,FALSE)</f>
        <v>Lijsterstraat 117</v>
      </c>
      <c r="D1215" s="258" t="str">
        <f>VLOOKUP(Ruimtestaat[[#This Row],[Code]],Locaties[#All],5,FALSE)</f>
        <v xml:space="preserve">7523 ES </v>
      </c>
      <c r="E1215" s="258" t="str">
        <f>VLOOKUP(Ruimtestaat[[#This Row],[Code]],Locaties[#All],6,FALSE)</f>
        <v>Enschede</v>
      </c>
      <c r="F1215" s="257"/>
      <c r="G1215" s="257" t="s">
        <v>563</v>
      </c>
      <c r="H1215" s="171"/>
      <c r="I1215" s="257" t="s">
        <v>707</v>
      </c>
      <c r="J1215" s="259" t="s">
        <v>569</v>
      </c>
      <c r="K1215" s="224">
        <v>5</v>
      </c>
      <c r="L1215" s="260" t="str">
        <f>VLOOKUP(Ruimtestaat[[#This Row],[Ruimte code]],Ruimtegroepen[#All],2,FALSE)</f>
        <v>Sanitair</v>
      </c>
      <c r="M1215" s="212" t="s">
        <v>111</v>
      </c>
      <c r="N1215" s="257" t="s">
        <v>605</v>
      </c>
      <c r="O1215" s="261">
        <v>2</v>
      </c>
      <c r="P1215" s="183"/>
      <c r="Q1215" s="212" t="str">
        <f>VLOOKUP(Ruimtestaat[[#This Row],[Ruimte code]],Ruimtegroepen[#All],4,FALSE)</f>
        <v>S  (Sanitair)</v>
      </c>
      <c r="R1215" s="184"/>
      <c r="S1215" s="185">
        <v>40</v>
      </c>
      <c r="T1215" s="185" t="s">
        <v>18</v>
      </c>
      <c r="U1215" s="185">
        <f>IF(S1215&gt;0,IF(RIGHT(Ruimtestaat[[#This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5" s="185">
        <f>IF(U1215&gt;0,VLOOKUP($K1215,Ruimtegroepen[],3,FALSE)*VLOOKUP($M1215,Vloersoorten[],3,FALSE)*VLOOKUP($T1215,Frequenties[],3,FALSE)*VLOOKUP($A1215,Locaties[],3,FALSE),0)</f>
        <v>0</v>
      </c>
      <c r="W1215" s="185">
        <f>Ruimtestaat[[#This Row],[Uitvoeringen werkdagen]]*Ruimtestaat[[#This Row],[Oppervlak (netto)]]</f>
        <v>240</v>
      </c>
      <c r="X1215" s="220">
        <f>IF(V1215&gt;0,Ruimtestaat[[#This Row],[Prest. (m2 /jaar) werkdagen]]/Ruimtestaat[[#This Row],[Norm (m2/uur) werkdagen]],0)</f>
        <v>0</v>
      </c>
      <c r="Y1215" s="221">
        <f>Ruimtestaat[[#This Row],[uren / jaar werkdagen]]*Tariefsopbouw!$D$38</f>
        <v>0</v>
      </c>
      <c r="Z1215" s="33"/>
      <c r="AA1215" s="33">
        <f>IF(Ruimtestaat[[#This Row],[Frequentie weekend]]&gt;0,VALUE(LEFT(Z1215,1))*S1215,0)</f>
        <v>0</v>
      </c>
      <c r="AB1215" s="33">
        <f>IF($AA1215&gt;0,VLOOKUP($K1215,Ruimtegroepen[],3,FALSE)*VLOOKUP($M1215,Vloersoorten[],3,FALSE)*VLOOKUP($Z1215,Frequenties[],3,FALSE)*VLOOKUP(#REF!,Locaties[],3,FALSE),0)</f>
        <v>0</v>
      </c>
      <c r="AC1215" s="33"/>
      <c r="AD1215" s="33"/>
      <c r="AE1215" s="33">
        <f>Ruimtestaat[[#This Row],[uren / jaar weekend]]*Tariefsopbouw!$D$40</f>
        <v>0</v>
      </c>
      <c r="AF1215" s="79">
        <f>Ruimtestaat[[#This Row],[Prest. (m2 /jaar) weekend]]+Ruimtestaat[[#This Row],[Prest. (m2 /jaar) werkdagen]]</f>
        <v>240</v>
      </c>
      <c r="AG1215" s="79">
        <f>Ruimtestaat[[#This Row],[uren / jaar weekend]]+Ruimtestaat[[#This Row],[uren / jaar werkdagen]]</f>
        <v>0</v>
      </c>
      <c r="AH1215" s="80">
        <f>Ruimtestaat[[#This Row],[kosten / jaar weekend]]+Ruimtestaat[[#This Row],[kosten / jaar werkdagen]]</f>
        <v>0</v>
      </c>
    </row>
    <row r="1216" spans="1:34" ht="15" customHeight="1">
      <c r="A1216" s="256">
        <v>15</v>
      </c>
      <c r="B1216" s="171" t="str">
        <f>VLOOKUP(Ruimtestaat[[#This Row],[Code]],Locaties[#All],2,FALSE)</f>
        <v>Gymzaal Lijsterstraat</v>
      </c>
      <c r="C1216" s="258" t="str">
        <f>VLOOKUP(Ruimtestaat[[#This Row],[Code]],Locaties[#All],4,FALSE)</f>
        <v>Lijsterstraat 117</v>
      </c>
      <c r="D1216" s="258" t="str">
        <f>VLOOKUP(Ruimtestaat[[#This Row],[Code]],Locaties[#All],5,FALSE)</f>
        <v xml:space="preserve">7523 ES </v>
      </c>
      <c r="E1216" s="258" t="str">
        <f>VLOOKUP(Ruimtestaat[[#This Row],[Code]],Locaties[#All],6,FALSE)</f>
        <v>Enschede</v>
      </c>
      <c r="F1216" s="257"/>
      <c r="G1216" s="257" t="s">
        <v>563</v>
      </c>
      <c r="H1216" s="171"/>
      <c r="I1216" s="257" t="s">
        <v>708</v>
      </c>
      <c r="J1216" s="259" t="s">
        <v>709</v>
      </c>
      <c r="K1216" s="171">
        <v>19</v>
      </c>
      <c r="L1216" s="260" t="str">
        <f>VLOOKUP(Ruimtestaat[[#This Row],[Ruimte code]],Ruimtegroepen[#All],2,FALSE)</f>
        <v>Kleedruimten</v>
      </c>
      <c r="M1216" s="212" t="s">
        <v>111</v>
      </c>
      <c r="N1216" s="257" t="s">
        <v>605</v>
      </c>
      <c r="O1216" s="261">
        <v>5.0599999999999996</v>
      </c>
      <c r="P1216" s="183"/>
      <c r="Q1216" s="212" t="str">
        <f>VLOOKUP(Ruimtestaat[[#This Row],[Ruimte code]],Ruimtegroepen[#All],4,FALSE)</f>
        <v>V  (Verkeersruimte)</v>
      </c>
      <c r="R1216" s="184"/>
      <c r="S1216" s="185">
        <v>40</v>
      </c>
      <c r="T1216" s="185" t="s">
        <v>18</v>
      </c>
      <c r="U1216" s="185">
        <f>IF(S1216&gt;0,IF(RIGHT(Ruimtestaat[[#This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6" s="185">
        <f>IF(U1216&gt;0,VLOOKUP($K1216,Ruimtegroepen[],3,FALSE)*VLOOKUP($M1216,Vloersoorten[],3,FALSE)*VLOOKUP($T1216,Frequenties[],3,FALSE)*VLOOKUP($A1216,Locaties[],3,FALSE),0)</f>
        <v>0</v>
      </c>
      <c r="W1216" s="185">
        <f>Ruimtestaat[[#This Row],[Uitvoeringen werkdagen]]*Ruimtestaat[[#This Row],[Oppervlak (netto)]]</f>
        <v>607.19999999999993</v>
      </c>
      <c r="X1216" s="220">
        <f>IF(V1216&gt;0,Ruimtestaat[[#This Row],[Prest. (m2 /jaar) werkdagen]]/Ruimtestaat[[#This Row],[Norm (m2/uur) werkdagen]],0)</f>
        <v>0</v>
      </c>
      <c r="Y1216" s="221">
        <f>Ruimtestaat[[#This Row],[uren / jaar werkdagen]]*Tariefsopbouw!$D$38</f>
        <v>0</v>
      </c>
      <c r="Z1216" s="33"/>
      <c r="AA1216" s="33">
        <f>IF(Ruimtestaat[[#This Row],[Frequentie weekend]]&gt;0,VALUE(LEFT(Z1216,1))*S1216,0)</f>
        <v>0</v>
      </c>
      <c r="AB1216" s="33">
        <f>IF($AA1216&gt;0,VLOOKUP($K1216,Ruimtegroepen[],3,FALSE)*VLOOKUP($M1216,Vloersoorten[],3,FALSE)*VLOOKUP($Z1216,Frequenties[],3,FALSE)*VLOOKUP(#REF!,Locaties[],3,FALSE),0)</f>
        <v>0</v>
      </c>
      <c r="AC1216" s="33"/>
      <c r="AD1216" s="33"/>
      <c r="AE1216" s="33">
        <f>Ruimtestaat[[#This Row],[uren / jaar weekend]]*Tariefsopbouw!$D$40</f>
        <v>0</v>
      </c>
      <c r="AF1216" s="79">
        <f>Ruimtestaat[[#This Row],[Prest. (m2 /jaar) weekend]]+Ruimtestaat[[#This Row],[Prest. (m2 /jaar) werkdagen]]</f>
        <v>607.19999999999993</v>
      </c>
      <c r="AG1216" s="79">
        <f>Ruimtestaat[[#This Row],[uren / jaar weekend]]+Ruimtestaat[[#This Row],[uren / jaar werkdagen]]</f>
        <v>0</v>
      </c>
      <c r="AH1216" s="80">
        <f>Ruimtestaat[[#This Row],[kosten / jaar weekend]]+Ruimtestaat[[#This Row],[kosten / jaar werkdagen]]</f>
        <v>0</v>
      </c>
    </row>
    <row r="1217" spans="1:34" ht="15" customHeight="1">
      <c r="A1217" s="256">
        <v>15</v>
      </c>
      <c r="B1217" s="171" t="str">
        <f>VLOOKUP(Ruimtestaat[[#This Row],[Code]],Locaties[#All],2,FALSE)</f>
        <v>Gymzaal Lijsterstraat</v>
      </c>
      <c r="C1217" s="258" t="str">
        <f>VLOOKUP(Ruimtestaat[[#This Row],[Code]],Locaties[#All],4,FALSE)</f>
        <v>Lijsterstraat 117</v>
      </c>
      <c r="D1217" s="258" t="str">
        <f>VLOOKUP(Ruimtestaat[[#This Row],[Code]],Locaties[#All],5,FALSE)</f>
        <v xml:space="preserve">7523 ES </v>
      </c>
      <c r="E1217" s="258" t="str">
        <f>VLOOKUP(Ruimtestaat[[#This Row],[Code]],Locaties[#All],6,FALSE)</f>
        <v>Enschede</v>
      </c>
      <c r="F1217" s="257"/>
      <c r="G1217" s="257" t="s">
        <v>563</v>
      </c>
      <c r="H1217" s="171"/>
      <c r="I1217" s="257" t="s">
        <v>710</v>
      </c>
      <c r="J1217" s="259" t="s">
        <v>711</v>
      </c>
      <c r="K1217" s="171">
        <v>5</v>
      </c>
      <c r="L1217" s="260" t="str">
        <f>VLOOKUP(Ruimtestaat[[#This Row],[Ruimte code]],Ruimtegroepen[#All],2,FALSE)</f>
        <v>Sanitair</v>
      </c>
      <c r="M1217" s="212" t="s">
        <v>111</v>
      </c>
      <c r="N1217" s="257" t="s">
        <v>605</v>
      </c>
      <c r="O1217" s="261">
        <v>3.01</v>
      </c>
      <c r="P1217" s="183"/>
      <c r="Q1217" s="212" t="str">
        <f>VLOOKUP(Ruimtestaat[[#This Row],[Ruimte code]],Ruimtegroepen[#All],4,FALSE)</f>
        <v>S  (Sanitair)</v>
      </c>
      <c r="R1217" s="184"/>
      <c r="S1217" s="185">
        <v>40</v>
      </c>
      <c r="T1217" s="185" t="s">
        <v>18</v>
      </c>
      <c r="U1217" s="185">
        <f>IF(S1217&gt;0,IF(RIGHT(Ruimtestaat[[#This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7" s="185">
        <f>IF(U1217&gt;0,VLOOKUP($K1217,Ruimtegroepen[],3,FALSE)*VLOOKUP($M1217,Vloersoorten[],3,FALSE)*VLOOKUP($T1217,Frequenties[],3,FALSE)*VLOOKUP($A1217,Locaties[],3,FALSE),0)</f>
        <v>0</v>
      </c>
      <c r="W1217" s="185">
        <f>Ruimtestaat[[#This Row],[Uitvoeringen werkdagen]]*Ruimtestaat[[#This Row],[Oppervlak (netto)]]</f>
        <v>361.2</v>
      </c>
      <c r="X1217" s="220">
        <f>IF(V1217&gt;0,Ruimtestaat[[#This Row],[Prest. (m2 /jaar) werkdagen]]/Ruimtestaat[[#This Row],[Norm (m2/uur) werkdagen]],0)</f>
        <v>0</v>
      </c>
      <c r="Y1217" s="221">
        <f>Ruimtestaat[[#This Row],[uren / jaar werkdagen]]*Tariefsopbouw!$D$38</f>
        <v>0</v>
      </c>
      <c r="Z1217" s="33"/>
      <c r="AA1217" s="33">
        <f>IF(Ruimtestaat[[#This Row],[Frequentie weekend]]&gt;0,VALUE(LEFT(Z1217,1))*S1217,0)</f>
        <v>0</v>
      </c>
      <c r="AB1217" s="33">
        <f>IF($AA1217&gt;0,VLOOKUP($K1217,Ruimtegroepen[],3,FALSE)*VLOOKUP($M1217,Vloersoorten[],3,FALSE)*VLOOKUP($Z1217,Frequenties[],3,FALSE)*VLOOKUP(#REF!,Locaties[],3,FALSE),0)</f>
        <v>0</v>
      </c>
      <c r="AC1217" s="33"/>
      <c r="AD1217" s="33"/>
      <c r="AE1217" s="33">
        <f>Ruimtestaat[[#This Row],[uren / jaar weekend]]*Tariefsopbouw!$D$40</f>
        <v>0</v>
      </c>
      <c r="AF1217" s="79">
        <f>Ruimtestaat[[#This Row],[Prest. (m2 /jaar) weekend]]+Ruimtestaat[[#This Row],[Prest. (m2 /jaar) werkdagen]]</f>
        <v>361.2</v>
      </c>
      <c r="AG1217" s="79">
        <f>Ruimtestaat[[#This Row],[uren / jaar weekend]]+Ruimtestaat[[#This Row],[uren / jaar werkdagen]]</f>
        <v>0</v>
      </c>
      <c r="AH1217" s="80">
        <f>Ruimtestaat[[#This Row],[kosten / jaar weekend]]+Ruimtestaat[[#This Row],[kosten / jaar werkdagen]]</f>
        <v>0</v>
      </c>
    </row>
    <row r="1218" spans="1:34" ht="15" customHeight="1">
      <c r="A1218" s="256">
        <v>15</v>
      </c>
      <c r="B1218" s="171" t="str">
        <f>VLOOKUP(Ruimtestaat[[#This Row],[Code]],Locaties[#All],2,FALSE)</f>
        <v>Gymzaal Lijsterstraat</v>
      </c>
      <c r="C1218" s="258" t="str">
        <f>VLOOKUP(Ruimtestaat[[#This Row],[Code]],Locaties[#All],4,FALSE)</f>
        <v>Lijsterstraat 117</v>
      </c>
      <c r="D1218" s="258" t="str">
        <f>VLOOKUP(Ruimtestaat[[#This Row],[Code]],Locaties[#All],5,FALSE)</f>
        <v xml:space="preserve">7523 ES </v>
      </c>
      <c r="E1218" s="258" t="str">
        <f>VLOOKUP(Ruimtestaat[[#This Row],[Code]],Locaties[#All],6,FALSE)</f>
        <v>Enschede</v>
      </c>
      <c r="F1218" s="257"/>
      <c r="G1218" s="257" t="s">
        <v>563</v>
      </c>
      <c r="H1218" s="171"/>
      <c r="I1218" s="257" t="s">
        <v>712</v>
      </c>
      <c r="J1218" s="259" t="s">
        <v>713</v>
      </c>
      <c r="K1218" s="171">
        <v>18</v>
      </c>
      <c r="L1218" s="260" t="str">
        <f>VLOOKUP(Ruimtestaat[[#This Row],[Ruimte code]],Ruimtegroepen[#All],2,FALSE)</f>
        <v>Gymzaal</v>
      </c>
      <c r="M1218" s="185" t="s">
        <v>112</v>
      </c>
      <c r="N1218" s="257" t="s">
        <v>596</v>
      </c>
      <c r="O1218" s="261">
        <v>200</v>
      </c>
      <c r="P1218" s="183"/>
      <c r="Q1218" s="212" t="str">
        <f>VLOOKUP(Ruimtestaat[[#This Row],[Ruimte code]],Ruimtegroepen[#All],4,FALSE)</f>
        <v>Sp  (Sportruimte)</v>
      </c>
      <c r="R1218" s="184"/>
      <c r="S1218" s="185">
        <v>40</v>
      </c>
      <c r="T1218" s="185" t="s">
        <v>18</v>
      </c>
      <c r="U1218" s="185">
        <f>IF(S1218&gt;0,IF(RIGHT(Ruimtestaat[[#This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18" s="185">
        <f>IF(U1218&gt;0,VLOOKUP($K1218,Ruimtegroepen[],3,FALSE)*VLOOKUP($M1218,Vloersoorten[],3,FALSE)*VLOOKUP($T1218,Frequenties[],3,FALSE)*VLOOKUP($A1218,Locaties[],3,FALSE),0)</f>
        <v>0</v>
      </c>
      <c r="W1218" s="185">
        <f>Ruimtestaat[[#This Row],[Uitvoeringen werkdagen]]*Ruimtestaat[[#This Row],[Oppervlak (netto)]]</f>
        <v>24000</v>
      </c>
      <c r="X1218" s="220">
        <f>IF(V1218&gt;0,Ruimtestaat[[#This Row],[Prest. (m2 /jaar) werkdagen]]/Ruimtestaat[[#This Row],[Norm (m2/uur) werkdagen]],0)</f>
        <v>0</v>
      </c>
      <c r="Y1218" s="221">
        <f>Ruimtestaat[[#This Row],[uren / jaar werkdagen]]*Tariefsopbouw!$D$38</f>
        <v>0</v>
      </c>
      <c r="Z1218" s="33"/>
      <c r="AA1218" s="33">
        <f>IF(Ruimtestaat[[#This Row],[Frequentie weekend]]&gt;0,VALUE(LEFT(Z1218,1))*S1218,0)</f>
        <v>0</v>
      </c>
      <c r="AB1218" s="33">
        <f>IF($AA1218&gt;0,VLOOKUP($K1218,Ruimtegroepen[],3,FALSE)*VLOOKUP($M1218,Vloersoorten[],3,FALSE)*VLOOKUP($Z1218,Frequenties[],3,FALSE)*VLOOKUP(#REF!,Locaties[],3,FALSE),0)</f>
        <v>0</v>
      </c>
      <c r="AC1218" s="33"/>
      <c r="AD1218" s="33"/>
      <c r="AE1218" s="33">
        <f>Ruimtestaat[[#This Row],[uren / jaar weekend]]*Tariefsopbouw!$D$40</f>
        <v>0</v>
      </c>
      <c r="AF1218" s="79">
        <f>Ruimtestaat[[#This Row],[Prest. (m2 /jaar) weekend]]+Ruimtestaat[[#This Row],[Prest. (m2 /jaar) werkdagen]]</f>
        <v>24000</v>
      </c>
      <c r="AG1218" s="79">
        <f>Ruimtestaat[[#This Row],[uren / jaar weekend]]+Ruimtestaat[[#This Row],[uren / jaar werkdagen]]</f>
        <v>0</v>
      </c>
      <c r="AH1218" s="80">
        <f>Ruimtestaat[[#This Row],[kosten / jaar weekend]]+Ruimtestaat[[#This Row],[kosten / jaar werkdagen]]</f>
        <v>0</v>
      </c>
    </row>
    <row r="1219" spans="1:34" ht="15" customHeight="1">
      <c r="A1219" s="256">
        <v>15</v>
      </c>
      <c r="B1219" s="171" t="str">
        <f>VLOOKUP(Ruimtestaat[[#This Row],[Code]],Locaties[#All],2,FALSE)</f>
        <v>Gymzaal Lijsterstraat</v>
      </c>
      <c r="C1219" s="258" t="str">
        <f>VLOOKUP(Ruimtestaat[[#This Row],[Code]],Locaties[#All],4,FALSE)</f>
        <v>Lijsterstraat 117</v>
      </c>
      <c r="D1219" s="258" t="str">
        <f>VLOOKUP(Ruimtestaat[[#This Row],[Code]],Locaties[#All],5,FALSE)</f>
        <v xml:space="preserve">7523 ES </v>
      </c>
      <c r="E1219" s="258" t="str">
        <f>VLOOKUP(Ruimtestaat[[#This Row],[Code]],Locaties[#All],6,FALSE)</f>
        <v>Enschede</v>
      </c>
      <c r="F1219" s="257"/>
      <c r="G1219" s="257" t="s">
        <v>563</v>
      </c>
      <c r="H1219" s="171"/>
      <c r="I1219" s="257" t="s">
        <v>714</v>
      </c>
      <c r="J1219" s="259" t="s">
        <v>579</v>
      </c>
      <c r="K1219" s="185">
        <v>17</v>
      </c>
      <c r="L1219" s="260" t="str">
        <f>VLOOKUP(Ruimtestaat[[#This Row],[Ruimte code]],Ruimtegroepen[#All],2,FALSE)</f>
        <v>Toestelberging</v>
      </c>
      <c r="M1219" s="185" t="s">
        <v>112</v>
      </c>
      <c r="N1219" s="257" t="s">
        <v>596</v>
      </c>
      <c r="O1219" s="261">
        <v>33.33</v>
      </c>
      <c r="P1219" s="183"/>
      <c r="Q1219" s="212" t="str">
        <f>VLOOKUP(Ruimtestaat[[#This Row],[Ruimte code]],Ruimtegroepen[#All],4,FALSE)</f>
        <v>V  (Verkeersruimte)</v>
      </c>
      <c r="R1219" s="184"/>
      <c r="S1219" s="185">
        <v>40</v>
      </c>
      <c r="T1219" s="185" t="s">
        <v>15</v>
      </c>
      <c r="U1219" s="185">
        <f>IF(S1219&gt;0,IF(RIGHT(Ruimtestaat[[#This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19" s="185">
        <f>IF(U1219&gt;0,VLOOKUP($K1219,Ruimtegroepen[],3,FALSE)*VLOOKUP($M1219,Vloersoorten[],3,FALSE)*VLOOKUP($T1219,Frequenties[],3,FALSE)*VLOOKUP($A1219,Locaties[],3,FALSE),0)</f>
        <v>0</v>
      </c>
      <c r="W1219" s="185">
        <f>Ruimtestaat[[#This Row],[Uitvoeringen werkdagen]]*Ruimtestaat[[#This Row],[Oppervlak (netto)]]</f>
        <v>1333.1999999999998</v>
      </c>
      <c r="X1219" s="220">
        <f>IF(V1219&gt;0,Ruimtestaat[[#This Row],[Prest. (m2 /jaar) werkdagen]]/Ruimtestaat[[#This Row],[Norm (m2/uur) werkdagen]],0)</f>
        <v>0</v>
      </c>
      <c r="Y1219" s="221">
        <f>Ruimtestaat[[#This Row],[uren / jaar werkdagen]]*Tariefsopbouw!$D$38</f>
        <v>0</v>
      </c>
      <c r="Z1219" s="33"/>
      <c r="AA1219" s="33">
        <f>IF(Ruimtestaat[[#This Row],[Frequentie weekend]]&gt;0,VALUE(LEFT(Z1219,1))*S1219,0)</f>
        <v>0</v>
      </c>
      <c r="AB1219" s="33">
        <f>IF($AA1219&gt;0,VLOOKUP($K1219,Ruimtegroepen[],3,FALSE)*VLOOKUP($M1219,Vloersoorten[],3,FALSE)*VLOOKUP($Z1219,Frequenties[],3,FALSE)*VLOOKUP(#REF!,Locaties[],3,FALSE),0)</f>
        <v>0</v>
      </c>
      <c r="AC1219" s="33"/>
      <c r="AD1219" s="33"/>
      <c r="AE1219" s="33">
        <f>Ruimtestaat[[#This Row],[uren / jaar weekend]]*Tariefsopbouw!$D$40</f>
        <v>0</v>
      </c>
      <c r="AF1219" s="79">
        <f>Ruimtestaat[[#This Row],[Prest. (m2 /jaar) weekend]]+Ruimtestaat[[#This Row],[Prest. (m2 /jaar) werkdagen]]</f>
        <v>1333.1999999999998</v>
      </c>
      <c r="AG1219" s="79">
        <f>Ruimtestaat[[#This Row],[uren / jaar weekend]]+Ruimtestaat[[#This Row],[uren / jaar werkdagen]]</f>
        <v>0</v>
      </c>
      <c r="AH1219" s="80">
        <f>Ruimtestaat[[#This Row],[kosten / jaar weekend]]+Ruimtestaat[[#This Row],[kosten / jaar werkdagen]]</f>
        <v>0</v>
      </c>
    </row>
    <row r="1220" spans="1:34" ht="15" customHeight="1">
      <c r="A1220" s="256">
        <v>15</v>
      </c>
      <c r="B1220" s="171" t="str">
        <f>VLOOKUP(Ruimtestaat[[#This Row],[Code]],Locaties[#All],2,FALSE)</f>
        <v>Gymzaal Lijsterstraat</v>
      </c>
      <c r="C1220" s="258" t="str">
        <f>VLOOKUP(Ruimtestaat[[#This Row],[Code]],Locaties[#All],4,FALSE)</f>
        <v>Lijsterstraat 117</v>
      </c>
      <c r="D1220" s="258" t="str">
        <f>VLOOKUP(Ruimtestaat[[#This Row],[Code]],Locaties[#All],5,FALSE)</f>
        <v xml:space="preserve">7523 ES </v>
      </c>
      <c r="E1220" s="258" t="str">
        <f>VLOOKUP(Ruimtestaat[[#This Row],[Code]],Locaties[#All],6,FALSE)</f>
        <v>Enschede</v>
      </c>
      <c r="F1220" s="257"/>
      <c r="G1220" s="257" t="s">
        <v>563</v>
      </c>
      <c r="H1220" s="171"/>
      <c r="I1220" s="257" t="s">
        <v>715</v>
      </c>
      <c r="J1220" s="259" t="s">
        <v>716</v>
      </c>
      <c r="K1220" s="185">
        <v>20</v>
      </c>
      <c r="L1220" s="260" t="str">
        <f>VLOOKUP(Ruimtestaat[[#This Row],[Ruimte code]],Ruimtegroepen[#All],2,FALSE)</f>
        <v>Niet in onderhoud</v>
      </c>
      <c r="M1220" s="212" t="s">
        <v>111</v>
      </c>
      <c r="N1220" s="257" t="s">
        <v>605</v>
      </c>
      <c r="O1220" s="261"/>
      <c r="P1220" s="183">
        <v>9.74</v>
      </c>
      <c r="Q1220" s="212" t="str">
        <f>VLOOKUP(Ruimtestaat[[#This Row],[Ruimte code]],Ruimtegroepen[#All],4,FALSE)</f>
        <v>niet in onderhoud</v>
      </c>
      <c r="R1220" s="184"/>
      <c r="S1220" s="185"/>
      <c r="T1220" s="185"/>
      <c r="U1220" s="185">
        <f>IF(S1220&gt;0,IF(RIGHT(Ruimtestaat[[#This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20" s="185">
        <f>IF(U1220&gt;0,VLOOKUP($K1220,Ruimtegroepen[],3,FALSE)*VLOOKUP($M1220,Vloersoorten[],3,FALSE)*VLOOKUP($T1220,Frequenties[],3,FALSE)*VLOOKUP($A1220,Locaties[],3,FALSE),0)</f>
        <v>0</v>
      </c>
      <c r="W1220" s="185">
        <f>Ruimtestaat[[#This Row],[Uitvoeringen werkdagen]]*Ruimtestaat[[#This Row],[Oppervlak (netto)]]</f>
        <v>0</v>
      </c>
      <c r="X1220" s="220">
        <f>IF(V1220&gt;0,Ruimtestaat[[#This Row],[Prest. (m2 /jaar) werkdagen]]/Ruimtestaat[[#This Row],[Norm (m2/uur) werkdagen]],0)</f>
        <v>0</v>
      </c>
      <c r="Y1220" s="221">
        <f>Ruimtestaat[[#This Row],[uren / jaar werkdagen]]*Tariefsopbouw!$D$38</f>
        <v>0</v>
      </c>
      <c r="Z1220" s="33"/>
      <c r="AA1220" s="33">
        <f>IF(Ruimtestaat[[#This Row],[Frequentie weekend]]&gt;0,VALUE(LEFT(Z1220,1))*S1220,0)</f>
        <v>0</v>
      </c>
      <c r="AB1220" s="33">
        <f>IF($AA1220&gt;0,VLOOKUP($K1220,Ruimtegroepen[],3,FALSE)*VLOOKUP($M1220,Vloersoorten[],3,FALSE)*VLOOKUP($Z1220,Frequenties[],3,FALSE)*VLOOKUP(#REF!,Locaties[],3,FALSE),0)</f>
        <v>0</v>
      </c>
      <c r="AC1220" s="33"/>
      <c r="AD1220" s="33"/>
      <c r="AE1220" s="33">
        <f>Ruimtestaat[[#This Row],[uren / jaar weekend]]*Tariefsopbouw!$D$40</f>
        <v>0</v>
      </c>
      <c r="AF1220" s="79">
        <f>Ruimtestaat[[#This Row],[Prest. (m2 /jaar) weekend]]+Ruimtestaat[[#This Row],[Prest. (m2 /jaar) werkdagen]]</f>
        <v>0</v>
      </c>
      <c r="AG1220" s="79">
        <f>Ruimtestaat[[#This Row],[uren / jaar weekend]]+Ruimtestaat[[#This Row],[uren / jaar werkdagen]]</f>
        <v>0</v>
      </c>
      <c r="AH1220" s="80">
        <f>Ruimtestaat[[#This Row],[kosten / jaar weekend]]+Ruimtestaat[[#This Row],[kosten / jaar werkdagen]]</f>
        <v>0</v>
      </c>
    </row>
    <row r="1221" spans="1:34" ht="15" customHeight="1">
      <c r="A1221" s="256">
        <v>16</v>
      </c>
      <c r="B1221" s="289" t="str">
        <f>VLOOKUP(Ruimtestaat[[#This Row],[Code]],Locaties[#All],2,FALSE)</f>
        <v>Hassinkweg</v>
      </c>
      <c r="C1221" s="258" t="str">
        <f>VLOOKUP(Ruimtestaat[[#This Row],[Code]],Locaties[#All],4,FALSE)</f>
        <v>Hassinkweg 3/3A</v>
      </c>
      <c r="D1221" s="258" t="str">
        <f>VLOOKUP(Ruimtestaat[[#This Row],[Code]],Locaties[#All],5,FALSE)</f>
        <v>7556 BV</v>
      </c>
      <c r="E1221" s="258" t="str">
        <f>VLOOKUP(Ruimtestaat[[#This Row],[Code]],Locaties[#All],6,FALSE)</f>
        <v>Hengelo</v>
      </c>
      <c r="F1221" s="257"/>
      <c r="G1221" s="257" t="s">
        <v>563</v>
      </c>
      <c r="H1221" s="171"/>
      <c r="I1221" s="257" t="s">
        <v>446</v>
      </c>
      <c r="J1221" s="259" t="s">
        <v>612</v>
      </c>
      <c r="K1221" s="171">
        <v>5</v>
      </c>
      <c r="L1221" s="260" t="str">
        <f>VLOOKUP(Ruimtestaat[[#This Row],[Ruimte code]],Ruimtegroepen[#All],2,FALSE)</f>
        <v>Sanitair</v>
      </c>
      <c r="M1221" s="212" t="s">
        <v>111</v>
      </c>
      <c r="N1221" s="257" t="s">
        <v>625</v>
      </c>
      <c r="O1221" s="261">
        <v>3</v>
      </c>
      <c r="P1221" s="183"/>
      <c r="Q1221" s="212" t="str">
        <f>VLOOKUP(Ruimtestaat[[#This Row],[Ruimte code]],Ruimtegroepen[#All],4,FALSE)</f>
        <v>S  (Sanitair)</v>
      </c>
      <c r="R1221" s="184"/>
      <c r="S1221" s="185">
        <v>40</v>
      </c>
      <c r="T1221" s="185" t="s">
        <v>18</v>
      </c>
      <c r="U1221" s="185">
        <f>IF(S1221&gt;0,IF(RIGHT(Ruimtestaat[[#This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1" s="185">
        <f>IF(U1221&gt;0,VLOOKUP($K1221,Ruimtegroepen[],3,FALSE)*VLOOKUP($M1221,Vloersoorten[],3,FALSE)*VLOOKUP($T1221,Frequenties[],3,FALSE)*VLOOKUP($A1221,Locaties[],3,FALSE),0)</f>
        <v>0</v>
      </c>
      <c r="W1221" s="185">
        <f>Ruimtestaat[[#This Row],[Uitvoeringen werkdagen]]*Ruimtestaat[[#This Row],[Oppervlak (netto)]]</f>
        <v>360</v>
      </c>
      <c r="X1221" s="220">
        <f>IF(V1221&gt;0,Ruimtestaat[[#This Row],[Prest. (m2 /jaar) werkdagen]]/Ruimtestaat[[#This Row],[Norm (m2/uur) werkdagen]],0)</f>
        <v>0</v>
      </c>
      <c r="Y1221" s="221">
        <f>Ruimtestaat[[#This Row],[uren / jaar werkdagen]]*Tariefsopbouw!$D$38</f>
        <v>0</v>
      </c>
      <c r="Z1221" s="33"/>
      <c r="AA1221" s="33">
        <f>IF(Ruimtestaat[[#This Row],[Frequentie weekend]]&gt;0,VALUE(LEFT(Z1221,1))*S1221,0)</f>
        <v>0</v>
      </c>
      <c r="AB1221" s="33">
        <f>IF($AA1221&gt;0,VLOOKUP($K1221,Ruimtegroepen[],3,FALSE)*VLOOKUP($M1221,Vloersoorten[],3,FALSE)*VLOOKUP($Z1221,Frequenties[],3,FALSE)*VLOOKUP(#REF!,Locaties[],3,FALSE),0)</f>
        <v>0</v>
      </c>
      <c r="AC1221" s="33"/>
      <c r="AD1221" s="33"/>
      <c r="AE1221" s="33">
        <f>Ruimtestaat[[#This Row],[uren / jaar weekend]]*Tariefsopbouw!$D$40</f>
        <v>0</v>
      </c>
      <c r="AF1221" s="79">
        <f>Ruimtestaat[[#This Row],[Prest. (m2 /jaar) weekend]]+Ruimtestaat[[#This Row],[Prest. (m2 /jaar) werkdagen]]</f>
        <v>360</v>
      </c>
      <c r="AG1221" s="79">
        <f>Ruimtestaat[[#This Row],[uren / jaar weekend]]+Ruimtestaat[[#This Row],[uren / jaar werkdagen]]</f>
        <v>0</v>
      </c>
      <c r="AH1221" s="80">
        <f>Ruimtestaat[[#This Row],[kosten / jaar weekend]]+Ruimtestaat[[#This Row],[kosten / jaar werkdagen]]</f>
        <v>0</v>
      </c>
    </row>
    <row r="1222" spans="1:34" ht="15" customHeight="1">
      <c r="A1222" s="256">
        <v>16</v>
      </c>
      <c r="B1222" s="171" t="str">
        <f>VLOOKUP(Ruimtestaat[[#This Row],[Code]],Locaties[#All],2,FALSE)</f>
        <v>Hassinkweg</v>
      </c>
      <c r="C1222" s="258" t="str">
        <f>VLOOKUP(Ruimtestaat[[#This Row],[Code]],Locaties[#All],4,FALSE)</f>
        <v>Hassinkweg 3/3A</v>
      </c>
      <c r="D1222" s="258" t="str">
        <f>VLOOKUP(Ruimtestaat[[#This Row],[Code]],Locaties[#All],5,FALSE)</f>
        <v>7556 BV</v>
      </c>
      <c r="E1222" s="258" t="str">
        <f>VLOOKUP(Ruimtestaat[[#This Row],[Code]],Locaties[#All],6,FALSE)</f>
        <v>Hengelo</v>
      </c>
      <c r="F1222" s="257"/>
      <c r="G1222" s="257" t="s">
        <v>563</v>
      </c>
      <c r="H1222" s="171"/>
      <c r="I1222" s="257" t="s">
        <v>447</v>
      </c>
      <c r="J1222" s="259" t="s">
        <v>613</v>
      </c>
      <c r="K1222" s="258">
        <v>5</v>
      </c>
      <c r="L1222" s="260" t="str">
        <f>VLOOKUP(Ruimtestaat[[#This Row],[Ruimte code]],Ruimtegroepen[#All],2,FALSE)</f>
        <v>Sanitair</v>
      </c>
      <c r="M1222" s="212" t="s">
        <v>111</v>
      </c>
      <c r="N1222" s="257" t="s">
        <v>625</v>
      </c>
      <c r="O1222" s="261">
        <v>3</v>
      </c>
      <c r="P1222" s="183"/>
      <c r="Q1222" s="212" t="str">
        <f>VLOOKUP(Ruimtestaat[[#This Row],[Ruimte code]],Ruimtegroepen[#All],4,FALSE)</f>
        <v>S  (Sanitair)</v>
      </c>
      <c r="R1222" s="184"/>
      <c r="S1222" s="185">
        <v>40</v>
      </c>
      <c r="T1222" s="185" t="s">
        <v>18</v>
      </c>
      <c r="U1222" s="185">
        <f>IF(S1222&gt;0,IF(RIGHT(Ruimtestaat[[#This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2" s="185">
        <f>IF(U1222&gt;0,VLOOKUP($K1222,Ruimtegroepen[],3,FALSE)*VLOOKUP($M1222,Vloersoorten[],3,FALSE)*VLOOKUP($T1222,Frequenties[],3,FALSE)*VLOOKUP($A1222,Locaties[],3,FALSE),0)</f>
        <v>0</v>
      </c>
      <c r="W1222" s="185">
        <f>Ruimtestaat[[#This Row],[Uitvoeringen werkdagen]]*Ruimtestaat[[#This Row],[Oppervlak (netto)]]</f>
        <v>360</v>
      </c>
      <c r="X1222" s="220">
        <f>IF(V1222&gt;0,Ruimtestaat[[#This Row],[Prest. (m2 /jaar) werkdagen]]/Ruimtestaat[[#This Row],[Norm (m2/uur) werkdagen]],0)</f>
        <v>0</v>
      </c>
      <c r="Y1222" s="221">
        <f>Ruimtestaat[[#This Row],[uren / jaar werkdagen]]*Tariefsopbouw!$D$38</f>
        <v>0</v>
      </c>
      <c r="Z1222" s="33"/>
      <c r="AA1222" s="33">
        <f>IF(Ruimtestaat[[#This Row],[Frequentie weekend]]&gt;0,VALUE(LEFT(Z1222,1))*S1222,0)</f>
        <v>0</v>
      </c>
      <c r="AB1222" s="33">
        <f>IF($AA1222&gt;0,VLOOKUP($K1222,Ruimtegroepen[],3,FALSE)*VLOOKUP($M1222,Vloersoorten[],3,FALSE)*VLOOKUP($Z1222,Frequenties[],3,FALSE)*VLOOKUP(#REF!,Locaties[],3,FALSE),0)</f>
        <v>0</v>
      </c>
      <c r="AC1222" s="33"/>
      <c r="AD1222" s="33"/>
      <c r="AE1222" s="33">
        <f>Ruimtestaat[[#This Row],[uren / jaar weekend]]*Tariefsopbouw!$D$40</f>
        <v>0</v>
      </c>
      <c r="AF1222" s="79">
        <f>Ruimtestaat[[#This Row],[Prest. (m2 /jaar) weekend]]+Ruimtestaat[[#This Row],[Prest. (m2 /jaar) werkdagen]]</f>
        <v>360</v>
      </c>
      <c r="AG1222" s="79">
        <f>Ruimtestaat[[#This Row],[uren / jaar weekend]]+Ruimtestaat[[#This Row],[uren / jaar werkdagen]]</f>
        <v>0</v>
      </c>
      <c r="AH1222" s="80">
        <f>Ruimtestaat[[#This Row],[kosten / jaar weekend]]+Ruimtestaat[[#This Row],[kosten / jaar werkdagen]]</f>
        <v>0</v>
      </c>
    </row>
    <row r="1223" spans="1:34" ht="15" customHeight="1">
      <c r="A1223" s="256">
        <v>16</v>
      </c>
      <c r="B1223" s="171" t="str">
        <f>VLOOKUP(Ruimtestaat[[#This Row],[Code]],Locaties[#All],2,FALSE)</f>
        <v>Hassinkweg</v>
      </c>
      <c r="C1223" s="258" t="str">
        <f>VLOOKUP(Ruimtestaat[[#This Row],[Code]],Locaties[#All],4,FALSE)</f>
        <v>Hassinkweg 3/3A</v>
      </c>
      <c r="D1223" s="258" t="str">
        <f>VLOOKUP(Ruimtestaat[[#This Row],[Code]],Locaties[#All],5,FALSE)</f>
        <v>7556 BV</v>
      </c>
      <c r="E1223" s="258" t="str">
        <f>VLOOKUP(Ruimtestaat[[#This Row],[Code]],Locaties[#All],6,FALSE)</f>
        <v>Hengelo</v>
      </c>
      <c r="F1223" s="257"/>
      <c r="G1223" s="257" t="s">
        <v>563</v>
      </c>
      <c r="H1223" s="171"/>
      <c r="I1223" s="257" t="s">
        <v>448</v>
      </c>
      <c r="J1223" s="259" t="s">
        <v>614</v>
      </c>
      <c r="K1223" s="258">
        <v>5</v>
      </c>
      <c r="L1223" s="260" t="str">
        <f>VLOOKUP(Ruimtestaat[[#This Row],[Ruimte code]],Ruimtegroepen[#All],2,FALSE)</f>
        <v>Sanitair</v>
      </c>
      <c r="M1223" s="185" t="s">
        <v>598</v>
      </c>
      <c r="N1223" s="257" t="s">
        <v>132</v>
      </c>
      <c r="O1223" s="261">
        <v>4.5</v>
      </c>
      <c r="P1223" s="183"/>
      <c r="Q1223" s="212" t="str">
        <f>VLOOKUP(Ruimtestaat[[#This Row],[Ruimte code]],Ruimtegroepen[#All],4,FALSE)</f>
        <v>S  (Sanitair)</v>
      </c>
      <c r="R1223" s="184"/>
      <c r="S1223" s="185">
        <v>40</v>
      </c>
      <c r="T1223" s="185" t="s">
        <v>18</v>
      </c>
      <c r="U1223" s="185">
        <f>IF(S1223&gt;0,IF(RIGHT(Ruimtestaat[[#This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3" s="185">
        <f>IF(U1223&gt;0,VLOOKUP($K1223,Ruimtegroepen[],3,FALSE)*VLOOKUP($M1223,Vloersoorten[],3,FALSE)*VLOOKUP($T1223,Frequenties[],3,FALSE)*VLOOKUP($A1223,Locaties[],3,FALSE),0)</f>
        <v>0</v>
      </c>
      <c r="W1223" s="185">
        <f>Ruimtestaat[[#This Row],[Uitvoeringen werkdagen]]*Ruimtestaat[[#This Row],[Oppervlak (netto)]]</f>
        <v>540</v>
      </c>
      <c r="X1223" s="220">
        <f>IF(V1223&gt;0,Ruimtestaat[[#This Row],[Prest. (m2 /jaar) werkdagen]]/Ruimtestaat[[#This Row],[Norm (m2/uur) werkdagen]],0)</f>
        <v>0</v>
      </c>
      <c r="Y1223" s="221">
        <f>Ruimtestaat[[#This Row],[uren / jaar werkdagen]]*Tariefsopbouw!$D$38</f>
        <v>0</v>
      </c>
      <c r="Z1223" s="33"/>
      <c r="AA1223" s="33">
        <f>IF(Ruimtestaat[[#This Row],[Frequentie weekend]]&gt;0,VALUE(LEFT(Z1223,1))*S1223,0)</f>
        <v>0</v>
      </c>
      <c r="AB1223" s="33">
        <f>IF($AA1223&gt;0,VLOOKUP($K1223,Ruimtegroepen[],3,FALSE)*VLOOKUP($M1223,Vloersoorten[],3,FALSE)*VLOOKUP($Z1223,Frequenties[],3,FALSE)*VLOOKUP(#REF!,Locaties[],3,FALSE),0)</f>
        <v>0</v>
      </c>
      <c r="AC1223" s="33"/>
      <c r="AD1223" s="33"/>
      <c r="AE1223" s="33">
        <f>Ruimtestaat[[#This Row],[uren / jaar weekend]]*Tariefsopbouw!$D$40</f>
        <v>0</v>
      </c>
      <c r="AF1223" s="79">
        <f>Ruimtestaat[[#This Row],[Prest. (m2 /jaar) weekend]]+Ruimtestaat[[#This Row],[Prest. (m2 /jaar) werkdagen]]</f>
        <v>540</v>
      </c>
      <c r="AG1223" s="79">
        <f>Ruimtestaat[[#This Row],[uren / jaar weekend]]+Ruimtestaat[[#This Row],[uren / jaar werkdagen]]</f>
        <v>0</v>
      </c>
      <c r="AH1223" s="80">
        <f>Ruimtestaat[[#This Row],[kosten / jaar weekend]]+Ruimtestaat[[#This Row],[kosten / jaar werkdagen]]</f>
        <v>0</v>
      </c>
    </row>
    <row r="1224" spans="1:34" ht="15" customHeight="1">
      <c r="A1224" s="256">
        <v>16</v>
      </c>
      <c r="B1224" s="171" t="str">
        <f>VLOOKUP(Ruimtestaat[[#This Row],[Code]],Locaties[#All],2,FALSE)</f>
        <v>Hassinkweg</v>
      </c>
      <c r="C1224" s="258" t="str">
        <f>VLOOKUP(Ruimtestaat[[#This Row],[Code]],Locaties[#All],4,FALSE)</f>
        <v>Hassinkweg 3/3A</v>
      </c>
      <c r="D1224" s="258" t="str">
        <f>VLOOKUP(Ruimtestaat[[#This Row],[Code]],Locaties[#All],5,FALSE)</f>
        <v>7556 BV</v>
      </c>
      <c r="E1224" s="258" t="str">
        <f>VLOOKUP(Ruimtestaat[[#This Row],[Code]],Locaties[#All],6,FALSE)</f>
        <v>Hengelo</v>
      </c>
      <c r="F1224" s="257"/>
      <c r="G1224" s="257" t="s">
        <v>563</v>
      </c>
      <c r="H1224" s="171"/>
      <c r="I1224" s="257" t="s">
        <v>449</v>
      </c>
      <c r="J1224" s="259" t="s">
        <v>569</v>
      </c>
      <c r="K1224" s="258">
        <v>5</v>
      </c>
      <c r="L1224" s="260" t="str">
        <f>VLOOKUP(Ruimtestaat[[#This Row],[Ruimte code]],Ruimtegroepen[#All],2,FALSE)</f>
        <v>Sanitair</v>
      </c>
      <c r="M1224" s="185" t="s">
        <v>598</v>
      </c>
      <c r="N1224" s="257" t="s">
        <v>132</v>
      </c>
      <c r="O1224" s="261">
        <v>1.2</v>
      </c>
      <c r="P1224" s="183"/>
      <c r="Q1224" s="212" t="str">
        <f>VLOOKUP(Ruimtestaat[[#This Row],[Ruimte code]],Ruimtegroepen[#All],4,FALSE)</f>
        <v>S  (Sanitair)</v>
      </c>
      <c r="R1224" s="184"/>
      <c r="S1224" s="185">
        <v>40</v>
      </c>
      <c r="T1224" s="185" t="s">
        <v>18</v>
      </c>
      <c r="U1224" s="185">
        <f>IF(S1224&gt;0,IF(RIGHT(Ruimtestaat[[#This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4" s="185">
        <f>IF(U1224&gt;0,VLOOKUP($K1224,Ruimtegroepen[],3,FALSE)*VLOOKUP($M1224,Vloersoorten[],3,FALSE)*VLOOKUP($T1224,Frequenties[],3,FALSE)*VLOOKUP($A1224,Locaties[],3,FALSE),0)</f>
        <v>0</v>
      </c>
      <c r="W1224" s="185">
        <f>Ruimtestaat[[#This Row],[Uitvoeringen werkdagen]]*Ruimtestaat[[#This Row],[Oppervlak (netto)]]</f>
        <v>144</v>
      </c>
      <c r="X1224" s="220">
        <f>IF(V1224&gt;0,Ruimtestaat[[#This Row],[Prest. (m2 /jaar) werkdagen]]/Ruimtestaat[[#This Row],[Norm (m2/uur) werkdagen]],0)</f>
        <v>0</v>
      </c>
      <c r="Y1224" s="221">
        <f>Ruimtestaat[[#This Row],[uren / jaar werkdagen]]*Tariefsopbouw!$D$38</f>
        <v>0</v>
      </c>
      <c r="Z1224" s="33"/>
      <c r="AA1224" s="33">
        <f>IF(Ruimtestaat[[#This Row],[Frequentie weekend]]&gt;0,VALUE(LEFT(Z1224,1))*S1224,0)</f>
        <v>0</v>
      </c>
      <c r="AB1224" s="33">
        <f>IF($AA1224&gt;0,VLOOKUP($K1224,Ruimtegroepen[],3,FALSE)*VLOOKUP($M1224,Vloersoorten[],3,FALSE)*VLOOKUP($Z1224,Frequenties[],3,FALSE)*VLOOKUP(#REF!,Locaties[],3,FALSE),0)</f>
        <v>0</v>
      </c>
      <c r="AC1224" s="33"/>
      <c r="AD1224" s="33"/>
      <c r="AE1224" s="33">
        <f>Ruimtestaat[[#This Row],[uren / jaar weekend]]*Tariefsopbouw!$D$40</f>
        <v>0</v>
      </c>
      <c r="AF1224" s="79">
        <f>Ruimtestaat[[#This Row],[Prest. (m2 /jaar) weekend]]+Ruimtestaat[[#This Row],[Prest. (m2 /jaar) werkdagen]]</f>
        <v>144</v>
      </c>
      <c r="AG1224" s="79">
        <f>Ruimtestaat[[#This Row],[uren / jaar weekend]]+Ruimtestaat[[#This Row],[uren / jaar werkdagen]]</f>
        <v>0</v>
      </c>
      <c r="AH1224" s="80">
        <f>Ruimtestaat[[#This Row],[kosten / jaar weekend]]+Ruimtestaat[[#This Row],[kosten / jaar werkdagen]]</f>
        <v>0</v>
      </c>
    </row>
    <row r="1225" spans="1:34" ht="15" customHeight="1">
      <c r="A1225" s="256">
        <v>16</v>
      </c>
      <c r="B1225" s="171" t="str">
        <f>VLOOKUP(Ruimtestaat[[#This Row],[Code]],Locaties[#All],2,FALSE)</f>
        <v>Hassinkweg</v>
      </c>
      <c r="C1225" s="258" t="str">
        <f>VLOOKUP(Ruimtestaat[[#This Row],[Code]],Locaties[#All],4,FALSE)</f>
        <v>Hassinkweg 3/3A</v>
      </c>
      <c r="D1225" s="258" t="str">
        <f>VLOOKUP(Ruimtestaat[[#This Row],[Code]],Locaties[#All],5,FALSE)</f>
        <v>7556 BV</v>
      </c>
      <c r="E1225" s="258" t="str">
        <f>VLOOKUP(Ruimtestaat[[#This Row],[Code]],Locaties[#All],6,FALSE)</f>
        <v>Hengelo</v>
      </c>
      <c r="F1225" s="257"/>
      <c r="G1225" s="257" t="s">
        <v>563</v>
      </c>
      <c r="H1225" s="171"/>
      <c r="I1225" s="257" t="s">
        <v>450</v>
      </c>
      <c r="J1225" s="259" t="s">
        <v>569</v>
      </c>
      <c r="K1225" s="258">
        <v>5</v>
      </c>
      <c r="L1225" s="260" t="str">
        <f>VLOOKUP(Ruimtestaat[[#This Row],[Ruimte code]],Ruimtegroepen[#All],2,FALSE)</f>
        <v>Sanitair</v>
      </c>
      <c r="M1225" s="185" t="s">
        <v>598</v>
      </c>
      <c r="N1225" s="257" t="s">
        <v>132</v>
      </c>
      <c r="O1225" s="261">
        <v>1.2</v>
      </c>
      <c r="P1225" s="183"/>
      <c r="Q1225" s="212" t="str">
        <f>VLOOKUP(Ruimtestaat[[#This Row],[Ruimte code]],Ruimtegroepen[#All],4,FALSE)</f>
        <v>S  (Sanitair)</v>
      </c>
      <c r="R1225" s="184"/>
      <c r="S1225" s="185">
        <v>40</v>
      </c>
      <c r="T1225" s="185" t="s">
        <v>18</v>
      </c>
      <c r="U1225" s="185">
        <f>IF(S1225&gt;0,IF(RIGHT(Ruimtestaat[[#This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5" s="185">
        <f>IF(U1225&gt;0,VLOOKUP($K1225,Ruimtegroepen[],3,FALSE)*VLOOKUP($M1225,Vloersoorten[],3,FALSE)*VLOOKUP($T1225,Frequenties[],3,FALSE)*VLOOKUP($A1225,Locaties[],3,FALSE),0)</f>
        <v>0</v>
      </c>
      <c r="W1225" s="185">
        <f>Ruimtestaat[[#This Row],[Uitvoeringen werkdagen]]*Ruimtestaat[[#This Row],[Oppervlak (netto)]]</f>
        <v>144</v>
      </c>
      <c r="X1225" s="220">
        <f>IF(V1225&gt;0,Ruimtestaat[[#This Row],[Prest. (m2 /jaar) werkdagen]]/Ruimtestaat[[#This Row],[Norm (m2/uur) werkdagen]],0)</f>
        <v>0</v>
      </c>
      <c r="Y1225" s="221">
        <f>Ruimtestaat[[#This Row],[uren / jaar werkdagen]]*Tariefsopbouw!$D$38</f>
        <v>0</v>
      </c>
      <c r="Z1225" s="33"/>
      <c r="AA1225" s="33">
        <f>IF(Ruimtestaat[[#This Row],[Frequentie weekend]]&gt;0,VALUE(LEFT(Z1225,1))*S1225,0)</f>
        <v>0</v>
      </c>
      <c r="AB1225" s="33">
        <f>IF($AA1225&gt;0,VLOOKUP($K1225,Ruimtegroepen[],3,FALSE)*VLOOKUP($M1225,Vloersoorten[],3,FALSE)*VLOOKUP($Z1225,Frequenties[],3,FALSE)*VLOOKUP(#REF!,Locaties[],3,FALSE),0)</f>
        <v>0</v>
      </c>
      <c r="AC1225" s="33"/>
      <c r="AD1225" s="33"/>
      <c r="AE1225" s="33">
        <f>Ruimtestaat[[#This Row],[uren / jaar weekend]]*Tariefsopbouw!$D$40</f>
        <v>0</v>
      </c>
      <c r="AF1225" s="79">
        <f>Ruimtestaat[[#This Row],[Prest. (m2 /jaar) weekend]]+Ruimtestaat[[#This Row],[Prest. (m2 /jaar) werkdagen]]</f>
        <v>144</v>
      </c>
      <c r="AG1225" s="79">
        <f>Ruimtestaat[[#This Row],[uren / jaar weekend]]+Ruimtestaat[[#This Row],[uren / jaar werkdagen]]</f>
        <v>0</v>
      </c>
      <c r="AH1225" s="80">
        <f>Ruimtestaat[[#This Row],[kosten / jaar weekend]]+Ruimtestaat[[#This Row],[kosten / jaar werkdagen]]</f>
        <v>0</v>
      </c>
    </row>
    <row r="1226" spans="1:34" ht="15" customHeight="1">
      <c r="A1226" s="256">
        <v>16</v>
      </c>
      <c r="B1226" s="171" t="str">
        <f>VLOOKUP(Ruimtestaat[[#This Row],[Code]],Locaties[#All],2,FALSE)</f>
        <v>Hassinkweg</v>
      </c>
      <c r="C1226" s="258" t="str">
        <f>VLOOKUP(Ruimtestaat[[#This Row],[Code]],Locaties[#All],4,FALSE)</f>
        <v>Hassinkweg 3/3A</v>
      </c>
      <c r="D1226" s="258" t="str">
        <f>VLOOKUP(Ruimtestaat[[#This Row],[Code]],Locaties[#All],5,FALSE)</f>
        <v>7556 BV</v>
      </c>
      <c r="E1226" s="258" t="str">
        <f>VLOOKUP(Ruimtestaat[[#This Row],[Code]],Locaties[#All],6,FALSE)</f>
        <v>Hengelo</v>
      </c>
      <c r="F1226" s="257"/>
      <c r="G1226" s="257" t="s">
        <v>563</v>
      </c>
      <c r="H1226" s="171"/>
      <c r="I1226" s="257" t="s">
        <v>451</v>
      </c>
      <c r="J1226" s="259" t="s">
        <v>613</v>
      </c>
      <c r="K1226" s="258">
        <v>5</v>
      </c>
      <c r="L1226" s="260" t="str">
        <f>VLOOKUP(Ruimtestaat[[#This Row],[Ruimte code]],Ruimtegroepen[#All],2,FALSE)</f>
        <v>Sanitair</v>
      </c>
      <c r="M1226" s="185" t="s">
        <v>598</v>
      </c>
      <c r="N1226" s="257" t="s">
        <v>132</v>
      </c>
      <c r="O1226" s="261">
        <v>1.2</v>
      </c>
      <c r="P1226" s="183"/>
      <c r="Q1226" s="212" t="str">
        <f>VLOOKUP(Ruimtestaat[[#This Row],[Ruimte code]],Ruimtegroepen[#All],4,FALSE)</f>
        <v>S  (Sanitair)</v>
      </c>
      <c r="R1226" s="184"/>
      <c r="S1226" s="185">
        <v>40</v>
      </c>
      <c r="T1226" s="185" t="s">
        <v>18</v>
      </c>
      <c r="U1226" s="185">
        <f>IF(S1226&gt;0,IF(RIGHT(Ruimtestaat[[#This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6" s="185">
        <f>IF(U1226&gt;0,VLOOKUP($K1226,Ruimtegroepen[],3,FALSE)*VLOOKUP($M1226,Vloersoorten[],3,FALSE)*VLOOKUP($T1226,Frequenties[],3,FALSE)*VLOOKUP($A1226,Locaties[],3,FALSE),0)</f>
        <v>0</v>
      </c>
      <c r="W1226" s="185">
        <f>Ruimtestaat[[#This Row],[Uitvoeringen werkdagen]]*Ruimtestaat[[#This Row],[Oppervlak (netto)]]</f>
        <v>144</v>
      </c>
      <c r="X1226" s="220">
        <f>IF(V1226&gt;0,Ruimtestaat[[#This Row],[Prest. (m2 /jaar) werkdagen]]/Ruimtestaat[[#This Row],[Norm (m2/uur) werkdagen]],0)</f>
        <v>0</v>
      </c>
      <c r="Y1226" s="221">
        <f>Ruimtestaat[[#This Row],[uren / jaar werkdagen]]*Tariefsopbouw!$D$38</f>
        <v>0</v>
      </c>
      <c r="Z1226" s="33"/>
      <c r="AA1226" s="33">
        <f>IF(Ruimtestaat[[#This Row],[Frequentie weekend]]&gt;0,VALUE(LEFT(Z1226,1))*S1226,0)</f>
        <v>0</v>
      </c>
      <c r="AB1226" s="33">
        <f>IF($AA1226&gt;0,VLOOKUP($K1226,Ruimtegroepen[],3,FALSE)*VLOOKUP($M1226,Vloersoorten[],3,FALSE)*VLOOKUP($Z1226,Frequenties[],3,FALSE)*VLOOKUP(#REF!,Locaties[],3,FALSE),0)</f>
        <v>0</v>
      </c>
      <c r="AC1226" s="33"/>
      <c r="AD1226" s="33"/>
      <c r="AE1226" s="33">
        <f>Ruimtestaat[[#This Row],[uren / jaar weekend]]*Tariefsopbouw!$D$40</f>
        <v>0</v>
      </c>
      <c r="AF1226" s="79">
        <f>Ruimtestaat[[#This Row],[Prest. (m2 /jaar) weekend]]+Ruimtestaat[[#This Row],[Prest. (m2 /jaar) werkdagen]]</f>
        <v>144</v>
      </c>
      <c r="AG1226" s="79">
        <f>Ruimtestaat[[#This Row],[uren / jaar weekend]]+Ruimtestaat[[#This Row],[uren / jaar werkdagen]]</f>
        <v>0</v>
      </c>
      <c r="AH1226" s="80">
        <f>Ruimtestaat[[#This Row],[kosten / jaar weekend]]+Ruimtestaat[[#This Row],[kosten / jaar werkdagen]]</f>
        <v>0</v>
      </c>
    </row>
    <row r="1227" spans="1:34" ht="15" customHeight="1">
      <c r="A1227" s="256">
        <v>16</v>
      </c>
      <c r="B1227" s="171" t="str">
        <f>VLOOKUP(Ruimtestaat[[#This Row],[Code]],Locaties[#All],2,FALSE)</f>
        <v>Hassinkweg</v>
      </c>
      <c r="C1227" s="258" t="str">
        <f>VLOOKUP(Ruimtestaat[[#This Row],[Code]],Locaties[#All],4,FALSE)</f>
        <v>Hassinkweg 3/3A</v>
      </c>
      <c r="D1227" s="258" t="str">
        <f>VLOOKUP(Ruimtestaat[[#This Row],[Code]],Locaties[#All],5,FALSE)</f>
        <v>7556 BV</v>
      </c>
      <c r="E1227" s="258" t="str">
        <f>VLOOKUP(Ruimtestaat[[#This Row],[Code]],Locaties[#All],6,FALSE)</f>
        <v>Hengelo</v>
      </c>
      <c r="F1227" s="257"/>
      <c r="G1227" s="257" t="s">
        <v>563</v>
      </c>
      <c r="H1227" s="171"/>
      <c r="I1227" s="257" t="s">
        <v>452</v>
      </c>
      <c r="J1227" s="259" t="s">
        <v>612</v>
      </c>
      <c r="K1227" s="258">
        <v>5</v>
      </c>
      <c r="L1227" s="260" t="str">
        <f>VLOOKUP(Ruimtestaat[[#This Row],[Ruimte code]],Ruimtegroepen[#All],2,FALSE)</f>
        <v>Sanitair</v>
      </c>
      <c r="M1227" s="185" t="s">
        <v>598</v>
      </c>
      <c r="N1227" s="257" t="s">
        <v>132</v>
      </c>
      <c r="O1227" s="261">
        <v>2</v>
      </c>
      <c r="P1227" s="183"/>
      <c r="Q1227" s="212" t="str">
        <f>VLOOKUP(Ruimtestaat[[#This Row],[Ruimte code]],Ruimtegroepen[#All],4,FALSE)</f>
        <v>S  (Sanitair)</v>
      </c>
      <c r="R1227" s="184"/>
      <c r="S1227" s="185">
        <v>40</v>
      </c>
      <c r="T1227" s="185" t="s">
        <v>18</v>
      </c>
      <c r="U1227" s="185">
        <f>IF(S1227&gt;0,IF(RIGHT(Ruimtestaat[[#This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7" s="185">
        <f>IF(U1227&gt;0,VLOOKUP($K1227,Ruimtegroepen[],3,FALSE)*VLOOKUP($M1227,Vloersoorten[],3,FALSE)*VLOOKUP($T1227,Frequenties[],3,FALSE)*VLOOKUP($A1227,Locaties[],3,FALSE),0)</f>
        <v>0</v>
      </c>
      <c r="W1227" s="185">
        <f>Ruimtestaat[[#This Row],[Uitvoeringen werkdagen]]*Ruimtestaat[[#This Row],[Oppervlak (netto)]]</f>
        <v>240</v>
      </c>
      <c r="X1227" s="220">
        <f>IF(V1227&gt;0,Ruimtestaat[[#This Row],[Prest. (m2 /jaar) werkdagen]]/Ruimtestaat[[#This Row],[Norm (m2/uur) werkdagen]],0)</f>
        <v>0</v>
      </c>
      <c r="Y1227" s="221">
        <f>Ruimtestaat[[#This Row],[uren / jaar werkdagen]]*Tariefsopbouw!$D$38</f>
        <v>0</v>
      </c>
      <c r="Z1227" s="33"/>
      <c r="AA1227" s="33">
        <f>IF(Ruimtestaat[[#This Row],[Frequentie weekend]]&gt;0,VALUE(LEFT(Z1227,1))*S1227,0)</f>
        <v>0</v>
      </c>
      <c r="AB1227" s="33">
        <f>IF($AA1227&gt;0,VLOOKUP($K1227,Ruimtegroepen[],3,FALSE)*VLOOKUP($M1227,Vloersoorten[],3,FALSE)*VLOOKUP($Z1227,Frequenties[],3,FALSE)*VLOOKUP(#REF!,Locaties[],3,FALSE),0)</f>
        <v>0</v>
      </c>
      <c r="AC1227" s="33"/>
      <c r="AD1227" s="33"/>
      <c r="AE1227" s="33">
        <f>Ruimtestaat[[#This Row],[uren / jaar weekend]]*Tariefsopbouw!$D$40</f>
        <v>0</v>
      </c>
      <c r="AF1227" s="79">
        <f>Ruimtestaat[[#This Row],[Prest. (m2 /jaar) weekend]]+Ruimtestaat[[#This Row],[Prest. (m2 /jaar) werkdagen]]</f>
        <v>240</v>
      </c>
      <c r="AG1227" s="79">
        <f>Ruimtestaat[[#This Row],[uren / jaar weekend]]+Ruimtestaat[[#This Row],[uren / jaar werkdagen]]</f>
        <v>0</v>
      </c>
      <c r="AH1227" s="80">
        <f>Ruimtestaat[[#This Row],[kosten / jaar weekend]]+Ruimtestaat[[#This Row],[kosten / jaar werkdagen]]</f>
        <v>0</v>
      </c>
    </row>
    <row r="1228" spans="1:34" ht="15" customHeight="1">
      <c r="A1228" s="256">
        <v>16</v>
      </c>
      <c r="B1228" s="171" t="str">
        <f>VLOOKUP(Ruimtestaat[[#This Row],[Code]],Locaties[#All],2,FALSE)</f>
        <v>Hassinkweg</v>
      </c>
      <c r="C1228" s="258" t="str">
        <f>VLOOKUP(Ruimtestaat[[#This Row],[Code]],Locaties[#All],4,FALSE)</f>
        <v>Hassinkweg 3/3A</v>
      </c>
      <c r="D1228" s="258" t="str">
        <f>VLOOKUP(Ruimtestaat[[#This Row],[Code]],Locaties[#All],5,FALSE)</f>
        <v>7556 BV</v>
      </c>
      <c r="E1228" s="258" t="str">
        <f>VLOOKUP(Ruimtestaat[[#This Row],[Code]],Locaties[#All],6,FALSE)</f>
        <v>Hengelo</v>
      </c>
      <c r="F1228" s="257"/>
      <c r="G1228" s="257" t="s">
        <v>563</v>
      </c>
      <c r="H1228" s="171"/>
      <c r="I1228" s="257" t="s">
        <v>446</v>
      </c>
      <c r="J1228" s="259" t="s">
        <v>40</v>
      </c>
      <c r="K1228" s="258">
        <v>7</v>
      </c>
      <c r="L1228" s="260" t="str">
        <f>VLOOKUP(Ruimtestaat[[#This Row],[Ruimte code]],Ruimtegroepen[#All],2,FALSE)</f>
        <v>Entree</v>
      </c>
      <c r="M1228" s="258" t="s">
        <v>110</v>
      </c>
      <c r="N1228" s="257" t="s">
        <v>132</v>
      </c>
      <c r="O1228" s="261">
        <v>31.4</v>
      </c>
      <c r="P1228" s="183"/>
      <c r="Q1228" s="212" t="str">
        <f>VLOOKUP(Ruimtestaat[[#This Row],[Ruimte code]],Ruimtegroepen[#All],4,FALSE)</f>
        <v>V  (Verkeersruimte)</v>
      </c>
      <c r="R1228" s="184"/>
      <c r="S1228" s="185">
        <v>40</v>
      </c>
      <c r="T1228" s="185" t="s">
        <v>18</v>
      </c>
      <c r="U1228" s="185">
        <f>IF(S1228&gt;0,IF(RIGHT(Ruimtestaat[[#This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8" s="185">
        <f>IF(U1228&gt;0,VLOOKUP($K1228,Ruimtegroepen[],3,FALSE)*VLOOKUP($M1228,Vloersoorten[],3,FALSE)*VLOOKUP($T1228,Frequenties[],3,FALSE)*VLOOKUP($A1228,Locaties[],3,FALSE),0)</f>
        <v>0</v>
      </c>
      <c r="W1228" s="185">
        <f>Ruimtestaat[[#This Row],[Uitvoeringen werkdagen]]*Ruimtestaat[[#This Row],[Oppervlak (netto)]]</f>
        <v>3768</v>
      </c>
      <c r="X1228" s="220">
        <f>IF(V1228&gt;0,Ruimtestaat[[#This Row],[Prest. (m2 /jaar) werkdagen]]/Ruimtestaat[[#This Row],[Norm (m2/uur) werkdagen]],0)</f>
        <v>0</v>
      </c>
      <c r="Y1228" s="221">
        <f>Ruimtestaat[[#This Row],[uren / jaar werkdagen]]*Tariefsopbouw!$D$38</f>
        <v>0</v>
      </c>
      <c r="Z1228" s="33"/>
      <c r="AA1228" s="33">
        <f>IF(Ruimtestaat[[#This Row],[Frequentie weekend]]&gt;0,VALUE(LEFT(Z1228,1))*S1228,0)</f>
        <v>0</v>
      </c>
      <c r="AB1228" s="33">
        <f>IF($AA1228&gt;0,VLOOKUP($K1228,Ruimtegroepen[],3,FALSE)*VLOOKUP($M1228,Vloersoorten[],3,FALSE)*VLOOKUP($Z1228,Frequenties[],3,FALSE)*VLOOKUP(#REF!,Locaties[],3,FALSE),0)</f>
        <v>0</v>
      </c>
      <c r="AC1228" s="33"/>
      <c r="AD1228" s="33"/>
      <c r="AE1228" s="33">
        <f>Ruimtestaat[[#This Row],[uren / jaar weekend]]*Tariefsopbouw!$D$40</f>
        <v>0</v>
      </c>
      <c r="AF1228" s="79">
        <f>Ruimtestaat[[#This Row],[Prest. (m2 /jaar) weekend]]+Ruimtestaat[[#This Row],[Prest. (m2 /jaar) werkdagen]]</f>
        <v>3768</v>
      </c>
      <c r="AG1228" s="79">
        <f>Ruimtestaat[[#This Row],[uren / jaar weekend]]+Ruimtestaat[[#This Row],[uren / jaar werkdagen]]</f>
        <v>0</v>
      </c>
      <c r="AH1228" s="80">
        <f>Ruimtestaat[[#This Row],[kosten / jaar weekend]]+Ruimtestaat[[#This Row],[kosten / jaar werkdagen]]</f>
        <v>0</v>
      </c>
    </row>
    <row r="1229" spans="1:34" ht="15" customHeight="1">
      <c r="A1229" s="256">
        <v>16</v>
      </c>
      <c r="B1229" s="171" t="str">
        <f>VLOOKUP(Ruimtestaat[[#This Row],[Code]],Locaties[#All],2,FALSE)</f>
        <v>Hassinkweg</v>
      </c>
      <c r="C1229" s="258" t="str">
        <f>VLOOKUP(Ruimtestaat[[#This Row],[Code]],Locaties[#All],4,FALSE)</f>
        <v>Hassinkweg 3/3A</v>
      </c>
      <c r="D1229" s="258" t="str">
        <f>VLOOKUP(Ruimtestaat[[#This Row],[Code]],Locaties[#All],5,FALSE)</f>
        <v>7556 BV</v>
      </c>
      <c r="E1229" s="258" t="str">
        <f>VLOOKUP(Ruimtestaat[[#This Row],[Code]],Locaties[#All],6,FALSE)</f>
        <v>Hengelo</v>
      </c>
      <c r="F1229" s="257"/>
      <c r="G1229" s="257" t="s">
        <v>563</v>
      </c>
      <c r="H1229" s="171"/>
      <c r="I1229" s="257" t="s">
        <v>447</v>
      </c>
      <c r="J1229" s="259" t="s">
        <v>571</v>
      </c>
      <c r="K1229" s="171">
        <v>2</v>
      </c>
      <c r="L1229" s="260" t="str">
        <f>VLOOKUP(Ruimtestaat[[#This Row],[Ruimte code]],Ruimtegroepen[#All],2,FALSE)</f>
        <v>Kantoren</v>
      </c>
      <c r="M1229" s="258" t="s">
        <v>109</v>
      </c>
      <c r="N1229" s="257" t="s">
        <v>38</v>
      </c>
      <c r="O1229" s="261">
        <v>23.7</v>
      </c>
      <c r="P1229" s="183"/>
      <c r="Q1229" s="212" t="str">
        <f>VLOOKUP(Ruimtestaat[[#This Row],[Ruimte code]],Ruimtegroepen[#All],4,FALSE)</f>
        <v>B  (Bureauruimte)</v>
      </c>
      <c r="R1229" s="184"/>
      <c r="S1229" s="185">
        <v>40</v>
      </c>
      <c r="T1229" s="185" t="s">
        <v>15</v>
      </c>
      <c r="U1229" s="185">
        <f>IF(S1229&gt;0,IF(RIGHT(Ruimtestaat[[#This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29" s="185">
        <f>IF(U1229&gt;0,VLOOKUP($K1229,Ruimtegroepen[],3,FALSE)*VLOOKUP($M1229,Vloersoorten[],3,FALSE)*VLOOKUP($T1229,Frequenties[],3,FALSE)*VLOOKUP($A1229,Locaties[],3,FALSE),0)</f>
        <v>0</v>
      </c>
      <c r="W1229" s="185">
        <f>Ruimtestaat[[#This Row],[Uitvoeringen werkdagen]]*Ruimtestaat[[#This Row],[Oppervlak (netto)]]</f>
        <v>948</v>
      </c>
      <c r="X1229" s="220">
        <f>IF(V1229&gt;0,Ruimtestaat[[#This Row],[Prest. (m2 /jaar) werkdagen]]/Ruimtestaat[[#This Row],[Norm (m2/uur) werkdagen]],0)</f>
        <v>0</v>
      </c>
      <c r="Y1229" s="221">
        <f>Ruimtestaat[[#This Row],[uren / jaar werkdagen]]*Tariefsopbouw!$D$38</f>
        <v>0</v>
      </c>
      <c r="Z1229" s="33"/>
      <c r="AA1229" s="33">
        <f>IF(Ruimtestaat[[#This Row],[Frequentie weekend]]&gt;0,VALUE(LEFT(Z1229,1))*S1229,0)</f>
        <v>0</v>
      </c>
      <c r="AB1229" s="33">
        <f>IF($AA1229&gt;0,VLOOKUP($K1229,Ruimtegroepen[],3,FALSE)*VLOOKUP($M1229,Vloersoorten[],3,FALSE)*VLOOKUP($Z1229,Frequenties[],3,FALSE)*VLOOKUP(#REF!,Locaties[],3,FALSE),0)</f>
        <v>0</v>
      </c>
      <c r="AC1229" s="33"/>
      <c r="AD1229" s="33"/>
      <c r="AE1229" s="33">
        <f>Ruimtestaat[[#This Row],[uren / jaar weekend]]*Tariefsopbouw!$D$40</f>
        <v>0</v>
      </c>
      <c r="AF1229" s="79">
        <f>Ruimtestaat[[#This Row],[Prest. (m2 /jaar) weekend]]+Ruimtestaat[[#This Row],[Prest. (m2 /jaar) werkdagen]]</f>
        <v>948</v>
      </c>
      <c r="AG1229" s="79">
        <f>Ruimtestaat[[#This Row],[uren / jaar weekend]]+Ruimtestaat[[#This Row],[uren / jaar werkdagen]]</f>
        <v>0</v>
      </c>
      <c r="AH1229" s="80">
        <f>Ruimtestaat[[#This Row],[kosten / jaar weekend]]+Ruimtestaat[[#This Row],[kosten / jaar werkdagen]]</f>
        <v>0</v>
      </c>
    </row>
    <row r="1230" spans="1:34" ht="15" customHeight="1">
      <c r="A1230" s="256">
        <v>16</v>
      </c>
      <c r="B1230" s="171" t="str">
        <f>VLOOKUP(Ruimtestaat[[#This Row],[Code]],Locaties[#All],2,FALSE)</f>
        <v>Hassinkweg</v>
      </c>
      <c r="C1230" s="258" t="str">
        <f>VLOOKUP(Ruimtestaat[[#This Row],[Code]],Locaties[#All],4,FALSE)</f>
        <v>Hassinkweg 3/3A</v>
      </c>
      <c r="D1230" s="258" t="str">
        <f>VLOOKUP(Ruimtestaat[[#This Row],[Code]],Locaties[#All],5,FALSE)</f>
        <v>7556 BV</v>
      </c>
      <c r="E1230" s="258" t="str">
        <f>VLOOKUP(Ruimtestaat[[#This Row],[Code]],Locaties[#All],6,FALSE)</f>
        <v>Hengelo</v>
      </c>
      <c r="F1230" s="257"/>
      <c r="G1230" s="257" t="s">
        <v>563</v>
      </c>
      <c r="H1230" s="171"/>
      <c r="I1230" s="257" t="s">
        <v>448</v>
      </c>
      <c r="J1230" s="259" t="s">
        <v>385</v>
      </c>
      <c r="K1230" s="185">
        <v>16</v>
      </c>
      <c r="L1230" s="260" t="str">
        <f>VLOOKUP(Ruimtestaat[[#This Row],[Ruimte code]],Ruimtegroepen[#All],2,FALSE)</f>
        <v>Leslokalen</v>
      </c>
      <c r="M1230" s="258" t="s">
        <v>109</v>
      </c>
      <c r="N1230" s="257" t="s">
        <v>38</v>
      </c>
      <c r="O1230" s="261">
        <v>30.9</v>
      </c>
      <c r="P1230" s="183"/>
      <c r="Q1230" s="212" t="str">
        <f>VLOOKUP(Ruimtestaat[[#This Row],[Ruimte code]],Ruimtegroepen[#All],4,FALSE)</f>
        <v>L  (Lesruimte)</v>
      </c>
      <c r="R1230" s="184"/>
      <c r="S1230" s="185">
        <v>40</v>
      </c>
      <c r="T1230" s="185" t="s">
        <v>15</v>
      </c>
      <c r="U1230" s="185">
        <f>IF(S1230&gt;0,IF(RIGHT(Ruimtestaat[[#This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0" s="185">
        <f>IF(U1230&gt;0,VLOOKUP($K1230,Ruimtegroepen[],3,FALSE)*VLOOKUP($M1230,Vloersoorten[],3,FALSE)*VLOOKUP($T1230,Frequenties[],3,FALSE)*VLOOKUP($A1230,Locaties[],3,FALSE),0)</f>
        <v>0</v>
      </c>
      <c r="W1230" s="185">
        <f>Ruimtestaat[[#This Row],[Uitvoeringen werkdagen]]*Ruimtestaat[[#This Row],[Oppervlak (netto)]]</f>
        <v>1236</v>
      </c>
      <c r="X1230" s="220">
        <f>IF(V1230&gt;0,Ruimtestaat[[#This Row],[Prest. (m2 /jaar) werkdagen]]/Ruimtestaat[[#This Row],[Norm (m2/uur) werkdagen]],0)</f>
        <v>0</v>
      </c>
      <c r="Y1230" s="221">
        <f>Ruimtestaat[[#This Row],[uren / jaar werkdagen]]*Tariefsopbouw!$D$38</f>
        <v>0</v>
      </c>
      <c r="Z1230" s="33"/>
      <c r="AA1230" s="33">
        <f>IF(Ruimtestaat[[#This Row],[Frequentie weekend]]&gt;0,VALUE(LEFT(Z1230,1))*S1230,0)</f>
        <v>0</v>
      </c>
      <c r="AB1230" s="33">
        <f>IF($AA1230&gt;0,VLOOKUP($K1230,Ruimtegroepen[],3,FALSE)*VLOOKUP($M1230,Vloersoorten[],3,FALSE)*VLOOKUP($Z1230,Frequenties[],3,FALSE)*VLOOKUP(#REF!,Locaties[],3,FALSE),0)</f>
        <v>0</v>
      </c>
      <c r="AC1230" s="33"/>
      <c r="AD1230" s="33"/>
      <c r="AE1230" s="33">
        <f>Ruimtestaat[[#This Row],[uren / jaar weekend]]*Tariefsopbouw!$D$40</f>
        <v>0</v>
      </c>
      <c r="AF1230" s="79">
        <f>Ruimtestaat[[#This Row],[Prest. (m2 /jaar) weekend]]+Ruimtestaat[[#This Row],[Prest. (m2 /jaar) werkdagen]]</f>
        <v>1236</v>
      </c>
      <c r="AG1230" s="79">
        <f>Ruimtestaat[[#This Row],[uren / jaar weekend]]+Ruimtestaat[[#This Row],[uren / jaar werkdagen]]</f>
        <v>0</v>
      </c>
      <c r="AH1230" s="80">
        <f>Ruimtestaat[[#This Row],[kosten / jaar weekend]]+Ruimtestaat[[#This Row],[kosten / jaar werkdagen]]</f>
        <v>0</v>
      </c>
    </row>
    <row r="1231" spans="1:34" ht="15" customHeight="1">
      <c r="A1231" s="256">
        <v>16</v>
      </c>
      <c r="B1231" s="171" t="str">
        <f>VLOOKUP(Ruimtestaat[[#This Row],[Code]],Locaties[#All],2,FALSE)</f>
        <v>Hassinkweg</v>
      </c>
      <c r="C1231" s="258" t="str">
        <f>VLOOKUP(Ruimtestaat[[#This Row],[Code]],Locaties[#All],4,FALSE)</f>
        <v>Hassinkweg 3/3A</v>
      </c>
      <c r="D1231" s="258" t="str">
        <f>VLOOKUP(Ruimtestaat[[#This Row],[Code]],Locaties[#All],5,FALSE)</f>
        <v>7556 BV</v>
      </c>
      <c r="E1231" s="258" t="str">
        <f>VLOOKUP(Ruimtestaat[[#This Row],[Code]],Locaties[#All],6,FALSE)</f>
        <v>Hengelo</v>
      </c>
      <c r="F1231" s="257"/>
      <c r="G1231" s="257" t="s">
        <v>563</v>
      </c>
      <c r="H1231" s="171"/>
      <c r="I1231" s="257" t="s">
        <v>449</v>
      </c>
      <c r="J1231" s="259" t="s">
        <v>585</v>
      </c>
      <c r="K1231" s="185">
        <v>1</v>
      </c>
      <c r="L1231" s="260" t="str">
        <f>VLOOKUP(Ruimtestaat[[#This Row],[Ruimte code]],Ruimtegroepen[#All],2,FALSE)</f>
        <v>Magazijnen/bergingen</v>
      </c>
      <c r="M1231" s="258" t="s">
        <v>109</v>
      </c>
      <c r="N1231" s="257" t="s">
        <v>38</v>
      </c>
      <c r="O1231" s="261">
        <v>15</v>
      </c>
      <c r="P1231" s="183"/>
      <c r="Q1231" s="212" t="str">
        <f>VLOOKUP(Ruimtestaat[[#This Row],[Ruimte code]],Ruimtegroepen[#All],4,FALSE)</f>
        <v>V  (Verkeersruimte)</v>
      </c>
      <c r="R1231" s="184"/>
      <c r="S1231" s="185">
        <v>40</v>
      </c>
      <c r="T1231" s="185" t="s">
        <v>16</v>
      </c>
      <c r="U1231" s="185">
        <f>IF(S1231&gt;0,IF(RIGHT(Ruimtestaat[[#This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231" s="185">
        <f>IF(U1231&gt;0,VLOOKUP($K1231,Ruimtegroepen[],3,FALSE)*VLOOKUP($M1231,Vloersoorten[],3,FALSE)*VLOOKUP($T1231,Frequenties[],3,FALSE)*VLOOKUP($A1231,Locaties[],3,FALSE),0)</f>
        <v>0</v>
      </c>
      <c r="W1231" s="185">
        <f>Ruimtestaat[[#This Row],[Uitvoeringen werkdagen]]*Ruimtestaat[[#This Row],[Oppervlak (netto)]]</f>
        <v>180</v>
      </c>
      <c r="X1231" s="220">
        <f>IF(V1231&gt;0,Ruimtestaat[[#This Row],[Prest. (m2 /jaar) werkdagen]]/Ruimtestaat[[#This Row],[Norm (m2/uur) werkdagen]],0)</f>
        <v>0</v>
      </c>
      <c r="Y1231" s="221">
        <f>Ruimtestaat[[#This Row],[uren / jaar werkdagen]]*Tariefsopbouw!$D$38</f>
        <v>0</v>
      </c>
      <c r="Z1231" s="33"/>
      <c r="AA1231" s="33">
        <f>IF(Ruimtestaat[[#This Row],[Frequentie weekend]]&gt;0,VALUE(LEFT(Z1231,1))*S1231,0)</f>
        <v>0</v>
      </c>
      <c r="AB1231" s="33">
        <f>IF($AA1231&gt;0,VLOOKUP($K1231,Ruimtegroepen[],3,FALSE)*VLOOKUP($M1231,Vloersoorten[],3,FALSE)*VLOOKUP($Z1231,Frequenties[],3,FALSE)*VLOOKUP(#REF!,Locaties[],3,FALSE),0)</f>
        <v>0</v>
      </c>
      <c r="AC1231" s="33"/>
      <c r="AD1231" s="33"/>
      <c r="AE1231" s="33">
        <f>Ruimtestaat[[#This Row],[uren / jaar weekend]]*Tariefsopbouw!$D$40</f>
        <v>0</v>
      </c>
      <c r="AF1231" s="79">
        <f>Ruimtestaat[[#This Row],[Prest. (m2 /jaar) weekend]]+Ruimtestaat[[#This Row],[Prest. (m2 /jaar) werkdagen]]</f>
        <v>180</v>
      </c>
      <c r="AG1231" s="79">
        <f>Ruimtestaat[[#This Row],[uren / jaar weekend]]+Ruimtestaat[[#This Row],[uren / jaar werkdagen]]</f>
        <v>0</v>
      </c>
      <c r="AH1231" s="80">
        <f>Ruimtestaat[[#This Row],[kosten / jaar weekend]]+Ruimtestaat[[#This Row],[kosten / jaar werkdagen]]</f>
        <v>0</v>
      </c>
    </row>
    <row r="1232" spans="1:34" ht="15" customHeight="1">
      <c r="A1232" s="256">
        <v>16</v>
      </c>
      <c r="B1232" s="171" t="str">
        <f>VLOOKUP(Ruimtestaat[[#This Row],[Code]],Locaties[#All],2,FALSE)</f>
        <v>Hassinkweg</v>
      </c>
      <c r="C1232" s="258" t="str">
        <f>VLOOKUP(Ruimtestaat[[#This Row],[Code]],Locaties[#All],4,FALSE)</f>
        <v>Hassinkweg 3/3A</v>
      </c>
      <c r="D1232" s="258" t="str">
        <f>VLOOKUP(Ruimtestaat[[#This Row],[Code]],Locaties[#All],5,FALSE)</f>
        <v>7556 BV</v>
      </c>
      <c r="E1232" s="258" t="str">
        <f>VLOOKUP(Ruimtestaat[[#This Row],[Code]],Locaties[#All],6,FALSE)</f>
        <v>Hengelo</v>
      </c>
      <c r="F1232" s="257"/>
      <c r="G1232" s="257" t="s">
        <v>563</v>
      </c>
      <c r="H1232" s="171"/>
      <c r="I1232" s="257" t="s">
        <v>450</v>
      </c>
      <c r="J1232" s="259" t="s">
        <v>591</v>
      </c>
      <c r="K1232" s="171">
        <v>4</v>
      </c>
      <c r="L1232" s="260" t="str">
        <f>VLOOKUP(Ruimtestaat[[#This Row],[Ruimte code]],Ruimtegroepen[#All],2,FALSE)</f>
        <v>Vergader/spreekkamers</v>
      </c>
      <c r="M1232" s="212" t="s">
        <v>109</v>
      </c>
      <c r="N1232" s="257" t="s">
        <v>38</v>
      </c>
      <c r="O1232" s="261">
        <v>39.6</v>
      </c>
      <c r="P1232" s="183"/>
      <c r="Q1232" s="212" t="str">
        <f>VLOOKUP(Ruimtestaat[[#This Row],[Ruimte code]],Ruimtegroepen[#All],4,FALSE)</f>
        <v>B  (Bureauruimte)</v>
      </c>
      <c r="R1232" s="184"/>
      <c r="S1232" s="185">
        <v>40</v>
      </c>
      <c r="T1232" s="185" t="s">
        <v>15</v>
      </c>
      <c r="U1232" s="185">
        <f>IF(S1232&gt;0,IF(RIGHT(Ruimtestaat[[#This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2" s="185">
        <f>IF(U1232&gt;0,VLOOKUP($K1232,Ruimtegroepen[],3,FALSE)*VLOOKUP($M1232,Vloersoorten[],3,FALSE)*VLOOKUP($T1232,Frequenties[],3,FALSE)*VLOOKUP($A1232,Locaties[],3,FALSE),0)</f>
        <v>0</v>
      </c>
      <c r="W1232" s="185">
        <f>Ruimtestaat[[#This Row],[Uitvoeringen werkdagen]]*Ruimtestaat[[#This Row],[Oppervlak (netto)]]</f>
        <v>1584</v>
      </c>
      <c r="X1232" s="220">
        <f>IF(V1232&gt;0,Ruimtestaat[[#This Row],[Prest. (m2 /jaar) werkdagen]]/Ruimtestaat[[#This Row],[Norm (m2/uur) werkdagen]],0)</f>
        <v>0</v>
      </c>
      <c r="Y1232" s="221">
        <f>Ruimtestaat[[#This Row],[uren / jaar werkdagen]]*Tariefsopbouw!$D$38</f>
        <v>0</v>
      </c>
      <c r="Z1232" s="33"/>
      <c r="AA1232" s="33">
        <f>IF(Ruimtestaat[[#This Row],[Frequentie weekend]]&gt;0,VALUE(LEFT(Z1232,1))*S1232,0)</f>
        <v>0</v>
      </c>
      <c r="AB1232" s="33">
        <f>IF($AA1232&gt;0,VLOOKUP($K1232,Ruimtegroepen[],3,FALSE)*VLOOKUP($M1232,Vloersoorten[],3,FALSE)*VLOOKUP($Z1232,Frequenties[],3,FALSE)*VLOOKUP(#REF!,Locaties[],3,FALSE),0)</f>
        <v>0</v>
      </c>
      <c r="AC1232" s="33"/>
      <c r="AD1232" s="33"/>
      <c r="AE1232" s="33">
        <f>Ruimtestaat[[#This Row],[uren / jaar weekend]]*Tariefsopbouw!$D$40</f>
        <v>0</v>
      </c>
      <c r="AF1232" s="79">
        <f>Ruimtestaat[[#This Row],[Prest. (m2 /jaar) weekend]]+Ruimtestaat[[#This Row],[Prest. (m2 /jaar) werkdagen]]</f>
        <v>1584</v>
      </c>
      <c r="AG1232" s="79">
        <f>Ruimtestaat[[#This Row],[uren / jaar weekend]]+Ruimtestaat[[#This Row],[uren / jaar werkdagen]]</f>
        <v>0</v>
      </c>
      <c r="AH1232" s="80">
        <f>Ruimtestaat[[#This Row],[kosten / jaar weekend]]+Ruimtestaat[[#This Row],[kosten / jaar werkdagen]]</f>
        <v>0</v>
      </c>
    </row>
    <row r="1233" spans="1:34" ht="15" customHeight="1">
      <c r="A1233" s="256">
        <v>16</v>
      </c>
      <c r="B1233" s="171" t="str">
        <f>VLOOKUP(Ruimtestaat[[#This Row],[Code]],Locaties[#All],2,FALSE)</f>
        <v>Hassinkweg</v>
      </c>
      <c r="C1233" s="258" t="str">
        <f>VLOOKUP(Ruimtestaat[[#This Row],[Code]],Locaties[#All],4,FALSE)</f>
        <v>Hassinkweg 3/3A</v>
      </c>
      <c r="D1233" s="258" t="str">
        <f>VLOOKUP(Ruimtestaat[[#This Row],[Code]],Locaties[#All],5,FALSE)</f>
        <v>7556 BV</v>
      </c>
      <c r="E1233" s="258" t="str">
        <f>VLOOKUP(Ruimtestaat[[#This Row],[Code]],Locaties[#All],6,FALSE)</f>
        <v>Hengelo</v>
      </c>
      <c r="F1233" s="257"/>
      <c r="G1233" s="257" t="s">
        <v>563</v>
      </c>
      <c r="H1233" s="171"/>
      <c r="I1233" s="257" t="s">
        <v>451</v>
      </c>
      <c r="J1233" s="259" t="s">
        <v>615</v>
      </c>
      <c r="K1233" s="171">
        <v>6</v>
      </c>
      <c r="L1233" s="260" t="str">
        <f>VLOOKUP(Ruimtestaat[[#This Row],[Ruimte code]],Ruimtegroepen[#All],2,FALSE)</f>
        <v>Gangen/hallen</v>
      </c>
      <c r="M1233" s="258" t="s">
        <v>110</v>
      </c>
      <c r="N1233" s="257" t="s">
        <v>132</v>
      </c>
      <c r="O1233" s="261">
        <v>71.3</v>
      </c>
      <c r="P1233" s="183"/>
      <c r="Q1233" s="212" t="str">
        <f>VLOOKUP(Ruimtestaat[[#This Row],[Ruimte code]],Ruimtegroepen[#All],4,FALSE)</f>
        <v>V  (Verkeersruimte)</v>
      </c>
      <c r="R1233" s="184"/>
      <c r="S1233" s="185">
        <v>40</v>
      </c>
      <c r="T1233" s="185" t="s">
        <v>15</v>
      </c>
      <c r="U1233" s="185">
        <f>IF(S1233&gt;0,IF(RIGHT(Ruimtestaat[[#This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3" s="185">
        <f>IF(U1233&gt;0,VLOOKUP($K1233,Ruimtegroepen[],3,FALSE)*VLOOKUP($M1233,Vloersoorten[],3,FALSE)*VLOOKUP($T1233,Frequenties[],3,FALSE)*VLOOKUP($A1233,Locaties[],3,FALSE),0)</f>
        <v>0</v>
      </c>
      <c r="W1233" s="185">
        <f>Ruimtestaat[[#This Row],[Uitvoeringen werkdagen]]*Ruimtestaat[[#This Row],[Oppervlak (netto)]]</f>
        <v>2852</v>
      </c>
      <c r="X1233" s="220">
        <f>IF(V1233&gt;0,Ruimtestaat[[#This Row],[Prest. (m2 /jaar) werkdagen]]/Ruimtestaat[[#This Row],[Norm (m2/uur) werkdagen]],0)</f>
        <v>0</v>
      </c>
      <c r="Y1233" s="221">
        <f>Ruimtestaat[[#This Row],[uren / jaar werkdagen]]*Tariefsopbouw!$D$38</f>
        <v>0</v>
      </c>
      <c r="Z1233" s="33"/>
      <c r="AA1233" s="33">
        <f>IF(Ruimtestaat[[#This Row],[Frequentie weekend]]&gt;0,VALUE(LEFT(Z1233,1))*S1233,0)</f>
        <v>0</v>
      </c>
      <c r="AB1233" s="33">
        <f>IF($AA1233&gt;0,VLOOKUP($K1233,Ruimtegroepen[],3,FALSE)*VLOOKUP($M1233,Vloersoorten[],3,FALSE)*VLOOKUP($Z1233,Frequenties[],3,FALSE)*VLOOKUP(#REF!,Locaties[],3,FALSE),0)</f>
        <v>0</v>
      </c>
      <c r="AC1233" s="33"/>
      <c r="AD1233" s="33"/>
      <c r="AE1233" s="33">
        <f>Ruimtestaat[[#This Row],[uren / jaar weekend]]*Tariefsopbouw!$D$40</f>
        <v>0</v>
      </c>
      <c r="AF1233" s="79">
        <f>Ruimtestaat[[#This Row],[Prest. (m2 /jaar) weekend]]+Ruimtestaat[[#This Row],[Prest. (m2 /jaar) werkdagen]]</f>
        <v>2852</v>
      </c>
      <c r="AG1233" s="79">
        <f>Ruimtestaat[[#This Row],[uren / jaar weekend]]+Ruimtestaat[[#This Row],[uren / jaar werkdagen]]</f>
        <v>0</v>
      </c>
      <c r="AH1233" s="80">
        <f>Ruimtestaat[[#This Row],[kosten / jaar weekend]]+Ruimtestaat[[#This Row],[kosten / jaar werkdagen]]</f>
        <v>0</v>
      </c>
    </row>
    <row r="1234" spans="1:34" ht="15" customHeight="1">
      <c r="A1234" s="256">
        <v>16</v>
      </c>
      <c r="B1234" s="171" t="str">
        <f>VLOOKUP(Ruimtestaat[[#This Row],[Code]],Locaties[#All],2,FALSE)</f>
        <v>Hassinkweg</v>
      </c>
      <c r="C1234" s="258" t="str">
        <f>VLOOKUP(Ruimtestaat[[#This Row],[Code]],Locaties[#All],4,FALSE)</f>
        <v>Hassinkweg 3/3A</v>
      </c>
      <c r="D1234" s="258" t="str">
        <f>VLOOKUP(Ruimtestaat[[#This Row],[Code]],Locaties[#All],5,FALSE)</f>
        <v>7556 BV</v>
      </c>
      <c r="E1234" s="258" t="str">
        <f>VLOOKUP(Ruimtestaat[[#This Row],[Code]],Locaties[#All],6,FALSE)</f>
        <v>Hengelo</v>
      </c>
      <c r="F1234" s="257"/>
      <c r="G1234" s="257" t="s">
        <v>563</v>
      </c>
      <c r="H1234" s="171"/>
      <c r="I1234" s="257" t="s">
        <v>452</v>
      </c>
      <c r="J1234" s="259" t="s">
        <v>616</v>
      </c>
      <c r="K1234" s="171">
        <v>4</v>
      </c>
      <c r="L1234" s="260" t="str">
        <f>VLOOKUP(Ruimtestaat[[#This Row],[Ruimte code]],Ruimtegroepen[#All],2,FALSE)</f>
        <v>Vergader/spreekkamers</v>
      </c>
      <c r="M1234" s="212" t="s">
        <v>109</v>
      </c>
      <c r="N1234" s="257" t="s">
        <v>38</v>
      </c>
      <c r="O1234" s="261">
        <v>19.3</v>
      </c>
      <c r="P1234" s="183"/>
      <c r="Q1234" s="212" t="str">
        <f>VLOOKUP(Ruimtestaat[[#This Row],[Ruimte code]],Ruimtegroepen[#All],4,FALSE)</f>
        <v>B  (Bureauruimte)</v>
      </c>
      <c r="R1234" s="184"/>
      <c r="S1234" s="185">
        <v>40</v>
      </c>
      <c r="T1234" s="185" t="s">
        <v>15</v>
      </c>
      <c r="U1234" s="185">
        <f>IF(S1234&gt;0,IF(RIGHT(Ruimtestaat[[#This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4" s="185">
        <f>IF(U1234&gt;0,VLOOKUP($K1234,Ruimtegroepen[],3,FALSE)*VLOOKUP($M1234,Vloersoorten[],3,FALSE)*VLOOKUP($T1234,Frequenties[],3,FALSE)*VLOOKUP($A1234,Locaties[],3,FALSE),0)</f>
        <v>0</v>
      </c>
      <c r="W1234" s="185">
        <f>Ruimtestaat[[#This Row],[Uitvoeringen werkdagen]]*Ruimtestaat[[#This Row],[Oppervlak (netto)]]</f>
        <v>772</v>
      </c>
      <c r="X1234" s="220">
        <f>IF(V1234&gt;0,Ruimtestaat[[#This Row],[Prest. (m2 /jaar) werkdagen]]/Ruimtestaat[[#This Row],[Norm (m2/uur) werkdagen]],0)</f>
        <v>0</v>
      </c>
      <c r="Y1234" s="221">
        <f>Ruimtestaat[[#This Row],[uren / jaar werkdagen]]*Tariefsopbouw!$D$38</f>
        <v>0</v>
      </c>
      <c r="Z1234" s="33"/>
      <c r="AA1234" s="33">
        <f>IF(Ruimtestaat[[#This Row],[Frequentie weekend]]&gt;0,VALUE(LEFT(Z1234,1))*S1234,0)</f>
        <v>0</v>
      </c>
      <c r="AB1234" s="33">
        <f>IF($AA1234&gt;0,VLOOKUP($K1234,Ruimtegroepen[],3,FALSE)*VLOOKUP($M1234,Vloersoorten[],3,FALSE)*VLOOKUP($Z1234,Frequenties[],3,FALSE)*VLOOKUP(#REF!,Locaties[],3,FALSE),0)</f>
        <v>0</v>
      </c>
      <c r="AC1234" s="33"/>
      <c r="AD1234" s="33"/>
      <c r="AE1234" s="33">
        <f>Ruimtestaat[[#This Row],[uren / jaar weekend]]*Tariefsopbouw!$D$40</f>
        <v>0</v>
      </c>
      <c r="AF1234" s="79">
        <f>Ruimtestaat[[#This Row],[Prest. (m2 /jaar) weekend]]+Ruimtestaat[[#This Row],[Prest. (m2 /jaar) werkdagen]]</f>
        <v>772</v>
      </c>
      <c r="AG1234" s="79">
        <f>Ruimtestaat[[#This Row],[uren / jaar weekend]]+Ruimtestaat[[#This Row],[uren / jaar werkdagen]]</f>
        <v>0</v>
      </c>
      <c r="AH1234" s="80">
        <f>Ruimtestaat[[#This Row],[kosten / jaar weekend]]+Ruimtestaat[[#This Row],[kosten / jaar werkdagen]]</f>
        <v>0</v>
      </c>
    </row>
    <row r="1235" spans="1:34" ht="15" customHeight="1">
      <c r="A1235" s="256">
        <v>16</v>
      </c>
      <c r="B1235" s="171" t="str">
        <f>VLOOKUP(Ruimtestaat[[#This Row],[Code]],Locaties[#All],2,FALSE)</f>
        <v>Hassinkweg</v>
      </c>
      <c r="C1235" s="258" t="str">
        <f>VLOOKUP(Ruimtestaat[[#This Row],[Code]],Locaties[#All],4,FALSE)</f>
        <v>Hassinkweg 3/3A</v>
      </c>
      <c r="D1235" s="258" t="str">
        <f>VLOOKUP(Ruimtestaat[[#This Row],[Code]],Locaties[#All],5,FALSE)</f>
        <v>7556 BV</v>
      </c>
      <c r="E1235" s="258" t="str">
        <f>VLOOKUP(Ruimtestaat[[#This Row],[Code]],Locaties[#All],6,FALSE)</f>
        <v>Hengelo</v>
      </c>
      <c r="F1235" s="257"/>
      <c r="G1235" s="257" t="s">
        <v>563</v>
      </c>
      <c r="H1235" s="171"/>
      <c r="I1235" s="257" t="s">
        <v>453</v>
      </c>
      <c r="J1235" s="259" t="s">
        <v>617</v>
      </c>
      <c r="K1235" s="171">
        <v>2</v>
      </c>
      <c r="L1235" s="260" t="str">
        <f>VLOOKUP(Ruimtestaat[[#This Row],[Ruimte code]],Ruimtegroepen[#All],2,FALSE)</f>
        <v>Kantoren</v>
      </c>
      <c r="M1235" s="212" t="s">
        <v>111</v>
      </c>
      <c r="N1235" s="257" t="s">
        <v>625</v>
      </c>
      <c r="O1235" s="261">
        <v>11</v>
      </c>
      <c r="P1235" s="183"/>
      <c r="Q1235" s="212" t="str">
        <f>VLOOKUP(Ruimtestaat[[#This Row],[Ruimte code]],Ruimtegroepen[#All],4,FALSE)</f>
        <v>B  (Bureauruimte)</v>
      </c>
      <c r="R1235" s="184"/>
      <c r="S1235" s="185">
        <v>40</v>
      </c>
      <c r="T1235" s="185" t="s">
        <v>15</v>
      </c>
      <c r="U1235" s="185">
        <f>IF(S1235&gt;0,IF(RIGHT(Ruimtestaat[[#This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5" s="185">
        <f>IF(U1235&gt;0,VLOOKUP($K1235,Ruimtegroepen[],3,FALSE)*VLOOKUP($M1235,Vloersoorten[],3,FALSE)*VLOOKUP($T1235,Frequenties[],3,FALSE)*VLOOKUP($A1235,Locaties[],3,FALSE),0)</f>
        <v>0</v>
      </c>
      <c r="W1235" s="185">
        <f>Ruimtestaat[[#This Row],[Uitvoeringen werkdagen]]*Ruimtestaat[[#This Row],[Oppervlak (netto)]]</f>
        <v>440</v>
      </c>
      <c r="X1235" s="220">
        <f>IF(V1235&gt;0,Ruimtestaat[[#This Row],[Prest. (m2 /jaar) werkdagen]]/Ruimtestaat[[#This Row],[Norm (m2/uur) werkdagen]],0)</f>
        <v>0</v>
      </c>
      <c r="Y1235" s="221">
        <f>Ruimtestaat[[#This Row],[uren / jaar werkdagen]]*Tariefsopbouw!$D$38</f>
        <v>0</v>
      </c>
      <c r="Z1235" s="33"/>
      <c r="AA1235" s="33">
        <f>IF(Ruimtestaat[[#This Row],[Frequentie weekend]]&gt;0,VALUE(LEFT(Z1235,1))*S1235,0)</f>
        <v>0</v>
      </c>
      <c r="AB1235" s="33">
        <f>IF($AA1235&gt;0,VLOOKUP($K1235,Ruimtegroepen[],3,FALSE)*VLOOKUP($M1235,Vloersoorten[],3,FALSE)*VLOOKUP($Z1235,Frequenties[],3,FALSE)*VLOOKUP(#REF!,Locaties[],3,FALSE),0)</f>
        <v>0</v>
      </c>
      <c r="AC1235" s="33"/>
      <c r="AD1235" s="33"/>
      <c r="AE1235" s="33">
        <f>Ruimtestaat[[#This Row],[uren / jaar weekend]]*Tariefsopbouw!$D$40</f>
        <v>0</v>
      </c>
      <c r="AF1235" s="79">
        <f>Ruimtestaat[[#This Row],[Prest. (m2 /jaar) weekend]]+Ruimtestaat[[#This Row],[Prest. (m2 /jaar) werkdagen]]</f>
        <v>440</v>
      </c>
      <c r="AG1235" s="79">
        <f>Ruimtestaat[[#This Row],[uren / jaar weekend]]+Ruimtestaat[[#This Row],[uren / jaar werkdagen]]</f>
        <v>0</v>
      </c>
      <c r="AH1235" s="80">
        <f>Ruimtestaat[[#This Row],[kosten / jaar weekend]]+Ruimtestaat[[#This Row],[kosten / jaar werkdagen]]</f>
        <v>0</v>
      </c>
    </row>
    <row r="1236" spans="1:34" ht="15" customHeight="1">
      <c r="A1236" s="256">
        <v>16</v>
      </c>
      <c r="B1236" s="171" t="str">
        <f>VLOOKUP(Ruimtestaat[[#This Row],[Code]],Locaties[#All],2,FALSE)</f>
        <v>Hassinkweg</v>
      </c>
      <c r="C1236" s="258" t="str">
        <f>VLOOKUP(Ruimtestaat[[#This Row],[Code]],Locaties[#All],4,FALSE)</f>
        <v>Hassinkweg 3/3A</v>
      </c>
      <c r="D1236" s="258" t="str">
        <f>VLOOKUP(Ruimtestaat[[#This Row],[Code]],Locaties[#All],5,FALSE)</f>
        <v>7556 BV</v>
      </c>
      <c r="E1236" s="258" t="str">
        <f>VLOOKUP(Ruimtestaat[[#This Row],[Code]],Locaties[#All],6,FALSE)</f>
        <v>Hengelo</v>
      </c>
      <c r="F1236" s="257"/>
      <c r="G1236" s="257" t="s">
        <v>563</v>
      </c>
      <c r="H1236" s="171"/>
      <c r="I1236" s="257" t="s">
        <v>454</v>
      </c>
      <c r="J1236" s="259" t="s">
        <v>571</v>
      </c>
      <c r="K1236" s="171">
        <v>2</v>
      </c>
      <c r="L1236" s="260" t="str">
        <f>VLOOKUP(Ruimtestaat[[#This Row],[Ruimte code]],Ruimtegroepen[#All],2,FALSE)</f>
        <v>Kantoren</v>
      </c>
      <c r="M1236" s="212" t="s">
        <v>111</v>
      </c>
      <c r="N1236" s="257" t="s">
        <v>625</v>
      </c>
      <c r="O1236" s="261">
        <v>16.8</v>
      </c>
      <c r="P1236" s="183"/>
      <c r="Q1236" s="212" t="str">
        <f>VLOOKUP(Ruimtestaat[[#This Row],[Ruimte code]],Ruimtegroepen[#All],4,FALSE)</f>
        <v>B  (Bureauruimte)</v>
      </c>
      <c r="R1236" s="184"/>
      <c r="S1236" s="185">
        <v>40</v>
      </c>
      <c r="T1236" s="185" t="s">
        <v>15</v>
      </c>
      <c r="U1236" s="185">
        <f>IF(S1236&gt;0,IF(RIGHT(Ruimtestaat[[#This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6" s="185">
        <f>IF(U1236&gt;0,VLOOKUP($K1236,Ruimtegroepen[],3,FALSE)*VLOOKUP($M1236,Vloersoorten[],3,FALSE)*VLOOKUP($T1236,Frequenties[],3,FALSE)*VLOOKUP($A1236,Locaties[],3,FALSE),0)</f>
        <v>0</v>
      </c>
      <c r="W1236" s="185">
        <f>Ruimtestaat[[#This Row],[Uitvoeringen werkdagen]]*Ruimtestaat[[#This Row],[Oppervlak (netto)]]</f>
        <v>672</v>
      </c>
      <c r="X1236" s="220">
        <f>IF(V1236&gt;0,Ruimtestaat[[#This Row],[Prest. (m2 /jaar) werkdagen]]/Ruimtestaat[[#This Row],[Norm (m2/uur) werkdagen]],0)</f>
        <v>0</v>
      </c>
      <c r="Y1236" s="221">
        <f>Ruimtestaat[[#This Row],[uren / jaar werkdagen]]*Tariefsopbouw!$D$38</f>
        <v>0</v>
      </c>
      <c r="Z1236" s="33"/>
      <c r="AA1236" s="33">
        <f>IF(Ruimtestaat[[#This Row],[Frequentie weekend]]&gt;0,VALUE(LEFT(Z1236,1))*S1236,0)</f>
        <v>0</v>
      </c>
      <c r="AB1236" s="33">
        <f>IF($AA1236&gt;0,VLOOKUP($K1236,Ruimtegroepen[],3,FALSE)*VLOOKUP($M1236,Vloersoorten[],3,FALSE)*VLOOKUP($Z1236,Frequenties[],3,FALSE)*VLOOKUP(#REF!,Locaties[],3,FALSE),0)</f>
        <v>0</v>
      </c>
      <c r="AC1236" s="33"/>
      <c r="AD1236" s="33"/>
      <c r="AE1236" s="33">
        <f>Ruimtestaat[[#This Row],[uren / jaar weekend]]*Tariefsopbouw!$D$40</f>
        <v>0</v>
      </c>
      <c r="AF1236" s="79">
        <f>Ruimtestaat[[#This Row],[Prest. (m2 /jaar) weekend]]+Ruimtestaat[[#This Row],[Prest. (m2 /jaar) werkdagen]]</f>
        <v>672</v>
      </c>
      <c r="AG1236" s="79">
        <f>Ruimtestaat[[#This Row],[uren / jaar weekend]]+Ruimtestaat[[#This Row],[uren / jaar werkdagen]]</f>
        <v>0</v>
      </c>
      <c r="AH1236" s="80">
        <f>Ruimtestaat[[#This Row],[kosten / jaar weekend]]+Ruimtestaat[[#This Row],[kosten / jaar werkdagen]]</f>
        <v>0</v>
      </c>
    </row>
    <row r="1237" spans="1:34" ht="15" customHeight="1">
      <c r="A1237" s="256">
        <v>16</v>
      </c>
      <c r="B1237" s="171" t="str">
        <f>VLOOKUP(Ruimtestaat[[#This Row],[Code]],Locaties[#All],2,FALSE)</f>
        <v>Hassinkweg</v>
      </c>
      <c r="C1237" s="258" t="str">
        <f>VLOOKUP(Ruimtestaat[[#This Row],[Code]],Locaties[#All],4,FALSE)</f>
        <v>Hassinkweg 3/3A</v>
      </c>
      <c r="D1237" s="258" t="str">
        <f>VLOOKUP(Ruimtestaat[[#This Row],[Code]],Locaties[#All],5,FALSE)</f>
        <v>7556 BV</v>
      </c>
      <c r="E1237" s="258" t="str">
        <f>VLOOKUP(Ruimtestaat[[#This Row],[Code]],Locaties[#All],6,FALSE)</f>
        <v>Hengelo</v>
      </c>
      <c r="F1237" s="257"/>
      <c r="G1237" s="257" t="s">
        <v>563</v>
      </c>
      <c r="H1237" s="171"/>
      <c r="I1237" s="257" t="s">
        <v>455</v>
      </c>
      <c r="J1237" s="259" t="s">
        <v>618</v>
      </c>
      <c r="K1237" s="258">
        <v>20</v>
      </c>
      <c r="L1237" s="260" t="str">
        <f>VLOOKUP(Ruimtestaat[[#This Row],[Ruimte code]],Ruimtegroepen[#All],2,FALSE)</f>
        <v>Niet in onderhoud</v>
      </c>
      <c r="M1237" s="212" t="s">
        <v>111</v>
      </c>
      <c r="N1237" s="257" t="s">
        <v>626</v>
      </c>
      <c r="O1237" s="261"/>
      <c r="P1237" s="183">
        <v>200</v>
      </c>
      <c r="Q1237" s="212" t="str">
        <f>VLOOKUP(Ruimtestaat[[#This Row],[Ruimte code]],Ruimtegroepen[#All],4,FALSE)</f>
        <v>niet in onderhoud</v>
      </c>
      <c r="R1237" s="184"/>
      <c r="S1237" s="185"/>
      <c r="T1237" s="185"/>
      <c r="U1237" s="185">
        <f>IF(S1237&gt;0,IF(RIGHT(Ruimtestaat[[#This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37" s="185">
        <f>IF(U1237&gt;0,VLOOKUP($K1237,Ruimtegroepen[],3,FALSE)*VLOOKUP($M1237,Vloersoorten[],3,FALSE)*VLOOKUP($T1237,Frequenties[],3,FALSE)*VLOOKUP($A1237,Locaties[],3,FALSE),0)</f>
        <v>0</v>
      </c>
      <c r="W1237" s="185">
        <f>Ruimtestaat[[#This Row],[Uitvoeringen werkdagen]]*Ruimtestaat[[#This Row],[Oppervlak (netto)]]</f>
        <v>0</v>
      </c>
      <c r="X1237" s="220">
        <f>IF(V1237&gt;0,Ruimtestaat[[#This Row],[Prest. (m2 /jaar) werkdagen]]/Ruimtestaat[[#This Row],[Norm (m2/uur) werkdagen]],0)</f>
        <v>0</v>
      </c>
      <c r="Y1237" s="221">
        <f>Ruimtestaat[[#This Row],[uren / jaar werkdagen]]*Tariefsopbouw!$D$38</f>
        <v>0</v>
      </c>
      <c r="Z1237" s="33"/>
      <c r="AA1237" s="33">
        <f>IF(Ruimtestaat[[#This Row],[Frequentie weekend]]&gt;0,VALUE(LEFT(Z1237,1))*S1237,0)</f>
        <v>0</v>
      </c>
      <c r="AB1237" s="33">
        <f>IF($AA1237&gt;0,VLOOKUP($K1237,Ruimtegroepen[],3,FALSE)*VLOOKUP($M1237,Vloersoorten[],3,FALSE)*VLOOKUP($Z1237,Frequenties[],3,FALSE)*VLOOKUP(#REF!,Locaties[],3,FALSE),0)</f>
        <v>0</v>
      </c>
      <c r="AC1237" s="33"/>
      <c r="AD1237" s="33"/>
      <c r="AE1237" s="33">
        <f>Ruimtestaat[[#This Row],[uren / jaar weekend]]*Tariefsopbouw!$D$40</f>
        <v>0</v>
      </c>
      <c r="AF1237" s="79">
        <f>Ruimtestaat[[#This Row],[Prest. (m2 /jaar) weekend]]+Ruimtestaat[[#This Row],[Prest. (m2 /jaar) werkdagen]]</f>
        <v>0</v>
      </c>
      <c r="AG1237" s="79">
        <f>Ruimtestaat[[#This Row],[uren / jaar weekend]]+Ruimtestaat[[#This Row],[uren / jaar werkdagen]]</f>
        <v>0</v>
      </c>
      <c r="AH1237" s="80">
        <f>Ruimtestaat[[#This Row],[kosten / jaar weekend]]+Ruimtestaat[[#This Row],[kosten / jaar werkdagen]]</f>
        <v>0</v>
      </c>
    </row>
    <row r="1238" spans="1:34" ht="15" customHeight="1">
      <c r="A1238" s="256">
        <v>16</v>
      </c>
      <c r="B1238" s="171" t="str">
        <f>VLOOKUP(Ruimtestaat[[#This Row],[Code]],Locaties[#All],2,FALSE)</f>
        <v>Hassinkweg</v>
      </c>
      <c r="C1238" s="258" t="str">
        <f>VLOOKUP(Ruimtestaat[[#This Row],[Code]],Locaties[#All],4,FALSE)</f>
        <v>Hassinkweg 3/3A</v>
      </c>
      <c r="D1238" s="258" t="str">
        <f>VLOOKUP(Ruimtestaat[[#This Row],[Code]],Locaties[#All],5,FALSE)</f>
        <v>7556 BV</v>
      </c>
      <c r="E1238" s="258" t="str">
        <f>VLOOKUP(Ruimtestaat[[#This Row],[Code]],Locaties[#All],6,FALSE)</f>
        <v>Hengelo</v>
      </c>
      <c r="F1238" s="257"/>
      <c r="G1238" s="257" t="s">
        <v>563</v>
      </c>
      <c r="H1238" s="171"/>
      <c r="I1238" s="257" t="s">
        <v>456</v>
      </c>
      <c r="J1238" s="259" t="s">
        <v>619</v>
      </c>
      <c r="K1238" s="171">
        <v>20</v>
      </c>
      <c r="L1238" s="260" t="str">
        <f>VLOOKUP(Ruimtestaat[[#This Row],[Ruimte code]],Ruimtegroepen[#All],2,FALSE)</f>
        <v>Niet in onderhoud</v>
      </c>
      <c r="M1238" s="212" t="s">
        <v>111</v>
      </c>
      <c r="N1238" s="257" t="s">
        <v>626</v>
      </c>
      <c r="O1238" s="261"/>
      <c r="P1238" s="183">
        <v>10.9</v>
      </c>
      <c r="Q1238" s="212" t="str">
        <f>VLOOKUP(Ruimtestaat[[#This Row],[Ruimte code]],Ruimtegroepen[#All],4,FALSE)</f>
        <v>niet in onderhoud</v>
      </c>
      <c r="R1238" s="184"/>
      <c r="S1238" s="185"/>
      <c r="T1238" s="185"/>
      <c r="U1238" s="185">
        <f>IF(S1238&gt;0,IF(RIGHT(Ruimtestaat[[#This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38" s="185">
        <f>IF(U1238&gt;0,VLOOKUP($K1238,Ruimtegroepen[],3,FALSE)*VLOOKUP($M1238,Vloersoorten[],3,FALSE)*VLOOKUP($T1238,Frequenties[],3,FALSE)*VLOOKUP($A1238,Locaties[],3,FALSE),0)</f>
        <v>0</v>
      </c>
      <c r="W1238" s="185">
        <f>Ruimtestaat[[#This Row],[Uitvoeringen werkdagen]]*Ruimtestaat[[#This Row],[Oppervlak (netto)]]</f>
        <v>0</v>
      </c>
      <c r="X1238" s="220">
        <f>IF(V1238&gt;0,Ruimtestaat[[#This Row],[Prest. (m2 /jaar) werkdagen]]/Ruimtestaat[[#This Row],[Norm (m2/uur) werkdagen]],0)</f>
        <v>0</v>
      </c>
      <c r="Y1238" s="221">
        <f>Ruimtestaat[[#This Row],[uren / jaar werkdagen]]*Tariefsopbouw!$D$38</f>
        <v>0</v>
      </c>
      <c r="Z1238" s="33"/>
      <c r="AA1238" s="33">
        <f>IF(Ruimtestaat[[#This Row],[Frequentie weekend]]&gt;0,VALUE(LEFT(Z1238,1))*S1238,0)</f>
        <v>0</v>
      </c>
      <c r="AB1238" s="33">
        <f>IF($AA1238&gt;0,VLOOKUP($K1238,Ruimtegroepen[],3,FALSE)*VLOOKUP($M1238,Vloersoorten[],3,FALSE)*VLOOKUP($Z1238,Frequenties[],3,FALSE)*VLOOKUP(#REF!,Locaties[],3,FALSE),0)</f>
        <v>0</v>
      </c>
      <c r="AC1238" s="33"/>
      <c r="AD1238" s="33"/>
      <c r="AE1238" s="33">
        <f>Ruimtestaat[[#This Row],[uren / jaar weekend]]*Tariefsopbouw!$D$40</f>
        <v>0</v>
      </c>
      <c r="AF1238" s="79">
        <f>Ruimtestaat[[#This Row],[Prest. (m2 /jaar) weekend]]+Ruimtestaat[[#This Row],[Prest. (m2 /jaar) werkdagen]]</f>
        <v>0</v>
      </c>
      <c r="AG1238" s="79">
        <f>Ruimtestaat[[#This Row],[uren / jaar weekend]]+Ruimtestaat[[#This Row],[uren / jaar werkdagen]]</f>
        <v>0</v>
      </c>
      <c r="AH1238" s="80">
        <f>Ruimtestaat[[#This Row],[kosten / jaar weekend]]+Ruimtestaat[[#This Row],[kosten / jaar werkdagen]]</f>
        <v>0</v>
      </c>
    </row>
    <row r="1239" spans="1:34" ht="15" customHeight="1">
      <c r="A1239" s="256">
        <v>16</v>
      </c>
      <c r="B1239" s="171" t="str">
        <f>VLOOKUP(Ruimtestaat[[#This Row],[Code]],Locaties[#All],2,FALSE)</f>
        <v>Hassinkweg</v>
      </c>
      <c r="C1239" s="258" t="str">
        <f>VLOOKUP(Ruimtestaat[[#This Row],[Code]],Locaties[#All],4,FALSE)</f>
        <v>Hassinkweg 3/3A</v>
      </c>
      <c r="D1239" s="258" t="str">
        <f>VLOOKUP(Ruimtestaat[[#This Row],[Code]],Locaties[#All],5,FALSE)</f>
        <v>7556 BV</v>
      </c>
      <c r="E1239" s="258" t="str">
        <f>VLOOKUP(Ruimtestaat[[#This Row],[Code]],Locaties[#All],6,FALSE)</f>
        <v>Hengelo</v>
      </c>
      <c r="F1239" s="257"/>
      <c r="G1239" s="257" t="s">
        <v>563</v>
      </c>
      <c r="H1239" s="171"/>
      <c r="I1239" s="257" t="s">
        <v>457</v>
      </c>
      <c r="J1239" s="259" t="s">
        <v>571</v>
      </c>
      <c r="K1239" s="258">
        <v>2</v>
      </c>
      <c r="L1239" s="260" t="str">
        <f>VLOOKUP(Ruimtestaat[[#This Row],[Ruimte code]],Ruimtegroepen[#All],2,FALSE)</f>
        <v>Kantoren</v>
      </c>
      <c r="M1239" s="212" t="s">
        <v>111</v>
      </c>
      <c r="N1239" s="257" t="s">
        <v>626</v>
      </c>
      <c r="O1239" s="261">
        <v>15.8</v>
      </c>
      <c r="P1239" s="183"/>
      <c r="Q1239" s="212" t="str">
        <f>VLOOKUP(Ruimtestaat[[#This Row],[Ruimte code]],Ruimtegroepen[#All],4,FALSE)</f>
        <v>B  (Bureauruimte)</v>
      </c>
      <c r="R1239" s="184"/>
      <c r="S1239" s="185">
        <v>40</v>
      </c>
      <c r="T1239" s="185" t="s">
        <v>15</v>
      </c>
      <c r="U1239" s="185">
        <f>IF(S1239&gt;0,IF(RIGHT(Ruimtestaat[[#This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39" s="185">
        <f>IF(U1239&gt;0,VLOOKUP($K1239,Ruimtegroepen[],3,FALSE)*VLOOKUP($M1239,Vloersoorten[],3,FALSE)*VLOOKUP($T1239,Frequenties[],3,FALSE)*VLOOKUP($A1239,Locaties[],3,FALSE),0)</f>
        <v>0</v>
      </c>
      <c r="W1239" s="185">
        <f>Ruimtestaat[[#This Row],[Uitvoeringen werkdagen]]*Ruimtestaat[[#This Row],[Oppervlak (netto)]]</f>
        <v>632</v>
      </c>
      <c r="X1239" s="220">
        <f>IF(V1239&gt;0,Ruimtestaat[[#This Row],[Prest. (m2 /jaar) werkdagen]]/Ruimtestaat[[#This Row],[Norm (m2/uur) werkdagen]],0)</f>
        <v>0</v>
      </c>
      <c r="Y1239" s="221">
        <f>Ruimtestaat[[#This Row],[uren / jaar werkdagen]]*Tariefsopbouw!$D$38</f>
        <v>0</v>
      </c>
      <c r="Z1239" s="33"/>
      <c r="AA1239" s="33">
        <f>IF(Ruimtestaat[[#This Row],[Frequentie weekend]]&gt;0,VALUE(LEFT(Z1239,1))*S1239,0)</f>
        <v>0</v>
      </c>
      <c r="AB1239" s="33">
        <f>IF($AA1239&gt;0,VLOOKUP($K1239,Ruimtegroepen[],3,FALSE)*VLOOKUP($M1239,Vloersoorten[],3,FALSE)*VLOOKUP($Z1239,Frequenties[],3,FALSE)*VLOOKUP(#REF!,Locaties[],3,FALSE),0)</f>
        <v>0</v>
      </c>
      <c r="AC1239" s="33"/>
      <c r="AD1239" s="33"/>
      <c r="AE1239" s="33">
        <f>Ruimtestaat[[#This Row],[uren / jaar weekend]]*Tariefsopbouw!$D$40</f>
        <v>0</v>
      </c>
      <c r="AF1239" s="79">
        <f>Ruimtestaat[[#This Row],[Prest. (m2 /jaar) weekend]]+Ruimtestaat[[#This Row],[Prest. (m2 /jaar) werkdagen]]</f>
        <v>632</v>
      </c>
      <c r="AG1239" s="79">
        <f>Ruimtestaat[[#This Row],[uren / jaar weekend]]+Ruimtestaat[[#This Row],[uren / jaar werkdagen]]</f>
        <v>0</v>
      </c>
      <c r="AH1239" s="80">
        <f>Ruimtestaat[[#This Row],[kosten / jaar weekend]]+Ruimtestaat[[#This Row],[kosten / jaar werkdagen]]</f>
        <v>0</v>
      </c>
    </row>
    <row r="1240" spans="1:34" ht="15" customHeight="1">
      <c r="A1240" s="256">
        <v>16</v>
      </c>
      <c r="B1240" s="171" t="str">
        <f>VLOOKUP(Ruimtestaat[[#This Row],[Code]],Locaties[#All],2,FALSE)</f>
        <v>Hassinkweg</v>
      </c>
      <c r="C1240" s="258" t="str">
        <f>VLOOKUP(Ruimtestaat[[#This Row],[Code]],Locaties[#All],4,FALSE)</f>
        <v>Hassinkweg 3/3A</v>
      </c>
      <c r="D1240" s="258" t="str">
        <f>VLOOKUP(Ruimtestaat[[#This Row],[Code]],Locaties[#All],5,FALSE)</f>
        <v>7556 BV</v>
      </c>
      <c r="E1240" s="258" t="str">
        <f>VLOOKUP(Ruimtestaat[[#This Row],[Code]],Locaties[#All],6,FALSE)</f>
        <v>Hengelo</v>
      </c>
      <c r="F1240" s="257"/>
      <c r="G1240" s="257" t="s">
        <v>563</v>
      </c>
      <c r="H1240" s="171"/>
      <c r="I1240" s="257" t="s">
        <v>458</v>
      </c>
      <c r="J1240" s="259" t="s">
        <v>571</v>
      </c>
      <c r="K1240" s="258">
        <v>2</v>
      </c>
      <c r="L1240" s="260" t="str">
        <f>VLOOKUP(Ruimtestaat[[#This Row],[Ruimte code]],Ruimtegroepen[#All],2,FALSE)</f>
        <v>Kantoren</v>
      </c>
      <c r="M1240" s="185" t="s">
        <v>110</v>
      </c>
      <c r="N1240" s="257" t="s">
        <v>132</v>
      </c>
      <c r="O1240" s="261">
        <v>11.1</v>
      </c>
      <c r="P1240" s="183"/>
      <c r="Q1240" s="212" t="str">
        <f>VLOOKUP(Ruimtestaat[[#This Row],[Ruimte code]],Ruimtegroepen[#All],4,FALSE)</f>
        <v>B  (Bureauruimte)</v>
      </c>
      <c r="R1240" s="184"/>
      <c r="S1240" s="185">
        <v>40</v>
      </c>
      <c r="T1240" s="185" t="s">
        <v>15</v>
      </c>
      <c r="U1240" s="185">
        <f>IF(S1240&gt;0,IF(RIGHT(Ruimtestaat[[#This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40" s="185">
        <f>IF(U1240&gt;0,VLOOKUP($K1240,Ruimtegroepen[],3,FALSE)*VLOOKUP($M1240,Vloersoorten[],3,FALSE)*VLOOKUP($T1240,Frequenties[],3,FALSE)*VLOOKUP($A1240,Locaties[],3,FALSE),0)</f>
        <v>0</v>
      </c>
      <c r="W1240" s="185">
        <f>Ruimtestaat[[#This Row],[Uitvoeringen werkdagen]]*Ruimtestaat[[#This Row],[Oppervlak (netto)]]</f>
        <v>444</v>
      </c>
      <c r="X1240" s="220">
        <f>IF(V1240&gt;0,Ruimtestaat[[#This Row],[Prest. (m2 /jaar) werkdagen]]/Ruimtestaat[[#This Row],[Norm (m2/uur) werkdagen]],0)</f>
        <v>0</v>
      </c>
      <c r="Y1240" s="221">
        <f>Ruimtestaat[[#This Row],[uren / jaar werkdagen]]*Tariefsopbouw!$D$38</f>
        <v>0</v>
      </c>
      <c r="Z1240" s="33"/>
      <c r="AA1240" s="33">
        <f>IF(Ruimtestaat[[#This Row],[Frequentie weekend]]&gt;0,VALUE(LEFT(Z1240,1))*S1240,0)</f>
        <v>0</v>
      </c>
      <c r="AB1240" s="33">
        <f>IF($AA1240&gt;0,VLOOKUP($K1240,Ruimtegroepen[],3,FALSE)*VLOOKUP($M1240,Vloersoorten[],3,FALSE)*VLOOKUP($Z1240,Frequenties[],3,FALSE)*VLOOKUP(#REF!,Locaties[],3,FALSE),0)</f>
        <v>0</v>
      </c>
      <c r="AC1240" s="33"/>
      <c r="AD1240" s="33"/>
      <c r="AE1240" s="33">
        <f>Ruimtestaat[[#This Row],[uren / jaar weekend]]*Tariefsopbouw!$D$40</f>
        <v>0</v>
      </c>
      <c r="AF1240" s="79">
        <f>Ruimtestaat[[#This Row],[Prest. (m2 /jaar) weekend]]+Ruimtestaat[[#This Row],[Prest. (m2 /jaar) werkdagen]]</f>
        <v>444</v>
      </c>
      <c r="AG1240" s="79">
        <f>Ruimtestaat[[#This Row],[uren / jaar weekend]]+Ruimtestaat[[#This Row],[uren / jaar werkdagen]]</f>
        <v>0</v>
      </c>
      <c r="AH1240" s="80">
        <f>Ruimtestaat[[#This Row],[kosten / jaar weekend]]+Ruimtestaat[[#This Row],[kosten / jaar werkdagen]]</f>
        <v>0</v>
      </c>
    </row>
    <row r="1241" spans="1:34" ht="15" customHeight="1">
      <c r="A1241" s="256">
        <v>16</v>
      </c>
      <c r="B1241" s="171" t="str">
        <f>VLOOKUP(Ruimtestaat[[#This Row],[Code]],Locaties[#All],2,FALSE)</f>
        <v>Hassinkweg</v>
      </c>
      <c r="C1241" s="258" t="str">
        <f>VLOOKUP(Ruimtestaat[[#This Row],[Code]],Locaties[#All],4,FALSE)</f>
        <v>Hassinkweg 3/3A</v>
      </c>
      <c r="D1241" s="258" t="str">
        <f>VLOOKUP(Ruimtestaat[[#This Row],[Code]],Locaties[#All],5,FALSE)</f>
        <v>7556 BV</v>
      </c>
      <c r="E1241" s="258" t="str">
        <f>VLOOKUP(Ruimtestaat[[#This Row],[Code]],Locaties[#All],6,FALSE)</f>
        <v>Hengelo</v>
      </c>
      <c r="F1241" s="257"/>
      <c r="G1241" s="257" t="s">
        <v>563</v>
      </c>
      <c r="H1241" s="171"/>
      <c r="I1241" s="257" t="s">
        <v>607</v>
      </c>
      <c r="J1241" s="259" t="s">
        <v>618</v>
      </c>
      <c r="K1241" s="258">
        <v>20</v>
      </c>
      <c r="L1241" s="260" t="str">
        <f>VLOOKUP(Ruimtestaat[[#This Row],[Ruimte code]],Ruimtegroepen[#All],2,FALSE)</f>
        <v>Niet in onderhoud</v>
      </c>
      <c r="M1241" s="212" t="s">
        <v>111</v>
      </c>
      <c r="N1241" s="257" t="s">
        <v>627</v>
      </c>
      <c r="O1241" s="261"/>
      <c r="P1241" s="183">
        <v>68.8</v>
      </c>
      <c r="Q1241" s="212" t="str">
        <f>VLOOKUP(Ruimtestaat[[#This Row],[Ruimte code]],Ruimtegroepen[#All],4,FALSE)</f>
        <v>niet in onderhoud</v>
      </c>
      <c r="R1241" s="184"/>
      <c r="S1241" s="185"/>
      <c r="T1241" s="185"/>
      <c r="U1241" s="185">
        <f>IF(S1241&gt;0,IF(RIGHT(Ruimtestaat[[#This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1" s="185">
        <f>IF(U1241&gt;0,VLOOKUP($K1241,Ruimtegroepen[],3,FALSE)*VLOOKUP($M1241,Vloersoorten[],3,FALSE)*VLOOKUP($T1241,Frequenties[],3,FALSE)*VLOOKUP($A1241,Locaties[],3,FALSE),0)</f>
        <v>0</v>
      </c>
      <c r="W1241" s="185">
        <f>Ruimtestaat[[#This Row],[Uitvoeringen werkdagen]]*Ruimtestaat[[#This Row],[Oppervlak (netto)]]</f>
        <v>0</v>
      </c>
      <c r="X1241" s="220">
        <f>IF(V1241&gt;0,Ruimtestaat[[#This Row],[Prest. (m2 /jaar) werkdagen]]/Ruimtestaat[[#This Row],[Norm (m2/uur) werkdagen]],0)</f>
        <v>0</v>
      </c>
      <c r="Y1241" s="221">
        <f>Ruimtestaat[[#This Row],[uren / jaar werkdagen]]*Tariefsopbouw!$D$38</f>
        <v>0</v>
      </c>
      <c r="Z1241" s="33"/>
      <c r="AA1241" s="33">
        <f>IF(Ruimtestaat[[#This Row],[Frequentie weekend]]&gt;0,VALUE(LEFT(Z1241,1))*S1241,0)</f>
        <v>0</v>
      </c>
      <c r="AB1241" s="33">
        <f>IF($AA1241&gt;0,VLOOKUP($K1241,Ruimtegroepen[],3,FALSE)*VLOOKUP($M1241,Vloersoorten[],3,FALSE)*VLOOKUP($Z1241,Frequenties[],3,FALSE)*VLOOKUP(#REF!,Locaties[],3,FALSE),0)</f>
        <v>0</v>
      </c>
      <c r="AC1241" s="33"/>
      <c r="AD1241" s="33"/>
      <c r="AE1241" s="33">
        <f>Ruimtestaat[[#This Row],[uren / jaar weekend]]*Tariefsopbouw!$D$40</f>
        <v>0</v>
      </c>
      <c r="AF1241" s="79">
        <f>Ruimtestaat[[#This Row],[Prest. (m2 /jaar) weekend]]+Ruimtestaat[[#This Row],[Prest. (m2 /jaar) werkdagen]]</f>
        <v>0</v>
      </c>
      <c r="AG1241" s="79">
        <f>Ruimtestaat[[#This Row],[uren / jaar weekend]]+Ruimtestaat[[#This Row],[uren / jaar werkdagen]]</f>
        <v>0</v>
      </c>
      <c r="AH1241" s="80">
        <f>Ruimtestaat[[#This Row],[kosten / jaar weekend]]+Ruimtestaat[[#This Row],[kosten / jaar werkdagen]]</f>
        <v>0</v>
      </c>
    </row>
    <row r="1242" spans="1:34" ht="15" customHeight="1">
      <c r="A1242" s="256">
        <v>16</v>
      </c>
      <c r="B1242" s="171" t="str">
        <f>VLOOKUP(Ruimtestaat[[#This Row],[Code]],Locaties[#All],2,FALSE)</f>
        <v>Hassinkweg</v>
      </c>
      <c r="C1242" s="258" t="str">
        <f>VLOOKUP(Ruimtestaat[[#This Row],[Code]],Locaties[#All],4,FALSE)</f>
        <v>Hassinkweg 3/3A</v>
      </c>
      <c r="D1242" s="258" t="str">
        <f>VLOOKUP(Ruimtestaat[[#This Row],[Code]],Locaties[#All],5,FALSE)</f>
        <v>7556 BV</v>
      </c>
      <c r="E1242" s="258" t="str">
        <f>VLOOKUP(Ruimtestaat[[#This Row],[Code]],Locaties[#All],6,FALSE)</f>
        <v>Hengelo</v>
      </c>
      <c r="F1242" s="257"/>
      <c r="G1242" s="257" t="s">
        <v>563</v>
      </c>
      <c r="H1242" s="171"/>
      <c r="I1242" s="257" t="s">
        <v>608</v>
      </c>
      <c r="J1242" s="259" t="s">
        <v>618</v>
      </c>
      <c r="K1242" s="258">
        <v>20</v>
      </c>
      <c r="L1242" s="260" t="str">
        <f>VLOOKUP(Ruimtestaat[[#This Row],[Ruimte code]],Ruimtegroepen[#All],2,FALSE)</f>
        <v>Niet in onderhoud</v>
      </c>
      <c r="M1242" s="185" t="s">
        <v>110</v>
      </c>
      <c r="N1242" s="257" t="s">
        <v>132</v>
      </c>
      <c r="O1242" s="261"/>
      <c r="P1242" s="183">
        <v>35.5</v>
      </c>
      <c r="Q1242" s="212" t="str">
        <f>VLOOKUP(Ruimtestaat[[#This Row],[Ruimte code]],Ruimtegroepen[#All],4,FALSE)</f>
        <v>niet in onderhoud</v>
      </c>
      <c r="R1242" s="184"/>
      <c r="S1242" s="185"/>
      <c r="T1242" s="185"/>
      <c r="U1242" s="185">
        <f>IF(S1242&gt;0,IF(RIGHT(Ruimtestaat[[#This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2" s="185">
        <f>IF(U1242&gt;0,VLOOKUP($K1242,Ruimtegroepen[],3,FALSE)*VLOOKUP($M1242,Vloersoorten[],3,FALSE)*VLOOKUP($T1242,Frequenties[],3,FALSE)*VLOOKUP($A1242,Locaties[],3,FALSE),0)</f>
        <v>0</v>
      </c>
      <c r="W1242" s="185">
        <f>Ruimtestaat[[#This Row],[Uitvoeringen werkdagen]]*Ruimtestaat[[#This Row],[Oppervlak (netto)]]</f>
        <v>0</v>
      </c>
      <c r="X1242" s="220">
        <f>IF(V1242&gt;0,Ruimtestaat[[#This Row],[Prest. (m2 /jaar) werkdagen]]/Ruimtestaat[[#This Row],[Norm (m2/uur) werkdagen]],0)</f>
        <v>0</v>
      </c>
      <c r="Y1242" s="221">
        <f>Ruimtestaat[[#This Row],[uren / jaar werkdagen]]*Tariefsopbouw!$D$38</f>
        <v>0</v>
      </c>
      <c r="Z1242" s="33"/>
      <c r="AA1242" s="33">
        <f>IF(Ruimtestaat[[#This Row],[Frequentie weekend]]&gt;0,VALUE(LEFT(Z1242,1))*S1242,0)</f>
        <v>0</v>
      </c>
      <c r="AB1242" s="33">
        <f>IF($AA1242&gt;0,VLOOKUP($K1242,Ruimtegroepen[],3,FALSE)*VLOOKUP($M1242,Vloersoorten[],3,FALSE)*VLOOKUP($Z1242,Frequenties[],3,FALSE)*VLOOKUP(#REF!,Locaties[],3,FALSE),0)</f>
        <v>0</v>
      </c>
      <c r="AC1242" s="33"/>
      <c r="AD1242" s="33"/>
      <c r="AE1242" s="33">
        <f>Ruimtestaat[[#This Row],[uren / jaar weekend]]*Tariefsopbouw!$D$40</f>
        <v>0</v>
      </c>
      <c r="AF1242" s="79">
        <f>Ruimtestaat[[#This Row],[Prest. (m2 /jaar) weekend]]+Ruimtestaat[[#This Row],[Prest. (m2 /jaar) werkdagen]]</f>
        <v>0</v>
      </c>
      <c r="AG1242" s="79">
        <f>Ruimtestaat[[#This Row],[uren / jaar weekend]]+Ruimtestaat[[#This Row],[uren / jaar werkdagen]]</f>
        <v>0</v>
      </c>
      <c r="AH1242" s="80">
        <f>Ruimtestaat[[#This Row],[kosten / jaar weekend]]+Ruimtestaat[[#This Row],[kosten / jaar werkdagen]]</f>
        <v>0</v>
      </c>
    </row>
    <row r="1243" spans="1:34" ht="15" customHeight="1">
      <c r="A1243" s="256">
        <v>16</v>
      </c>
      <c r="B1243" s="171" t="str">
        <f>VLOOKUP(Ruimtestaat[[#This Row],[Code]],Locaties[#All],2,FALSE)</f>
        <v>Hassinkweg</v>
      </c>
      <c r="C1243" s="258" t="str">
        <f>VLOOKUP(Ruimtestaat[[#This Row],[Code]],Locaties[#All],4,FALSE)</f>
        <v>Hassinkweg 3/3A</v>
      </c>
      <c r="D1243" s="258" t="str">
        <f>VLOOKUP(Ruimtestaat[[#This Row],[Code]],Locaties[#All],5,FALSE)</f>
        <v>7556 BV</v>
      </c>
      <c r="E1243" s="258" t="str">
        <f>VLOOKUP(Ruimtestaat[[#This Row],[Code]],Locaties[#All],6,FALSE)</f>
        <v>Hengelo</v>
      </c>
      <c r="F1243" s="257"/>
      <c r="G1243" s="257" t="s">
        <v>563</v>
      </c>
      <c r="H1243" s="171"/>
      <c r="I1243" s="257" t="s">
        <v>460</v>
      </c>
      <c r="J1243" s="259" t="s">
        <v>620</v>
      </c>
      <c r="K1243" s="171">
        <v>20</v>
      </c>
      <c r="L1243" s="260" t="str">
        <f>VLOOKUP(Ruimtestaat[[#This Row],[Ruimte code]],Ruimtegroepen[#All],2,FALSE)</f>
        <v>Niet in onderhoud</v>
      </c>
      <c r="M1243" s="212" t="s">
        <v>111</v>
      </c>
      <c r="N1243" s="257" t="s">
        <v>627</v>
      </c>
      <c r="O1243" s="261"/>
      <c r="P1243" s="183">
        <v>231</v>
      </c>
      <c r="Q1243" s="212" t="str">
        <f>VLOOKUP(Ruimtestaat[[#This Row],[Ruimte code]],Ruimtegroepen[#All],4,FALSE)</f>
        <v>niet in onderhoud</v>
      </c>
      <c r="R1243" s="184"/>
      <c r="S1243" s="185"/>
      <c r="T1243" s="185"/>
      <c r="U1243" s="185">
        <f>IF(S1243&gt;0,IF(RIGHT(Ruimtestaat[[#This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3" s="185">
        <f>IF(U1243&gt;0,VLOOKUP($K1243,Ruimtegroepen[],3,FALSE)*VLOOKUP($M1243,Vloersoorten[],3,FALSE)*VLOOKUP($T1243,Frequenties[],3,FALSE)*VLOOKUP($A1243,Locaties[],3,FALSE),0)</f>
        <v>0</v>
      </c>
      <c r="W1243" s="185">
        <f>Ruimtestaat[[#This Row],[Uitvoeringen werkdagen]]*Ruimtestaat[[#This Row],[Oppervlak (netto)]]</f>
        <v>0</v>
      </c>
      <c r="X1243" s="220">
        <f>IF(V1243&gt;0,Ruimtestaat[[#This Row],[Prest. (m2 /jaar) werkdagen]]/Ruimtestaat[[#This Row],[Norm (m2/uur) werkdagen]],0)</f>
        <v>0</v>
      </c>
      <c r="Y1243" s="221">
        <f>Ruimtestaat[[#This Row],[uren / jaar werkdagen]]*Tariefsopbouw!$D$38</f>
        <v>0</v>
      </c>
      <c r="Z1243" s="33"/>
      <c r="AA1243" s="33">
        <f>IF(Ruimtestaat[[#This Row],[Frequentie weekend]]&gt;0,VALUE(LEFT(Z1243,1))*S1243,0)</f>
        <v>0</v>
      </c>
      <c r="AB1243" s="33">
        <f>IF($AA1243&gt;0,VLOOKUP($K1243,Ruimtegroepen[],3,FALSE)*VLOOKUP($M1243,Vloersoorten[],3,FALSE)*VLOOKUP($Z1243,Frequenties[],3,FALSE)*VLOOKUP(#REF!,Locaties[],3,FALSE),0)</f>
        <v>0</v>
      </c>
      <c r="AC1243" s="33"/>
      <c r="AD1243" s="33"/>
      <c r="AE1243" s="33">
        <f>Ruimtestaat[[#This Row],[uren / jaar weekend]]*Tariefsopbouw!$D$40</f>
        <v>0</v>
      </c>
      <c r="AF1243" s="79">
        <f>Ruimtestaat[[#This Row],[Prest. (m2 /jaar) weekend]]+Ruimtestaat[[#This Row],[Prest. (m2 /jaar) werkdagen]]</f>
        <v>0</v>
      </c>
      <c r="AG1243" s="79">
        <f>Ruimtestaat[[#This Row],[uren / jaar weekend]]+Ruimtestaat[[#This Row],[uren / jaar werkdagen]]</f>
        <v>0</v>
      </c>
      <c r="AH1243" s="80">
        <f>Ruimtestaat[[#This Row],[kosten / jaar weekend]]+Ruimtestaat[[#This Row],[kosten / jaar werkdagen]]</f>
        <v>0</v>
      </c>
    </row>
    <row r="1244" spans="1:34" ht="15" customHeight="1">
      <c r="A1244" s="256">
        <v>16</v>
      </c>
      <c r="B1244" s="171" t="str">
        <f>VLOOKUP(Ruimtestaat[[#This Row],[Code]],Locaties[#All],2,FALSE)</f>
        <v>Hassinkweg</v>
      </c>
      <c r="C1244" s="258" t="str">
        <f>VLOOKUP(Ruimtestaat[[#This Row],[Code]],Locaties[#All],4,FALSE)</f>
        <v>Hassinkweg 3/3A</v>
      </c>
      <c r="D1244" s="258" t="str">
        <f>VLOOKUP(Ruimtestaat[[#This Row],[Code]],Locaties[#All],5,FALSE)</f>
        <v>7556 BV</v>
      </c>
      <c r="E1244" s="258" t="str">
        <f>VLOOKUP(Ruimtestaat[[#This Row],[Code]],Locaties[#All],6,FALSE)</f>
        <v>Hengelo</v>
      </c>
      <c r="F1244" s="257"/>
      <c r="G1244" s="257" t="s">
        <v>563</v>
      </c>
      <c r="H1244" s="171"/>
      <c r="I1244" s="257" t="s">
        <v>461</v>
      </c>
      <c r="J1244" s="259" t="s">
        <v>620</v>
      </c>
      <c r="K1244" s="258">
        <v>20</v>
      </c>
      <c r="L1244" s="260" t="str">
        <f>VLOOKUP(Ruimtestaat[[#This Row],[Ruimte code]],Ruimtegroepen[#All],2,FALSE)</f>
        <v>Niet in onderhoud</v>
      </c>
      <c r="M1244" s="212" t="s">
        <v>111</v>
      </c>
      <c r="N1244" s="257" t="s">
        <v>627</v>
      </c>
      <c r="O1244" s="261"/>
      <c r="P1244" s="183">
        <v>68.599999999999994</v>
      </c>
      <c r="Q1244" s="212" t="str">
        <f>VLOOKUP(Ruimtestaat[[#This Row],[Ruimte code]],Ruimtegroepen[#All],4,FALSE)</f>
        <v>niet in onderhoud</v>
      </c>
      <c r="R1244" s="184"/>
      <c r="S1244" s="185"/>
      <c r="T1244" s="185"/>
      <c r="U1244" s="185">
        <f>IF(S1244&gt;0,IF(RIGHT(Ruimtestaat[[#This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4" s="185">
        <f>IF(U1244&gt;0,VLOOKUP($K1244,Ruimtegroepen[],3,FALSE)*VLOOKUP($M1244,Vloersoorten[],3,FALSE)*VLOOKUP($T1244,Frequenties[],3,FALSE)*VLOOKUP($A1244,Locaties[],3,FALSE),0)</f>
        <v>0</v>
      </c>
      <c r="W1244" s="185">
        <f>Ruimtestaat[[#This Row],[Uitvoeringen werkdagen]]*Ruimtestaat[[#This Row],[Oppervlak (netto)]]</f>
        <v>0</v>
      </c>
      <c r="X1244" s="220">
        <f>IF(V1244&gt;0,Ruimtestaat[[#This Row],[Prest. (m2 /jaar) werkdagen]]/Ruimtestaat[[#This Row],[Norm (m2/uur) werkdagen]],0)</f>
        <v>0</v>
      </c>
      <c r="Y1244" s="221">
        <f>Ruimtestaat[[#This Row],[uren / jaar werkdagen]]*Tariefsopbouw!$D$38</f>
        <v>0</v>
      </c>
      <c r="Z1244" s="33"/>
      <c r="AA1244" s="33">
        <f>IF(Ruimtestaat[[#This Row],[Frequentie weekend]]&gt;0,VALUE(LEFT(Z1244,1))*S1244,0)</f>
        <v>0</v>
      </c>
      <c r="AB1244" s="33">
        <f>IF($AA1244&gt;0,VLOOKUP($K1244,Ruimtegroepen[],3,FALSE)*VLOOKUP($M1244,Vloersoorten[],3,FALSE)*VLOOKUP($Z1244,Frequenties[],3,FALSE)*VLOOKUP(#REF!,Locaties[],3,FALSE),0)</f>
        <v>0</v>
      </c>
      <c r="AC1244" s="33"/>
      <c r="AD1244" s="33"/>
      <c r="AE1244" s="33">
        <f>Ruimtestaat[[#This Row],[uren / jaar weekend]]*Tariefsopbouw!$D$40</f>
        <v>0</v>
      </c>
      <c r="AF1244" s="79">
        <f>Ruimtestaat[[#This Row],[Prest. (m2 /jaar) weekend]]+Ruimtestaat[[#This Row],[Prest. (m2 /jaar) werkdagen]]</f>
        <v>0</v>
      </c>
      <c r="AG1244" s="79">
        <f>Ruimtestaat[[#This Row],[uren / jaar weekend]]+Ruimtestaat[[#This Row],[uren / jaar werkdagen]]</f>
        <v>0</v>
      </c>
      <c r="AH1244" s="80">
        <f>Ruimtestaat[[#This Row],[kosten / jaar weekend]]+Ruimtestaat[[#This Row],[kosten / jaar werkdagen]]</f>
        <v>0</v>
      </c>
    </row>
    <row r="1245" spans="1:34" ht="15" customHeight="1">
      <c r="A1245" s="256">
        <v>16</v>
      </c>
      <c r="B1245" s="171" t="str">
        <f>VLOOKUP(Ruimtestaat[[#This Row],[Code]],Locaties[#All],2,FALSE)</f>
        <v>Hassinkweg</v>
      </c>
      <c r="C1245" s="258" t="str">
        <f>VLOOKUP(Ruimtestaat[[#This Row],[Code]],Locaties[#All],4,FALSE)</f>
        <v>Hassinkweg 3/3A</v>
      </c>
      <c r="D1245" s="258" t="str">
        <f>VLOOKUP(Ruimtestaat[[#This Row],[Code]],Locaties[#All],5,FALSE)</f>
        <v>7556 BV</v>
      </c>
      <c r="E1245" s="258" t="str">
        <f>VLOOKUP(Ruimtestaat[[#This Row],[Code]],Locaties[#All],6,FALSE)</f>
        <v>Hengelo</v>
      </c>
      <c r="F1245" s="257"/>
      <c r="G1245" s="257" t="s">
        <v>563</v>
      </c>
      <c r="H1245" s="171"/>
      <c r="I1245" s="257" t="s">
        <v>462</v>
      </c>
      <c r="J1245" s="259" t="s">
        <v>621</v>
      </c>
      <c r="K1245" s="258">
        <v>2</v>
      </c>
      <c r="L1245" s="260" t="str">
        <f>VLOOKUP(Ruimtestaat[[#This Row],[Ruimte code]],Ruimtegroepen[#All],2,FALSE)</f>
        <v>Kantoren</v>
      </c>
      <c r="M1245" s="185" t="s">
        <v>110</v>
      </c>
      <c r="N1245" s="257" t="s">
        <v>132</v>
      </c>
      <c r="O1245" s="261">
        <v>25.3</v>
      </c>
      <c r="P1245" s="183"/>
      <c r="Q1245" s="212" t="str">
        <f>VLOOKUP(Ruimtestaat[[#This Row],[Ruimte code]],Ruimtegroepen[#All],4,FALSE)</f>
        <v>B  (Bureauruimte)</v>
      </c>
      <c r="R1245" s="184"/>
      <c r="S1245" s="185">
        <v>40</v>
      </c>
      <c r="T1245" s="185" t="s">
        <v>15</v>
      </c>
      <c r="U1245" s="185">
        <f>IF(S1245&gt;0,IF(RIGHT(Ruimtestaat[[#This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45" s="185">
        <f>IF(U1245&gt;0,VLOOKUP($K1245,Ruimtegroepen[],3,FALSE)*VLOOKUP($M1245,Vloersoorten[],3,FALSE)*VLOOKUP($T1245,Frequenties[],3,FALSE)*VLOOKUP($A1245,Locaties[],3,FALSE),0)</f>
        <v>0</v>
      </c>
      <c r="W1245" s="185">
        <f>Ruimtestaat[[#This Row],[Uitvoeringen werkdagen]]*Ruimtestaat[[#This Row],[Oppervlak (netto)]]</f>
        <v>1012</v>
      </c>
      <c r="X1245" s="220">
        <f>IF(V1245&gt;0,Ruimtestaat[[#This Row],[Prest. (m2 /jaar) werkdagen]]/Ruimtestaat[[#This Row],[Norm (m2/uur) werkdagen]],0)</f>
        <v>0</v>
      </c>
      <c r="Y1245" s="221">
        <f>Ruimtestaat[[#This Row],[uren / jaar werkdagen]]*Tariefsopbouw!$D$38</f>
        <v>0</v>
      </c>
      <c r="Z1245" s="33"/>
      <c r="AA1245" s="33">
        <f>IF(Ruimtestaat[[#This Row],[Frequentie weekend]]&gt;0,VALUE(LEFT(Z1245,1))*S1245,0)</f>
        <v>0</v>
      </c>
      <c r="AB1245" s="33">
        <f>IF($AA1245&gt;0,VLOOKUP($K1245,Ruimtegroepen[],3,FALSE)*VLOOKUP($M1245,Vloersoorten[],3,FALSE)*VLOOKUP($Z1245,Frequenties[],3,FALSE)*VLOOKUP(#REF!,Locaties[],3,FALSE),0)</f>
        <v>0</v>
      </c>
      <c r="AC1245" s="33"/>
      <c r="AD1245" s="33"/>
      <c r="AE1245" s="33">
        <f>Ruimtestaat[[#This Row],[uren / jaar weekend]]*Tariefsopbouw!$D$40</f>
        <v>0</v>
      </c>
      <c r="AF1245" s="79">
        <f>Ruimtestaat[[#This Row],[Prest. (m2 /jaar) weekend]]+Ruimtestaat[[#This Row],[Prest. (m2 /jaar) werkdagen]]</f>
        <v>1012</v>
      </c>
      <c r="AG1245" s="79">
        <f>Ruimtestaat[[#This Row],[uren / jaar weekend]]+Ruimtestaat[[#This Row],[uren / jaar werkdagen]]</f>
        <v>0</v>
      </c>
      <c r="AH1245" s="80">
        <f>Ruimtestaat[[#This Row],[kosten / jaar weekend]]+Ruimtestaat[[#This Row],[kosten / jaar werkdagen]]</f>
        <v>0</v>
      </c>
    </row>
    <row r="1246" spans="1:34" ht="15" customHeight="1">
      <c r="A1246" s="256">
        <v>16</v>
      </c>
      <c r="B1246" s="171" t="str">
        <f>VLOOKUP(Ruimtestaat[[#This Row],[Code]],Locaties[#All],2,FALSE)</f>
        <v>Hassinkweg</v>
      </c>
      <c r="C1246" s="258" t="str">
        <f>VLOOKUP(Ruimtestaat[[#This Row],[Code]],Locaties[#All],4,FALSE)</f>
        <v>Hassinkweg 3/3A</v>
      </c>
      <c r="D1246" s="258" t="str">
        <f>VLOOKUP(Ruimtestaat[[#This Row],[Code]],Locaties[#All],5,FALSE)</f>
        <v>7556 BV</v>
      </c>
      <c r="E1246" s="258" t="str">
        <f>VLOOKUP(Ruimtestaat[[#This Row],[Code]],Locaties[#All],6,FALSE)</f>
        <v>Hengelo</v>
      </c>
      <c r="F1246" s="257"/>
      <c r="G1246" s="257" t="s">
        <v>563</v>
      </c>
      <c r="H1246" s="171"/>
      <c r="I1246" s="257" t="s">
        <v>609</v>
      </c>
      <c r="J1246" s="259" t="s">
        <v>622</v>
      </c>
      <c r="K1246" s="185">
        <v>20</v>
      </c>
      <c r="L1246" s="260" t="str">
        <f>VLOOKUP(Ruimtestaat[[#This Row],[Ruimte code]],Ruimtegroepen[#All],2,FALSE)</f>
        <v>Niet in onderhoud</v>
      </c>
      <c r="M1246" s="212" t="s">
        <v>111</v>
      </c>
      <c r="N1246" s="257" t="s">
        <v>626</v>
      </c>
      <c r="O1246" s="261"/>
      <c r="P1246" s="183">
        <v>54.5</v>
      </c>
      <c r="Q1246" s="212" t="str">
        <f>VLOOKUP(Ruimtestaat[[#This Row],[Ruimte code]],Ruimtegroepen[#All],4,FALSE)</f>
        <v>niet in onderhoud</v>
      </c>
      <c r="R1246" s="184"/>
      <c r="S1246" s="185"/>
      <c r="T1246" s="185"/>
      <c r="U1246" s="185">
        <f>IF(S1246&gt;0,IF(RIGHT(Ruimtestaat[[#This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6" s="185">
        <f>IF(U1246&gt;0,VLOOKUP($K1246,Ruimtegroepen[],3,FALSE)*VLOOKUP($M1246,Vloersoorten[],3,FALSE)*VLOOKUP($T1246,Frequenties[],3,FALSE)*VLOOKUP($A1246,Locaties[],3,FALSE),0)</f>
        <v>0</v>
      </c>
      <c r="W1246" s="185">
        <f>Ruimtestaat[[#This Row],[Uitvoeringen werkdagen]]*Ruimtestaat[[#This Row],[Oppervlak (netto)]]</f>
        <v>0</v>
      </c>
      <c r="X1246" s="220">
        <f>IF(V1246&gt;0,Ruimtestaat[[#This Row],[Prest. (m2 /jaar) werkdagen]]/Ruimtestaat[[#This Row],[Norm (m2/uur) werkdagen]],0)</f>
        <v>0</v>
      </c>
      <c r="Y1246" s="221">
        <f>Ruimtestaat[[#This Row],[uren / jaar werkdagen]]*Tariefsopbouw!$D$38</f>
        <v>0</v>
      </c>
      <c r="Z1246" s="33"/>
      <c r="AA1246" s="33">
        <f>IF(Ruimtestaat[[#This Row],[Frequentie weekend]]&gt;0,VALUE(LEFT(Z1246,1))*S1246,0)</f>
        <v>0</v>
      </c>
      <c r="AB1246" s="33">
        <f>IF($AA1246&gt;0,VLOOKUP($K1246,Ruimtegroepen[],3,FALSE)*VLOOKUP($M1246,Vloersoorten[],3,FALSE)*VLOOKUP($Z1246,Frequenties[],3,FALSE)*VLOOKUP(#REF!,Locaties[],3,FALSE),0)</f>
        <v>0</v>
      </c>
      <c r="AC1246" s="33"/>
      <c r="AD1246" s="33"/>
      <c r="AE1246" s="33">
        <f>Ruimtestaat[[#This Row],[uren / jaar weekend]]*Tariefsopbouw!$D$40</f>
        <v>0</v>
      </c>
      <c r="AF1246" s="79">
        <f>Ruimtestaat[[#This Row],[Prest. (m2 /jaar) weekend]]+Ruimtestaat[[#This Row],[Prest. (m2 /jaar) werkdagen]]</f>
        <v>0</v>
      </c>
      <c r="AG1246" s="79">
        <f>Ruimtestaat[[#This Row],[uren / jaar weekend]]+Ruimtestaat[[#This Row],[uren / jaar werkdagen]]</f>
        <v>0</v>
      </c>
      <c r="AH1246" s="80">
        <f>Ruimtestaat[[#This Row],[kosten / jaar weekend]]+Ruimtestaat[[#This Row],[kosten / jaar werkdagen]]</f>
        <v>0</v>
      </c>
    </row>
    <row r="1247" spans="1:34" ht="15" customHeight="1">
      <c r="A1247" s="256">
        <v>16</v>
      </c>
      <c r="B1247" s="171" t="str">
        <f>VLOOKUP(Ruimtestaat[[#This Row],[Code]],Locaties[#All],2,FALSE)</f>
        <v>Hassinkweg</v>
      </c>
      <c r="C1247" s="258" t="str">
        <f>VLOOKUP(Ruimtestaat[[#This Row],[Code]],Locaties[#All],4,FALSE)</f>
        <v>Hassinkweg 3/3A</v>
      </c>
      <c r="D1247" s="258" t="str">
        <f>VLOOKUP(Ruimtestaat[[#This Row],[Code]],Locaties[#All],5,FALSE)</f>
        <v>7556 BV</v>
      </c>
      <c r="E1247" s="258" t="str">
        <f>VLOOKUP(Ruimtestaat[[#This Row],[Code]],Locaties[#All],6,FALSE)</f>
        <v>Hengelo</v>
      </c>
      <c r="F1247" s="257"/>
      <c r="G1247" s="257" t="s">
        <v>563</v>
      </c>
      <c r="H1247" s="171"/>
      <c r="I1247" s="257" t="s">
        <v>610</v>
      </c>
      <c r="J1247" s="259" t="s">
        <v>622</v>
      </c>
      <c r="K1247" s="224">
        <v>20</v>
      </c>
      <c r="L1247" s="260" t="str">
        <f>VLOOKUP(Ruimtestaat[[#This Row],[Ruimte code]],Ruimtegroepen[#All],2,FALSE)</f>
        <v>Niet in onderhoud</v>
      </c>
      <c r="M1247" s="258" t="s">
        <v>110</v>
      </c>
      <c r="N1247" s="257" t="s">
        <v>132</v>
      </c>
      <c r="O1247" s="261"/>
      <c r="P1247" s="183">
        <v>26</v>
      </c>
      <c r="Q1247" s="212" t="str">
        <f>VLOOKUP(Ruimtestaat[[#This Row],[Ruimte code]],Ruimtegroepen[#All],4,FALSE)</f>
        <v>niet in onderhoud</v>
      </c>
      <c r="R1247" s="184"/>
      <c r="S1247" s="185"/>
      <c r="T1247" s="185"/>
      <c r="U1247" s="185">
        <f>IF(S1247&gt;0,IF(RIGHT(Ruimtestaat[[#This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7" s="185">
        <f>IF(U1247&gt;0,VLOOKUP($K1247,Ruimtegroepen[],3,FALSE)*VLOOKUP($M1247,Vloersoorten[],3,FALSE)*VLOOKUP($T1247,Frequenties[],3,FALSE)*VLOOKUP($A1247,Locaties[],3,FALSE),0)</f>
        <v>0</v>
      </c>
      <c r="W1247" s="185">
        <f>Ruimtestaat[[#This Row],[Uitvoeringen werkdagen]]*Ruimtestaat[[#This Row],[Oppervlak (netto)]]</f>
        <v>0</v>
      </c>
      <c r="X1247" s="220">
        <f>IF(V1247&gt;0,Ruimtestaat[[#This Row],[Prest. (m2 /jaar) werkdagen]]/Ruimtestaat[[#This Row],[Norm (m2/uur) werkdagen]],0)</f>
        <v>0</v>
      </c>
      <c r="Y1247" s="221">
        <f>Ruimtestaat[[#This Row],[uren / jaar werkdagen]]*Tariefsopbouw!$D$38</f>
        <v>0</v>
      </c>
      <c r="Z1247" s="33"/>
      <c r="AA1247" s="33">
        <f>IF(Ruimtestaat[[#This Row],[Frequentie weekend]]&gt;0,VALUE(LEFT(Z1247,1))*S1247,0)</f>
        <v>0</v>
      </c>
      <c r="AB1247" s="33">
        <f>IF($AA1247&gt;0,VLOOKUP($K1247,Ruimtegroepen[],3,FALSE)*VLOOKUP($M1247,Vloersoorten[],3,FALSE)*VLOOKUP($Z1247,Frequenties[],3,FALSE)*VLOOKUP(#REF!,Locaties[],3,FALSE),0)</f>
        <v>0</v>
      </c>
      <c r="AC1247" s="33"/>
      <c r="AD1247" s="33"/>
      <c r="AE1247" s="33">
        <f>Ruimtestaat[[#This Row],[uren / jaar weekend]]*Tariefsopbouw!$D$40</f>
        <v>0</v>
      </c>
      <c r="AF1247" s="79">
        <f>Ruimtestaat[[#This Row],[Prest. (m2 /jaar) weekend]]+Ruimtestaat[[#This Row],[Prest. (m2 /jaar) werkdagen]]</f>
        <v>0</v>
      </c>
      <c r="AG1247" s="79">
        <f>Ruimtestaat[[#This Row],[uren / jaar weekend]]+Ruimtestaat[[#This Row],[uren / jaar werkdagen]]</f>
        <v>0</v>
      </c>
      <c r="AH1247" s="80">
        <f>Ruimtestaat[[#This Row],[kosten / jaar weekend]]+Ruimtestaat[[#This Row],[kosten / jaar werkdagen]]</f>
        <v>0</v>
      </c>
    </row>
    <row r="1248" spans="1:34" ht="15" customHeight="1">
      <c r="A1248" s="256">
        <v>16</v>
      </c>
      <c r="B1248" s="171" t="str">
        <f>VLOOKUP(Ruimtestaat[[#This Row],[Code]],Locaties[#All],2,FALSE)</f>
        <v>Hassinkweg</v>
      </c>
      <c r="C1248" s="258" t="str">
        <f>VLOOKUP(Ruimtestaat[[#This Row],[Code]],Locaties[#All],4,FALSE)</f>
        <v>Hassinkweg 3/3A</v>
      </c>
      <c r="D1248" s="258" t="str">
        <f>VLOOKUP(Ruimtestaat[[#This Row],[Code]],Locaties[#All],5,FALSE)</f>
        <v>7556 BV</v>
      </c>
      <c r="E1248" s="258" t="str">
        <f>VLOOKUP(Ruimtestaat[[#This Row],[Code]],Locaties[#All],6,FALSE)</f>
        <v>Hengelo</v>
      </c>
      <c r="F1248" s="257"/>
      <c r="G1248" s="257" t="s">
        <v>563</v>
      </c>
      <c r="H1248" s="171"/>
      <c r="I1248" s="257" t="s">
        <v>464</v>
      </c>
      <c r="J1248" s="259" t="s">
        <v>571</v>
      </c>
      <c r="K1248" s="171">
        <v>2</v>
      </c>
      <c r="L1248" s="260" t="str">
        <f>VLOOKUP(Ruimtestaat[[#This Row],[Ruimte code]],Ruimtegroepen[#All],2,FALSE)</f>
        <v>Kantoren</v>
      </c>
      <c r="M1248" s="212" t="s">
        <v>109</v>
      </c>
      <c r="N1248" s="257" t="s">
        <v>38</v>
      </c>
      <c r="O1248" s="261">
        <v>24.6</v>
      </c>
      <c r="P1248" s="183"/>
      <c r="Q1248" s="212" t="str">
        <f>VLOOKUP(Ruimtestaat[[#This Row],[Ruimte code]],Ruimtegroepen[#All],4,FALSE)</f>
        <v>B  (Bureauruimte)</v>
      </c>
      <c r="R1248" s="184"/>
      <c r="S1248" s="185">
        <v>40</v>
      </c>
      <c r="T1248" s="185" t="s">
        <v>15</v>
      </c>
      <c r="U1248" s="185">
        <f>IF(S1248&gt;0,IF(RIGHT(Ruimtestaat[[#This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48" s="185">
        <f>IF(U1248&gt;0,VLOOKUP($K1248,Ruimtegroepen[],3,FALSE)*VLOOKUP($M1248,Vloersoorten[],3,FALSE)*VLOOKUP($T1248,Frequenties[],3,FALSE)*VLOOKUP($A1248,Locaties[],3,FALSE),0)</f>
        <v>0</v>
      </c>
      <c r="W1248" s="185">
        <f>Ruimtestaat[[#This Row],[Uitvoeringen werkdagen]]*Ruimtestaat[[#This Row],[Oppervlak (netto)]]</f>
        <v>984</v>
      </c>
      <c r="X1248" s="220">
        <f>IF(V1248&gt;0,Ruimtestaat[[#This Row],[Prest. (m2 /jaar) werkdagen]]/Ruimtestaat[[#This Row],[Norm (m2/uur) werkdagen]],0)</f>
        <v>0</v>
      </c>
      <c r="Y1248" s="221">
        <f>Ruimtestaat[[#This Row],[uren / jaar werkdagen]]*Tariefsopbouw!$D$38</f>
        <v>0</v>
      </c>
      <c r="Z1248" s="33"/>
      <c r="AA1248" s="33">
        <f>IF(Ruimtestaat[[#This Row],[Frequentie weekend]]&gt;0,VALUE(LEFT(Z1248,1))*S1248,0)</f>
        <v>0</v>
      </c>
      <c r="AB1248" s="33">
        <f>IF($AA1248&gt;0,VLOOKUP($K1248,Ruimtegroepen[],3,FALSE)*VLOOKUP($M1248,Vloersoorten[],3,FALSE)*VLOOKUP($Z1248,Frequenties[],3,FALSE)*VLOOKUP(#REF!,Locaties[],3,FALSE),0)</f>
        <v>0</v>
      </c>
      <c r="AC1248" s="33"/>
      <c r="AD1248" s="33"/>
      <c r="AE1248" s="33">
        <f>Ruimtestaat[[#This Row],[uren / jaar weekend]]*Tariefsopbouw!$D$40</f>
        <v>0</v>
      </c>
      <c r="AF1248" s="79">
        <f>Ruimtestaat[[#This Row],[Prest. (m2 /jaar) weekend]]+Ruimtestaat[[#This Row],[Prest. (m2 /jaar) werkdagen]]</f>
        <v>984</v>
      </c>
      <c r="AG1248" s="79">
        <f>Ruimtestaat[[#This Row],[uren / jaar weekend]]+Ruimtestaat[[#This Row],[uren / jaar werkdagen]]</f>
        <v>0</v>
      </c>
      <c r="AH1248" s="80">
        <f>Ruimtestaat[[#This Row],[kosten / jaar weekend]]+Ruimtestaat[[#This Row],[kosten / jaar werkdagen]]</f>
        <v>0</v>
      </c>
    </row>
    <row r="1249" spans="1:34" ht="15" customHeight="1">
      <c r="A1249" s="256">
        <v>16</v>
      </c>
      <c r="B1249" s="171" t="str">
        <f>VLOOKUP(Ruimtestaat[[#This Row],[Code]],Locaties[#All],2,FALSE)</f>
        <v>Hassinkweg</v>
      </c>
      <c r="C1249" s="258" t="str">
        <f>VLOOKUP(Ruimtestaat[[#This Row],[Code]],Locaties[#All],4,FALSE)</f>
        <v>Hassinkweg 3/3A</v>
      </c>
      <c r="D1249" s="258" t="str">
        <f>VLOOKUP(Ruimtestaat[[#This Row],[Code]],Locaties[#All],5,FALSE)</f>
        <v>7556 BV</v>
      </c>
      <c r="E1249" s="258" t="str">
        <f>VLOOKUP(Ruimtestaat[[#This Row],[Code]],Locaties[#All],6,FALSE)</f>
        <v>Hengelo</v>
      </c>
      <c r="F1249" s="257"/>
      <c r="G1249" s="257" t="s">
        <v>563</v>
      </c>
      <c r="H1249" s="171"/>
      <c r="I1249" s="257" t="s">
        <v>465</v>
      </c>
      <c r="J1249" s="259" t="s">
        <v>574</v>
      </c>
      <c r="K1249" s="258">
        <v>6</v>
      </c>
      <c r="L1249" s="260" t="str">
        <f>VLOOKUP(Ruimtestaat[[#This Row],[Ruimte code]],Ruimtegroepen[#All],2,FALSE)</f>
        <v>Gangen/hallen</v>
      </c>
      <c r="M1249" s="212" t="s">
        <v>110</v>
      </c>
      <c r="N1249" s="257" t="s">
        <v>132</v>
      </c>
      <c r="O1249" s="261">
        <v>13.7</v>
      </c>
      <c r="P1249" s="183"/>
      <c r="Q1249" s="212" t="str">
        <f>VLOOKUP(Ruimtestaat[[#This Row],[Ruimte code]],Ruimtegroepen[#All],4,FALSE)</f>
        <v>V  (Verkeersruimte)</v>
      </c>
      <c r="R1249" s="184"/>
      <c r="S1249" s="185">
        <v>40</v>
      </c>
      <c r="T1249" s="185" t="s">
        <v>15</v>
      </c>
      <c r="U1249" s="185">
        <f>IF(S1249&gt;0,IF(RIGHT(Ruimtestaat[[#This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49" s="185">
        <f>IF(U1249&gt;0,VLOOKUP($K1249,Ruimtegroepen[],3,FALSE)*VLOOKUP($M1249,Vloersoorten[],3,FALSE)*VLOOKUP($T1249,Frequenties[],3,FALSE)*VLOOKUP($A1249,Locaties[],3,FALSE),0)</f>
        <v>0</v>
      </c>
      <c r="W1249" s="185">
        <f>Ruimtestaat[[#This Row],[Uitvoeringen werkdagen]]*Ruimtestaat[[#This Row],[Oppervlak (netto)]]</f>
        <v>548</v>
      </c>
      <c r="X1249" s="220">
        <f>IF(V1249&gt;0,Ruimtestaat[[#This Row],[Prest. (m2 /jaar) werkdagen]]/Ruimtestaat[[#This Row],[Norm (m2/uur) werkdagen]],0)</f>
        <v>0</v>
      </c>
      <c r="Y1249" s="221">
        <f>Ruimtestaat[[#This Row],[uren / jaar werkdagen]]*Tariefsopbouw!$D$38</f>
        <v>0</v>
      </c>
      <c r="Z1249" s="33"/>
      <c r="AA1249" s="33">
        <f>IF(Ruimtestaat[[#This Row],[Frequentie weekend]]&gt;0,VALUE(LEFT(Z1249,1))*S1249,0)</f>
        <v>0</v>
      </c>
      <c r="AB1249" s="33">
        <f>IF($AA1249&gt;0,VLOOKUP($K1249,Ruimtegroepen[],3,FALSE)*VLOOKUP($M1249,Vloersoorten[],3,FALSE)*VLOOKUP($Z1249,Frequenties[],3,FALSE)*VLOOKUP(#REF!,Locaties[],3,FALSE),0)</f>
        <v>0</v>
      </c>
      <c r="AC1249" s="33"/>
      <c r="AD1249" s="33"/>
      <c r="AE1249" s="33">
        <f>Ruimtestaat[[#This Row],[uren / jaar weekend]]*Tariefsopbouw!$D$40</f>
        <v>0</v>
      </c>
      <c r="AF1249" s="79">
        <f>Ruimtestaat[[#This Row],[Prest. (m2 /jaar) weekend]]+Ruimtestaat[[#This Row],[Prest. (m2 /jaar) werkdagen]]</f>
        <v>548</v>
      </c>
      <c r="AG1249" s="79">
        <f>Ruimtestaat[[#This Row],[uren / jaar weekend]]+Ruimtestaat[[#This Row],[uren / jaar werkdagen]]</f>
        <v>0</v>
      </c>
      <c r="AH1249" s="80">
        <f>Ruimtestaat[[#This Row],[kosten / jaar weekend]]+Ruimtestaat[[#This Row],[kosten / jaar werkdagen]]</f>
        <v>0</v>
      </c>
    </row>
    <row r="1250" spans="1:34" ht="15" customHeight="1">
      <c r="A1250" s="256">
        <v>16</v>
      </c>
      <c r="B1250" s="171" t="str">
        <f>VLOOKUP(Ruimtestaat[[#This Row],[Code]],Locaties[#All],2,FALSE)</f>
        <v>Hassinkweg</v>
      </c>
      <c r="C1250" s="258" t="str">
        <f>VLOOKUP(Ruimtestaat[[#This Row],[Code]],Locaties[#All],4,FALSE)</f>
        <v>Hassinkweg 3/3A</v>
      </c>
      <c r="D1250" s="258" t="str">
        <f>VLOOKUP(Ruimtestaat[[#This Row],[Code]],Locaties[#All],5,FALSE)</f>
        <v>7556 BV</v>
      </c>
      <c r="E1250" s="258" t="str">
        <f>VLOOKUP(Ruimtestaat[[#This Row],[Code]],Locaties[#All],6,FALSE)</f>
        <v>Hengelo</v>
      </c>
      <c r="F1250" s="257"/>
      <c r="G1250" s="257" t="s">
        <v>563</v>
      </c>
      <c r="H1250" s="171"/>
      <c r="I1250" s="257" t="s">
        <v>466</v>
      </c>
      <c r="J1250" s="259" t="s">
        <v>422</v>
      </c>
      <c r="K1250" s="258">
        <v>14</v>
      </c>
      <c r="L1250" s="260" t="str">
        <f>VLOOKUP(Ruimtestaat[[#This Row],[Ruimte code]],Ruimtegroepen[#All],2,FALSE)</f>
        <v>Praktijklokalen</v>
      </c>
      <c r="M1250" s="185" t="s">
        <v>110</v>
      </c>
      <c r="N1250" s="257" t="s">
        <v>132</v>
      </c>
      <c r="O1250" s="261">
        <v>19.5</v>
      </c>
      <c r="P1250" s="183"/>
      <c r="Q1250" s="212" t="str">
        <f>VLOOKUP(Ruimtestaat[[#This Row],[Ruimte code]],Ruimtegroepen[#All],4,FALSE)</f>
        <v>L  (Lesruimte)</v>
      </c>
      <c r="R1250" s="184"/>
      <c r="S1250" s="185">
        <v>40</v>
      </c>
      <c r="T1250" s="185" t="s">
        <v>15</v>
      </c>
      <c r="U1250" s="185">
        <f>IF(S1250&gt;0,IF(RIGHT(Ruimtestaat[[#This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50" s="185">
        <f>IF(U1250&gt;0,VLOOKUP($K1250,Ruimtegroepen[],3,FALSE)*VLOOKUP($M1250,Vloersoorten[],3,FALSE)*VLOOKUP($T1250,Frequenties[],3,FALSE)*VLOOKUP($A1250,Locaties[],3,FALSE),0)</f>
        <v>0</v>
      </c>
      <c r="W1250" s="185">
        <f>Ruimtestaat[[#This Row],[Uitvoeringen werkdagen]]*Ruimtestaat[[#This Row],[Oppervlak (netto)]]</f>
        <v>780</v>
      </c>
      <c r="X1250" s="220">
        <f>IF(V1250&gt;0,Ruimtestaat[[#This Row],[Prest. (m2 /jaar) werkdagen]]/Ruimtestaat[[#This Row],[Norm (m2/uur) werkdagen]],0)</f>
        <v>0</v>
      </c>
      <c r="Y1250" s="221">
        <f>Ruimtestaat[[#This Row],[uren / jaar werkdagen]]*Tariefsopbouw!$D$38</f>
        <v>0</v>
      </c>
      <c r="Z1250" s="33"/>
      <c r="AA1250" s="33">
        <f>IF(Ruimtestaat[[#This Row],[Frequentie weekend]]&gt;0,VALUE(LEFT(Z1250,1))*S1250,0)</f>
        <v>0</v>
      </c>
      <c r="AB1250" s="33">
        <f>IF($AA1250&gt;0,VLOOKUP($K1250,Ruimtegroepen[],3,FALSE)*VLOOKUP($M1250,Vloersoorten[],3,FALSE)*VLOOKUP($Z1250,Frequenties[],3,FALSE)*VLOOKUP(#REF!,Locaties[],3,FALSE),0)</f>
        <v>0</v>
      </c>
      <c r="AC1250" s="33"/>
      <c r="AD1250" s="33"/>
      <c r="AE1250" s="33">
        <f>Ruimtestaat[[#This Row],[uren / jaar weekend]]*Tariefsopbouw!$D$40</f>
        <v>0</v>
      </c>
      <c r="AF1250" s="79">
        <f>Ruimtestaat[[#This Row],[Prest. (m2 /jaar) weekend]]+Ruimtestaat[[#This Row],[Prest. (m2 /jaar) werkdagen]]</f>
        <v>780</v>
      </c>
      <c r="AG1250" s="79">
        <f>Ruimtestaat[[#This Row],[uren / jaar weekend]]+Ruimtestaat[[#This Row],[uren / jaar werkdagen]]</f>
        <v>0</v>
      </c>
      <c r="AH1250" s="80">
        <f>Ruimtestaat[[#This Row],[kosten / jaar weekend]]+Ruimtestaat[[#This Row],[kosten / jaar werkdagen]]</f>
        <v>0</v>
      </c>
    </row>
    <row r="1251" spans="1:34" ht="15" customHeight="1">
      <c r="A1251" s="256">
        <v>16</v>
      </c>
      <c r="B1251" s="171" t="str">
        <f>VLOOKUP(Ruimtestaat[[#This Row],[Code]],Locaties[#All],2,FALSE)</f>
        <v>Hassinkweg</v>
      </c>
      <c r="C1251" s="258" t="str">
        <f>VLOOKUP(Ruimtestaat[[#This Row],[Code]],Locaties[#All],4,FALSE)</f>
        <v>Hassinkweg 3/3A</v>
      </c>
      <c r="D1251" s="258" t="str">
        <f>VLOOKUP(Ruimtestaat[[#This Row],[Code]],Locaties[#All],5,FALSE)</f>
        <v>7556 BV</v>
      </c>
      <c r="E1251" s="258" t="str">
        <f>VLOOKUP(Ruimtestaat[[#This Row],[Code]],Locaties[#All],6,FALSE)</f>
        <v>Hengelo</v>
      </c>
      <c r="F1251" s="257"/>
      <c r="G1251" s="257" t="s">
        <v>563</v>
      </c>
      <c r="H1251" s="171"/>
      <c r="I1251" s="257" t="s">
        <v>611</v>
      </c>
      <c r="J1251" s="259" t="s">
        <v>40</v>
      </c>
      <c r="K1251" s="258">
        <v>7</v>
      </c>
      <c r="L1251" s="260" t="str">
        <f>VLOOKUP(Ruimtestaat[[#This Row],[Ruimte code]],Ruimtegroepen[#All],2,FALSE)</f>
        <v>Entree</v>
      </c>
      <c r="M1251" s="212" t="s">
        <v>109</v>
      </c>
      <c r="N1251" s="257" t="s">
        <v>38</v>
      </c>
      <c r="O1251" s="261">
        <v>17.7</v>
      </c>
      <c r="P1251" s="183"/>
      <c r="Q1251" s="212" t="str">
        <f>VLOOKUP(Ruimtestaat[[#This Row],[Ruimte code]],Ruimtegroepen[#All],4,FALSE)</f>
        <v>V  (Verkeersruimte)</v>
      </c>
      <c r="R1251" s="184"/>
      <c r="S1251" s="185">
        <v>40</v>
      </c>
      <c r="T1251" s="185" t="s">
        <v>18</v>
      </c>
      <c r="U1251" s="185">
        <f>IF(S1251&gt;0,IF(RIGHT(Ruimtestaat[[#This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1" s="185">
        <f>IF(U1251&gt;0,VLOOKUP($K1251,Ruimtegroepen[],3,FALSE)*VLOOKUP($M1251,Vloersoorten[],3,FALSE)*VLOOKUP($T1251,Frequenties[],3,FALSE)*VLOOKUP($A1251,Locaties[],3,FALSE),0)</f>
        <v>0</v>
      </c>
      <c r="W1251" s="185">
        <f>Ruimtestaat[[#This Row],[Uitvoeringen werkdagen]]*Ruimtestaat[[#This Row],[Oppervlak (netto)]]</f>
        <v>2124</v>
      </c>
      <c r="X1251" s="220">
        <f>IF(V1251&gt;0,Ruimtestaat[[#This Row],[Prest. (m2 /jaar) werkdagen]]/Ruimtestaat[[#This Row],[Norm (m2/uur) werkdagen]],0)</f>
        <v>0</v>
      </c>
      <c r="Y1251" s="221">
        <f>Ruimtestaat[[#This Row],[uren / jaar werkdagen]]*Tariefsopbouw!$D$38</f>
        <v>0</v>
      </c>
      <c r="Z1251" s="33"/>
      <c r="AA1251" s="33">
        <f>IF(Ruimtestaat[[#This Row],[Frequentie weekend]]&gt;0,VALUE(LEFT(Z1251,1))*S1251,0)</f>
        <v>0</v>
      </c>
      <c r="AB1251" s="33">
        <f>IF($AA1251&gt;0,VLOOKUP($K1251,Ruimtegroepen[],3,FALSE)*VLOOKUP($M1251,Vloersoorten[],3,FALSE)*VLOOKUP($Z1251,Frequenties[],3,FALSE)*VLOOKUP(#REF!,Locaties[],3,FALSE),0)</f>
        <v>0</v>
      </c>
      <c r="AC1251" s="33"/>
      <c r="AD1251" s="33"/>
      <c r="AE1251" s="33">
        <f>Ruimtestaat[[#This Row],[uren / jaar weekend]]*Tariefsopbouw!$D$40</f>
        <v>0</v>
      </c>
      <c r="AF1251" s="79">
        <f>Ruimtestaat[[#This Row],[Prest. (m2 /jaar) weekend]]+Ruimtestaat[[#This Row],[Prest. (m2 /jaar) werkdagen]]</f>
        <v>2124</v>
      </c>
      <c r="AG1251" s="79">
        <f>Ruimtestaat[[#This Row],[uren / jaar weekend]]+Ruimtestaat[[#This Row],[uren / jaar werkdagen]]</f>
        <v>0</v>
      </c>
      <c r="AH1251" s="80">
        <f>Ruimtestaat[[#This Row],[kosten / jaar weekend]]+Ruimtestaat[[#This Row],[kosten / jaar werkdagen]]</f>
        <v>0</v>
      </c>
    </row>
    <row r="1252" spans="1:34" ht="15" customHeight="1">
      <c r="A1252" s="256">
        <v>16</v>
      </c>
      <c r="B1252" s="171" t="str">
        <f>VLOOKUP(Ruimtestaat[[#This Row],[Code]],Locaties[#All],2,FALSE)</f>
        <v>Hassinkweg</v>
      </c>
      <c r="C1252" s="258" t="str">
        <f>VLOOKUP(Ruimtestaat[[#This Row],[Code]],Locaties[#All],4,FALSE)</f>
        <v>Hassinkweg 3/3A</v>
      </c>
      <c r="D1252" s="258" t="str">
        <f>VLOOKUP(Ruimtestaat[[#This Row],[Code]],Locaties[#All],5,FALSE)</f>
        <v>7556 BV</v>
      </c>
      <c r="E1252" s="258" t="str">
        <f>VLOOKUP(Ruimtestaat[[#This Row],[Code]],Locaties[#All],6,FALSE)</f>
        <v>Hengelo</v>
      </c>
      <c r="F1252" s="257"/>
      <c r="G1252" s="257" t="s">
        <v>563</v>
      </c>
      <c r="H1252" s="171"/>
      <c r="I1252" s="257" t="s">
        <v>467</v>
      </c>
      <c r="J1252" s="259" t="s">
        <v>574</v>
      </c>
      <c r="K1252" s="171">
        <v>6</v>
      </c>
      <c r="L1252" s="260" t="str">
        <f>VLOOKUP(Ruimtestaat[[#This Row],[Ruimte code]],Ruimtegroepen[#All],2,FALSE)</f>
        <v>Gangen/hallen</v>
      </c>
      <c r="M1252" s="258" t="s">
        <v>110</v>
      </c>
      <c r="N1252" s="257" t="s">
        <v>132</v>
      </c>
      <c r="O1252" s="261">
        <v>25.4</v>
      </c>
      <c r="P1252" s="183"/>
      <c r="Q1252" s="212" t="str">
        <f>VLOOKUP(Ruimtestaat[[#This Row],[Ruimte code]],Ruimtegroepen[#All],4,FALSE)</f>
        <v>V  (Verkeersruimte)</v>
      </c>
      <c r="R1252" s="184"/>
      <c r="S1252" s="185">
        <v>40</v>
      </c>
      <c r="T1252" s="185" t="s">
        <v>15</v>
      </c>
      <c r="U1252" s="185">
        <f>IF(S1252&gt;0,IF(RIGHT(Ruimtestaat[[#This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52" s="185">
        <f>IF(U1252&gt;0,VLOOKUP($K1252,Ruimtegroepen[],3,FALSE)*VLOOKUP($M1252,Vloersoorten[],3,FALSE)*VLOOKUP($T1252,Frequenties[],3,FALSE)*VLOOKUP($A1252,Locaties[],3,FALSE),0)</f>
        <v>0</v>
      </c>
      <c r="W1252" s="185">
        <f>Ruimtestaat[[#This Row],[Uitvoeringen werkdagen]]*Ruimtestaat[[#This Row],[Oppervlak (netto)]]</f>
        <v>1016</v>
      </c>
      <c r="X1252" s="220">
        <f>IF(V1252&gt;0,Ruimtestaat[[#This Row],[Prest. (m2 /jaar) werkdagen]]/Ruimtestaat[[#This Row],[Norm (m2/uur) werkdagen]],0)</f>
        <v>0</v>
      </c>
      <c r="Y1252" s="221">
        <f>Ruimtestaat[[#This Row],[uren / jaar werkdagen]]*Tariefsopbouw!$D$38</f>
        <v>0</v>
      </c>
      <c r="Z1252" s="33"/>
      <c r="AA1252" s="33">
        <f>IF(Ruimtestaat[[#This Row],[Frequentie weekend]]&gt;0,VALUE(LEFT(Z1252,1))*S1252,0)</f>
        <v>0</v>
      </c>
      <c r="AB1252" s="33">
        <f>IF($AA1252&gt;0,VLOOKUP($K1252,Ruimtegroepen[],3,FALSE)*VLOOKUP($M1252,Vloersoorten[],3,FALSE)*VLOOKUP($Z1252,Frequenties[],3,FALSE)*VLOOKUP(#REF!,Locaties[],3,FALSE),0)</f>
        <v>0</v>
      </c>
      <c r="AC1252" s="33"/>
      <c r="AD1252" s="33"/>
      <c r="AE1252" s="33">
        <f>Ruimtestaat[[#This Row],[uren / jaar weekend]]*Tariefsopbouw!$D$40</f>
        <v>0</v>
      </c>
      <c r="AF1252" s="79">
        <f>Ruimtestaat[[#This Row],[Prest. (m2 /jaar) weekend]]+Ruimtestaat[[#This Row],[Prest. (m2 /jaar) werkdagen]]</f>
        <v>1016</v>
      </c>
      <c r="AG1252" s="79">
        <f>Ruimtestaat[[#This Row],[uren / jaar weekend]]+Ruimtestaat[[#This Row],[uren / jaar werkdagen]]</f>
        <v>0</v>
      </c>
      <c r="AH1252" s="80">
        <f>Ruimtestaat[[#This Row],[kosten / jaar weekend]]+Ruimtestaat[[#This Row],[kosten / jaar werkdagen]]</f>
        <v>0</v>
      </c>
    </row>
    <row r="1253" spans="1:34" ht="15" customHeight="1">
      <c r="A1253" s="256">
        <v>16</v>
      </c>
      <c r="B1253" s="171" t="str">
        <f>VLOOKUP(Ruimtestaat[[#This Row],[Code]],Locaties[#All],2,FALSE)</f>
        <v>Hassinkweg</v>
      </c>
      <c r="C1253" s="258" t="str">
        <f>VLOOKUP(Ruimtestaat[[#This Row],[Code]],Locaties[#All],4,FALSE)</f>
        <v>Hassinkweg 3/3A</v>
      </c>
      <c r="D1253" s="258" t="str">
        <f>VLOOKUP(Ruimtestaat[[#This Row],[Code]],Locaties[#All],5,FALSE)</f>
        <v>7556 BV</v>
      </c>
      <c r="E1253" s="258" t="str">
        <f>VLOOKUP(Ruimtestaat[[#This Row],[Code]],Locaties[#All],6,FALSE)</f>
        <v>Hengelo</v>
      </c>
      <c r="F1253" s="257"/>
      <c r="G1253" s="257" t="s">
        <v>563</v>
      </c>
      <c r="H1253" s="171"/>
      <c r="I1253" s="257" t="s">
        <v>468</v>
      </c>
      <c r="J1253" s="259" t="s">
        <v>574</v>
      </c>
      <c r="K1253" s="171">
        <v>6</v>
      </c>
      <c r="L1253" s="260" t="str">
        <f>VLOOKUP(Ruimtestaat[[#This Row],[Ruimte code]],Ruimtegroepen[#All],2,FALSE)</f>
        <v>Gangen/hallen</v>
      </c>
      <c r="M1253" s="185" t="s">
        <v>110</v>
      </c>
      <c r="N1253" s="257" t="s">
        <v>132</v>
      </c>
      <c r="O1253" s="261">
        <v>4.0999999999999996</v>
      </c>
      <c r="P1253" s="183"/>
      <c r="Q1253" s="212" t="str">
        <f>VLOOKUP(Ruimtestaat[[#This Row],[Ruimte code]],Ruimtegroepen[#All],4,FALSE)</f>
        <v>V  (Verkeersruimte)</v>
      </c>
      <c r="R1253" s="184"/>
      <c r="S1253" s="185">
        <v>40</v>
      </c>
      <c r="T1253" s="185" t="s">
        <v>15</v>
      </c>
      <c r="U1253" s="185">
        <f>IF(S1253&gt;0,IF(RIGHT(Ruimtestaat[[#This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53" s="185">
        <f>IF(U1253&gt;0,VLOOKUP($K1253,Ruimtegroepen[],3,FALSE)*VLOOKUP($M1253,Vloersoorten[],3,FALSE)*VLOOKUP($T1253,Frequenties[],3,FALSE)*VLOOKUP($A1253,Locaties[],3,FALSE),0)</f>
        <v>0</v>
      </c>
      <c r="W1253" s="185">
        <f>Ruimtestaat[[#This Row],[Uitvoeringen werkdagen]]*Ruimtestaat[[#This Row],[Oppervlak (netto)]]</f>
        <v>164</v>
      </c>
      <c r="X1253" s="220">
        <f>IF(V1253&gt;0,Ruimtestaat[[#This Row],[Prest. (m2 /jaar) werkdagen]]/Ruimtestaat[[#This Row],[Norm (m2/uur) werkdagen]],0)</f>
        <v>0</v>
      </c>
      <c r="Y1253" s="221">
        <f>Ruimtestaat[[#This Row],[uren / jaar werkdagen]]*Tariefsopbouw!$D$38</f>
        <v>0</v>
      </c>
      <c r="Z1253" s="33"/>
      <c r="AA1253" s="33">
        <f>IF(Ruimtestaat[[#This Row],[Frequentie weekend]]&gt;0,VALUE(LEFT(Z1253,1))*S1253,0)</f>
        <v>0</v>
      </c>
      <c r="AB1253" s="33">
        <f>IF($AA1253&gt;0,VLOOKUP($K1253,Ruimtegroepen[],3,FALSE)*VLOOKUP($M1253,Vloersoorten[],3,FALSE)*VLOOKUP($Z1253,Frequenties[],3,FALSE)*VLOOKUP(#REF!,Locaties[],3,FALSE),0)</f>
        <v>0</v>
      </c>
      <c r="AC1253" s="33"/>
      <c r="AD1253" s="33"/>
      <c r="AE1253" s="33">
        <f>Ruimtestaat[[#This Row],[uren / jaar weekend]]*Tariefsopbouw!$D$40</f>
        <v>0</v>
      </c>
      <c r="AF1253" s="79">
        <f>Ruimtestaat[[#This Row],[Prest. (m2 /jaar) weekend]]+Ruimtestaat[[#This Row],[Prest. (m2 /jaar) werkdagen]]</f>
        <v>164</v>
      </c>
      <c r="AG1253" s="79">
        <f>Ruimtestaat[[#This Row],[uren / jaar weekend]]+Ruimtestaat[[#This Row],[uren / jaar werkdagen]]</f>
        <v>0</v>
      </c>
      <c r="AH1253" s="80">
        <f>Ruimtestaat[[#This Row],[kosten / jaar weekend]]+Ruimtestaat[[#This Row],[kosten / jaar werkdagen]]</f>
        <v>0</v>
      </c>
    </row>
    <row r="1254" spans="1:34" ht="15" customHeight="1">
      <c r="A1254" s="256">
        <v>16</v>
      </c>
      <c r="B1254" s="171" t="str">
        <f>VLOOKUP(Ruimtestaat[[#This Row],[Code]],Locaties[#All],2,FALSE)</f>
        <v>Hassinkweg</v>
      </c>
      <c r="C1254" s="258" t="str">
        <f>VLOOKUP(Ruimtestaat[[#This Row],[Code]],Locaties[#All],4,FALSE)</f>
        <v>Hassinkweg 3/3A</v>
      </c>
      <c r="D1254" s="258" t="str">
        <f>VLOOKUP(Ruimtestaat[[#This Row],[Code]],Locaties[#All],5,FALSE)</f>
        <v>7556 BV</v>
      </c>
      <c r="E1254" s="258" t="str">
        <f>VLOOKUP(Ruimtestaat[[#This Row],[Code]],Locaties[#All],6,FALSE)</f>
        <v>Hengelo</v>
      </c>
      <c r="F1254" s="257"/>
      <c r="G1254" s="257" t="s">
        <v>563</v>
      </c>
      <c r="H1254" s="171"/>
      <c r="I1254" s="257" t="s">
        <v>469</v>
      </c>
      <c r="J1254" s="259" t="s">
        <v>623</v>
      </c>
      <c r="K1254" s="171">
        <v>20</v>
      </c>
      <c r="L1254" s="260" t="str">
        <f>VLOOKUP(Ruimtestaat[[#This Row],[Ruimte code]],Ruimtegroepen[#All],2,FALSE)</f>
        <v>Niet in onderhoud</v>
      </c>
      <c r="M1254" s="212" t="s">
        <v>111</v>
      </c>
      <c r="N1254" s="257" t="s">
        <v>625</v>
      </c>
      <c r="O1254" s="261"/>
      <c r="P1254" s="183">
        <v>1.4</v>
      </c>
      <c r="Q1254" s="212" t="str">
        <f>VLOOKUP(Ruimtestaat[[#This Row],[Ruimte code]],Ruimtegroepen[#All],4,FALSE)</f>
        <v>niet in onderhoud</v>
      </c>
      <c r="R1254" s="184"/>
      <c r="S1254" s="185"/>
      <c r="T1254" s="185"/>
      <c r="U1254" s="185">
        <f>IF(S1254&gt;0,IF(RIGHT(Ruimtestaat[[#This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54" s="185">
        <f>IF(U1254&gt;0,VLOOKUP($K1254,Ruimtegroepen[],3,FALSE)*VLOOKUP($M1254,Vloersoorten[],3,FALSE)*VLOOKUP($T1254,Frequenties[],3,FALSE)*VLOOKUP($A1254,Locaties[],3,FALSE),0)</f>
        <v>0</v>
      </c>
      <c r="W1254" s="185">
        <f>Ruimtestaat[[#This Row],[Uitvoeringen werkdagen]]*Ruimtestaat[[#This Row],[Oppervlak (netto)]]</f>
        <v>0</v>
      </c>
      <c r="X1254" s="220">
        <f>IF(V1254&gt;0,Ruimtestaat[[#This Row],[Prest. (m2 /jaar) werkdagen]]/Ruimtestaat[[#This Row],[Norm (m2/uur) werkdagen]],0)</f>
        <v>0</v>
      </c>
      <c r="Y1254" s="221">
        <f>Ruimtestaat[[#This Row],[uren / jaar werkdagen]]*Tariefsopbouw!$D$38</f>
        <v>0</v>
      </c>
      <c r="Z1254" s="33"/>
      <c r="AA1254" s="33">
        <f>IF(Ruimtestaat[[#This Row],[Frequentie weekend]]&gt;0,VALUE(LEFT(Z1254,1))*S1254,0)</f>
        <v>0</v>
      </c>
      <c r="AB1254" s="33">
        <f>IF($AA1254&gt;0,VLOOKUP($K1254,Ruimtegroepen[],3,FALSE)*VLOOKUP($M1254,Vloersoorten[],3,FALSE)*VLOOKUP($Z1254,Frequenties[],3,FALSE)*VLOOKUP(#REF!,Locaties[],3,FALSE),0)</f>
        <v>0</v>
      </c>
      <c r="AC1254" s="33"/>
      <c r="AD1254" s="33"/>
      <c r="AE1254" s="33">
        <f>Ruimtestaat[[#This Row],[uren / jaar weekend]]*Tariefsopbouw!$D$40</f>
        <v>0</v>
      </c>
      <c r="AF1254" s="79">
        <f>Ruimtestaat[[#This Row],[Prest. (m2 /jaar) weekend]]+Ruimtestaat[[#This Row],[Prest. (m2 /jaar) werkdagen]]</f>
        <v>0</v>
      </c>
      <c r="AG1254" s="79">
        <f>Ruimtestaat[[#This Row],[uren / jaar weekend]]+Ruimtestaat[[#This Row],[uren / jaar werkdagen]]</f>
        <v>0</v>
      </c>
      <c r="AH1254" s="80">
        <f>Ruimtestaat[[#This Row],[kosten / jaar weekend]]+Ruimtestaat[[#This Row],[kosten / jaar werkdagen]]</f>
        <v>0</v>
      </c>
    </row>
    <row r="1255" spans="1:34" ht="15" customHeight="1">
      <c r="A1255" s="256">
        <v>16</v>
      </c>
      <c r="B1255" s="171" t="str">
        <f>VLOOKUP(Ruimtestaat[[#This Row],[Code]],Locaties[#All],2,FALSE)</f>
        <v>Hassinkweg</v>
      </c>
      <c r="C1255" s="258" t="str">
        <f>VLOOKUP(Ruimtestaat[[#This Row],[Code]],Locaties[#All],4,FALSE)</f>
        <v>Hassinkweg 3/3A</v>
      </c>
      <c r="D1255" s="258" t="str">
        <f>VLOOKUP(Ruimtestaat[[#This Row],[Code]],Locaties[#All],5,FALSE)</f>
        <v>7556 BV</v>
      </c>
      <c r="E1255" s="258" t="str">
        <f>VLOOKUP(Ruimtestaat[[#This Row],[Code]],Locaties[#All],6,FALSE)</f>
        <v>Hengelo</v>
      </c>
      <c r="F1255" s="257"/>
      <c r="G1255" s="257" t="s">
        <v>563</v>
      </c>
      <c r="H1255" s="171"/>
      <c r="I1255" s="257" t="s">
        <v>470</v>
      </c>
      <c r="J1255" s="259" t="s">
        <v>624</v>
      </c>
      <c r="K1255" s="258">
        <v>1</v>
      </c>
      <c r="L1255" s="260" t="str">
        <f>VLOOKUP(Ruimtestaat[[#This Row],[Ruimte code]],Ruimtegroepen[#All],2,FALSE)</f>
        <v>Magazijnen/bergingen</v>
      </c>
      <c r="M1255" s="185" t="s">
        <v>109</v>
      </c>
      <c r="N1255" s="257" t="s">
        <v>38</v>
      </c>
      <c r="O1255" s="261">
        <v>7.8</v>
      </c>
      <c r="P1255" s="183"/>
      <c r="Q1255" s="212" t="str">
        <f>VLOOKUP(Ruimtestaat[[#This Row],[Ruimte code]],Ruimtegroepen[#All],4,FALSE)</f>
        <v>V  (Verkeersruimte)</v>
      </c>
      <c r="R1255" s="184"/>
      <c r="S1255" s="185">
        <v>40</v>
      </c>
      <c r="T1255" s="185" t="s">
        <v>15</v>
      </c>
      <c r="U1255" s="185">
        <f>IF(S1255&gt;0,IF(RIGHT(Ruimtestaat[[#This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55" s="185">
        <f>IF(U1255&gt;0,VLOOKUP($K1255,Ruimtegroepen[],3,FALSE)*VLOOKUP($M1255,Vloersoorten[],3,FALSE)*VLOOKUP($T1255,Frequenties[],3,FALSE)*VLOOKUP($A1255,Locaties[],3,FALSE),0)</f>
        <v>0</v>
      </c>
      <c r="W1255" s="185">
        <f>Ruimtestaat[[#This Row],[Uitvoeringen werkdagen]]*Ruimtestaat[[#This Row],[Oppervlak (netto)]]</f>
        <v>312</v>
      </c>
      <c r="X1255" s="220">
        <f>IF(V1255&gt;0,Ruimtestaat[[#This Row],[Prest. (m2 /jaar) werkdagen]]/Ruimtestaat[[#This Row],[Norm (m2/uur) werkdagen]],0)</f>
        <v>0</v>
      </c>
      <c r="Y1255" s="221">
        <f>Ruimtestaat[[#This Row],[uren / jaar werkdagen]]*Tariefsopbouw!$D$38</f>
        <v>0</v>
      </c>
      <c r="Z1255" s="33"/>
      <c r="AA1255" s="33">
        <f>IF(Ruimtestaat[[#This Row],[Frequentie weekend]]&gt;0,VALUE(LEFT(Z1255,1))*S1255,0)</f>
        <v>0</v>
      </c>
      <c r="AB1255" s="33">
        <f>IF($AA1255&gt;0,VLOOKUP($K1255,Ruimtegroepen[],3,FALSE)*VLOOKUP($M1255,Vloersoorten[],3,FALSE)*VLOOKUP($Z1255,Frequenties[],3,FALSE)*VLOOKUP(#REF!,Locaties[],3,FALSE),0)</f>
        <v>0</v>
      </c>
      <c r="AC1255" s="33"/>
      <c r="AD1255" s="33"/>
      <c r="AE1255" s="33">
        <f>Ruimtestaat[[#This Row],[uren / jaar weekend]]*Tariefsopbouw!$D$40</f>
        <v>0</v>
      </c>
      <c r="AF1255" s="79">
        <f>Ruimtestaat[[#This Row],[Prest. (m2 /jaar) weekend]]+Ruimtestaat[[#This Row],[Prest. (m2 /jaar) werkdagen]]</f>
        <v>312</v>
      </c>
      <c r="AG1255" s="79">
        <f>Ruimtestaat[[#This Row],[uren / jaar weekend]]+Ruimtestaat[[#This Row],[uren / jaar werkdagen]]</f>
        <v>0</v>
      </c>
      <c r="AH1255" s="80">
        <f>Ruimtestaat[[#This Row],[kosten / jaar weekend]]+Ruimtestaat[[#This Row],[kosten / jaar werkdagen]]</f>
        <v>0</v>
      </c>
    </row>
    <row r="1256" spans="1:34" ht="15" customHeight="1">
      <c r="A1256" s="256">
        <v>16</v>
      </c>
      <c r="B1256" s="171" t="str">
        <f>VLOOKUP(Ruimtestaat[[#This Row],[Code]],Locaties[#All],2,FALSE)</f>
        <v>Hassinkweg</v>
      </c>
      <c r="C1256" s="258" t="str">
        <f>VLOOKUP(Ruimtestaat[[#This Row],[Code]],Locaties[#All],4,FALSE)</f>
        <v>Hassinkweg 3/3A</v>
      </c>
      <c r="D1256" s="258" t="str">
        <f>VLOOKUP(Ruimtestaat[[#This Row],[Code]],Locaties[#All],5,FALSE)</f>
        <v>7556 BV</v>
      </c>
      <c r="E1256" s="258" t="str">
        <f>VLOOKUP(Ruimtestaat[[#This Row],[Code]],Locaties[#All],6,FALSE)</f>
        <v>Hengelo</v>
      </c>
      <c r="F1256" s="257"/>
      <c r="G1256" s="257" t="s">
        <v>563</v>
      </c>
      <c r="H1256" s="171"/>
      <c r="I1256" s="257" t="s">
        <v>471</v>
      </c>
      <c r="J1256" s="259" t="s">
        <v>600</v>
      </c>
      <c r="K1256" s="258">
        <v>15</v>
      </c>
      <c r="L1256" s="260" t="str">
        <f>VLOOKUP(Ruimtestaat[[#This Row],[Ruimte code]],Ruimtegroepen[#All],2,FALSE)</f>
        <v>Keuken/pantry</v>
      </c>
      <c r="M1256" s="212" t="s">
        <v>111</v>
      </c>
      <c r="N1256" s="257" t="s">
        <v>606</v>
      </c>
      <c r="O1256" s="261">
        <v>22.3</v>
      </c>
      <c r="P1256" s="183"/>
      <c r="Q1256" s="212" t="str">
        <f>VLOOKUP(Ruimtestaat[[#This Row],[Ruimte code]],Ruimtegroepen[#All],4,FALSE)</f>
        <v>V  (Verkeersruimte)</v>
      </c>
      <c r="R1256" s="184"/>
      <c r="S1256" s="185">
        <v>40</v>
      </c>
      <c r="T1256" s="185" t="s">
        <v>15</v>
      </c>
      <c r="U1256" s="185">
        <f>IF(S1256&gt;0,IF(RIGHT(Ruimtestaat[[#This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56" s="185">
        <f>IF(U1256&gt;0,VLOOKUP($K1256,Ruimtegroepen[],3,FALSE)*VLOOKUP($M1256,Vloersoorten[],3,FALSE)*VLOOKUP($T1256,Frequenties[],3,FALSE)*VLOOKUP($A1256,Locaties[],3,FALSE),0)</f>
        <v>0</v>
      </c>
      <c r="W1256" s="185">
        <f>Ruimtestaat[[#This Row],[Uitvoeringen werkdagen]]*Ruimtestaat[[#This Row],[Oppervlak (netto)]]</f>
        <v>892</v>
      </c>
      <c r="X1256" s="220">
        <f>IF(V1256&gt;0,Ruimtestaat[[#This Row],[Prest. (m2 /jaar) werkdagen]]/Ruimtestaat[[#This Row],[Norm (m2/uur) werkdagen]],0)</f>
        <v>0</v>
      </c>
      <c r="Y1256" s="221">
        <f>Ruimtestaat[[#This Row],[uren / jaar werkdagen]]*Tariefsopbouw!$D$38</f>
        <v>0</v>
      </c>
      <c r="Z1256" s="33"/>
      <c r="AA1256" s="33">
        <f>IF(Ruimtestaat[[#This Row],[Frequentie weekend]]&gt;0,VALUE(LEFT(Z1256,1))*S1256,0)</f>
        <v>0</v>
      </c>
      <c r="AB1256" s="33">
        <f>IF($AA1256&gt;0,VLOOKUP($K1256,Ruimtegroepen[],3,FALSE)*VLOOKUP($M1256,Vloersoorten[],3,FALSE)*VLOOKUP($Z1256,Frequenties[],3,FALSE)*VLOOKUP(#REF!,Locaties[],3,FALSE),0)</f>
        <v>0</v>
      </c>
      <c r="AC1256" s="33"/>
      <c r="AD1256" s="33"/>
      <c r="AE1256" s="33">
        <f>Ruimtestaat[[#This Row],[uren / jaar weekend]]*Tariefsopbouw!$D$40</f>
        <v>0</v>
      </c>
      <c r="AF1256" s="79">
        <f>Ruimtestaat[[#This Row],[Prest. (m2 /jaar) weekend]]+Ruimtestaat[[#This Row],[Prest. (m2 /jaar) werkdagen]]</f>
        <v>892</v>
      </c>
      <c r="AG1256" s="79">
        <f>Ruimtestaat[[#This Row],[uren / jaar weekend]]+Ruimtestaat[[#This Row],[uren / jaar werkdagen]]</f>
        <v>0</v>
      </c>
      <c r="AH1256" s="80">
        <f>Ruimtestaat[[#This Row],[kosten / jaar weekend]]+Ruimtestaat[[#This Row],[kosten / jaar werkdagen]]</f>
        <v>0</v>
      </c>
    </row>
    <row r="1257" spans="1:34" ht="15" customHeight="1">
      <c r="A1257" s="256">
        <v>17</v>
      </c>
      <c r="B1257" s="171" t="str">
        <f>VLOOKUP(Ruimtestaat[[#This Row],[Code]],Locaties[#All],2,FALSE)</f>
        <v>Mota</v>
      </c>
      <c r="C1257" s="258" t="str">
        <f>VLOOKUP(Ruimtestaat[[#This Row],[Code]],Locaties[#All],4,FALSE)</f>
        <v>Plesmanweg 31</v>
      </c>
      <c r="D1257" s="258" t="str">
        <f>VLOOKUP(Ruimtestaat[[#This Row],[Code]],Locaties[#All],5,FALSE)</f>
        <v>7602 PD</v>
      </c>
      <c r="E1257" s="258" t="str">
        <f>VLOOKUP(Ruimtestaat[[#This Row],[Code]],Locaties[#All],6,FALSE)</f>
        <v>Almelo</v>
      </c>
      <c r="F1257" s="257"/>
      <c r="G1257" s="257" t="s">
        <v>563</v>
      </c>
      <c r="H1257" s="171"/>
      <c r="I1257" s="257" t="s">
        <v>446</v>
      </c>
      <c r="J1257" s="259" t="s">
        <v>694</v>
      </c>
      <c r="K1257" s="258">
        <v>5</v>
      </c>
      <c r="L1257" s="260" t="str">
        <f>VLOOKUP(Ruimtestaat[[#This Row],[Ruimte code]],Ruimtegroepen[#All],2,FALSE)</f>
        <v>Sanitair</v>
      </c>
      <c r="M1257" s="212" t="s">
        <v>111</v>
      </c>
      <c r="N1257" s="257" t="s">
        <v>605</v>
      </c>
      <c r="O1257" s="261">
        <v>8.6300000000000008</v>
      </c>
      <c r="P1257" s="183"/>
      <c r="Q1257" s="212" t="str">
        <f>VLOOKUP(Ruimtestaat[[#This Row],[Ruimte code]],Ruimtegroepen[#All],4,FALSE)</f>
        <v>S  (Sanitair)</v>
      </c>
      <c r="R1257" s="184"/>
      <c r="S1257" s="185">
        <v>40</v>
      </c>
      <c r="T1257" s="185" t="s">
        <v>18</v>
      </c>
      <c r="U1257" s="185">
        <f>IF(S1257&gt;0,IF(RIGHT(Ruimtestaat[[#This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7" s="185">
        <f>IF(U1257&gt;0,VLOOKUP($K1257,Ruimtegroepen[],3,FALSE)*VLOOKUP($M1257,Vloersoorten[],3,FALSE)*VLOOKUP($T1257,Frequenties[],3,FALSE)*VLOOKUP($A1257,Locaties[],3,FALSE),0)</f>
        <v>0</v>
      </c>
      <c r="W1257" s="185">
        <f>Ruimtestaat[[#This Row],[Uitvoeringen werkdagen]]*Ruimtestaat[[#This Row],[Oppervlak (netto)]]</f>
        <v>1035.6000000000001</v>
      </c>
      <c r="X1257" s="220">
        <f>IF(V1257&gt;0,Ruimtestaat[[#This Row],[Prest. (m2 /jaar) werkdagen]]/Ruimtestaat[[#This Row],[Norm (m2/uur) werkdagen]],0)</f>
        <v>0</v>
      </c>
      <c r="Y1257" s="221">
        <f>Ruimtestaat[[#This Row],[uren / jaar werkdagen]]*Tariefsopbouw!$D$38</f>
        <v>0</v>
      </c>
      <c r="Z1257" s="33"/>
      <c r="AA1257" s="33">
        <f>IF(Ruimtestaat[[#This Row],[Frequentie weekend]]&gt;0,VALUE(LEFT(Z1257,1))*S1257,0)</f>
        <v>0</v>
      </c>
      <c r="AB1257" s="33">
        <f>IF($AA1257&gt;0,VLOOKUP($K1257,Ruimtegroepen[],3,FALSE)*VLOOKUP($M1257,Vloersoorten[],3,FALSE)*VLOOKUP($Z1257,Frequenties[],3,FALSE)*VLOOKUP(#REF!,Locaties[],3,FALSE),0)</f>
        <v>0</v>
      </c>
      <c r="AC1257" s="33"/>
      <c r="AD1257" s="33"/>
      <c r="AE1257" s="33">
        <f>Ruimtestaat[[#This Row],[uren / jaar weekend]]*Tariefsopbouw!$D$40</f>
        <v>0</v>
      </c>
      <c r="AF1257" s="79">
        <f>Ruimtestaat[[#This Row],[Prest. (m2 /jaar) weekend]]+Ruimtestaat[[#This Row],[Prest. (m2 /jaar) werkdagen]]</f>
        <v>1035.6000000000001</v>
      </c>
      <c r="AG1257" s="79">
        <f>Ruimtestaat[[#This Row],[uren / jaar weekend]]+Ruimtestaat[[#This Row],[uren / jaar werkdagen]]</f>
        <v>0</v>
      </c>
      <c r="AH1257" s="80">
        <f>Ruimtestaat[[#This Row],[kosten / jaar weekend]]+Ruimtestaat[[#This Row],[kosten / jaar werkdagen]]</f>
        <v>0</v>
      </c>
    </row>
    <row r="1258" spans="1:34" ht="15" customHeight="1">
      <c r="A1258" s="256">
        <v>17</v>
      </c>
      <c r="B1258" s="171" t="str">
        <f>VLOOKUP(Ruimtestaat[[#This Row],[Code]],Locaties[#All],2,FALSE)</f>
        <v>Mota</v>
      </c>
      <c r="C1258" s="258" t="str">
        <f>VLOOKUP(Ruimtestaat[[#This Row],[Code]],Locaties[#All],4,FALSE)</f>
        <v>Plesmanweg 31</v>
      </c>
      <c r="D1258" s="258" t="str">
        <f>VLOOKUP(Ruimtestaat[[#This Row],[Code]],Locaties[#All],5,FALSE)</f>
        <v>7602 PD</v>
      </c>
      <c r="E1258" s="258" t="str">
        <f>VLOOKUP(Ruimtestaat[[#This Row],[Code]],Locaties[#All],6,FALSE)</f>
        <v>Almelo</v>
      </c>
      <c r="F1258" s="257"/>
      <c r="G1258" s="257" t="s">
        <v>563</v>
      </c>
      <c r="H1258" s="171"/>
      <c r="I1258" s="257" t="s">
        <v>447</v>
      </c>
      <c r="J1258" s="259" t="s">
        <v>812</v>
      </c>
      <c r="K1258" s="258">
        <v>5</v>
      </c>
      <c r="L1258" s="260" t="str">
        <f>VLOOKUP(Ruimtestaat[[#This Row],[Ruimte code]],Ruimtegroepen[#All],2,FALSE)</f>
        <v>Sanitair</v>
      </c>
      <c r="M1258" s="212" t="s">
        <v>111</v>
      </c>
      <c r="N1258" s="257" t="s">
        <v>605</v>
      </c>
      <c r="O1258" s="261">
        <v>1.47</v>
      </c>
      <c r="P1258" s="183"/>
      <c r="Q1258" s="212" t="str">
        <f>VLOOKUP(Ruimtestaat[[#This Row],[Ruimte code]],Ruimtegroepen[#All],4,FALSE)</f>
        <v>S  (Sanitair)</v>
      </c>
      <c r="R1258" s="184"/>
      <c r="S1258" s="185">
        <v>40</v>
      </c>
      <c r="T1258" s="185" t="s">
        <v>18</v>
      </c>
      <c r="U1258" s="185">
        <f>IF(S1258&gt;0,IF(RIGHT(Ruimtestaat[[#This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8" s="185">
        <f>IF(U1258&gt;0,VLOOKUP($K1258,Ruimtegroepen[],3,FALSE)*VLOOKUP($M1258,Vloersoorten[],3,FALSE)*VLOOKUP($T1258,Frequenties[],3,FALSE)*VLOOKUP($A1258,Locaties[],3,FALSE),0)</f>
        <v>0</v>
      </c>
      <c r="W1258" s="185">
        <f>Ruimtestaat[[#This Row],[Uitvoeringen werkdagen]]*Ruimtestaat[[#This Row],[Oppervlak (netto)]]</f>
        <v>176.4</v>
      </c>
      <c r="X1258" s="220">
        <f>IF(V1258&gt;0,Ruimtestaat[[#This Row],[Prest. (m2 /jaar) werkdagen]]/Ruimtestaat[[#This Row],[Norm (m2/uur) werkdagen]],0)</f>
        <v>0</v>
      </c>
      <c r="Y1258" s="221">
        <f>Ruimtestaat[[#This Row],[uren / jaar werkdagen]]*Tariefsopbouw!$D$38</f>
        <v>0</v>
      </c>
      <c r="Z1258" s="33"/>
      <c r="AA1258" s="33">
        <f>IF(Ruimtestaat[[#This Row],[Frequentie weekend]]&gt;0,VALUE(LEFT(Z1258,1))*S1258,0)</f>
        <v>0</v>
      </c>
      <c r="AB1258" s="33">
        <f>IF($AA1258&gt;0,VLOOKUP($K1258,Ruimtegroepen[],3,FALSE)*VLOOKUP($M1258,Vloersoorten[],3,FALSE)*VLOOKUP($Z1258,Frequenties[],3,FALSE)*VLOOKUP(#REF!,Locaties[],3,FALSE),0)</f>
        <v>0</v>
      </c>
      <c r="AC1258" s="33"/>
      <c r="AD1258" s="33"/>
      <c r="AE1258" s="33">
        <f>Ruimtestaat[[#This Row],[uren / jaar weekend]]*Tariefsopbouw!$D$40</f>
        <v>0</v>
      </c>
      <c r="AF1258" s="79">
        <f>Ruimtestaat[[#This Row],[Prest. (m2 /jaar) weekend]]+Ruimtestaat[[#This Row],[Prest. (m2 /jaar) werkdagen]]</f>
        <v>176.4</v>
      </c>
      <c r="AG1258" s="79">
        <f>Ruimtestaat[[#This Row],[uren / jaar weekend]]+Ruimtestaat[[#This Row],[uren / jaar werkdagen]]</f>
        <v>0</v>
      </c>
      <c r="AH1258" s="80">
        <f>Ruimtestaat[[#This Row],[kosten / jaar weekend]]+Ruimtestaat[[#This Row],[kosten / jaar werkdagen]]</f>
        <v>0</v>
      </c>
    </row>
    <row r="1259" spans="1:34" ht="15" customHeight="1">
      <c r="A1259" s="256">
        <v>17</v>
      </c>
      <c r="B1259" s="171" t="str">
        <f>VLOOKUP(Ruimtestaat[[#This Row],[Code]],Locaties[#All],2,FALSE)</f>
        <v>Mota</v>
      </c>
      <c r="C1259" s="258" t="str">
        <f>VLOOKUP(Ruimtestaat[[#This Row],[Code]],Locaties[#All],4,FALSE)</f>
        <v>Plesmanweg 31</v>
      </c>
      <c r="D1259" s="258" t="str">
        <f>VLOOKUP(Ruimtestaat[[#This Row],[Code]],Locaties[#All],5,FALSE)</f>
        <v>7602 PD</v>
      </c>
      <c r="E1259" s="258" t="str">
        <f>VLOOKUP(Ruimtestaat[[#This Row],[Code]],Locaties[#All],6,FALSE)</f>
        <v>Almelo</v>
      </c>
      <c r="F1259" s="257"/>
      <c r="G1259" s="257" t="s">
        <v>563</v>
      </c>
      <c r="H1259" s="171"/>
      <c r="I1259" s="257" t="s">
        <v>448</v>
      </c>
      <c r="J1259" s="259" t="s">
        <v>856</v>
      </c>
      <c r="K1259" s="258">
        <v>5</v>
      </c>
      <c r="L1259" s="260" t="str">
        <f>VLOOKUP(Ruimtestaat[[#This Row],[Ruimte code]],Ruimtegroepen[#All],2,FALSE)</f>
        <v>Sanitair</v>
      </c>
      <c r="M1259" s="212" t="s">
        <v>111</v>
      </c>
      <c r="N1259" s="257" t="s">
        <v>605</v>
      </c>
      <c r="O1259" s="261">
        <v>14.79</v>
      </c>
      <c r="P1259" s="183"/>
      <c r="Q1259" s="212" t="str">
        <f>VLOOKUP(Ruimtestaat[[#This Row],[Ruimte code]],Ruimtegroepen[#All],4,FALSE)</f>
        <v>S  (Sanitair)</v>
      </c>
      <c r="R1259" s="184"/>
      <c r="S1259" s="185">
        <v>40</v>
      </c>
      <c r="T1259" s="185" t="s">
        <v>18</v>
      </c>
      <c r="U1259" s="185">
        <f>IF(S1259&gt;0,IF(RIGHT(Ruimtestaat[[#This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9" s="185">
        <f>IF(U1259&gt;0,VLOOKUP($K1259,Ruimtegroepen[],3,FALSE)*VLOOKUP($M1259,Vloersoorten[],3,FALSE)*VLOOKUP($T1259,Frequenties[],3,FALSE)*VLOOKUP($A1259,Locaties[],3,FALSE),0)</f>
        <v>0</v>
      </c>
      <c r="W1259" s="185">
        <f>Ruimtestaat[[#This Row],[Uitvoeringen werkdagen]]*Ruimtestaat[[#This Row],[Oppervlak (netto)]]</f>
        <v>1774.8</v>
      </c>
      <c r="X1259" s="220">
        <f>IF(V1259&gt;0,Ruimtestaat[[#This Row],[Prest. (m2 /jaar) werkdagen]]/Ruimtestaat[[#This Row],[Norm (m2/uur) werkdagen]],0)</f>
        <v>0</v>
      </c>
      <c r="Y1259" s="221">
        <f>Ruimtestaat[[#This Row],[uren / jaar werkdagen]]*Tariefsopbouw!$D$38</f>
        <v>0</v>
      </c>
      <c r="Z1259" s="33"/>
      <c r="AA1259" s="33">
        <f>IF(Ruimtestaat[[#This Row],[Frequentie weekend]]&gt;0,VALUE(LEFT(Z1259,1))*S1259,0)</f>
        <v>0</v>
      </c>
      <c r="AB1259" s="33">
        <f>IF($AA1259&gt;0,VLOOKUP($K1259,Ruimtegroepen[],3,FALSE)*VLOOKUP($M1259,Vloersoorten[],3,FALSE)*VLOOKUP($Z1259,Frequenties[],3,FALSE)*VLOOKUP(#REF!,Locaties[],3,FALSE),0)</f>
        <v>0</v>
      </c>
      <c r="AC1259" s="33"/>
      <c r="AD1259" s="33"/>
      <c r="AE1259" s="33">
        <f>Ruimtestaat[[#This Row],[uren / jaar weekend]]*Tariefsopbouw!$D$40</f>
        <v>0</v>
      </c>
      <c r="AF1259" s="79">
        <f>Ruimtestaat[[#This Row],[Prest. (m2 /jaar) weekend]]+Ruimtestaat[[#This Row],[Prest. (m2 /jaar) werkdagen]]</f>
        <v>1774.8</v>
      </c>
      <c r="AG1259" s="79">
        <f>Ruimtestaat[[#This Row],[uren / jaar weekend]]+Ruimtestaat[[#This Row],[uren / jaar werkdagen]]</f>
        <v>0</v>
      </c>
      <c r="AH1259" s="80">
        <f>Ruimtestaat[[#This Row],[kosten / jaar weekend]]+Ruimtestaat[[#This Row],[kosten / jaar werkdagen]]</f>
        <v>0</v>
      </c>
    </row>
    <row r="1260" spans="1:34" ht="15" customHeight="1">
      <c r="A1260" s="256">
        <v>17</v>
      </c>
      <c r="B1260" s="171" t="str">
        <f>VLOOKUP(Ruimtestaat[[#This Row],[Code]],Locaties[#All],2,FALSE)</f>
        <v>Mota</v>
      </c>
      <c r="C1260" s="258" t="str">
        <f>VLOOKUP(Ruimtestaat[[#This Row],[Code]],Locaties[#All],4,FALSE)</f>
        <v>Plesmanweg 31</v>
      </c>
      <c r="D1260" s="258" t="str">
        <f>VLOOKUP(Ruimtestaat[[#This Row],[Code]],Locaties[#All],5,FALSE)</f>
        <v>7602 PD</v>
      </c>
      <c r="E1260" s="258" t="str">
        <f>VLOOKUP(Ruimtestaat[[#This Row],[Code]],Locaties[#All],6,FALSE)</f>
        <v>Almelo</v>
      </c>
      <c r="F1260" s="257"/>
      <c r="G1260" s="257" t="s">
        <v>564</v>
      </c>
      <c r="H1260" s="171"/>
      <c r="I1260" s="257" t="s">
        <v>512</v>
      </c>
      <c r="J1260" s="259" t="s">
        <v>683</v>
      </c>
      <c r="K1260" s="258">
        <v>5</v>
      </c>
      <c r="L1260" s="260" t="str">
        <f>VLOOKUP(Ruimtestaat[[#This Row],[Ruimte code]],Ruimtegroepen[#All],2,FALSE)</f>
        <v>Sanitair</v>
      </c>
      <c r="M1260" s="212" t="s">
        <v>111</v>
      </c>
      <c r="N1260" s="257" t="s">
        <v>605</v>
      </c>
      <c r="O1260" s="261">
        <v>5.07</v>
      </c>
      <c r="P1260" s="183"/>
      <c r="Q1260" s="212" t="str">
        <f>VLOOKUP(Ruimtestaat[[#This Row],[Ruimte code]],Ruimtegroepen[#All],4,FALSE)</f>
        <v>S  (Sanitair)</v>
      </c>
      <c r="R1260" s="184"/>
      <c r="S1260" s="185">
        <v>40</v>
      </c>
      <c r="T1260" s="185" t="s">
        <v>18</v>
      </c>
      <c r="U1260" s="185">
        <f>IF(S1260&gt;0,IF(RIGHT(Ruimtestaat[[#This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60" s="185">
        <f>IF(U1260&gt;0,VLOOKUP($K1260,Ruimtegroepen[],3,FALSE)*VLOOKUP($M1260,Vloersoorten[],3,FALSE)*VLOOKUP($T1260,Frequenties[],3,FALSE)*VLOOKUP($A1260,Locaties[],3,FALSE),0)</f>
        <v>0</v>
      </c>
      <c r="W1260" s="185">
        <f>Ruimtestaat[[#This Row],[Uitvoeringen werkdagen]]*Ruimtestaat[[#This Row],[Oppervlak (netto)]]</f>
        <v>608.40000000000009</v>
      </c>
      <c r="X1260" s="220">
        <f>IF(V1260&gt;0,Ruimtestaat[[#This Row],[Prest. (m2 /jaar) werkdagen]]/Ruimtestaat[[#This Row],[Norm (m2/uur) werkdagen]],0)</f>
        <v>0</v>
      </c>
      <c r="Y1260" s="221">
        <f>Ruimtestaat[[#This Row],[uren / jaar werkdagen]]*Tariefsopbouw!$D$38</f>
        <v>0</v>
      </c>
      <c r="Z1260" s="33"/>
      <c r="AA1260" s="33">
        <f>IF(Ruimtestaat[[#This Row],[Frequentie weekend]]&gt;0,VALUE(LEFT(Z1260,1))*S1260,0)</f>
        <v>0</v>
      </c>
      <c r="AB1260" s="33">
        <f>IF($AA1260&gt;0,VLOOKUP($K1260,Ruimtegroepen[],3,FALSE)*VLOOKUP($M1260,Vloersoorten[],3,FALSE)*VLOOKUP($Z1260,Frequenties[],3,FALSE)*VLOOKUP(#REF!,Locaties[],3,FALSE),0)</f>
        <v>0</v>
      </c>
      <c r="AC1260" s="33"/>
      <c r="AD1260" s="33"/>
      <c r="AE1260" s="33">
        <f>Ruimtestaat[[#This Row],[uren / jaar weekend]]*Tariefsopbouw!$D$40</f>
        <v>0</v>
      </c>
      <c r="AF1260" s="79">
        <f>Ruimtestaat[[#This Row],[Prest. (m2 /jaar) weekend]]+Ruimtestaat[[#This Row],[Prest. (m2 /jaar) werkdagen]]</f>
        <v>608.40000000000009</v>
      </c>
      <c r="AG1260" s="79">
        <f>Ruimtestaat[[#This Row],[uren / jaar weekend]]+Ruimtestaat[[#This Row],[uren / jaar werkdagen]]</f>
        <v>0</v>
      </c>
      <c r="AH1260" s="80">
        <f>Ruimtestaat[[#This Row],[kosten / jaar weekend]]+Ruimtestaat[[#This Row],[kosten / jaar werkdagen]]</f>
        <v>0</v>
      </c>
    </row>
    <row r="1261" spans="1:34" ht="15" customHeight="1">
      <c r="A1261" s="256"/>
      <c r="B1261" s="171" t="e">
        <f>VLOOKUP(Ruimtestaat[[#This Row],[Code]],Locaties[#All],2,FALSE)</f>
        <v>#N/A</v>
      </c>
      <c r="C1261" s="258" t="e">
        <f>VLOOKUP(Ruimtestaat[[#This Row],[Code]],Locaties[#All],4,FALSE)</f>
        <v>#N/A</v>
      </c>
      <c r="D1261" s="258" t="e">
        <f>VLOOKUP(Ruimtestaat[[#This Row],[Code]],Locaties[#All],5,FALSE)</f>
        <v>#N/A</v>
      </c>
      <c r="E1261" s="258" t="e">
        <f>VLOOKUP(Ruimtestaat[[#This Row],[Code]],Locaties[#All],6,FALSE)</f>
        <v>#N/A</v>
      </c>
      <c r="F1261" s="257"/>
      <c r="G1261" s="257"/>
      <c r="H1261" s="171"/>
      <c r="I1261" s="257"/>
      <c r="J1261" s="259"/>
      <c r="K1261" s="171"/>
      <c r="L1261" s="260" t="e">
        <f>VLOOKUP(Ruimtestaat[[#This Row],[Ruimte code]],Ruimtegroepen[#All],2,FALSE)</f>
        <v>#N/A</v>
      </c>
      <c r="M1261" s="185"/>
      <c r="N1261" s="257"/>
      <c r="O1261" s="261"/>
      <c r="P1261" s="183"/>
      <c r="Q1261" s="212" t="e">
        <f>VLOOKUP(Ruimtestaat[[#This Row],[Ruimte code]],Ruimtegroepen[#All],4,FALSE)</f>
        <v>#N/A</v>
      </c>
      <c r="R1261" s="184"/>
      <c r="S1261" s="185"/>
      <c r="T1261" s="185"/>
      <c r="U1261" s="185">
        <f>IF(S1261&gt;0,IF(RIGHT(Ruimtestaat[[#This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61" s="185">
        <f>IF(U1261&gt;0,VLOOKUP($K1261,Ruimtegroepen[],3,FALSE)*VLOOKUP($M1261,Vloersoorten[],3,FALSE)*VLOOKUP($T1261,Frequenties[],3,FALSE)*VLOOKUP($A1261,Locaties[],3,FALSE),0)</f>
        <v>0</v>
      </c>
      <c r="W1261" s="185">
        <f>Ruimtestaat[[#This Row],[Uitvoeringen werkdagen]]*Ruimtestaat[[#This Row],[Oppervlak (netto)]]</f>
        <v>0</v>
      </c>
      <c r="X1261" s="220">
        <f>IF(V1261&gt;0,Ruimtestaat[[#This Row],[Prest. (m2 /jaar) werkdagen]]/Ruimtestaat[[#This Row],[Norm (m2/uur) werkdagen]],0)</f>
        <v>0</v>
      </c>
      <c r="Y1261" s="221">
        <f>Ruimtestaat[[#This Row],[uren / jaar werkdagen]]*Tariefsopbouw!$D$38</f>
        <v>0</v>
      </c>
      <c r="Z1261" s="33"/>
      <c r="AA1261" s="33">
        <f>IF(Ruimtestaat[[#This Row],[Frequentie weekend]]&gt;0,VALUE(LEFT(Z1261,1))*S1261,0)</f>
        <v>0</v>
      </c>
      <c r="AB1261" s="33">
        <f>IF($AA1261&gt;0,VLOOKUP($K1261,Ruimtegroepen[],3,FALSE)*VLOOKUP($M1261,Vloersoorten[],3,FALSE)*VLOOKUP($Z1261,Frequenties[],3,FALSE)*VLOOKUP(#REF!,Locaties[],3,FALSE),0)</f>
        <v>0</v>
      </c>
      <c r="AC1261" s="33"/>
      <c r="AD1261" s="33"/>
      <c r="AE1261" s="33">
        <f>Ruimtestaat[[#This Row],[uren / jaar weekend]]*Tariefsopbouw!$D$40</f>
        <v>0</v>
      </c>
      <c r="AF1261" s="79">
        <f>Ruimtestaat[[#This Row],[Prest. (m2 /jaar) weekend]]+Ruimtestaat[[#This Row],[Prest. (m2 /jaar) werkdagen]]</f>
        <v>0</v>
      </c>
      <c r="AG1261" s="79">
        <f>Ruimtestaat[[#This Row],[uren / jaar weekend]]+Ruimtestaat[[#This Row],[uren / jaar werkdagen]]</f>
        <v>0</v>
      </c>
      <c r="AH1261" s="80">
        <f>Ruimtestaat[[#This Row],[kosten / jaar weekend]]+Ruimtestaat[[#This Row],[kosten / jaar werkdagen]]</f>
        <v>0</v>
      </c>
    </row>
  </sheetData>
  <sortState xmlns:xlrd2="http://schemas.microsoft.com/office/spreadsheetml/2017/richdata2" ref="B27:T1362">
    <sortCondition ref="B27:B1362"/>
    <sortCondition ref="F27:F1362"/>
  </sortState>
  <mergeCells count="5">
    <mergeCell ref="A1:R1"/>
    <mergeCell ref="S1:AH1"/>
    <mergeCell ref="T3:Y3"/>
    <mergeCell ref="Z3:AE3"/>
    <mergeCell ref="AF3:AH3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1" fitToWidth="2" fitToHeight="0" orientation="landscape" r:id="rId1"/>
  <headerFooter alignWithMargins="0">
    <oddFooter>&amp;L&amp;P&amp;Cparaaf Inschrijver&amp;R&amp;D</oddFooter>
  </headerFooter>
  <rowBreaks count="1" manualBreakCount="1">
    <brk id="657" max="33" man="1"/>
  </rowBreaks>
  <colBreaks count="1" manualBreakCount="1">
    <brk id="2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J170"/>
  <sheetViews>
    <sheetView showGridLines="0" view="pageBreakPreview" topLeftCell="C1" zoomScaleNormal="100" zoomScaleSheetLayoutView="100" workbookViewId="0">
      <selection activeCell="I20" sqref="E9:I20"/>
    </sheetView>
  </sheetViews>
  <sheetFormatPr defaultColWidth="9.1328125" defaultRowHeight="15" customHeight="1"/>
  <cols>
    <col min="1" max="1" width="11.59765625" style="21" customWidth="1"/>
    <col min="2" max="2" width="47.3984375" style="4" bestFit="1" customWidth="1"/>
    <col min="3" max="3" width="12.59765625" style="4" customWidth="1"/>
    <col min="4" max="4" width="52.1328125" style="21" bestFit="1" customWidth="1"/>
    <col min="5" max="7" width="19" style="4" customWidth="1"/>
    <col min="8" max="8" width="17.73046875" style="4" bestFit="1" customWidth="1"/>
    <col min="9" max="9" width="16.1328125" style="4" customWidth="1"/>
    <col min="10" max="16384" width="9.1328125" style="4"/>
  </cols>
  <sheetData>
    <row r="1" spans="1:9" s="9" customFormat="1" ht="17.25" customHeight="1">
      <c r="A1" s="342" t="s">
        <v>41</v>
      </c>
      <c r="B1" s="342"/>
      <c r="C1" s="342"/>
      <c r="D1" s="342"/>
      <c r="E1" s="342"/>
      <c r="F1" s="342"/>
      <c r="G1" s="342"/>
      <c r="H1" s="72"/>
    </row>
    <row r="2" spans="1:9" s="9" customFormat="1" ht="15" customHeight="1">
      <c r="A2" s="353" t="s">
        <v>214</v>
      </c>
      <c r="B2" s="316"/>
      <c r="C2" s="316"/>
      <c r="D2" s="316"/>
      <c r="E2" s="316"/>
      <c r="F2" s="316"/>
      <c r="G2" s="316"/>
    </row>
    <row r="3" spans="1:9" ht="15" customHeight="1">
      <c r="B3" s="21"/>
      <c r="D3" s="4"/>
    </row>
    <row r="4" spans="1:9" ht="15" customHeight="1">
      <c r="A4" s="4" t="s">
        <v>179</v>
      </c>
      <c r="B4" s="21"/>
      <c r="D4" s="4"/>
    </row>
    <row r="5" spans="1:9" ht="15" customHeight="1">
      <c r="A5" s="4" t="s">
        <v>244</v>
      </c>
      <c r="B5" s="21"/>
      <c r="D5" s="4"/>
    </row>
    <row r="6" spans="1:9" ht="15" customHeight="1">
      <c r="A6" s="4" t="s">
        <v>197</v>
      </c>
      <c r="B6" s="38"/>
      <c r="C6" s="38"/>
      <c r="D6" s="34"/>
      <c r="E6" s="34"/>
      <c r="F6" s="39"/>
      <c r="G6" s="39"/>
    </row>
    <row r="7" spans="1:9" ht="15" customHeight="1">
      <c r="A7" s="4"/>
      <c r="B7" s="38"/>
      <c r="C7" s="38"/>
      <c r="D7" s="34"/>
      <c r="E7" s="354" t="s">
        <v>392</v>
      </c>
      <c r="F7" s="354"/>
      <c r="G7" s="354"/>
      <c r="H7" s="354"/>
      <c r="I7" s="354"/>
    </row>
    <row r="8" spans="1:9" s="8" customFormat="1" ht="26.25" customHeight="1">
      <c r="A8" s="50" t="s">
        <v>211</v>
      </c>
      <c r="B8" s="51" t="s">
        <v>146</v>
      </c>
      <c r="C8" s="52" t="s">
        <v>178</v>
      </c>
      <c r="D8" s="50" t="s">
        <v>151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ht="15" customHeight="1">
      <c r="A9" s="53">
        <v>1</v>
      </c>
      <c r="B9" s="54" t="s">
        <v>231</v>
      </c>
      <c r="C9" s="55">
        <v>0</v>
      </c>
      <c r="D9" s="58" t="s">
        <v>149</v>
      </c>
      <c r="E9" s="377" t="e">
        <f>(InvulGlas[[#This Row],[Prijs excl. BTW]]*Tariefsopbouw!$I$37)+InvulGlas[[#This Row],[Prijs excl. BTW]]</f>
        <v>#DIV/0!</v>
      </c>
      <c r="F9" s="378" t="e">
        <f>(E9*Tariefsopbouw!$K$37)+Glasbewassing!E9</f>
        <v>#DIV/0!</v>
      </c>
      <c r="G9" s="379" t="e">
        <f>(F9*Tariefsopbouw!$M$37)+Glasbewassing!F9</f>
        <v>#DIV/0!</v>
      </c>
      <c r="H9" s="379" t="e">
        <f>(G8*Tariefsopbouw!$O$37)+G8</f>
        <v>#DIV/0!</v>
      </c>
      <c r="I9" s="378" t="e">
        <f>(H9*Tariefsopbouw!$Q$35)+H9</f>
        <v>#DIV/0!</v>
      </c>
    </row>
    <row r="10" spans="1:9" ht="15" customHeight="1">
      <c r="A10" s="56">
        <v>2</v>
      </c>
      <c r="B10" s="57" t="s">
        <v>148</v>
      </c>
      <c r="C10" s="55">
        <v>0</v>
      </c>
      <c r="D10" s="60" t="s">
        <v>149</v>
      </c>
      <c r="E10" s="377" t="e">
        <f>(InvulGlas[[#This Row],[Prijs excl. BTW]]*Tariefsopbouw!$I$37)+InvulGlas[[#This Row],[Prijs excl. BTW]]</f>
        <v>#DIV/0!</v>
      </c>
      <c r="F10" s="378" t="e">
        <f>(E10*Tariefsopbouw!$K$37)+Glasbewassing!E10</f>
        <v>#DIV/0!</v>
      </c>
      <c r="G10" s="379" t="e">
        <f>(F10*Tariefsopbouw!$M$37)+Glasbewassing!F10</f>
        <v>#DIV/0!</v>
      </c>
      <c r="H10" s="379" t="e">
        <f>(G9*Tariefsopbouw!$O$37)+G9</f>
        <v>#DIV/0!</v>
      </c>
      <c r="I10" s="378" t="e">
        <f>(H10*Tariefsopbouw!$Q$35)+H10</f>
        <v>#DIV/0!</v>
      </c>
    </row>
    <row r="11" spans="1:9" ht="15" customHeight="1">
      <c r="A11" s="53">
        <v>3</v>
      </c>
      <c r="B11" s="54" t="s">
        <v>150</v>
      </c>
      <c r="C11" s="55">
        <v>0</v>
      </c>
      <c r="D11" s="58" t="s">
        <v>149</v>
      </c>
      <c r="E11" s="377" t="e">
        <f>(InvulGlas[[#This Row],[Prijs excl. BTW]]*Tariefsopbouw!$I$37)+InvulGlas[[#This Row],[Prijs excl. BTW]]</f>
        <v>#DIV/0!</v>
      </c>
      <c r="F11" s="378" t="e">
        <f>(E11*Tariefsopbouw!$K$37)+Glasbewassing!E11</f>
        <v>#DIV/0!</v>
      </c>
      <c r="G11" s="379" t="e">
        <f>(F11*Tariefsopbouw!$M$37)+Glasbewassing!F11</f>
        <v>#DIV/0!</v>
      </c>
      <c r="H11" s="379" t="e">
        <f>(G10*Tariefsopbouw!$O$37)+G10</f>
        <v>#DIV/0!</v>
      </c>
      <c r="I11" s="378" t="e">
        <f>(H11*Tariefsopbouw!$Q$35)+H11</f>
        <v>#DIV/0!</v>
      </c>
    </row>
    <row r="12" spans="1:9" ht="15" customHeight="1">
      <c r="A12" s="56">
        <v>4</v>
      </c>
      <c r="B12" s="57" t="s">
        <v>437</v>
      </c>
      <c r="C12" s="55">
        <v>0</v>
      </c>
      <c r="D12" s="60" t="s">
        <v>149</v>
      </c>
      <c r="E12" s="377" t="e">
        <f>(InvulGlas[[#This Row],[Prijs excl. BTW]]*Tariefsopbouw!$I$37)+InvulGlas[[#This Row],[Prijs excl. BTW]]</f>
        <v>#DIV/0!</v>
      </c>
      <c r="F12" s="378" t="e">
        <f>(E12*Tariefsopbouw!$K$37)+Glasbewassing!E12</f>
        <v>#DIV/0!</v>
      </c>
      <c r="G12" s="379" t="e">
        <f>(F12*Tariefsopbouw!$M$37)+Glasbewassing!F12</f>
        <v>#DIV/0!</v>
      </c>
      <c r="H12" s="379" t="e">
        <f>(G11*Tariefsopbouw!$O$37)+G11</f>
        <v>#DIV/0!</v>
      </c>
      <c r="I12" s="378" t="e">
        <f>(H12*Tariefsopbouw!$Q$35)+H12</f>
        <v>#DIV/0!</v>
      </c>
    </row>
    <row r="13" spans="1:9" ht="15" customHeight="1">
      <c r="A13" s="53">
        <v>5</v>
      </c>
      <c r="B13" s="54" t="s">
        <v>255</v>
      </c>
      <c r="C13" s="55">
        <v>0</v>
      </c>
      <c r="D13" s="58" t="s">
        <v>149</v>
      </c>
      <c r="E13" s="377" t="e">
        <f>(InvulGlas[[#This Row],[Prijs excl. BTW]]*Tariefsopbouw!$I$37)+InvulGlas[[#This Row],[Prijs excl. BTW]]</f>
        <v>#DIV/0!</v>
      </c>
      <c r="F13" s="378" t="e">
        <f>(E13*Tariefsopbouw!$K$37)+Glasbewassing!E13</f>
        <v>#DIV/0!</v>
      </c>
      <c r="G13" s="379" t="e">
        <f>(F13*Tariefsopbouw!$M$37)+Glasbewassing!F13</f>
        <v>#DIV/0!</v>
      </c>
      <c r="H13" s="379" t="e">
        <f>(G12*Tariefsopbouw!$O$37)+G12</f>
        <v>#DIV/0!</v>
      </c>
      <c r="I13" s="378" t="e">
        <f>(H13*Tariefsopbouw!$Q$35)+H13</f>
        <v>#DIV/0!</v>
      </c>
    </row>
    <row r="14" spans="1:9" ht="15" customHeight="1">
      <c r="A14" s="56">
        <v>6</v>
      </c>
      <c r="B14" s="57" t="s">
        <v>230</v>
      </c>
      <c r="C14" s="55">
        <v>0</v>
      </c>
      <c r="D14" s="60" t="s">
        <v>149</v>
      </c>
      <c r="E14" s="377" t="e">
        <f>(InvulGlas[[#This Row],[Prijs excl. BTW]]*Tariefsopbouw!$I$37)+InvulGlas[[#This Row],[Prijs excl. BTW]]</f>
        <v>#DIV/0!</v>
      </c>
      <c r="F14" s="378" t="e">
        <f>(E14*Tariefsopbouw!$K$37)+Glasbewassing!E14</f>
        <v>#DIV/0!</v>
      </c>
      <c r="G14" s="379" t="e">
        <f>(F14*Tariefsopbouw!$M$37)+Glasbewassing!F14</f>
        <v>#DIV/0!</v>
      </c>
      <c r="H14" s="379" t="e">
        <f>(G13*Tariefsopbouw!$O$37)+G13</f>
        <v>#DIV/0!</v>
      </c>
      <c r="I14" s="378" t="e">
        <f>(H14*Tariefsopbouw!$Q$35)+H14</f>
        <v>#DIV/0!</v>
      </c>
    </row>
    <row r="15" spans="1:9" ht="15" customHeight="1">
      <c r="A15" s="53">
        <v>7</v>
      </c>
      <c r="B15" s="54" t="s">
        <v>1111</v>
      </c>
      <c r="C15" s="55">
        <v>0</v>
      </c>
      <c r="D15" s="58" t="s">
        <v>251</v>
      </c>
      <c r="E15" s="377" t="e">
        <f>(InvulGlas[[#This Row],[Prijs excl. BTW]]*Tariefsopbouw!$I$37)+InvulGlas[[#This Row],[Prijs excl. BTW]]</f>
        <v>#DIV/0!</v>
      </c>
      <c r="F15" s="378" t="e">
        <f>(E15*Tariefsopbouw!$K$37)+Glasbewassing!E15</f>
        <v>#DIV/0!</v>
      </c>
      <c r="G15" s="379" t="e">
        <f>(F15*Tariefsopbouw!$M$37)+Glasbewassing!F15</f>
        <v>#DIV/0!</v>
      </c>
      <c r="H15" s="379" t="e">
        <f>(G14*Tariefsopbouw!$O$37)+G14</f>
        <v>#DIV/0!</v>
      </c>
      <c r="I15" s="378" t="e">
        <f>(H15*Tariefsopbouw!$Q$35)+H15</f>
        <v>#DIV/0!</v>
      </c>
    </row>
    <row r="16" spans="1:9" ht="15" customHeight="1">
      <c r="A16" s="265">
        <v>8</v>
      </c>
      <c r="B16" s="57" t="s">
        <v>1108</v>
      </c>
      <c r="C16" s="55">
        <v>0</v>
      </c>
      <c r="D16" s="60" t="s">
        <v>149</v>
      </c>
      <c r="E16" s="377" t="e">
        <f>(InvulGlas[[#This Row],[Prijs excl. BTW]]*Tariefsopbouw!$I$37)+InvulGlas[[#This Row],[Prijs excl. BTW]]</f>
        <v>#DIV/0!</v>
      </c>
      <c r="F16" s="378" t="e">
        <f>(E16*Tariefsopbouw!$K$37)+Glasbewassing!E16</f>
        <v>#DIV/0!</v>
      </c>
      <c r="G16" s="379" t="e">
        <f>(F16*Tariefsopbouw!$M$37)+Glasbewassing!F16</f>
        <v>#DIV/0!</v>
      </c>
      <c r="H16" s="379" t="e">
        <f>(G15*Tariefsopbouw!$O$37)+G15</f>
        <v>#DIV/0!</v>
      </c>
      <c r="I16" s="378" t="e">
        <f>(H16*Tariefsopbouw!$Q$35)+H16</f>
        <v>#DIV/0!</v>
      </c>
    </row>
    <row r="17" spans="1:10" ht="15" customHeight="1">
      <c r="A17" s="53" t="s">
        <v>157</v>
      </c>
      <c r="B17" s="54" t="s">
        <v>153</v>
      </c>
      <c r="C17" s="55">
        <v>0</v>
      </c>
      <c r="D17" s="58" t="s">
        <v>48</v>
      </c>
      <c r="E17" s="377" t="e">
        <f>(InvulGlas[[#This Row],[Prijs excl. BTW]]*Tariefsopbouw!$I$37)+InvulGlas[[#This Row],[Prijs excl. BTW]]</f>
        <v>#DIV/0!</v>
      </c>
      <c r="F17" s="378" t="e">
        <f>(E17*Tariefsopbouw!$K$37)+Glasbewassing!E17</f>
        <v>#DIV/0!</v>
      </c>
      <c r="G17" s="379" t="e">
        <f>(F17*Tariefsopbouw!$M$37)+Glasbewassing!F17</f>
        <v>#DIV/0!</v>
      </c>
      <c r="H17" s="379" t="e">
        <f>(G16*Tariefsopbouw!$O$37)+G16</f>
        <v>#DIV/0!</v>
      </c>
      <c r="I17" s="378" t="e">
        <f>(H17*Tariefsopbouw!$Q$35)+H17</f>
        <v>#DIV/0!</v>
      </c>
    </row>
    <row r="18" spans="1:10" ht="15" customHeight="1">
      <c r="A18" s="56" t="s">
        <v>158</v>
      </c>
      <c r="B18" s="57" t="s">
        <v>154</v>
      </c>
      <c r="C18" s="55">
        <v>0</v>
      </c>
      <c r="D18" s="60" t="s">
        <v>48</v>
      </c>
      <c r="E18" s="377" t="e">
        <f>(InvulGlas[[#This Row],[Prijs excl. BTW]]*Tariefsopbouw!$I$37)+InvulGlas[[#This Row],[Prijs excl. BTW]]</f>
        <v>#DIV/0!</v>
      </c>
      <c r="F18" s="378" t="e">
        <f>(E18*Tariefsopbouw!$K$37)+Glasbewassing!E18</f>
        <v>#DIV/0!</v>
      </c>
      <c r="G18" s="379" t="e">
        <f>(F18*Tariefsopbouw!$M$37)+Glasbewassing!F18</f>
        <v>#DIV/0!</v>
      </c>
      <c r="H18" s="379" t="e">
        <f>(G17*Tariefsopbouw!$O$37)+G17</f>
        <v>#DIV/0!</v>
      </c>
      <c r="I18" s="378" t="e">
        <f>(H18*Tariefsopbouw!$Q$35)+H18</f>
        <v>#DIV/0!</v>
      </c>
    </row>
    <row r="19" spans="1:10" ht="15" customHeight="1">
      <c r="A19" s="53" t="s">
        <v>159</v>
      </c>
      <c r="B19" s="54" t="s">
        <v>155</v>
      </c>
      <c r="C19" s="55">
        <v>0</v>
      </c>
      <c r="D19" s="58" t="s">
        <v>48</v>
      </c>
      <c r="E19" s="377" t="e">
        <f>(InvulGlas[[#This Row],[Prijs excl. BTW]]*Tariefsopbouw!$I$37)+InvulGlas[[#This Row],[Prijs excl. BTW]]</f>
        <v>#DIV/0!</v>
      </c>
      <c r="F19" s="378" t="e">
        <f>(E19*Tariefsopbouw!$K$37)+Glasbewassing!E19</f>
        <v>#DIV/0!</v>
      </c>
      <c r="G19" s="379" t="e">
        <f>(F19*Tariefsopbouw!$M$37)+Glasbewassing!F19</f>
        <v>#DIV/0!</v>
      </c>
      <c r="H19" s="379" t="e">
        <f>(G18*Tariefsopbouw!$O$37)+G18</f>
        <v>#DIV/0!</v>
      </c>
      <c r="I19" s="378" t="e">
        <f>(H19*Tariefsopbouw!$Q$35)+H19</f>
        <v>#DIV/0!</v>
      </c>
    </row>
    <row r="20" spans="1:10" ht="15" customHeight="1">
      <c r="A20" s="56" t="s">
        <v>252</v>
      </c>
      <c r="B20" s="57" t="s">
        <v>253</v>
      </c>
      <c r="C20" s="55">
        <v>0</v>
      </c>
      <c r="D20" s="60" t="s">
        <v>48</v>
      </c>
      <c r="E20" s="377" t="e">
        <f>(InvulGlas[[#This Row],[Prijs excl. BTW]]*Tariefsopbouw!$I$37)+InvulGlas[[#This Row],[Prijs excl. BTW]]</f>
        <v>#DIV/0!</v>
      </c>
      <c r="F20" s="378" t="e">
        <f>(E20*Tariefsopbouw!$K$37)+Glasbewassing!E20</f>
        <v>#DIV/0!</v>
      </c>
      <c r="G20" s="379" t="e">
        <f>(F20*Tariefsopbouw!$M$37)+Glasbewassing!F20</f>
        <v>#DIV/0!</v>
      </c>
      <c r="H20" s="379" t="e">
        <f>(G19*Tariefsopbouw!$O$37)+G19</f>
        <v>#DIV/0!</v>
      </c>
      <c r="I20" s="378" t="e">
        <f>(H20*Tariefsopbouw!$Q$35)+H20</f>
        <v>#DIV/0!</v>
      </c>
    </row>
    <row r="21" spans="1:10" ht="15" customHeight="1">
      <c r="C21" s="35"/>
      <c r="D21" s="35"/>
    </row>
    <row r="22" spans="1:10" s="66" customFormat="1" ht="26.25" customHeight="1">
      <c r="A22" s="67" t="s">
        <v>209</v>
      </c>
      <c r="B22" s="67" t="s">
        <v>145</v>
      </c>
      <c r="C22" s="67" t="s">
        <v>211</v>
      </c>
      <c r="D22" s="68" t="s">
        <v>146</v>
      </c>
      <c r="E22" s="68" t="s">
        <v>156</v>
      </c>
      <c r="F22" s="68" t="s">
        <v>126</v>
      </c>
      <c r="G22" s="69" t="s">
        <v>147</v>
      </c>
      <c r="H22" s="266" t="s">
        <v>176</v>
      </c>
      <c r="I22" s="274" t="s">
        <v>206</v>
      </c>
      <c r="J22" s="245"/>
    </row>
    <row r="23" spans="1:10" s="66" customFormat="1" ht="15" customHeight="1">
      <c r="A23" s="226">
        <v>1</v>
      </c>
      <c r="B23" s="227" t="str">
        <f>VLOOKUP(OverzichtGlas[[#This Row],[Code Locatie]],Locaties[],2,0)</f>
        <v xml:space="preserve">Het Meerik </v>
      </c>
      <c r="C23" s="229">
        <v>1</v>
      </c>
      <c r="D23" s="228" t="str">
        <f>IF(Glasbewassing!$C23&gt;0,VLOOKUP(Glasbewassing!$C23,$A$8:$B$20,2,FALSE),"Hier vult u de inzet van eventuele hoogwerkers in")</f>
        <v>Gevelglas binnenzijde</v>
      </c>
      <c r="E23" s="229">
        <v>275</v>
      </c>
      <c r="F23" s="229">
        <v>2</v>
      </c>
      <c r="G23" s="264">
        <f>IF(C23&gt;0,VLOOKUP(OverzichtGlas[[#This Row],[Code taak]],InvulGlas[],3,0)*E23*F23,0)</f>
        <v>0</v>
      </c>
      <c r="H23" s="226"/>
      <c r="I23" s="226"/>
      <c r="J23" s="263"/>
    </row>
    <row r="24" spans="1:10" s="66" customFormat="1" ht="15" customHeight="1">
      <c r="A24" s="226">
        <v>1</v>
      </c>
      <c r="B24" s="227" t="str">
        <f>VLOOKUP(OverzichtGlas[[#This Row],[Code Locatie]],Locaties[],2,0)</f>
        <v xml:space="preserve">Het Meerik </v>
      </c>
      <c r="C24" s="229">
        <v>2</v>
      </c>
      <c r="D24" s="228" t="str">
        <f>IF(Glasbewassing!$C24&gt;0,VLOOKUP(Glasbewassing!$C24,$A$8:$B$20,2,FALSE),"Hier vult u de inzet van eventuele hoogwerkers in")</f>
        <v>Gevelglas buitenzijde</v>
      </c>
      <c r="E24" s="229">
        <v>275</v>
      </c>
      <c r="F24" s="229">
        <v>2</v>
      </c>
      <c r="G24" s="264">
        <f>IF(C24&gt;0,VLOOKUP(OverzichtGlas[[#This Row],[Code taak]],InvulGlas[],3,0)*E24*F24,0)</f>
        <v>0</v>
      </c>
      <c r="H24" s="226"/>
      <c r="I24" s="226"/>
      <c r="J24" s="263"/>
    </row>
    <row r="25" spans="1:10" s="66" customFormat="1" ht="15" customHeight="1">
      <c r="A25" s="226">
        <v>1</v>
      </c>
      <c r="B25" s="227" t="str">
        <f>VLOOKUP(OverzichtGlas[[#This Row],[Code Locatie]],Locaties[],2,0)</f>
        <v xml:space="preserve">Het Meerik </v>
      </c>
      <c r="C25" s="229">
        <v>3</v>
      </c>
      <c r="D25" s="228" t="str">
        <f>IF(Glasbewassing!$C25&gt;0,VLOOKUP(Glasbewassing!$C25,$A$8:$B$20,2,FALSE),"Hier vult u de inzet van eventuele hoogwerkers in")</f>
        <v>Separatieglas (enkel gemeten, dubbel te wassen)</v>
      </c>
      <c r="E25" s="229">
        <v>62</v>
      </c>
      <c r="F25" s="229">
        <v>2</v>
      </c>
      <c r="G25" s="264">
        <f>IF(C25&gt;0,VLOOKUP(OverzichtGlas[[#This Row],[Code taak]],InvulGlas[],3,0)*E25*F25,0)</f>
        <v>0</v>
      </c>
      <c r="H25" s="226"/>
      <c r="I25" s="226"/>
      <c r="J25" s="263"/>
    </row>
    <row r="26" spans="1:10" s="66" customFormat="1" ht="15" customHeight="1">
      <c r="A26" s="226">
        <v>1</v>
      </c>
      <c r="B26" s="227" t="str">
        <f>VLOOKUP(OverzichtGlas[[#This Row],[Code Locatie]],Locaties[],2,0)</f>
        <v xml:space="preserve">Het Meerik </v>
      </c>
      <c r="C26" s="211"/>
      <c r="D26" s="228" t="str">
        <f>IF(Glasbewassing!$C26&gt;0,VLOOKUP(Glasbewassing!$C26,$A$8:$B$20,2,FALSE),"Hier vult u de inzet van eventuele hoogwerkers in")</f>
        <v>Hier vult u de inzet van eventuele hoogwerkers in</v>
      </c>
      <c r="E26" s="211"/>
      <c r="F26" s="229">
        <v>2</v>
      </c>
      <c r="G26" s="264">
        <f>IF(C26&gt;0,VLOOKUP(OverzichtGlas[[#This Row],[Code taak]],InvulGlas[],3,0)*E26*F26,0)</f>
        <v>0</v>
      </c>
      <c r="H26" s="226"/>
      <c r="I26" s="226"/>
      <c r="J26" s="263"/>
    </row>
    <row r="27" spans="1:10" s="66" customFormat="1" ht="15" customHeight="1">
      <c r="A27" s="226">
        <v>2</v>
      </c>
      <c r="B27" s="227" t="str">
        <f>VLOOKUP(OverzichtGlas[[#This Row],[Code Locatie]],Locaties[],2,0)</f>
        <v>Neon College – Enschede</v>
      </c>
      <c r="C27" s="229">
        <v>1</v>
      </c>
      <c r="D27" s="228" t="str">
        <f>IF(Glasbewassing!$C27&gt;0,VLOOKUP(Glasbewassing!$C27,$A$8:$B$20,2,FALSE),"Hier vult u de inzet van eventuele hoogwerkers in")</f>
        <v>Gevelglas binnenzijde</v>
      </c>
      <c r="E27" s="229">
        <v>517</v>
      </c>
      <c r="F27" s="229">
        <v>2</v>
      </c>
      <c r="G27" s="264">
        <f>IF(C27&gt;0,VLOOKUP(OverzichtGlas[[#This Row],[Code taak]],InvulGlas[],3,0)*E27*F27,0)</f>
        <v>0</v>
      </c>
      <c r="H27" s="226"/>
      <c r="I27" s="226"/>
      <c r="J27" s="263"/>
    </row>
    <row r="28" spans="1:10" s="66" customFormat="1" ht="15" customHeight="1">
      <c r="A28" s="226">
        <v>2</v>
      </c>
      <c r="B28" s="227" t="str">
        <f>VLOOKUP(OverzichtGlas[[#This Row],[Code Locatie]],Locaties[],2,0)</f>
        <v>Neon College – Enschede</v>
      </c>
      <c r="C28" s="229">
        <v>2</v>
      </c>
      <c r="D28" s="228" t="str">
        <f>IF(Glasbewassing!$C28&gt;0,VLOOKUP(Glasbewassing!$C28,$A$8:$B$20,2,FALSE),"Hier vult u de inzet van eventuele hoogwerkers in")</f>
        <v>Gevelglas buitenzijde</v>
      </c>
      <c r="E28" s="229">
        <v>517</v>
      </c>
      <c r="F28" s="229">
        <v>2</v>
      </c>
      <c r="G28" s="264">
        <f>IF(C28&gt;0,VLOOKUP(OverzichtGlas[[#This Row],[Code taak]],InvulGlas[],3,0)*E28*F28,0)</f>
        <v>0</v>
      </c>
      <c r="H28" s="226"/>
      <c r="I28" s="226"/>
      <c r="J28" s="263"/>
    </row>
    <row r="29" spans="1:10" s="66" customFormat="1" ht="15" customHeight="1">
      <c r="A29" s="226">
        <v>2</v>
      </c>
      <c r="B29" s="227" t="str">
        <f>VLOOKUP(OverzichtGlas[[#This Row],[Code Locatie]],Locaties[],2,0)</f>
        <v>Neon College – Enschede</v>
      </c>
      <c r="C29" s="229">
        <v>3</v>
      </c>
      <c r="D29" s="228" t="str">
        <f>IF(Glasbewassing!$C29&gt;0,VLOOKUP(Glasbewassing!$C29,$A$8:$B$20,2,FALSE),"Hier vult u de inzet van eventuele hoogwerkers in")</f>
        <v>Separatieglas (enkel gemeten, dubbel te wassen)</v>
      </c>
      <c r="E29" s="229">
        <v>64</v>
      </c>
      <c r="F29" s="229">
        <v>2</v>
      </c>
      <c r="G29" s="264">
        <f>IF(C29&gt;0,VLOOKUP(OverzichtGlas[[#This Row],[Code taak]],InvulGlas[],3,0)*E29*F29,0)</f>
        <v>0</v>
      </c>
      <c r="H29" s="226"/>
      <c r="I29" s="226"/>
      <c r="J29" s="263"/>
    </row>
    <row r="30" spans="1:10" s="66" customFormat="1" ht="15" customHeight="1">
      <c r="A30" s="226">
        <v>2</v>
      </c>
      <c r="B30" s="227" t="str">
        <f>VLOOKUP(OverzichtGlas[[#This Row],[Code Locatie]],Locaties[],2,0)</f>
        <v>Neon College – Enschede</v>
      </c>
      <c r="C30" s="211"/>
      <c r="D30" s="228" t="str">
        <f>IF(Glasbewassing!$C30&gt;0,VLOOKUP(Glasbewassing!$C30,$A$8:$B$20,2,FALSE),"Hier vult u de inzet van eventuele hoogwerkers in")</f>
        <v>Hier vult u de inzet van eventuele hoogwerkers in</v>
      </c>
      <c r="E30" s="211"/>
      <c r="F30" s="229">
        <v>2</v>
      </c>
      <c r="G30" s="264">
        <f>IF(C30&gt;0,VLOOKUP(OverzichtGlas[[#This Row],[Code taak]],InvulGlas[],3,0)*E30*F30,0)</f>
        <v>0</v>
      </c>
      <c r="H30" s="226"/>
      <c r="I30" s="226"/>
      <c r="J30" s="263"/>
    </row>
    <row r="31" spans="1:10" s="66" customFormat="1" ht="15" customHeight="1">
      <c r="A31" s="226">
        <v>3</v>
      </c>
      <c r="B31" s="227" t="str">
        <f>VLOOKUP(OverzichtGlas[[#This Row],[Code Locatie]],Locaties[],2,0)</f>
        <v xml:space="preserve">Panta Rhei College </v>
      </c>
      <c r="C31" s="229">
        <v>1</v>
      </c>
      <c r="D31" s="228" t="str">
        <f>IF(Glasbewassing!$C31&gt;0,VLOOKUP(Glasbewassing!$C31,$A$8:$B$20,2,FALSE),"Hier vult u de inzet van eventuele hoogwerkers in")</f>
        <v>Gevelglas binnenzijde</v>
      </c>
      <c r="E31" s="229">
        <v>326</v>
      </c>
      <c r="F31" s="229">
        <v>2</v>
      </c>
      <c r="G31" s="264">
        <f>IF(C31&gt;0,VLOOKUP(OverzichtGlas[[#This Row],[Code taak]],InvulGlas[],3,0)*E31*F31,0)</f>
        <v>0</v>
      </c>
      <c r="H31" s="229"/>
      <c r="I31" s="229"/>
      <c r="J31" s="263"/>
    </row>
    <row r="32" spans="1:10" s="66" customFormat="1" ht="15" customHeight="1">
      <c r="A32" s="226">
        <v>3</v>
      </c>
      <c r="B32" s="227" t="str">
        <f>VLOOKUP(OverzichtGlas[[#This Row],[Code Locatie]],Locaties[],2,0)</f>
        <v xml:space="preserve">Panta Rhei College </v>
      </c>
      <c r="C32" s="229">
        <v>2</v>
      </c>
      <c r="D32" s="228" t="str">
        <f>IF(Glasbewassing!$C32&gt;0,VLOOKUP(Glasbewassing!$C32,$A$8:$B$20,2,FALSE),"Hier vult u de inzet van eventuele hoogwerkers in")</f>
        <v>Gevelglas buitenzijde</v>
      </c>
      <c r="E32" s="229">
        <v>326</v>
      </c>
      <c r="F32" s="229">
        <v>2</v>
      </c>
      <c r="G32" s="264">
        <f>IF(C32&gt;0,VLOOKUP(OverzichtGlas[[#This Row],[Code taak]],InvulGlas[],3,0)*E32*F32,0)</f>
        <v>0</v>
      </c>
      <c r="H32" s="229"/>
      <c r="I32" s="229"/>
      <c r="J32" s="263"/>
    </row>
    <row r="33" spans="1:10" s="66" customFormat="1" ht="15" customHeight="1">
      <c r="A33" s="226">
        <v>3</v>
      </c>
      <c r="B33" s="227" t="str">
        <f>VLOOKUP(OverzichtGlas[[#This Row],[Code Locatie]],Locaties[],2,0)</f>
        <v xml:space="preserve">Panta Rhei College </v>
      </c>
      <c r="C33" s="229">
        <v>3</v>
      </c>
      <c r="D33" s="228" t="str">
        <f>IF(Glasbewassing!$C33&gt;0,VLOOKUP(Glasbewassing!$C33,$A$8:$B$20,2,FALSE),"Hier vult u de inzet van eventuele hoogwerkers in")</f>
        <v>Separatieglas (enkel gemeten, dubbel te wassen)</v>
      </c>
      <c r="E33" s="229">
        <v>141</v>
      </c>
      <c r="F33" s="229">
        <v>2</v>
      </c>
      <c r="G33" s="264">
        <f>IF(C33&gt;0,VLOOKUP(OverzichtGlas[[#This Row],[Code taak]],InvulGlas[],3,0)*E33*F33,0)</f>
        <v>0</v>
      </c>
      <c r="H33" s="229"/>
      <c r="I33" s="229"/>
      <c r="J33" s="263"/>
    </row>
    <row r="34" spans="1:10" s="66" customFormat="1" ht="15" customHeight="1">
      <c r="A34" s="226">
        <v>3</v>
      </c>
      <c r="B34" s="227" t="str">
        <f>VLOOKUP(OverzichtGlas[[#This Row],[Code Locatie]],Locaties[],2,0)</f>
        <v xml:space="preserve">Panta Rhei College </v>
      </c>
      <c r="C34" s="211"/>
      <c r="D34" s="228" t="str">
        <f>IF(Glasbewassing!$C34&gt;0,VLOOKUP(Glasbewassing!$C34,$A$8:$B$20,2,FALSE),"Hier vult u de inzet van eventuele hoogwerkers in")</f>
        <v>Hier vult u de inzet van eventuele hoogwerkers in</v>
      </c>
      <c r="E34" s="211"/>
      <c r="F34" s="229">
        <v>2</v>
      </c>
      <c r="G34" s="264">
        <f>IF(C34&gt;0,VLOOKUP(OverzichtGlas[[#This Row],[Code taak]],InvulGlas[],3,0)*E34*F34,0)</f>
        <v>0</v>
      </c>
      <c r="H34" s="226"/>
      <c r="I34" s="226"/>
      <c r="J34" s="263"/>
    </row>
    <row r="35" spans="1:10" s="66" customFormat="1" ht="15" customHeight="1">
      <c r="A35" s="226">
        <v>4</v>
      </c>
      <c r="B35" s="227" t="str">
        <f>VLOOKUP(OverzichtGlas[[#This Row],[Code Locatie]],Locaties[],2,0)</f>
        <v>Stafbureau Attendiz</v>
      </c>
      <c r="C35" s="229">
        <v>1</v>
      </c>
      <c r="D35" s="228" t="str">
        <f>IF(Glasbewassing!$C35&gt;0,VLOOKUP(Glasbewassing!$C35,$A$8:$B$20,2,FALSE),"Hier vult u de inzet van eventuele hoogwerkers in")</f>
        <v>Gevelglas binnenzijde</v>
      </c>
      <c r="E35" s="229">
        <v>330</v>
      </c>
      <c r="F35" s="229">
        <v>2</v>
      </c>
      <c r="G35" s="264">
        <f>IF(C35&gt;0,VLOOKUP(OverzichtGlas[[#This Row],[Code taak]],InvulGlas[],3,0)*E35*F35,0)</f>
        <v>0</v>
      </c>
      <c r="H35" s="226"/>
      <c r="I35" s="226"/>
      <c r="J35" s="263"/>
    </row>
    <row r="36" spans="1:10" s="66" customFormat="1" ht="15" customHeight="1">
      <c r="A36" s="226">
        <v>4</v>
      </c>
      <c r="B36" s="227" t="str">
        <f>VLOOKUP(OverzichtGlas[[#This Row],[Code Locatie]],Locaties[],2,0)</f>
        <v>Stafbureau Attendiz</v>
      </c>
      <c r="C36" s="229">
        <v>2</v>
      </c>
      <c r="D36" s="228" t="str">
        <f>IF(Glasbewassing!$C36&gt;0,VLOOKUP(Glasbewassing!$C36,$A$8:$B$20,2,FALSE),"Hier vult u de inzet van eventuele hoogwerkers in")</f>
        <v>Gevelglas buitenzijde</v>
      </c>
      <c r="E36" s="229">
        <v>330</v>
      </c>
      <c r="F36" s="229">
        <v>2</v>
      </c>
      <c r="G36" s="264">
        <f>IF(C36&gt;0,VLOOKUP(OverzichtGlas[[#This Row],[Code taak]],InvulGlas[],3,0)*E36*F36,0)</f>
        <v>0</v>
      </c>
      <c r="H36" s="226"/>
      <c r="I36" s="226"/>
      <c r="J36" s="263"/>
    </row>
    <row r="37" spans="1:10" s="66" customFormat="1" ht="15" customHeight="1">
      <c r="A37" s="226">
        <v>4</v>
      </c>
      <c r="B37" s="227" t="str">
        <f>VLOOKUP(OverzichtGlas[[#This Row],[Code Locatie]],Locaties[],2,0)</f>
        <v>Stafbureau Attendiz</v>
      </c>
      <c r="C37" s="229">
        <v>3</v>
      </c>
      <c r="D37" s="228" t="str">
        <f>IF(Glasbewassing!$C37&gt;0,VLOOKUP(Glasbewassing!$C37,$A$8:$B$20,2,FALSE),"Hier vult u de inzet van eventuele hoogwerkers in")</f>
        <v>Separatieglas (enkel gemeten, dubbel te wassen)</v>
      </c>
      <c r="E37" s="229">
        <v>20</v>
      </c>
      <c r="F37" s="229">
        <v>2</v>
      </c>
      <c r="G37" s="264">
        <f>IF(C37&gt;0,VLOOKUP(OverzichtGlas[[#This Row],[Code taak]],InvulGlas[],3,0)*E37*F37,0)</f>
        <v>0</v>
      </c>
      <c r="H37" s="226"/>
      <c r="I37" s="226"/>
      <c r="J37" s="263"/>
    </row>
    <row r="38" spans="1:10" s="66" customFormat="1" ht="15" customHeight="1">
      <c r="A38" s="226">
        <v>4</v>
      </c>
      <c r="B38" s="227" t="str">
        <f>VLOOKUP(OverzichtGlas[[#This Row],[Code Locatie]],Locaties[],2,0)</f>
        <v>Stafbureau Attendiz</v>
      </c>
      <c r="C38" s="273">
        <v>8</v>
      </c>
      <c r="D38" s="228" t="str">
        <f>IF(Glasbewassing!$C38&gt;0,VLOOKUP(Glasbewassing!$C38,$A$8:$B$20,2,FALSE),"Hier vult u de inzet van eventuele hoogwerkers in")</f>
        <v>glazen bouwstenen</v>
      </c>
      <c r="E38" s="273">
        <v>3</v>
      </c>
      <c r="F38" s="229">
        <v>2</v>
      </c>
      <c r="G38" s="264">
        <f>IF(C38&gt;0,VLOOKUP(OverzichtGlas[[#This Row],[Code taak]],InvulGlas[],3,0)*E38*F38,0)</f>
        <v>0</v>
      </c>
      <c r="H38" s="226"/>
      <c r="I38" s="226"/>
      <c r="J38" s="263"/>
    </row>
    <row r="39" spans="1:10" s="66" customFormat="1" ht="15" customHeight="1">
      <c r="A39" s="226">
        <v>4</v>
      </c>
      <c r="B39" s="227" t="str">
        <f>VLOOKUP(OverzichtGlas[[#This Row],[Code Locatie]],Locaties[],2,0)</f>
        <v>Stafbureau Attendiz</v>
      </c>
      <c r="C39" s="211"/>
      <c r="D39" s="228" t="str">
        <f>IF(Glasbewassing!$C39&gt;0,VLOOKUP(Glasbewassing!$C39,$A$8:$B$20,2,FALSE),"Hier vult u de inzet van eventuele hoogwerkers in")</f>
        <v>Hier vult u de inzet van eventuele hoogwerkers in</v>
      </c>
      <c r="E39" s="211"/>
      <c r="F39" s="229">
        <v>2</v>
      </c>
      <c r="G39" s="264">
        <f>IF(C39&gt;0,VLOOKUP(OverzichtGlas[[#This Row],[Code taak]],InvulGlas[],3,0)*E39*F39,0)</f>
        <v>0</v>
      </c>
      <c r="H39" s="226"/>
      <c r="I39" s="226"/>
      <c r="J39" s="263"/>
    </row>
    <row r="40" spans="1:10" s="66" customFormat="1" ht="15" customHeight="1">
      <c r="A40" s="226">
        <v>5</v>
      </c>
      <c r="B40" s="227" t="str">
        <f>VLOOKUP(OverzichtGlas[[#This Row],[Code Locatie]],Locaties[],2,0)</f>
        <v>VSO Het Mozaïek Almelo</v>
      </c>
      <c r="C40" s="229">
        <v>1</v>
      </c>
      <c r="D40" s="228" t="str">
        <f>IF(Glasbewassing!$C40&gt;0,VLOOKUP(Glasbewassing!$C40,$A$8:$B$20,2,FALSE),"Hier vult u de inzet van eventuele hoogwerkers in")</f>
        <v>Gevelglas binnenzijde</v>
      </c>
      <c r="E40" s="229">
        <v>341</v>
      </c>
      <c r="F40" s="229">
        <v>2</v>
      </c>
      <c r="G40" s="264">
        <f>IF(C40&gt;0,VLOOKUP(OverzichtGlas[[#This Row],[Code taak]],InvulGlas[],3,0)*E40*F40,0)</f>
        <v>0</v>
      </c>
      <c r="H40" s="226"/>
      <c r="I40" s="226"/>
      <c r="J40" s="263"/>
    </row>
    <row r="41" spans="1:10" s="66" customFormat="1" ht="15" customHeight="1">
      <c r="A41" s="226">
        <v>5</v>
      </c>
      <c r="B41" s="227" t="str">
        <f>VLOOKUP(OverzichtGlas[[#This Row],[Code Locatie]],Locaties[],2,0)</f>
        <v>VSO Het Mozaïek Almelo</v>
      </c>
      <c r="C41" s="229">
        <v>2</v>
      </c>
      <c r="D41" s="228" t="str">
        <f>IF(Glasbewassing!$C41&gt;0,VLOOKUP(Glasbewassing!$C41,$A$8:$B$20,2,FALSE),"Hier vult u de inzet van eventuele hoogwerkers in")</f>
        <v>Gevelglas buitenzijde</v>
      </c>
      <c r="E41" s="229">
        <v>341</v>
      </c>
      <c r="F41" s="229">
        <v>2</v>
      </c>
      <c r="G41" s="264">
        <f>IF(C41&gt;0,VLOOKUP(OverzichtGlas[[#This Row],[Code taak]],InvulGlas[],3,0)*E41*F41,0)</f>
        <v>0</v>
      </c>
      <c r="H41" s="226"/>
      <c r="I41" s="226"/>
      <c r="J41" s="263"/>
    </row>
    <row r="42" spans="1:10" s="66" customFormat="1" ht="15" customHeight="1">
      <c r="A42" s="226">
        <v>5</v>
      </c>
      <c r="B42" s="227" t="str">
        <f>VLOOKUP(OverzichtGlas[[#This Row],[Code Locatie]],Locaties[],2,0)</f>
        <v>VSO Het Mozaïek Almelo</v>
      </c>
      <c r="C42" s="229">
        <v>3</v>
      </c>
      <c r="D42" s="228" t="str">
        <f>IF(Glasbewassing!$C42&gt;0,VLOOKUP(Glasbewassing!$C42,$A$8:$B$20,2,FALSE),"Hier vult u de inzet van eventuele hoogwerkers in")</f>
        <v>Separatieglas (enkel gemeten, dubbel te wassen)</v>
      </c>
      <c r="E42" s="229">
        <v>115</v>
      </c>
      <c r="F42" s="229">
        <v>2</v>
      </c>
      <c r="G42" s="264">
        <f>IF(C42&gt;0,VLOOKUP(OverzichtGlas[[#This Row],[Code taak]],InvulGlas[],3,0)*E42*F42,0)</f>
        <v>0</v>
      </c>
      <c r="H42" s="226"/>
      <c r="I42" s="226"/>
      <c r="J42" s="263"/>
    </row>
    <row r="43" spans="1:10" s="66" customFormat="1" ht="15" customHeight="1">
      <c r="A43" s="226">
        <v>5</v>
      </c>
      <c r="B43" s="227" t="str">
        <f>VLOOKUP(OverzichtGlas[[#This Row],[Code Locatie]],Locaties[],2,0)</f>
        <v>VSO Het Mozaïek Almelo</v>
      </c>
      <c r="C43" s="211"/>
      <c r="D43" s="228" t="str">
        <f>IF(Glasbewassing!$C43&gt;0,VLOOKUP(Glasbewassing!$C43,$A$8:$B$20,2,FALSE),"Hier vult u de inzet van eventuele hoogwerkers in")</f>
        <v>Hier vult u de inzet van eventuele hoogwerkers in</v>
      </c>
      <c r="E43" s="211"/>
      <c r="F43" s="229">
        <v>2</v>
      </c>
      <c r="G43" s="264">
        <f>IF(C43&gt;0,VLOOKUP(OverzichtGlas[[#This Row],[Code taak]],InvulGlas[],3,0)*E43*F43,0)</f>
        <v>0</v>
      </c>
      <c r="H43" s="226"/>
      <c r="I43" s="226"/>
      <c r="J43" s="263"/>
    </row>
    <row r="44" spans="1:10" s="66" customFormat="1" ht="15" customHeight="1">
      <c r="A44" s="226">
        <v>6</v>
      </c>
      <c r="B44" s="227" t="str">
        <f>VLOOKUP(OverzichtGlas[[#This Row],[Code Locatie]],Locaties[],2,0)</f>
        <v>Het Reliëf</v>
      </c>
      <c r="C44" s="229">
        <v>1</v>
      </c>
      <c r="D44" s="228" t="str">
        <f>IF(Glasbewassing!$C44&gt;0,VLOOKUP(Glasbewassing!$C44,$A$8:$B$20,2,FALSE),"Hier vult u de inzet van eventuele hoogwerkers in")</f>
        <v>Gevelglas binnenzijde</v>
      </c>
      <c r="E44" s="229">
        <v>790</v>
      </c>
      <c r="F44" s="229">
        <v>2</v>
      </c>
      <c r="G44" s="264">
        <f>IF(C44&gt;0,VLOOKUP(OverzichtGlas[[#This Row],[Code taak]],InvulGlas[],3,0)*E44*F44,0)</f>
        <v>0</v>
      </c>
      <c r="H44" s="226"/>
      <c r="I44" s="226"/>
      <c r="J44" s="263"/>
    </row>
    <row r="45" spans="1:10" s="66" customFormat="1" ht="15" customHeight="1">
      <c r="A45" s="226">
        <v>6</v>
      </c>
      <c r="B45" s="227" t="str">
        <f>VLOOKUP(OverzichtGlas[[#This Row],[Code Locatie]],Locaties[],2,0)</f>
        <v>Het Reliëf</v>
      </c>
      <c r="C45" s="229">
        <v>2</v>
      </c>
      <c r="D45" s="228" t="str">
        <f>IF(Glasbewassing!$C45&gt;0,VLOOKUP(Glasbewassing!$C45,$A$8:$B$20,2,FALSE),"Hier vult u de inzet van eventuele hoogwerkers in")</f>
        <v>Gevelglas buitenzijde</v>
      </c>
      <c r="E45" s="229">
        <v>790</v>
      </c>
      <c r="F45" s="229">
        <v>2</v>
      </c>
      <c r="G45" s="264">
        <f>IF(C45&gt;0,VLOOKUP(OverzichtGlas[[#This Row],[Code taak]],InvulGlas[],3,0)*E45*F45,0)</f>
        <v>0</v>
      </c>
      <c r="H45" s="226"/>
      <c r="I45" s="226"/>
      <c r="J45" s="263"/>
    </row>
    <row r="46" spans="1:10" s="66" customFormat="1" ht="15" customHeight="1">
      <c r="A46" s="226">
        <v>6</v>
      </c>
      <c r="B46" s="227" t="str">
        <f>VLOOKUP(OverzichtGlas[[#This Row],[Code Locatie]],Locaties[],2,0)</f>
        <v>Het Reliëf</v>
      </c>
      <c r="C46" s="229">
        <v>3</v>
      </c>
      <c r="D46" s="228" t="str">
        <f>IF(Glasbewassing!$C46&gt;0,VLOOKUP(Glasbewassing!$C46,$A$8:$B$20,2,FALSE),"Hier vult u de inzet van eventuele hoogwerkers in")</f>
        <v>Separatieglas (enkel gemeten, dubbel te wassen)</v>
      </c>
      <c r="E46" s="229">
        <v>101</v>
      </c>
      <c r="F46" s="229">
        <v>2</v>
      </c>
      <c r="G46" s="264">
        <f>IF(C46&gt;0,VLOOKUP(OverzichtGlas[[#This Row],[Code taak]],InvulGlas[],3,0)*E46*F46,0)</f>
        <v>0</v>
      </c>
      <c r="H46" s="226"/>
      <c r="I46" s="226"/>
      <c r="J46" s="263"/>
    </row>
    <row r="47" spans="1:10" s="66" customFormat="1" ht="15" customHeight="1">
      <c r="A47" s="226">
        <v>6</v>
      </c>
      <c r="B47" s="227" t="str">
        <f>VLOOKUP(OverzichtGlas[[#This Row],[Code Locatie]],Locaties[],2,0)</f>
        <v>Het Reliëf</v>
      </c>
      <c r="C47" s="229">
        <v>1</v>
      </c>
      <c r="D47" s="228" t="str">
        <f>IF(Glasbewassing!$C47&gt;0,VLOOKUP(Glasbewassing!$C47,$A$8:$B$20,2,FALSE),"Hier vult u de inzet van eventuele hoogwerkers in")</f>
        <v>Gevelglas binnenzijde</v>
      </c>
      <c r="E47" s="229">
        <v>14</v>
      </c>
      <c r="F47" s="229">
        <v>2</v>
      </c>
      <c r="G47" s="264">
        <f>IF(C47&gt;0,VLOOKUP(OverzichtGlas[[#This Row],[Code taak]],InvulGlas[],3,0)*E47*F47,0)</f>
        <v>0</v>
      </c>
      <c r="H47" s="226" t="s">
        <v>1115</v>
      </c>
      <c r="I47" s="226"/>
      <c r="J47" s="263"/>
    </row>
    <row r="48" spans="1:10" s="66" customFormat="1" ht="15" customHeight="1">
      <c r="A48" s="226">
        <v>6</v>
      </c>
      <c r="B48" s="227" t="str">
        <f>VLOOKUP(OverzichtGlas[[#This Row],[Code Locatie]],Locaties[],2,0)</f>
        <v>Het Reliëf</v>
      </c>
      <c r="C48" s="273">
        <v>2</v>
      </c>
      <c r="D48" s="228" t="str">
        <f>IF(Glasbewassing!$C48&gt;0,VLOOKUP(Glasbewassing!$C48,$A$8:$B$20,2,FALSE),"Hier vult u de inzet van eventuele hoogwerkers in")</f>
        <v>Gevelglas buitenzijde</v>
      </c>
      <c r="E48" s="273">
        <v>14</v>
      </c>
      <c r="F48" s="229">
        <v>2</v>
      </c>
      <c r="G48" s="264">
        <f>IF(C48&gt;0,VLOOKUP(OverzichtGlas[[#This Row],[Code taak]],InvulGlas[],3,0)*E48*F48,0)</f>
        <v>0</v>
      </c>
      <c r="H48" s="226" t="s">
        <v>1115</v>
      </c>
      <c r="I48" s="226"/>
      <c r="J48" s="263"/>
    </row>
    <row r="49" spans="1:10" s="66" customFormat="1" ht="15" customHeight="1">
      <c r="A49" s="226">
        <v>6</v>
      </c>
      <c r="B49" s="227" t="str">
        <f>VLOOKUP(OverzichtGlas[[#This Row],[Code Locatie]],Locaties[],2,0)</f>
        <v>Het Reliëf</v>
      </c>
      <c r="C49" s="229">
        <v>3</v>
      </c>
      <c r="D49" s="228" t="str">
        <f>IF(Glasbewassing!$C49&gt;0,VLOOKUP(Glasbewassing!$C49,$A$8:$B$20,2,FALSE),"Hier vult u de inzet van eventuele hoogwerkers in")</f>
        <v>Separatieglas (enkel gemeten, dubbel te wassen)</v>
      </c>
      <c r="E49" s="229">
        <v>3</v>
      </c>
      <c r="F49" s="229">
        <v>2</v>
      </c>
      <c r="G49" s="264">
        <f>IF(C49&gt;0,VLOOKUP(OverzichtGlas[[#This Row],[Code taak]],InvulGlas[],3,0)*E49*F49,0)</f>
        <v>0</v>
      </c>
      <c r="H49" s="226" t="s">
        <v>1115</v>
      </c>
      <c r="I49" s="226"/>
      <c r="J49" s="263"/>
    </row>
    <row r="50" spans="1:10" s="66" customFormat="1" ht="15" customHeight="1">
      <c r="A50" s="226">
        <v>6</v>
      </c>
      <c r="B50" s="227" t="str">
        <f>VLOOKUP(OverzichtGlas[[#This Row],[Code Locatie]],Locaties[],2,0)</f>
        <v>Het Reliëf</v>
      </c>
      <c r="C50" s="211"/>
      <c r="D50" s="228" t="str">
        <f>IF(Glasbewassing!$C50&gt;0,VLOOKUP(Glasbewassing!$C50,$A$8:$B$20,2,FALSE),"Hier vult u de inzet van eventuele hoogwerkers in")</f>
        <v>Hier vult u de inzet van eventuele hoogwerkers in</v>
      </c>
      <c r="E50" s="211"/>
      <c r="F50" s="229">
        <v>2</v>
      </c>
      <c r="G50" s="264">
        <f>IF(C50&gt;0,VLOOKUP(OverzichtGlas[[#This Row],[Code taak]],InvulGlas[],3,0)*E50*F50,0)</f>
        <v>0</v>
      </c>
      <c r="H50" s="226"/>
      <c r="I50" s="226"/>
      <c r="J50" s="263"/>
    </row>
    <row r="51" spans="1:10" s="66" customFormat="1" ht="15" customHeight="1">
      <c r="A51" s="226">
        <v>7</v>
      </c>
      <c r="B51" s="227" t="str">
        <f>VLOOKUP(OverzichtGlas[[#This Row],[Code Locatie]],Locaties[],2,0)</f>
        <v>De Kapstok AGL</v>
      </c>
      <c r="C51" s="229">
        <v>1</v>
      </c>
      <c r="D51" s="228" t="str">
        <f>IF(Glasbewassing!$C51&gt;0,VLOOKUP(Glasbewassing!$C51,$A$8:$B$20,2,FALSE),"Hier vult u de inzet van eventuele hoogwerkers in")</f>
        <v>Gevelglas binnenzijde</v>
      </c>
      <c r="E51" s="229">
        <v>455</v>
      </c>
      <c r="F51" s="229">
        <v>2</v>
      </c>
      <c r="G51" s="264">
        <f>IF(C51&gt;0,VLOOKUP(OverzichtGlas[[#This Row],[Code taak]],InvulGlas[],3,0)*E51*F51,0)</f>
        <v>0</v>
      </c>
      <c r="H51" s="226"/>
      <c r="I51" s="226"/>
      <c r="J51" s="263"/>
    </row>
    <row r="52" spans="1:10" s="66" customFormat="1" ht="15" customHeight="1">
      <c r="A52" s="226">
        <v>7</v>
      </c>
      <c r="B52" s="227" t="str">
        <f>VLOOKUP(OverzichtGlas[[#This Row],[Code Locatie]],Locaties[],2,0)</f>
        <v>De Kapstok AGL</v>
      </c>
      <c r="C52" s="229">
        <v>2</v>
      </c>
      <c r="D52" s="228" t="str">
        <f>IF(Glasbewassing!$C52&gt;0,VLOOKUP(Glasbewassing!$C52,$A$8:$B$20,2,FALSE),"Hier vult u de inzet van eventuele hoogwerkers in")</f>
        <v>Gevelglas buitenzijde</v>
      </c>
      <c r="E52" s="229">
        <v>377</v>
      </c>
      <c r="F52" s="229">
        <v>2</v>
      </c>
      <c r="G52" s="264">
        <f>IF(C52&gt;0,VLOOKUP(OverzichtGlas[[#This Row],[Code taak]],InvulGlas[],3,0)*E52*F52,0)</f>
        <v>0</v>
      </c>
      <c r="H52" s="226"/>
      <c r="I52" s="226"/>
      <c r="J52" s="263"/>
    </row>
    <row r="53" spans="1:10" s="66" customFormat="1" ht="15" customHeight="1">
      <c r="A53" s="226">
        <v>7</v>
      </c>
      <c r="B53" s="227" t="str">
        <f>VLOOKUP(OverzichtGlas[[#This Row],[Code Locatie]],Locaties[],2,0)</f>
        <v>De Kapstok AGL</v>
      </c>
      <c r="C53" s="229">
        <v>3</v>
      </c>
      <c r="D53" s="228" t="str">
        <f>IF(Glasbewassing!$C53&gt;0,VLOOKUP(Glasbewassing!$C53,$A$8:$B$20,2,FALSE),"Hier vult u de inzet van eventuele hoogwerkers in")</f>
        <v>Separatieglas (enkel gemeten, dubbel te wassen)</v>
      </c>
      <c r="E53" s="229">
        <v>80</v>
      </c>
      <c r="F53" s="229">
        <v>2</v>
      </c>
      <c r="G53" s="264">
        <f>IF(C53&gt;0,VLOOKUP(OverzichtGlas[[#This Row],[Code taak]],InvulGlas[],3,0)*E53*F53,0)</f>
        <v>0</v>
      </c>
      <c r="H53" s="226"/>
      <c r="I53" s="226"/>
      <c r="J53" s="263"/>
    </row>
    <row r="54" spans="1:10" s="66" customFormat="1" ht="15" customHeight="1">
      <c r="A54" s="226">
        <v>7</v>
      </c>
      <c r="B54" s="227" t="str">
        <f>VLOOKUP(OverzichtGlas[[#This Row],[Code Locatie]],Locaties[],2,0)</f>
        <v>De Kapstok AGL</v>
      </c>
      <c r="C54" s="265">
        <v>2</v>
      </c>
      <c r="D54" s="228" t="str">
        <f>IF(Glasbewassing!$C54&gt;0,VLOOKUP(Glasbewassing!$C54,$A$8:$B$20,2,FALSE),"Hier vult u de inzet van eventuele hoogwerkers in")</f>
        <v>Gevelglas buitenzijde</v>
      </c>
      <c r="E54" s="273">
        <v>20</v>
      </c>
      <c r="F54" s="229">
        <v>2</v>
      </c>
      <c r="G54" s="264">
        <f>IF(C54&gt;0,VLOOKUP(OverzichtGlas[[#This Row],[Code taak]],InvulGlas[],3,0)*E54*F54,0)</f>
        <v>0</v>
      </c>
      <c r="H54" s="226" t="s">
        <v>1109</v>
      </c>
      <c r="I54" s="226"/>
      <c r="J54" s="263"/>
    </row>
    <row r="55" spans="1:10" s="66" customFormat="1" ht="15" customHeight="1">
      <c r="A55" s="226">
        <v>7</v>
      </c>
      <c r="B55" s="227" t="str">
        <f>VLOOKUP(OverzichtGlas[[#This Row],[Code Locatie]],Locaties[],2,0)</f>
        <v>De Kapstok AGL</v>
      </c>
      <c r="C55" s="229">
        <v>2</v>
      </c>
      <c r="D55" s="228" t="str">
        <f>IF(Glasbewassing!$C55&gt;0,VLOOKUP(Glasbewassing!$C55,$A$8:$B$20,2,FALSE),"Hier vult u de inzet van eventuele hoogwerkers in")</f>
        <v>Gevelglas buitenzijde</v>
      </c>
      <c r="E55" s="229">
        <v>20</v>
      </c>
      <c r="F55" s="229">
        <v>2</v>
      </c>
      <c r="G55" s="264">
        <f>IF(C55&gt;0,VLOOKUP(OverzichtGlas[[#This Row],[Code taak]],InvulGlas[],3,0)*E55*F55,0)</f>
        <v>0</v>
      </c>
      <c r="H55" s="226" t="s">
        <v>1109</v>
      </c>
      <c r="I55" s="226"/>
      <c r="J55" s="263"/>
    </row>
    <row r="56" spans="1:10" s="66" customFormat="1" ht="15" customHeight="1">
      <c r="A56" s="226">
        <v>7</v>
      </c>
      <c r="B56" s="227" t="str">
        <f>VLOOKUP(OverzichtGlas[[#This Row],[Code Locatie]],Locaties[],2,0)</f>
        <v>De Kapstok AGL</v>
      </c>
      <c r="C56" s="229">
        <v>1</v>
      </c>
      <c r="D56" s="228" t="str">
        <f>IF(Glasbewassing!$C56&gt;0,VLOOKUP(Glasbewassing!$C56,$A$8:$B$20,2,FALSE),"Hier vult u de inzet van eventuele hoogwerkers in")</f>
        <v>Gevelglas binnenzijde</v>
      </c>
      <c r="E56" s="229">
        <v>8</v>
      </c>
      <c r="F56" s="229">
        <v>2</v>
      </c>
      <c r="G56" s="264">
        <f>IF(C56&gt;0,VLOOKUP(OverzichtGlas[[#This Row],[Code taak]],InvulGlas[],3,0)*E56*F56,0)</f>
        <v>0</v>
      </c>
      <c r="H56" s="226" t="s">
        <v>1110</v>
      </c>
      <c r="I56" s="226"/>
      <c r="J56" s="263"/>
    </row>
    <row r="57" spans="1:10" s="66" customFormat="1" ht="15" customHeight="1">
      <c r="A57" s="226">
        <v>7</v>
      </c>
      <c r="B57" s="227" t="str">
        <f>VLOOKUP(OverzichtGlas[[#This Row],[Code Locatie]],Locaties[],2,0)</f>
        <v>De Kapstok AGL</v>
      </c>
      <c r="C57" s="229">
        <v>1</v>
      </c>
      <c r="D57" s="228" t="str">
        <f>IF(Glasbewassing!$C57&gt;0,VLOOKUP(Glasbewassing!$C57,$A$8:$B$20,2,FALSE),"Hier vult u de inzet van eventuele hoogwerkers in")</f>
        <v>Gevelglas binnenzijde</v>
      </c>
      <c r="E57" s="229">
        <v>8</v>
      </c>
      <c r="F57" s="229">
        <v>2</v>
      </c>
      <c r="G57" s="264">
        <f>IF(C57&gt;0,VLOOKUP(OverzichtGlas[[#This Row],[Code taak]],InvulGlas[],3,0)*E57*F57,0)</f>
        <v>0</v>
      </c>
      <c r="H57" s="226" t="s">
        <v>1110</v>
      </c>
      <c r="I57" s="226"/>
      <c r="J57" s="263"/>
    </row>
    <row r="58" spans="1:10" s="66" customFormat="1" ht="15" customHeight="1">
      <c r="A58" s="226">
        <v>7</v>
      </c>
      <c r="B58" s="227" t="str">
        <f>VLOOKUP(OverzichtGlas[[#This Row],[Code Locatie]],Locaties[],2,0)</f>
        <v>De Kapstok AGL</v>
      </c>
      <c r="C58" s="211"/>
      <c r="D58" s="228" t="str">
        <f>IF(Glasbewassing!$C58&gt;0,VLOOKUP(Glasbewassing!$C58,$A$8:$B$20,2,FALSE),"Hier vult u de inzet van eventuele hoogwerkers in")</f>
        <v>Hier vult u de inzet van eventuele hoogwerkers in</v>
      </c>
      <c r="E58" s="211"/>
      <c r="F58" s="229">
        <v>2</v>
      </c>
      <c r="G58" s="264">
        <f>IF(C58&gt;0,VLOOKUP(OverzichtGlas[[#This Row],[Code taak]],InvulGlas[],3,0)*E58*F58,0)</f>
        <v>0</v>
      </c>
      <c r="H58" s="226"/>
      <c r="I58" s="226"/>
      <c r="J58" s="263"/>
    </row>
    <row r="59" spans="1:10" s="66" customFormat="1" ht="15" customHeight="1">
      <c r="A59" s="226">
        <v>8</v>
      </c>
      <c r="B59" s="227" t="str">
        <f>VLOOKUP(OverzichtGlas[[#This Row],[Code Locatie]],Locaties[],2,0)</f>
        <v>Het Mozaïek</v>
      </c>
      <c r="C59" s="229">
        <v>1</v>
      </c>
      <c r="D59" s="228" t="str">
        <f>IF(Glasbewassing!$C59&gt;0,VLOOKUP(Glasbewassing!$C59,$A$8:$B$20,2,FALSE),"Hier vult u de inzet van eventuele hoogwerkers in")</f>
        <v>Gevelglas binnenzijde</v>
      </c>
      <c r="E59" s="229">
        <v>284.2</v>
      </c>
      <c r="F59" s="229">
        <v>2</v>
      </c>
      <c r="G59" s="264">
        <f>IF(C59&gt;0,VLOOKUP(OverzichtGlas[[#This Row],[Code taak]],InvulGlas[],3,0)*E59*F59,0)</f>
        <v>0</v>
      </c>
      <c r="H59" s="226"/>
      <c r="I59" s="226"/>
      <c r="J59" s="263"/>
    </row>
    <row r="60" spans="1:10" s="66" customFormat="1" ht="15" customHeight="1">
      <c r="A60" s="226">
        <v>8</v>
      </c>
      <c r="B60" s="227" t="str">
        <f>VLOOKUP(OverzichtGlas[[#This Row],[Code Locatie]],Locaties[],2,0)</f>
        <v>Het Mozaïek</v>
      </c>
      <c r="C60" s="229">
        <v>2</v>
      </c>
      <c r="D60" s="228" t="str">
        <f>IF(Glasbewassing!$C60&gt;0,VLOOKUP(Glasbewassing!$C60,$A$8:$B$20,2,FALSE),"Hier vult u de inzet van eventuele hoogwerkers in")</f>
        <v>Gevelglas buitenzijde</v>
      </c>
      <c r="E60" s="229">
        <v>284</v>
      </c>
      <c r="F60" s="229">
        <v>2</v>
      </c>
      <c r="G60" s="264">
        <f>IF(C60&gt;0,VLOOKUP(OverzichtGlas[[#This Row],[Code taak]],InvulGlas[],3,0)*E60*F60,0)</f>
        <v>0</v>
      </c>
      <c r="H60" s="226"/>
      <c r="I60" s="226"/>
      <c r="J60" s="263"/>
    </row>
    <row r="61" spans="1:10" s="66" customFormat="1" ht="15" customHeight="1">
      <c r="A61" s="226">
        <v>8</v>
      </c>
      <c r="B61" s="227" t="str">
        <f>VLOOKUP(OverzichtGlas[[#This Row],[Code Locatie]],Locaties[],2,0)</f>
        <v>Het Mozaïek</v>
      </c>
      <c r="C61" s="229">
        <v>3</v>
      </c>
      <c r="D61" s="228" t="str">
        <f>IF(Glasbewassing!$C61&gt;0,VLOOKUP(Glasbewassing!$C61,$A$8:$B$20,2,FALSE),"Hier vult u de inzet van eventuele hoogwerkers in")</f>
        <v>Separatieglas (enkel gemeten, dubbel te wassen)</v>
      </c>
      <c r="E61" s="229">
        <v>55</v>
      </c>
      <c r="F61" s="229">
        <v>2</v>
      </c>
      <c r="G61" s="264">
        <f>IF(C61&gt;0,VLOOKUP(OverzichtGlas[[#This Row],[Code taak]],InvulGlas[],3,0)*E61*F61,0)</f>
        <v>0</v>
      </c>
      <c r="H61" s="226"/>
      <c r="I61" s="226"/>
      <c r="J61" s="263"/>
    </row>
    <row r="62" spans="1:10" s="66" customFormat="1" ht="15" customHeight="1">
      <c r="A62" s="226">
        <v>8</v>
      </c>
      <c r="B62" s="227" t="str">
        <f>VLOOKUP(OverzichtGlas[[#This Row],[Code Locatie]],Locaties[],2,0)</f>
        <v>Het Mozaïek</v>
      </c>
      <c r="C62" s="211"/>
      <c r="D62" s="228" t="str">
        <f>IF(Glasbewassing!$C62&gt;0,VLOOKUP(Glasbewassing!$C62,$A$8:$B$20,2,FALSE),"Hier vult u de inzet van eventuele hoogwerkers in")</f>
        <v>Hier vult u de inzet van eventuele hoogwerkers in</v>
      </c>
      <c r="E62" s="211"/>
      <c r="F62" s="229">
        <v>2</v>
      </c>
      <c r="G62" s="264">
        <f>IF(C62&gt;0,VLOOKUP(OverzichtGlas[[#This Row],[Code taak]],InvulGlas[],3,0)*E62*F62,0)</f>
        <v>0</v>
      </c>
      <c r="H62" s="226"/>
      <c r="I62" s="226"/>
      <c r="J62" s="263"/>
    </row>
    <row r="63" spans="1:10" s="66" customFormat="1" ht="15" customHeight="1">
      <c r="A63" s="226">
        <v>9</v>
      </c>
      <c r="B63" s="227" t="str">
        <f>VLOOKUP(OverzichtGlas[[#This Row],[Code Locatie]],Locaties[],2,0)</f>
        <v>De Stapsteen (De Zevensprong)</v>
      </c>
      <c r="C63" s="229">
        <v>1</v>
      </c>
      <c r="D63" s="228" t="str">
        <f>IF(Glasbewassing!$C63&gt;0,VLOOKUP(Glasbewassing!$C63,$A$8:$B$20,2,FALSE),"Hier vult u de inzet van eventuele hoogwerkers in")</f>
        <v>Gevelglas binnenzijde</v>
      </c>
      <c r="E63" s="229">
        <v>236</v>
      </c>
      <c r="F63" s="229">
        <v>2</v>
      </c>
      <c r="G63" s="264">
        <f>IF(C63&gt;0,VLOOKUP(OverzichtGlas[[#This Row],[Code taak]],InvulGlas[],3,0)*E63*F63,0)</f>
        <v>0</v>
      </c>
      <c r="H63" s="226"/>
      <c r="I63" s="226"/>
      <c r="J63" s="263"/>
    </row>
    <row r="64" spans="1:10" s="66" customFormat="1" ht="15" customHeight="1">
      <c r="A64" s="226">
        <v>9</v>
      </c>
      <c r="B64" s="227" t="str">
        <f>VLOOKUP(OverzichtGlas[[#This Row],[Code Locatie]],Locaties[],2,0)</f>
        <v>De Stapsteen (De Zevensprong)</v>
      </c>
      <c r="C64" s="229">
        <v>2</v>
      </c>
      <c r="D64" s="228" t="str">
        <f>IF(Glasbewassing!$C64&gt;0,VLOOKUP(Glasbewassing!$C64,$A$8:$B$20,2,FALSE),"Hier vult u de inzet van eventuele hoogwerkers in")</f>
        <v>Gevelglas buitenzijde</v>
      </c>
      <c r="E64" s="229">
        <v>236</v>
      </c>
      <c r="F64" s="229">
        <v>2</v>
      </c>
      <c r="G64" s="264">
        <f>IF(C64&gt;0,VLOOKUP(OverzichtGlas[[#This Row],[Code taak]],InvulGlas[],3,0)*E64*F64,0)</f>
        <v>0</v>
      </c>
      <c r="H64" s="226"/>
      <c r="I64" s="226"/>
      <c r="J64" s="263"/>
    </row>
    <row r="65" spans="1:10" s="66" customFormat="1" ht="15" customHeight="1">
      <c r="A65" s="226">
        <v>9</v>
      </c>
      <c r="B65" s="227" t="str">
        <f>VLOOKUP(OverzichtGlas[[#This Row],[Code Locatie]],Locaties[],2,0)</f>
        <v>De Stapsteen (De Zevensprong)</v>
      </c>
      <c r="C65" s="229">
        <v>3</v>
      </c>
      <c r="D65" s="228" t="str">
        <f>IF(Glasbewassing!$C65&gt;0,VLOOKUP(Glasbewassing!$C65,$A$8:$B$20,2,FALSE),"Hier vult u de inzet van eventuele hoogwerkers in")</f>
        <v>Separatieglas (enkel gemeten, dubbel te wassen)</v>
      </c>
      <c r="E65" s="229">
        <v>72</v>
      </c>
      <c r="F65" s="229">
        <v>2</v>
      </c>
      <c r="G65" s="264">
        <f>IF(C65&gt;0,VLOOKUP(OverzichtGlas[[#This Row],[Code taak]],InvulGlas[],3,0)*E65*F65,0)</f>
        <v>0</v>
      </c>
      <c r="H65" s="226"/>
      <c r="I65" s="226"/>
      <c r="J65" s="263"/>
    </row>
    <row r="66" spans="1:10" s="66" customFormat="1" ht="15" customHeight="1">
      <c r="A66" s="226">
        <v>9</v>
      </c>
      <c r="B66" s="227" t="str">
        <f>VLOOKUP(OverzichtGlas[[#This Row],[Code Locatie]],Locaties[],2,0)</f>
        <v>De Stapsteen (De Zevensprong)</v>
      </c>
      <c r="C66" s="211"/>
      <c r="D66" s="228" t="str">
        <f>IF(Glasbewassing!$C66&gt;0,VLOOKUP(Glasbewassing!$C66,$A$8:$B$20,2,FALSE),"Hier vult u de inzet van eventuele hoogwerkers in")</f>
        <v>Hier vult u de inzet van eventuele hoogwerkers in</v>
      </c>
      <c r="E66" s="211"/>
      <c r="F66" s="229">
        <v>2</v>
      </c>
      <c r="G66" s="264">
        <f>IF(C66&gt;0,VLOOKUP(OverzichtGlas[[#This Row],[Code taak]],InvulGlas[],3,0)*E66*F66,0)</f>
        <v>0</v>
      </c>
      <c r="H66" s="226"/>
      <c r="I66" s="226"/>
      <c r="J66" s="263"/>
    </row>
    <row r="67" spans="1:10" s="66" customFormat="1" ht="15" customHeight="1">
      <c r="A67" s="226">
        <v>10</v>
      </c>
      <c r="B67" s="227" t="str">
        <f>VLOOKUP(OverzichtGlas[[#This Row],[Code Locatie]],Locaties[],2,0)</f>
        <v>De Stapsteen (2 gebouwen)</v>
      </c>
      <c r="C67" s="229">
        <v>1</v>
      </c>
      <c r="D67" s="228" t="str">
        <f>IF(Glasbewassing!$C67&gt;0,VLOOKUP(Glasbewassing!$C67,$A$8:$B$20,2,FALSE),"Hier vult u de inzet van eventuele hoogwerkers in")</f>
        <v>Gevelglas binnenzijde</v>
      </c>
      <c r="E67" s="229">
        <v>742</v>
      </c>
      <c r="F67" s="229">
        <v>2</v>
      </c>
      <c r="G67" s="264">
        <f>IF(C67&gt;0,VLOOKUP(OverzichtGlas[[#This Row],[Code taak]],InvulGlas[],3,0)*E67*F67,0)</f>
        <v>0</v>
      </c>
      <c r="H67" s="226"/>
      <c r="I67" s="226"/>
      <c r="J67" s="263"/>
    </row>
    <row r="68" spans="1:10" s="66" customFormat="1" ht="15" customHeight="1">
      <c r="A68" s="226">
        <v>10</v>
      </c>
      <c r="B68" s="227" t="str">
        <f>VLOOKUP(OverzichtGlas[[#This Row],[Code Locatie]],Locaties[],2,0)</f>
        <v>De Stapsteen (2 gebouwen)</v>
      </c>
      <c r="C68" s="229">
        <v>2</v>
      </c>
      <c r="D68" s="228" t="str">
        <f>IF(Glasbewassing!$C68&gt;0,VLOOKUP(Glasbewassing!$C68,$A$8:$B$20,2,FALSE),"Hier vult u de inzet van eventuele hoogwerkers in")</f>
        <v>Gevelglas buitenzijde</v>
      </c>
      <c r="E68" s="229">
        <v>742</v>
      </c>
      <c r="F68" s="229">
        <v>2</v>
      </c>
      <c r="G68" s="264">
        <f>IF(C68&gt;0,VLOOKUP(OverzichtGlas[[#This Row],[Code taak]],InvulGlas[],3,0)*E68*F68,0)</f>
        <v>0</v>
      </c>
      <c r="H68" s="226"/>
      <c r="I68" s="226"/>
      <c r="J68" s="263"/>
    </row>
    <row r="69" spans="1:10" s="66" customFormat="1" ht="15" customHeight="1">
      <c r="A69" s="226">
        <v>10</v>
      </c>
      <c r="B69" s="227" t="str">
        <f>VLOOKUP(OverzichtGlas[[#This Row],[Code Locatie]],Locaties[],2,0)</f>
        <v>De Stapsteen (2 gebouwen)</v>
      </c>
      <c r="C69" s="229">
        <v>3</v>
      </c>
      <c r="D69" s="228" t="str">
        <f>IF(Glasbewassing!$C69&gt;0,VLOOKUP(Glasbewassing!$C69,$A$8:$B$20,2,FALSE),"Hier vult u de inzet van eventuele hoogwerkers in")</f>
        <v>Separatieglas (enkel gemeten, dubbel te wassen)</v>
      </c>
      <c r="E69" s="229">
        <v>124</v>
      </c>
      <c r="F69" s="229">
        <v>2</v>
      </c>
      <c r="G69" s="264">
        <f>IF(C69&gt;0,VLOOKUP(OverzichtGlas[[#This Row],[Code taak]],InvulGlas[],3,0)*E69*F69,0)</f>
        <v>0</v>
      </c>
      <c r="H69" s="226"/>
      <c r="I69" s="226"/>
      <c r="J69" s="263"/>
    </row>
    <row r="70" spans="1:10" s="66" customFormat="1" ht="15" customHeight="1">
      <c r="A70" s="226">
        <v>10</v>
      </c>
      <c r="B70" s="227" t="str">
        <f>VLOOKUP(OverzichtGlas[[#This Row],[Code Locatie]],Locaties[],2,0)</f>
        <v>De Stapsteen (2 gebouwen)</v>
      </c>
      <c r="C70" s="211"/>
      <c r="D70" s="228" t="str">
        <f>IF(Glasbewassing!$C70&gt;0,VLOOKUP(Glasbewassing!$C70,$A$8:$B$20,2,FALSE),"Hier vult u de inzet van eventuele hoogwerkers in")</f>
        <v>Hier vult u de inzet van eventuele hoogwerkers in</v>
      </c>
      <c r="E70" s="211"/>
      <c r="F70" s="229">
        <v>2</v>
      </c>
      <c r="G70" s="264">
        <f>IF(C70&gt;0,VLOOKUP(OverzichtGlas[[#This Row],[Code taak]],InvulGlas[],3,0)*E70*F70,0)</f>
        <v>0</v>
      </c>
      <c r="H70" s="226"/>
      <c r="I70" s="226"/>
      <c r="J70" s="263"/>
    </row>
    <row r="71" spans="1:10" s="66" customFormat="1" ht="15" customHeight="1">
      <c r="A71" s="226">
        <v>11</v>
      </c>
      <c r="B71" s="227" t="str">
        <f>VLOOKUP(OverzichtGlas[[#This Row],[Code Locatie]],Locaties[],2,0)</f>
        <v>De Bouwsteen / Het Fundament</v>
      </c>
      <c r="C71" s="229">
        <v>1</v>
      </c>
      <c r="D71" s="228" t="str">
        <f>IF(Glasbewassing!$C71&gt;0,VLOOKUP(Glasbewassing!$C71,$A$8:$B$20,2,FALSE),"Hier vult u de inzet van eventuele hoogwerkers in")</f>
        <v>Gevelglas binnenzijde</v>
      </c>
      <c r="E71" s="229">
        <v>405</v>
      </c>
      <c r="F71" s="229">
        <v>2</v>
      </c>
      <c r="G71" s="264">
        <f>IF(C71&gt;0,VLOOKUP(OverzichtGlas[[#This Row],[Code taak]],InvulGlas[],3,0)*E71*F71,0)</f>
        <v>0</v>
      </c>
      <c r="H71" s="226"/>
      <c r="I71" s="226"/>
      <c r="J71" s="263"/>
    </row>
    <row r="72" spans="1:10" s="66" customFormat="1" ht="15" customHeight="1">
      <c r="A72" s="226">
        <v>11</v>
      </c>
      <c r="B72" s="227" t="str">
        <f>VLOOKUP(OverzichtGlas[[#This Row],[Code Locatie]],Locaties[],2,0)</f>
        <v>De Bouwsteen / Het Fundament</v>
      </c>
      <c r="C72" s="229">
        <v>2</v>
      </c>
      <c r="D72" s="228" t="str">
        <f>IF(Glasbewassing!$C72&gt;0,VLOOKUP(Glasbewassing!$C72,$A$8:$B$20,2,FALSE),"Hier vult u de inzet van eventuele hoogwerkers in")</f>
        <v>Gevelglas buitenzijde</v>
      </c>
      <c r="E72" s="229">
        <v>405</v>
      </c>
      <c r="F72" s="229">
        <v>2</v>
      </c>
      <c r="G72" s="264">
        <f>IF(C72&gt;0,VLOOKUP(OverzichtGlas[[#This Row],[Code taak]],InvulGlas[],3,0)*E72*F72,0)</f>
        <v>0</v>
      </c>
      <c r="H72" s="226"/>
      <c r="I72" s="226"/>
      <c r="J72" s="263"/>
    </row>
    <row r="73" spans="1:10" s="66" customFormat="1" ht="15" customHeight="1">
      <c r="A73" s="226">
        <v>11</v>
      </c>
      <c r="B73" s="227" t="str">
        <f>VLOOKUP(OverzichtGlas[[#This Row],[Code Locatie]],Locaties[],2,0)</f>
        <v>De Bouwsteen / Het Fundament</v>
      </c>
      <c r="C73" s="229">
        <v>3</v>
      </c>
      <c r="D73" s="228" t="str">
        <f>IF(Glasbewassing!$C73&gt;0,VLOOKUP(Glasbewassing!$C73,$A$8:$B$20,2,FALSE),"Hier vult u de inzet van eventuele hoogwerkers in")</f>
        <v>Separatieglas (enkel gemeten, dubbel te wassen)</v>
      </c>
      <c r="E73" s="229">
        <v>86</v>
      </c>
      <c r="F73" s="229">
        <v>2</v>
      </c>
      <c r="G73" s="264">
        <f>IF(C73&gt;0,VLOOKUP(OverzichtGlas[[#This Row],[Code taak]],InvulGlas[],3,0)*E73*F73,0)</f>
        <v>0</v>
      </c>
      <c r="H73" s="226"/>
      <c r="I73" s="226"/>
      <c r="J73" s="263"/>
    </row>
    <row r="74" spans="1:10" s="66" customFormat="1" ht="15" customHeight="1">
      <c r="A74" s="226">
        <v>11</v>
      </c>
      <c r="B74" s="227" t="str">
        <f>VLOOKUP(OverzichtGlas[[#This Row],[Code Locatie]],Locaties[],2,0)</f>
        <v>De Bouwsteen / Het Fundament</v>
      </c>
      <c r="C74" s="211"/>
      <c r="D74" s="228" t="str">
        <f>IF(Glasbewassing!$C74&gt;0,VLOOKUP(Glasbewassing!$C74,$A$8:$B$20,2,FALSE),"Hier vult u de inzet van eventuele hoogwerkers in")</f>
        <v>Hier vult u de inzet van eventuele hoogwerkers in</v>
      </c>
      <c r="E74" s="211"/>
      <c r="F74" s="229">
        <v>2</v>
      </c>
      <c r="G74" s="264">
        <f>IF(C74&gt;0,VLOOKUP(OverzichtGlas[[#This Row],[Code taak]],InvulGlas[],3,0)*E74*F74,0)</f>
        <v>0</v>
      </c>
      <c r="H74" s="226"/>
      <c r="I74" s="226"/>
      <c r="J74" s="263"/>
    </row>
    <row r="75" spans="1:10" s="66" customFormat="1" ht="15" customHeight="1">
      <c r="A75" s="226">
        <v>12</v>
      </c>
      <c r="B75" s="227" t="str">
        <f>VLOOKUP(OverzichtGlas[[#This Row],[Code Locatie]],Locaties[],2,0)</f>
        <v>Onderwijscentrum Het Roessingh &amp; De Huifkar</v>
      </c>
      <c r="C75" s="229">
        <v>1</v>
      </c>
      <c r="D75" s="228" t="str">
        <f>IF(Glasbewassing!$C75&gt;0,VLOOKUP(Glasbewassing!$C75,$A$8:$B$20,2,FALSE),"Hier vult u de inzet van eventuele hoogwerkers in")</f>
        <v>Gevelglas binnenzijde</v>
      </c>
      <c r="E75" s="229">
        <v>1296</v>
      </c>
      <c r="F75" s="229">
        <v>2</v>
      </c>
      <c r="G75" s="264">
        <f>IF(C75&gt;0,VLOOKUP(OverzichtGlas[[#This Row],[Code taak]],InvulGlas[],3,0)*E75*F75,0)</f>
        <v>0</v>
      </c>
      <c r="H75" s="226"/>
      <c r="I75" s="226"/>
      <c r="J75" s="263"/>
    </row>
    <row r="76" spans="1:10" s="66" customFormat="1" ht="15" customHeight="1">
      <c r="A76" s="226">
        <v>12</v>
      </c>
      <c r="B76" s="227" t="str">
        <f>VLOOKUP(OverzichtGlas[[#This Row],[Code Locatie]],Locaties[],2,0)</f>
        <v>Onderwijscentrum Het Roessingh &amp; De Huifkar</v>
      </c>
      <c r="C76" s="229">
        <v>2</v>
      </c>
      <c r="D76" s="228" t="str">
        <f>IF(Glasbewassing!$C76&gt;0,VLOOKUP(Glasbewassing!$C76,$A$8:$B$20,2,FALSE),"Hier vult u de inzet van eventuele hoogwerkers in")</f>
        <v>Gevelglas buitenzijde</v>
      </c>
      <c r="E76" s="229">
        <v>1296</v>
      </c>
      <c r="F76" s="229">
        <v>2</v>
      </c>
      <c r="G76" s="264">
        <f>IF(C76&gt;0,VLOOKUP(OverzichtGlas[[#This Row],[Code taak]],InvulGlas[],3,0)*E76*F76,0)</f>
        <v>0</v>
      </c>
      <c r="H76" s="226"/>
      <c r="I76" s="226"/>
      <c r="J76" s="263"/>
    </row>
    <row r="77" spans="1:10" s="66" customFormat="1" ht="15" customHeight="1">
      <c r="A77" s="226">
        <v>12</v>
      </c>
      <c r="B77" s="227" t="str">
        <f>VLOOKUP(OverzichtGlas[[#This Row],[Code Locatie]],Locaties[],2,0)</f>
        <v>Onderwijscentrum Het Roessingh &amp; De Huifkar</v>
      </c>
      <c r="C77" s="229">
        <v>3</v>
      </c>
      <c r="D77" s="228" t="str">
        <f>IF(Glasbewassing!$C77&gt;0,VLOOKUP(Glasbewassing!$C77,$A$8:$B$20,2,FALSE),"Hier vult u de inzet van eventuele hoogwerkers in")</f>
        <v>Separatieglas (enkel gemeten, dubbel te wassen)</v>
      </c>
      <c r="E77" s="229">
        <v>444.6</v>
      </c>
      <c r="F77" s="229">
        <v>2</v>
      </c>
      <c r="G77" s="264">
        <f>IF(C77&gt;0,VLOOKUP(OverzichtGlas[[#This Row],[Code taak]],InvulGlas[],3,0)*E77*F77,0)</f>
        <v>0</v>
      </c>
      <c r="H77" s="226"/>
      <c r="I77" s="226"/>
      <c r="J77" s="263"/>
    </row>
    <row r="78" spans="1:10" s="66" customFormat="1" ht="15" customHeight="1">
      <c r="A78" s="226">
        <v>12</v>
      </c>
      <c r="B78" s="227" t="str">
        <f>VLOOKUP(OverzichtGlas[[#This Row],[Code Locatie]],Locaties[],2,0)</f>
        <v>Onderwijscentrum Het Roessingh &amp; De Huifkar</v>
      </c>
      <c r="C78" s="211"/>
      <c r="D78" s="228" t="str">
        <f>IF(Glasbewassing!$C78&gt;0,VLOOKUP(Glasbewassing!$C78,$A$8:$B$20,2,FALSE),"Hier vult u de inzet van eventuele hoogwerkers in")</f>
        <v>Hier vult u de inzet van eventuele hoogwerkers in</v>
      </c>
      <c r="E78" s="211"/>
      <c r="F78" s="229">
        <v>2</v>
      </c>
      <c r="G78" s="264">
        <f>IF(C78&gt;0,VLOOKUP(OverzichtGlas[[#This Row],[Code taak]],InvulGlas[],3,0)*E78*F78,0)</f>
        <v>0</v>
      </c>
      <c r="H78" s="226"/>
      <c r="I78" s="226"/>
      <c r="J78" s="263"/>
    </row>
    <row r="79" spans="1:10" s="66" customFormat="1" ht="15" customHeight="1">
      <c r="A79" s="226">
        <v>13</v>
      </c>
      <c r="B79" s="227" t="str">
        <f>VLOOKUP(OverzichtGlas[[#This Row],[Code Locatie]],Locaties[],2,0)</f>
        <v>Neon College – Hengelo</v>
      </c>
      <c r="C79" s="229">
        <v>1</v>
      </c>
      <c r="D79" s="228" t="str">
        <f>IF(Glasbewassing!$C79&gt;0,VLOOKUP(Glasbewassing!$C79,$A$8:$B$20,2,FALSE),"Hier vult u de inzet van eventuele hoogwerkers in")</f>
        <v>Gevelglas binnenzijde</v>
      </c>
      <c r="E79" s="229">
        <v>358</v>
      </c>
      <c r="F79" s="229">
        <v>2</v>
      </c>
      <c r="G79" s="264">
        <f>IF(C79&gt;0,VLOOKUP(OverzichtGlas[[#This Row],[Code taak]],InvulGlas[],3,0)*E79*F79,0)</f>
        <v>0</v>
      </c>
      <c r="H79" s="226"/>
      <c r="I79" s="226"/>
      <c r="J79" s="263"/>
    </row>
    <row r="80" spans="1:10" s="66" customFormat="1" ht="15" customHeight="1">
      <c r="A80" s="226">
        <v>13</v>
      </c>
      <c r="B80" s="227" t="str">
        <f>VLOOKUP(OverzichtGlas[[#This Row],[Code Locatie]],Locaties[],2,0)</f>
        <v>Neon College – Hengelo</v>
      </c>
      <c r="C80" s="229">
        <v>2</v>
      </c>
      <c r="D80" s="228" t="str">
        <f>IF(Glasbewassing!$C80&gt;0,VLOOKUP(Glasbewassing!$C80,$A$8:$B$20,2,FALSE),"Hier vult u de inzet van eventuele hoogwerkers in")</f>
        <v>Gevelglas buitenzijde</v>
      </c>
      <c r="E80" s="229">
        <v>358</v>
      </c>
      <c r="F80" s="229">
        <v>2</v>
      </c>
      <c r="G80" s="264">
        <f>IF(C80&gt;0,VLOOKUP(OverzichtGlas[[#This Row],[Code taak]],InvulGlas[],3,0)*E80*F80,0)</f>
        <v>0</v>
      </c>
      <c r="H80" s="226"/>
      <c r="I80" s="226"/>
      <c r="J80" s="263"/>
    </row>
    <row r="81" spans="1:10" s="66" customFormat="1" ht="15" customHeight="1">
      <c r="A81" s="226">
        <v>13</v>
      </c>
      <c r="B81" s="227" t="str">
        <f>VLOOKUP(OverzichtGlas[[#This Row],[Code Locatie]],Locaties[],2,0)</f>
        <v>Neon College – Hengelo</v>
      </c>
      <c r="C81" s="229">
        <v>3</v>
      </c>
      <c r="D81" s="228" t="str">
        <f>IF(Glasbewassing!$C81&gt;0,VLOOKUP(Glasbewassing!$C81,$A$8:$B$20,2,FALSE),"Hier vult u de inzet van eventuele hoogwerkers in")</f>
        <v>Separatieglas (enkel gemeten, dubbel te wassen)</v>
      </c>
      <c r="E81" s="229">
        <v>68.7</v>
      </c>
      <c r="F81" s="229">
        <v>2</v>
      </c>
      <c r="G81" s="264">
        <f>IF(C81&gt;0,VLOOKUP(OverzichtGlas[[#This Row],[Code taak]],InvulGlas[],3,0)*E81*F81,0)</f>
        <v>0</v>
      </c>
      <c r="H81" s="226"/>
      <c r="I81" s="226"/>
      <c r="J81" s="263"/>
    </row>
    <row r="82" spans="1:10" s="66" customFormat="1" ht="15" customHeight="1">
      <c r="A82" s="226">
        <v>13</v>
      </c>
      <c r="B82" s="227" t="str">
        <f>VLOOKUP(OverzichtGlas[[#This Row],[Code Locatie]],Locaties[],2,0)</f>
        <v>Neon College – Hengelo</v>
      </c>
      <c r="C82" s="211"/>
      <c r="D82" s="228" t="str">
        <f>IF(Glasbewassing!$C82&gt;0,VLOOKUP(Glasbewassing!$C82,$A$8:$B$20,2,FALSE),"Hier vult u de inzet van eventuele hoogwerkers in")</f>
        <v>Hier vult u de inzet van eventuele hoogwerkers in</v>
      </c>
      <c r="E82" s="211"/>
      <c r="F82" s="229">
        <v>2</v>
      </c>
      <c r="G82" s="264">
        <f>IF(C82&gt;0,VLOOKUP(OverzichtGlas[[#This Row],[Code taak]],InvulGlas[],3,0)*E82*F82,0)</f>
        <v>0</v>
      </c>
      <c r="H82" s="226"/>
      <c r="I82" s="226"/>
      <c r="J82" s="263"/>
    </row>
    <row r="83" spans="1:10" s="66" customFormat="1" ht="15" customHeight="1">
      <c r="A83" s="226">
        <v>14</v>
      </c>
      <c r="B83" s="227" t="str">
        <f>VLOOKUP(OverzichtGlas[[#This Row],[Code Locatie]],Locaties[],2,0)</f>
        <v>De Meander</v>
      </c>
      <c r="C83" s="229">
        <v>1</v>
      </c>
      <c r="D83" s="228" t="str">
        <f>IF(Glasbewassing!$C83&gt;0,VLOOKUP(Glasbewassing!$C83,$A$8:$B$20,2,FALSE),"Hier vult u de inzet van eventuele hoogwerkers in")</f>
        <v>Gevelglas binnenzijde</v>
      </c>
      <c r="E83" s="229">
        <v>122</v>
      </c>
      <c r="F83" s="229">
        <v>2</v>
      </c>
      <c r="G83" s="264">
        <f>IF(C83&gt;0,VLOOKUP(OverzichtGlas[[#This Row],[Code taak]],InvulGlas[],3,0)*E83*F83,0)</f>
        <v>0</v>
      </c>
      <c r="H83" s="226"/>
      <c r="I83" s="226"/>
      <c r="J83" s="263"/>
    </row>
    <row r="84" spans="1:10" s="66" customFormat="1" ht="15" customHeight="1">
      <c r="A84" s="226">
        <v>14</v>
      </c>
      <c r="B84" s="227" t="str">
        <f>VLOOKUP(OverzichtGlas[[#This Row],[Code Locatie]],Locaties[],2,0)</f>
        <v>De Meander</v>
      </c>
      <c r="C84" s="229">
        <v>2</v>
      </c>
      <c r="D84" s="228" t="str">
        <f>IF(Glasbewassing!$C84&gt;0,VLOOKUP(Glasbewassing!$C84,$A$8:$B$20,2,FALSE),"Hier vult u de inzet van eventuele hoogwerkers in")</f>
        <v>Gevelglas buitenzijde</v>
      </c>
      <c r="E84" s="229">
        <v>122</v>
      </c>
      <c r="F84" s="229">
        <v>2</v>
      </c>
      <c r="G84" s="264">
        <f>IF(C84&gt;0,VLOOKUP(OverzichtGlas[[#This Row],[Code taak]],InvulGlas[],3,0)*E84*F84,0)</f>
        <v>0</v>
      </c>
      <c r="H84" s="226"/>
      <c r="I84" s="226"/>
      <c r="J84" s="263"/>
    </row>
    <row r="85" spans="1:10" s="66" customFormat="1" ht="15" customHeight="1">
      <c r="A85" s="226">
        <v>14</v>
      </c>
      <c r="B85" s="227" t="str">
        <f>VLOOKUP(OverzichtGlas[[#This Row],[Code Locatie]],Locaties[],2,0)</f>
        <v>De Meander</v>
      </c>
      <c r="C85" s="229">
        <v>3</v>
      </c>
      <c r="D85" s="228" t="str">
        <f>IF(Glasbewassing!$C85&gt;0,VLOOKUP(Glasbewassing!$C85,$A$8:$B$20,2,FALSE),"Hier vult u de inzet van eventuele hoogwerkers in")</f>
        <v>Separatieglas (enkel gemeten, dubbel te wassen)</v>
      </c>
      <c r="E85" s="229">
        <v>21</v>
      </c>
      <c r="F85" s="229">
        <v>2</v>
      </c>
      <c r="G85" s="264">
        <f>IF(C85&gt;0,VLOOKUP(OverzichtGlas[[#This Row],[Code taak]],InvulGlas[],3,0)*E85*F85,0)</f>
        <v>0</v>
      </c>
      <c r="H85" s="226"/>
      <c r="I85" s="226"/>
      <c r="J85" s="263"/>
    </row>
    <row r="86" spans="1:10" s="66" customFormat="1" ht="15" customHeight="1">
      <c r="A86" s="226">
        <v>14</v>
      </c>
      <c r="B86" s="227" t="str">
        <f>VLOOKUP(OverzichtGlas[[#This Row],[Code Locatie]],Locaties[],2,0)</f>
        <v>De Meander</v>
      </c>
      <c r="C86" s="211"/>
      <c r="D86" s="228" t="str">
        <f>IF(Glasbewassing!$C86&gt;0,VLOOKUP(Glasbewassing!$C86,$A$8:$B$20,2,FALSE),"Hier vult u de inzet van eventuele hoogwerkers in")</f>
        <v>Hier vult u de inzet van eventuele hoogwerkers in</v>
      </c>
      <c r="E86" s="211"/>
      <c r="F86" s="229">
        <v>2</v>
      </c>
      <c r="G86" s="264">
        <f>IF(C86&gt;0,VLOOKUP(OverzichtGlas[[#This Row],[Code taak]],InvulGlas[],3,0)*E86*F86,0)</f>
        <v>0</v>
      </c>
      <c r="H86" s="226"/>
      <c r="I86" s="226"/>
      <c r="J86" s="263"/>
    </row>
    <row r="87" spans="1:10" s="66" customFormat="1" ht="15" customHeight="1">
      <c r="A87" s="226">
        <v>15</v>
      </c>
      <c r="B87" s="227" t="str">
        <f>VLOOKUP(OverzichtGlas[[#This Row],[Code Locatie]],Locaties[],2,0)</f>
        <v>Gymzaal Lijsterstraat</v>
      </c>
      <c r="C87" s="229">
        <v>1</v>
      </c>
      <c r="D87" s="228" t="str">
        <f>IF(Glasbewassing!$C87&gt;0,VLOOKUP(Glasbewassing!$C87,$A$8:$B$20,2,FALSE),"Hier vult u de inzet van eventuele hoogwerkers in")</f>
        <v>Gevelglas binnenzijde</v>
      </c>
      <c r="E87" s="229">
        <v>75</v>
      </c>
      <c r="F87" s="229">
        <v>2</v>
      </c>
      <c r="G87" s="264">
        <f>IF(C87&gt;0,VLOOKUP(OverzichtGlas[[#This Row],[Code taak]],InvulGlas[],3,0)*E87*F87,0)</f>
        <v>0</v>
      </c>
      <c r="H87" s="226"/>
      <c r="I87" s="226"/>
      <c r="J87" s="263"/>
    </row>
    <row r="88" spans="1:10" s="66" customFormat="1" ht="15" customHeight="1">
      <c r="A88" s="226">
        <v>15</v>
      </c>
      <c r="B88" s="227" t="str">
        <f>VLOOKUP(OverzichtGlas[[#This Row],[Code Locatie]],Locaties[],2,0)</f>
        <v>Gymzaal Lijsterstraat</v>
      </c>
      <c r="C88" s="229">
        <v>2</v>
      </c>
      <c r="D88" s="228" t="str">
        <f>IF(Glasbewassing!$C88&gt;0,VLOOKUP(Glasbewassing!$C88,$A$8:$B$20,2,FALSE),"Hier vult u de inzet van eventuele hoogwerkers in")</f>
        <v>Gevelglas buitenzijde</v>
      </c>
      <c r="E88" s="229">
        <v>75</v>
      </c>
      <c r="F88" s="229">
        <v>2</v>
      </c>
      <c r="G88" s="264">
        <f>IF(C88&gt;0,VLOOKUP(OverzichtGlas[[#This Row],[Code taak]],InvulGlas[],3,0)*E88*F88,0)</f>
        <v>0</v>
      </c>
      <c r="H88" s="226"/>
      <c r="I88" s="226"/>
      <c r="J88" s="263"/>
    </row>
    <row r="89" spans="1:10" s="66" customFormat="1" ht="15" customHeight="1">
      <c r="A89" s="226">
        <v>15</v>
      </c>
      <c r="B89" s="227" t="str">
        <f>VLOOKUP(OverzichtGlas[[#This Row],[Code Locatie]],Locaties[],2,0)</f>
        <v>Gymzaal Lijsterstraat</v>
      </c>
      <c r="C89" s="211"/>
      <c r="D89" s="228" t="str">
        <f>IF(Glasbewassing!$C89&gt;0,VLOOKUP(Glasbewassing!$C89,$A$8:$B$20,2,FALSE),"Hier vult u de inzet van eventuele hoogwerkers in")</f>
        <v>Hier vult u de inzet van eventuele hoogwerkers in</v>
      </c>
      <c r="E89" s="211"/>
      <c r="F89" s="229">
        <v>2</v>
      </c>
      <c r="G89" s="264">
        <f>IF(C89&gt;0,VLOOKUP(OverzichtGlas[[#This Row],[Code taak]],InvulGlas[],3,0)*E89*F89,0)</f>
        <v>0</v>
      </c>
      <c r="H89" s="226"/>
      <c r="I89" s="226"/>
      <c r="J89" s="263"/>
    </row>
    <row r="90" spans="1:10" s="66" customFormat="1" ht="15" customHeight="1">
      <c r="A90" s="226">
        <v>16</v>
      </c>
      <c r="B90" s="227" t="str">
        <f>VLOOKUP(OverzichtGlas[[#This Row],[Code Locatie]],Locaties[],2,0)</f>
        <v>Hassinkweg</v>
      </c>
      <c r="C90" s="229">
        <v>1</v>
      </c>
      <c r="D90" s="228" t="str">
        <f>IF(Glasbewassing!$C90&gt;0,VLOOKUP(Glasbewassing!$C90,$A$8:$B$20,2,FALSE),"Hier vult u de inzet van eventuele hoogwerkers in")</f>
        <v>Gevelglas binnenzijde</v>
      </c>
      <c r="E90" s="229">
        <v>110.3</v>
      </c>
      <c r="F90" s="229">
        <v>2</v>
      </c>
      <c r="G90" s="264">
        <f>IF(C90&gt;0,VLOOKUP(OverzichtGlas[[#This Row],[Code taak]],InvulGlas[],3,0)*E90*F90,0)</f>
        <v>0</v>
      </c>
      <c r="H90" s="226"/>
      <c r="I90" s="226"/>
      <c r="J90" s="263"/>
    </row>
    <row r="91" spans="1:10" s="66" customFormat="1" ht="15" customHeight="1">
      <c r="A91" s="226">
        <v>16</v>
      </c>
      <c r="B91" s="227" t="str">
        <f>VLOOKUP(OverzichtGlas[[#This Row],[Code Locatie]],Locaties[],2,0)</f>
        <v>Hassinkweg</v>
      </c>
      <c r="C91" s="229">
        <v>2</v>
      </c>
      <c r="D91" s="228" t="str">
        <f>IF(Glasbewassing!$C91&gt;0,VLOOKUP(Glasbewassing!$C91,$A$8:$B$20,2,FALSE),"Hier vult u de inzet van eventuele hoogwerkers in")</f>
        <v>Gevelglas buitenzijde</v>
      </c>
      <c r="E91" s="229">
        <v>110.3</v>
      </c>
      <c r="F91" s="229">
        <v>2</v>
      </c>
      <c r="G91" s="264">
        <f>IF(C91&gt;0,VLOOKUP(OverzichtGlas[[#This Row],[Code taak]],InvulGlas[],3,0)*E91*F91,0)</f>
        <v>0</v>
      </c>
      <c r="H91" s="226"/>
      <c r="I91" s="226"/>
      <c r="J91" s="263"/>
    </row>
    <row r="92" spans="1:10" s="66" customFormat="1" ht="15" customHeight="1">
      <c r="A92" s="226">
        <v>16</v>
      </c>
      <c r="B92" s="227" t="str">
        <f>VLOOKUP(OverzichtGlas[[#This Row],[Code Locatie]],Locaties[],2,0)</f>
        <v>Hassinkweg</v>
      </c>
      <c r="C92" s="229">
        <v>3</v>
      </c>
      <c r="D92" s="228" t="str">
        <f>IF(Glasbewassing!$C92&gt;0,VLOOKUP(Glasbewassing!$C92,$A$8:$B$20,2,FALSE),"Hier vult u de inzet van eventuele hoogwerkers in")</f>
        <v>Separatieglas (enkel gemeten, dubbel te wassen)</v>
      </c>
      <c r="E92" s="229">
        <v>66.8</v>
      </c>
      <c r="F92" s="229">
        <v>2</v>
      </c>
      <c r="G92" s="264">
        <f>IF(C92&gt;0,VLOOKUP(OverzichtGlas[[#This Row],[Code taak]],InvulGlas[],3,0)*E92*F92,0)</f>
        <v>0</v>
      </c>
      <c r="H92" s="226"/>
      <c r="I92" s="226"/>
      <c r="J92" s="263"/>
    </row>
    <row r="93" spans="1:10" s="66" customFormat="1" ht="15" customHeight="1">
      <c r="A93" s="226">
        <v>16</v>
      </c>
      <c r="B93" s="227" t="str">
        <f>VLOOKUP(OverzichtGlas[[#This Row],[Code Locatie]],Locaties[],2,0)</f>
        <v>Hassinkweg</v>
      </c>
      <c r="C93" s="229">
        <v>7</v>
      </c>
      <c r="D93" s="228" t="str">
        <f>IF(Glasbewassing!$C93&gt;0,VLOOKUP(Glasbewassing!$C93,$A$8:$B$20,2,FALSE),"Hier vult u de inzet van eventuele hoogwerkers in")</f>
        <v>Gevelglas</v>
      </c>
      <c r="E93" s="229">
        <v>20</v>
      </c>
      <c r="F93" s="229">
        <v>2</v>
      </c>
      <c r="G93" s="264">
        <f>IF(C93&gt;0,VLOOKUP(OverzichtGlas[[#This Row],[Code taak]],InvulGlas[],3,0)*E93*F93,0)</f>
        <v>0</v>
      </c>
      <c r="H93" s="226"/>
      <c r="I93" s="226"/>
      <c r="J93" s="263"/>
    </row>
    <row r="94" spans="1:10" s="66" customFormat="1" ht="15" customHeight="1">
      <c r="A94" s="226">
        <v>16</v>
      </c>
      <c r="B94" s="227" t="str">
        <f>VLOOKUP(OverzichtGlas[[#This Row],[Code Locatie]],Locaties[],2,0)</f>
        <v>Hassinkweg</v>
      </c>
      <c r="C94" s="211"/>
      <c r="D94" s="228" t="str">
        <f>IF(Glasbewassing!$C94&gt;0,VLOOKUP(Glasbewassing!$C94,$A$8:$B$20,2,FALSE),"Hier vult u de inzet van eventuele hoogwerkers in")</f>
        <v>Hier vult u de inzet van eventuele hoogwerkers in</v>
      </c>
      <c r="E94" s="211"/>
      <c r="F94" s="229">
        <v>2</v>
      </c>
      <c r="G94" s="264">
        <f>IF(C94&gt;0,VLOOKUP(OverzichtGlas[[#This Row],[Code taak]],InvulGlas[],3,0)*E94*F94,0)</f>
        <v>0</v>
      </c>
      <c r="H94" s="226"/>
      <c r="I94" s="226"/>
      <c r="J94" s="263"/>
    </row>
    <row r="95" spans="1:10" s="66" customFormat="1" ht="15" customHeight="1">
      <c r="A95" s="226">
        <v>17</v>
      </c>
      <c r="B95" s="227" t="str">
        <f>VLOOKUP(OverzichtGlas[[#This Row],[Code Locatie]],Locaties[],2,0)</f>
        <v>Mota</v>
      </c>
      <c r="C95" s="229">
        <v>1</v>
      </c>
      <c r="D95" s="228" t="str">
        <f>IF(Glasbewassing!$C95&gt;0,VLOOKUP(Glasbewassing!$C95,$A$8:$B$20,2,FALSE),"Hier vult u de inzet van eventuele hoogwerkers in")</f>
        <v>Gevelglas binnenzijde</v>
      </c>
      <c r="E95" s="229"/>
      <c r="F95" s="229"/>
      <c r="G95" s="264">
        <f>IF(C95&gt;0,VLOOKUP(OverzichtGlas[[#This Row],[Code taak]],InvulGlas[],3,0)*E95*F95,0)</f>
        <v>0</v>
      </c>
      <c r="H95" s="226"/>
      <c r="I95" s="226"/>
      <c r="J95" s="263"/>
    </row>
    <row r="96" spans="1:10" s="66" customFormat="1" ht="15" customHeight="1">
      <c r="A96" s="226">
        <v>17</v>
      </c>
      <c r="B96" s="227" t="str">
        <f>VLOOKUP(OverzichtGlas[[#This Row],[Code Locatie]],Locaties[],2,0)</f>
        <v>Mota</v>
      </c>
      <c r="C96" s="229">
        <v>2</v>
      </c>
      <c r="D96" s="228" t="str">
        <f>IF(Glasbewassing!$C96&gt;0,VLOOKUP(Glasbewassing!$C96,$A$8:$B$20,2,FALSE),"Hier vult u de inzet van eventuele hoogwerkers in")</f>
        <v>Gevelglas buitenzijde</v>
      </c>
      <c r="E96" s="229"/>
      <c r="F96" s="229"/>
      <c r="G96" s="264">
        <f>IF(C96&gt;0,VLOOKUP(OverzichtGlas[[#This Row],[Code taak]],InvulGlas[],3,0)*E96*F96,0)</f>
        <v>0</v>
      </c>
      <c r="H96" s="226"/>
      <c r="I96" s="226"/>
      <c r="J96" s="263"/>
    </row>
    <row r="97" spans="1:10" s="66" customFormat="1" ht="15" customHeight="1">
      <c r="A97" s="226">
        <v>17</v>
      </c>
      <c r="B97" s="227" t="str">
        <f>VLOOKUP(OverzichtGlas[[#This Row],[Code Locatie]],Locaties[],2,0)</f>
        <v>Mota</v>
      </c>
      <c r="C97" s="229">
        <v>3</v>
      </c>
      <c r="D97" s="228" t="str">
        <f>IF(Glasbewassing!$C97&gt;0,VLOOKUP(Glasbewassing!$C97,$A$8:$B$20,2,FALSE),"Hier vult u de inzet van eventuele hoogwerkers in")</f>
        <v>Separatieglas (enkel gemeten, dubbel te wassen)</v>
      </c>
      <c r="E97" s="229"/>
      <c r="F97" s="229"/>
      <c r="G97" s="264">
        <f>IF(C97&gt;0,VLOOKUP(OverzichtGlas[[#This Row],[Code taak]],InvulGlas[],3,0)*E97*F97,0)</f>
        <v>0</v>
      </c>
      <c r="H97" s="226"/>
      <c r="I97" s="226"/>
      <c r="J97" s="263"/>
    </row>
    <row r="98" spans="1:10" s="66" customFormat="1" ht="15" customHeight="1">
      <c r="A98" s="226">
        <v>17</v>
      </c>
      <c r="B98" s="227" t="str">
        <f>VLOOKUP(OverzichtGlas[[#This Row],[Code Locatie]],Locaties[],2,0)</f>
        <v>Mota</v>
      </c>
      <c r="C98" s="229">
        <v>8</v>
      </c>
      <c r="D98" s="228" t="str">
        <f>IF(Glasbewassing!$C98&gt;0,VLOOKUP(Glasbewassing!$C98,$A$8:$B$20,2,FALSE),"Hier vult u de inzet van eventuele hoogwerkers in")</f>
        <v>glazen bouwstenen</v>
      </c>
      <c r="E98" s="229"/>
      <c r="F98" s="229"/>
      <c r="G98" s="264">
        <f>IF(C98&gt;0,VLOOKUP(OverzichtGlas[[#This Row],[Code taak]],InvulGlas[],3,0)*E98*F98,0)</f>
        <v>0</v>
      </c>
      <c r="H98" s="226"/>
      <c r="I98" s="226"/>
      <c r="J98" s="263"/>
    </row>
    <row r="99" spans="1:10" s="66" customFormat="1" ht="15" customHeight="1">
      <c r="A99" s="226">
        <v>17</v>
      </c>
      <c r="B99" s="227" t="str">
        <f>VLOOKUP(OverzichtGlas[[#This Row],[Code Locatie]],Locaties[],2,0)</f>
        <v>Mota</v>
      </c>
      <c r="C99" s="211"/>
      <c r="D99" s="228" t="str">
        <f>IF(Glasbewassing!$C99&gt;0,VLOOKUP(Glasbewassing!$C99,$A$8:$B$20,2,FALSE),"Hier vult u de inzet van eventuele hoogwerkers in")</f>
        <v>Hier vult u de inzet van eventuele hoogwerkers in</v>
      </c>
      <c r="E99" s="211"/>
      <c r="F99" s="229"/>
      <c r="G99" s="264">
        <f>IF(C99&gt;0,VLOOKUP(OverzichtGlas[[#This Row],[Code taak]],InvulGlas[],3,0)*E99*F99,0)</f>
        <v>0</v>
      </c>
      <c r="H99" s="226"/>
      <c r="I99" s="226"/>
      <c r="J99" s="263"/>
    </row>
    <row r="100" spans="1:10" ht="15" customHeight="1">
      <c r="A100" s="149" t="s">
        <v>33</v>
      </c>
      <c r="B100" s="150"/>
      <c r="C100" s="149"/>
      <c r="D100" s="151"/>
      <c r="E100" s="149"/>
      <c r="F100" s="149"/>
      <c r="G100" s="152">
        <f>SUBTOTAL(109,OverzichtGlas[Kosten/jaar excl. BTW])</f>
        <v>0</v>
      </c>
      <c r="H100" s="149"/>
      <c r="I100" s="149"/>
    </row>
    <row r="101" spans="1:10" ht="15" customHeight="1">
      <c r="C101" s="21"/>
      <c r="D101" s="4"/>
    </row>
    <row r="102" spans="1:10" ht="15" customHeight="1">
      <c r="C102" s="21"/>
      <c r="D102" s="4"/>
    </row>
    <row r="103" spans="1:10" ht="15" customHeight="1">
      <c r="C103" s="21"/>
      <c r="D103" s="4"/>
    </row>
    <row r="104" spans="1:10" ht="15" customHeight="1">
      <c r="C104" s="21"/>
      <c r="D104" s="4"/>
    </row>
    <row r="105" spans="1:10" ht="15" customHeight="1">
      <c r="C105" s="21"/>
      <c r="D105" s="4"/>
    </row>
    <row r="106" spans="1:10" ht="15" customHeight="1">
      <c r="C106" s="21"/>
      <c r="D106" s="4"/>
    </row>
    <row r="107" spans="1:10" ht="15" customHeight="1">
      <c r="C107" s="21"/>
      <c r="D107" s="4"/>
    </row>
    <row r="108" spans="1:10" ht="15" customHeight="1">
      <c r="C108" s="21"/>
      <c r="D108" s="4"/>
    </row>
    <row r="109" spans="1:10" ht="15" customHeight="1">
      <c r="C109" s="21"/>
      <c r="D109" s="4"/>
    </row>
    <row r="110" spans="1:10" ht="15" customHeight="1">
      <c r="C110" s="21"/>
      <c r="D110" s="4"/>
    </row>
    <row r="111" spans="1:10" ht="15" customHeight="1">
      <c r="C111" s="21"/>
      <c r="D111" s="4"/>
    </row>
    <row r="112" spans="1:10" ht="15" customHeight="1">
      <c r="C112" s="21"/>
      <c r="D112" s="4"/>
    </row>
    <row r="113" spans="3:4" ht="15" customHeight="1">
      <c r="C113" s="21"/>
      <c r="D113" s="4"/>
    </row>
    <row r="114" spans="3:4" ht="15" customHeight="1">
      <c r="C114" s="21"/>
      <c r="D114" s="4"/>
    </row>
    <row r="115" spans="3:4" ht="15" customHeight="1">
      <c r="C115" s="21"/>
      <c r="D115" s="4"/>
    </row>
    <row r="116" spans="3:4" ht="15" customHeight="1">
      <c r="C116" s="21"/>
      <c r="D116" s="4"/>
    </row>
    <row r="117" spans="3:4" ht="15" customHeight="1">
      <c r="C117" s="21"/>
      <c r="D117" s="4"/>
    </row>
    <row r="118" spans="3:4" ht="15" customHeight="1">
      <c r="C118" s="21"/>
      <c r="D118" s="4"/>
    </row>
    <row r="119" spans="3:4" ht="15" customHeight="1">
      <c r="C119" s="21"/>
      <c r="D119" s="4"/>
    </row>
    <row r="120" spans="3:4" ht="15" customHeight="1">
      <c r="C120" s="21"/>
      <c r="D120" s="4"/>
    </row>
    <row r="121" spans="3:4" ht="15" customHeight="1">
      <c r="C121" s="21"/>
      <c r="D121" s="4"/>
    </row>
    <row r="122" spans="3:4" ht="15" customHeight="1">
      <c r="C122" s="21"/>
      <c r="D122" s="4"/>
    </row>
    <row r="123" spans="3:4" ht="15" customHeight="1">
      <c r="C123" s="21"/>
      <c r="D123" s="4"/>
    </row>
    <row r="124" spans="3:4" ht="15" customHeight="1">
      <c r="C124" s="21"/>
      <c r="D124" s="4"/>
    </row>
    <row r="125" spans="3:4" ht="15" customHeight="1">
      <c r="C125" s="21"/>
      <c r="D125" s="4"/>
    </row>
    <row r="126" spans="3:4" ht="15" customHeight="1">
      <c r="C126" s="21"/>
      <c r="D126" s="4"/>
    </row>
    <row r="127" spans="3:4" ht="15" customHeight="1">
      <c r="C127" s="21"/>
      <c r="D127" s="4"/>
    </row>
    <row r="128" spans="3:4" ht="15" customHeight="1">
      <c r="C128" s="21"/>
      <c r="D128" s="4"/>
    </row>
    <row r="129" spans="3:4" ht="15" customHeight="1">
      <c r="C129" s="21"/>
      <c r="D129" s="4"/>
    </row>
    <row r="130" spans="3:4" ht="15" customHeight="1">
      <c r="C130" s="21"/>
      <c r="D130" s="4"/>
    </row>
    <row r="131" spans="3:4" ht="15" customHeight="1">
      <c r="C131" s="21"/>
      <c r="D131" s="4"/>
    </row>
    <row r="132" spans="3:4" ht="15" customHeight="1">
      <c r="C132" s="21"/>
      <c r="D132" s="4"/>
    </row>
    <row r="133" spans="3:4" ht="15" customHeight="1">
      <c r="C133" s="21"/>
      <c r="D133" s="4"/>
    </row>
    <row r="134" spans="3:4" ht="15" customHeight="1">
      <c r="C134" s="21"/>
      <c r="D134" s="4"/>
    </row>
    <row r="135" spans="3:4" ht="15" customHeight="1">
      <c r="C135" s="21"/>
      <c r="D135" s="4"/>
    </row>
    <row r="136" spans="3:4" ht="15" customHeight="1">
      <c r="C136" s="21"/>
      <c r="D136" s="4"/>
    </row>
    <row r="137" spans="3:4" ht="15" customHeight="1">
      <c r="C137" s="21"/>
      <c r="D137" s="4"/>
    </row>
    <row r="138" spans="3:4" ht="15" customHeight="1">
      <c r="C138" s="21"/>
      <c r="D138" s="4"/>
    </row>
    <row r="139" spans="3:4" ht="15" customHeight="1">
      <c r="C139" s="21"/>
      <c r="D139" s="4"/>
    </row>
    <row r="140" spans="3:4" ht="15" customHeight="1">
      <c r="C140" s="21"/>
      <c r="D140" s="4"/>
    </row>
    <row r="141" spans="3:4" ht="15" customHeight="1">
      <c r="C141" s="21"/>
      <c r="D141" s="4"/>
    </row>
    <row r="142" spans="3:4" ht="15" customHeight="1">
      <c r="C142" s="21"/>
      <c r="D142" s="4"/>
    </row>
    <row r="143" spans="3:4" ht="15" customHeight="1">
      <c r="C143" s="21"/>
      <c r="D143" s="4"/>
    </row>
    <row r="144" spans="3:4" ht="15" customHeight="1">
      <c r="C144" s="21"/>
      <c r="D144" s="4"/>
    </row>
    <row r="145" spans="3:4" ht="15" customHeight="1">
      <c r="C145" s="21"/>
      <c r="D145" s="4"/>
    </row>
    <row r="146" spans="3:4" ht="15" customHeight="1">
      <c r="C146" s="21"/>
      <c r="D146" s="4"/>
    </row>
    <row r="147" spans="3:4" ht="15" customHeight="1">
      <c r="C147" s="21"/>
      <c r="D147" s="4"/>
    </row>
    <row r="148" spans="3:4" ht="15" customHeight="1">
      <c r="C148" s="21"/>
      <c r="D148" s="4"/>
    </row>
    <row r="149" spans="3:4" ht="15" customHeight="1">
      <c r="C149" s="21"/>
      <c r="D149" s="4"/>
    </row>
    <row r="150" spans="3:4" ht="15" customHeight="1">
      <c r="C150" s="21"/>
      <c r="D150" s="4"/>
    </row>
    <row r="151" spans="3:4" ht="15" customHeight="1">
      <c r="C151" s="21"/>
      <c r="D151" s="4"/>
    </row>
    <row r="152" spans="3:4" ht="15" customHeight="1">
      <c r="C152" s="21"/>
      <c r="D152" s="4"/>
    </row>
    <row r="153" spans="3:4" ht="15" customHeight="1">
      <c r="C153" s="21"/>
      <c r="D153" s="4"/>
    </row>
    <row r="154" spans="3:4" ht="15" customHeight="1">
      <c r="C154" s="21"/>
      <c r="D154" s="4"/>
    </row>
    <row r="155" spans="3:4" ht="15" customHeight="1">
      <c r="C155" s="21"/>
      <c r="D155" s="4"/>
    </row>
    <row r="156" spans="3:4" ht="15" customHeight="1">
      <c r="C156" s="21"/>
      <c r="D156" s="4"/>
    </row>
    <row r="157" spans="3:4" ht="15" customHeight="1">
      <c r="C157" s="21"/>
      <c r="D157" s="4"/>
    </row>
    <row r="158" spans="3:4" ht="15" customHeight="1">
      <c r="C158" s="21"/>
      <c r="D158" s="4"/>
    </row>
    <row r="159" spans="3:4" ht="15" customHeight="1">
      <c r="C159" s="21"/>
      <c r="D159" s="4"/>
    </row>
    <row r="160" spans="3:4" ht="15" customHeight="1">
      <c r="C160" s="21"/>
      <c r="D160" s="4"/>
    </row>
    <row r="161" spans="3:4" ht="15" customHeight="1">
      <c r="C161" s="21"/>
      <c r="D161" s="4"/>
    </row>
    <row r="162" spans="3:4" ht="15" customHeight="1">
      <c r="C162" s="21"/>
      <c r="D162" s="4"/>
    </row>
    <row r="163" spans="3:4" ht="15" customHeight="1">
      <c r="C163" s="21"/>
      <c r="D163" s="4"/>
    </row>
    <row r="164" spans="3:4" ht="15" customHeight="1">
      <c r="C164" s="21"/>
      <c r="D164" s="4"/>
    </row>
    <row r="165" spans="3:4" ht="15" customHeight="1">
      <c r="C165" s="21"/>
      <c r="D165" s="4"/>
    </row>
    <row r="166" spans="3:4" ht="15" customHeight="1">
      <c r="C166" s="21"/>
      <c r="D166" s="4"/>
    </row>
    <row r="167" spans="3:4" ht="15" customHeight="1">
      <c r="C167" s="21"/>
      <c r="D167" s="4"/>
    </row>
    <row r="168" spans="3:4" ht="15" customHeight="1">
      <c r="C168" s="21"/>
      <c r="D168" s="4"/>
    </row>
    <row r="169" spans="3:4" ht="15" customHeight="1">
      <c r="C169" s="21"/>
      <c r="D169" s="4"/>
    </row>
    <row r="170" spans="3:4" ht="15" customHeight="1">
      <c r="C170" s="21"/>
      <c r="D170" s="4"/>
    </row>
  </sheetData>
  <mergeCells count="3">
    <mergeCell ref="A2:G2"/>
    <mergeCell ref="A1:G1"/>
    <mergeCell ref="E7:I7"/>
  </mergeCells>
  <phoneticPr fontId="20" type="noConversion"/>
  <pageMargins left="0.70866141732283472" right="0.70866141732283472" top="0.35433070866141736" bottom="0.47244094488188981" header="0.31496062992125984" footer="0.31496062992125984"/>
  <pageSetup paperSize="9" scale="41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139"/>
  <sheetViews>
    <sheetView showGridLines="0" view="pageBreakPreview" zoomScaleNormal="100" zoomScaleSheetLayoutView="100" workbookViewId="0">
      <selection activeCell="F9" sqref="F9"/>
    </sheetView>
  </sheetViews>
  <sheetFormatPr defaultColWidth="9.1328125" defaultRowHeight="15" customHeight="1"/>
  <cols>
    <col min="1" max="1" width="9.73046875" style="271" customWidth="1"/>
    <col min="2" max="2" width="38.3984375" style="4" bestFit="1" customWidth="1"/>
    <col min="3" max="3" width="14.86328125" style="21" customWidth="1"/>
    <col min="4" max="4" width="59.86328125" style="4" bestFit="1" customWidth="1"/>
    <col min="5" max="5" width="17.73046875" style="4" bestFit="1" customWidth="1"/>
    <col min="6" max="6" width="17.73046875" style="144" bestFit="1" customWidth="1"/>
    <col min="7" max="7" width="17.73046875" style="4" bestFit="1" customWidth="1"/>
    <col min="8" max="8" width="18" style="4" bestFit="1" customWidth="1"/>
    <col min="9" max="9" width="23.3984375" style="4" bestFit="1" customWidth="1"/>
    <col min="10" max="16384" width="9.1328125" style="4"/>
  </cols>
  <sheetData>
    <row r="1" spans="1:9" s="9" customFormat="1" ht="26.25" customHeight="1">
      <c r="A1" s="314" t="s">
        <v>168</v>
      </c>
      <c r="B1" s="314"/>
      <c r="C1" s="314"/>
      <c r="D1" s="314"/>
      <c r="E1" s="314"/>
      <c r="F1" s="314"/>
      <c r="G1" s="314"/>
      <c r="H1" s="314"/>
    </row>
    <row r="2" spans="1:9" s="9" customFormat="1" ht="15" customHeight="1">
      <c r="A2" s="353" t="s">
        <v>417</v>
      </c>
      <c r="B2" s="316"/>
      <c r="C2" s="316"/>
      <c r="D2" s="316"/>
      <c r="E2" s="316"/>
      <c r="F2" s="316"/>
      <c r="G2" s="316"/>
      <c r="H2" s="316"/>
    </row>
    <row r="3" spans="1:9" ht="15" customHeight="1">
      <c r="B3" s="21"/>
      <c r="C3" s="4"/>
    </row>
    <row r="4" spans="1:9" ht="15" customHeight="1">
      <c r="A4" s="287" t="s">
        <v>179</v>
      </c>
      <c r="B4" s="35"/>
      <c r="C4" s="35"/>
      <c r="D4" s="35"/>
      <c r="E4" s="35"/>
      <c r="F4" s="145"/>
      <c r="G4" s="36"/>
    </row>
    <row r="5" spans="1:9" ht="15" customHeight="1">
      <c r="A5" s="287" t="s">
        <v>244</v>
      </c>
      <c r="B5" s="35"/>
      <c r="C5" s="35"/>
      <c r="D5" s="35"/>
      <c r="E5" s="35"/>
      <c r="F5" s="145"/>
      <c r="G5" s="36"/>
    </row>
    <row r="6" spans="1:9" ht="15" customHeight="1">
      <c r="A6" s="287" t="s">
        <v>237</v>
      </c>
      <c r="B6" s="38"/>
      <c r="C6" s="39"/>
      <c r="D6" s="39"/>
      <c r="E6" s="39"/>
      <c r="F6" s="146"/>
    </row>
    <row r="7" spans="1:9" ht="15" customHeight="1">
      <c r="B7" s="38"/>
      <c r="C7" s="38"/>
      <c r="D7" s="34"/>
      <c r="E7" s="354" t="s">
        <v>392</v>
      </c>
      <c r="F7" s="354"/>
      <c r="G7" s="354"/>
      <c r="H7" s="354"/>
      <c r="I7" s="354"/>
    </row>
    <row r="8" spans="1:9" s="8" customFormat="1" ht="26.25" customHeight="1">
      <c r="A8" s="268" t="s">
        <v>210</v>
      </c>
      <c r="B8" s="51" t="s">
        <v>160</v>
      </c>
      <c r="C8" s="52" t="s">
        <v>152</v>
      </c>
      <c r="D8" s="50" t="s">
        <v>212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ht="15" customHeight="1">
      <c r="A9" s="269">
        <v>1</v>
      </c>
      <c r="B9" s="54" t="s">
        <v>427</v>
      </c>
      <c r="C9" s="55">
        <v>0</v>
      </c>
      <c r="D9" s="58" t="s">
        <v>161</v>
      </c>
      <c r="E9" s="198" t="e">
        <f>(InvulVloer[[#This Row],[Prijs]]*Tariefsopbouw!$I$37)+InvulVloer[[#This Row],[Prijs]]</f>
        <v>#DIV/0!</v>
      </c>
      <c r="F9" s="200" t="e">
        <f>E9*Tariefsopbouw!$K$37+E9</f>
        <v>#DIV/0!</v>
      </c>
      <c r="G9" s="200" t="e">
        <f>F9*Tariefsopbouw!$M$37+F9</f>
        <v>#DIV/0!</v>
      </c>
      <c r="H9" s="200" t="e">
        <f>G9*Tariefsopbouw!$O$37+Vloeronderhoud!G9</f>
        <v>#DIV/0!</v>
      </c>
      <c r="I9" s="200" t="e">
        <f>H9*Tariefsopbouw!$Q$37+Vloeronderhoud!H9</f>
        <v>#DIV/0!</v>
      </c>
    </row>
    <row r="10" spans="1:9" ht="15" customHeight="1">
      <c r="A10" s="270">
        <v>2</v>
      </c>
      <c r="B10" s="57" t="s">
        <v>393</v>
      </c>
      <c r="C10" s="55">
        <v>0</v>
      </c>
      <c r="D10" s="60" t="s">
        <v>162</v>
      </c>
      <c r="E10" s="199" t="e">
        <f>(InvulVloer[[#This Row],[Prijs]]*Tariefsopbouw!$I$37)+InvulVloer[[#This Row],[Prijs]]</f>
        <v>#DIV/0!</v>
      </c>
      <c r="F10" s="199" t="e">
        <f>E10*Tariefsopbouw!$K$37+E10</f>
        <v>#DIV/0!</v>
      </c>
      <c r="G10" s="199" t="e">
        <f>F10*Tariefsopbouw!$M$37+F10</f>
        <v>#DIV/0!</v>
      </c>
      <c r="H10" s="199" t="e">
        <f>G10*Tariefsopbouw!$O$37+Vloeronderhoud!G10</f>
        <v>#DIV/0!</v>
      </c>
      <c r="I10" s="199" t="e">
        <f>H10*Tariefsopbouw!$Q$37+Vloeronderhoud!H10</f>
        <v>#DIV/0!</v>
      </c>
    </row>
    <row r="11" spans="1:9" ht="15" customHeight="1">
      <c r="A11" s="269">
        <v>3</v>
      </c>
      <c r="B11" s="54" t="s">
        <v>1244</v>
      </c>
      <c r="C11" s="55">
        <v>0</v>
      </c>
      <c r="D11" s="58" t="s">
        <v>162</v>
      </c>
      <c r="E11" s="198" t="e">
        <f>(InvulVloer[[#This Row],[Prijs]]*Tariefsopbouw!$I$37)+InvulVloer[[#This Row],[Prijs]]</f>
        <v>#DIV/0!</v>
      </c>
      <c r="F11" s="198" t="e">
        <f>E11*Tariefsopbouw!$K$37+E11</f>
        <v>#DIV/0!</v>
      </c>
      <c r="G11" s="198" t="e">
        <f>F11*Tariefsopbouw!$M$37+F11</f>
        <v>#DIV/0!</v>
      </c>
      <c r="H11" s="198" t="e">
        <f>G11*Tariefsopbouw!$O$37+Vloeronderhoud!G11</f>
        <v>#DIV/0!</v>
      </c>
      <c r="I11" s="198" t="e">
        <f>H11*Tariefsopbouw!$Q$37+Vloeronderhoud!H11</f>
        <v>#DIV/0!</v>
      </c>
    </row>
    <row r="12" spans="1:9" ht="15" customHeight="1">
      <c r="A12" s="270">
        <v>4</v>
      </c>
      <c r="B12" s="57" t="s">
        <v>394</v>
      </c>
      <c r="C12" s="55">
        <v>0</v>
      </c>
      <c r="D12" s="60" t="s">
        <v>161</v>
      </c>
      <c r="E12" s="199" t="e">
        <f>(InvulVloer[[#This Row],[Prijs]]*Tariefsopbouw!$I$37)+InvulVloer[[#This Row],[Prijs]]</f>
        <v>#DIV/0!</v>
      </c>
      <c r="F12" s="199" t="e">
        <f>E12*Tariefsopbouw!$K$37+E12</f>
        <v>#DIV/0!</v>
      </c>
      <c r="G12" s="199" t="e">
        <f>F12*Tariefsopbouw!$M$37+F12</f>
        <v>#DIV/0!</v>
      </c>
      <c r="H12" s="199" t="e">
        <f>G12*Tariefsopbouw!$O$37+Vloeronderhoud!G12</f>
        <v>#DIV/0!</v>
      </c>
      <c r="I12" s="199" t="e">
        <f>H12*Tariefsopbouw!$Q$37+Vloeronderhoud!H12</f>
        <v>#DIV/0!</v>
      </c>
    </row>
    <row r="13" spans="1:9" ht="15" customHeight="1">
      <c r="A13" s="269">
        <v>5</v>
      </c>
      <c r="B13" s="54" t="s">
        <v>395</v>
      </c>
      <c r="C13" s="55">
        <v>0</v>
      </c>
      <c r="D13" s="58" t="s">
        <v>161</v>
      </c>
      <c r="E13" s="198" t="e">
        <f>(InvulVloer[[#This Row],[Prijs]]*Tariefsopbouw!$I$37)+InvulVloer[[#This Row],[Prijs]]</f>
        <v>#DIV/0!</v>
      </c>
      <c r="F13" s="198" t="e">
        <f>E13*Tariefsopbouw!$K$37+E13</f>
        <v>#DIV/0!</v>
      </c>
      <c r="G13" s="198" t="e">
        <f>F13*Tariefsopbouw!$M$37+F13</f>
        <v>#DIV/0!</v>
      </c>
      <c r="H13" s="198" t="e">
        <f>G13*Tariefsopbouw!$O$37+Vloeronderhoud!G13</f>
        <v>#DIV/0!</v>
      </c>
      <c r="I13" s="198" t="e">
        <f>H13*Tariefsopbouw!$Q$37+Vloeronderhoud!H13</f>
        <v>#DIV/0!</v>
      </c>
    </row>
    <row r="14" spans="1:9" ht="15" customHeight="1">
      <c r="A14" s="270">
        <v>6</v>
      </c>
      <c r="B14" s="57" t="s">
        <v>165</v>
      </c>
      <c r="C14" s="55">
        <v>0</v>
      </c>
      <c r="D14" s="60" t="s">
        <v>161</v>
      </c>
      <c r="E14" s="199" t="e">
        <f>(InvulVloer[[#This Row],[Prijs]]*Tariefsopbouw!$I$37)+InvulVloer[[#This Row],[Prijs]]</f>
        <v>#DIV/0!</v>
      </c>
      <c r="F14" s="199" t="e">
        <f>E14*Tariefsopbouw!$K$37+E14</f>
        <v>#DIV/0!</v>
      </c>
      <c r="G14" s="199" t="e">
        <f>F14*Tariefsopbouw!$M$37+F14</f>
        <v>#DIV/0!</v>
      </c>
      <c r="H14" s="199" t="e">
        <f>G14*Tariefsopbouw!$O$37+Vloeronderhoud!G14</f>
        <v>#DIV/0!</v>
      </c>
      <c r="I14" s="199" t="e">
        <f>H14*Tariefsopbouw!$Q$37+Vloeronderhoud!H14</f>
        <v>#DIV/0!</v>
      </c>
    </row>
    <row r="15" spans="1:9" ht="15" customHeight="1">
      <c r="A15" s="269">
        <v>7</v>
      </c>
      <c r="B15" s="58" t="s">
        <v>167</v>
      </c>
      <c r="C15" s="55">
        <v>0</v>
      </c>
      <c r="D15" s="58" t="s">
        <v>161</v>
      </c>
      <c r="E15" s="198" t="e">
        <f>(InvulVloer[[#This Row],[Prijs]]*Tariefsopbouw!$I$37)+InvulVloer[[#This Row],[Prijs]]</f>
        <v>#DIV/0!</v>
      </c>
      <c r="F15" s="198" t="e">
        <f>E15*Tariefsopbouw!$K$37+E15</f>
        <v>#DIV/0!</v>
      </c>
      <c r="G15" s="198" t="e">
        <f>F15*Tariefsopbouw!$M$37+F15</f>
        <v>#DIV/0!</v>
      </c>
      <c r="H15" s="198" t="e">
        <f>G15*Tariefsopbouw!$O$37+Vloeronderhoud!G15</f>
        <v>#DIV/0!</v>
      </c>
      <c r="I15" s="198" t="e">
        <f>H15*Tariefsopbouw!$Q$37+Vloeronderhoud!H15</f>
        <v>#DIV/0!</v>
      </c>
    </row>
    <row r="16" spans="1:9" ht="15" customHeight="1">
      <c r="A16" s="270">
        <v>8</v>
      </c>
      <c r="B16" s="59" t="s">
        <v>198</v>
      </c>
      <c r="C16" s="55">
        <v>0</v>
      </c>
      <c r="D16" s="60" t="s">
        <v>161</v>
      </c>
      <c r="E16" s="199" t="e">
        <f>(InvulVloer[[#This Row],[Prijs]]*Tariefsopbouw!$I$37)+InvulVloer[[#This Row],[Prijs]]</f>
        <v>#DIV/0!</v>
      </c>
      <c r="F16" s="199" t="e">
        <f>E16*Tariefsopbouw!$K$37+E16</f>
        <v>#DIV/0!</v>
      </c>
      <c r="G16" s="199" t="e">
        <f>F16*Tariefsopbouw!$M$37+F16</f>
        <v>#DIV/0!</v>
      </c>
      <c r="H16" s="199" t="e">
        <f>G16*Tariefsopbouw!$O$37+Vloeronderhoud!G16</f>
        <v>#DIV/0!</v>
      </c>
      <c r="I16" s="199" t="e">
        <f>H16*Tariefsopbouw!$Q$37+Vloeronderhoud!H16</f>
        <v>#DIV/0!</v>
      </c>
    </row>
    <row r="17" spans="1:9" ht="15" customHeight="1">
      <c r="B17" s="21"/>
      <c r="E17" s="40"/>
      <c r="F17" s="147"/>
      <c r="G17" s="40"/>
      <c r="H17" s="40"/>
    </row>
    <row r="18" spans="1:9" s="33" customFormat="1" ht="26.25" customHeight="1">
      <c r="A18" s="268" t="s">
        <v>209</v>
      </c>
      <c r="B18" s="51" t="s">
        <v>145</v>
      </c>
      <c r="C18" s="50" t="s">
        <v>210</v>
      </c>
      <c r="D18" s="61" t="s">
        <v>249</v>
      </c>
      <c r="E18" s="61" t="s">
        <v>163</v>
      </c>
      <c r="F18" s="148" t="s">
        <v>164</v>
      </c>
      <c r="G18" s="61" t="s">
        <v>166</v>
      </c>
      <c r="H18" s="62" t="s">
        <v>147</v>
      </c>
      <c r="I18" s="61" t="s">
        <v>412</v>
      </c>
    </row>
    <row r="19" spans="1:9" ht="15" customHeight="1">
      <c r="A19" s="267">
        <v>1</v>
      </c>
      <c r="B19" s="227" t="str">
        <f>VLOOKUP(OverzichtVloer[[#This Row],[Code Locatie]],Locaties[],2,0)</f>
        <v xml:space="preserve">Het Meerik </v>
      </c>
      <c r="C19" s="226">
        <v>1</v>
      </c>
      <c r="D19" s="228" t="str">
        <f>IF(Vloeronderhoud!$C19&gt;0,VLOOKUP(Vloeronderhoud!$C19,$A$8:$B$16,2,FALSE),"")</f>
        <v>Sprayen</v>
      </c>
      <c r="E19" s="229" t="s">
        <v>110</v>
      </c>
      <c r="F19" s="250">
        <f>SUMIFS('Ruimtestaat'!$O:$O,'Ruimtestaat'!M:M,Vloeronderhoud!E19,'Ruimtestaat'!A:A,Vloeronderhoud!A19)</f>
        <v>0</v>
      </c>
      <c r="G19" s="239"/>
      <c r="H19" s="230">
        <f>VLOOKUP(OverzichtVloer[[#This Row],[Code Taak]],InvulVloer[],3,3)*F19*G19</f>
        <v>0</v>
      </c>
      <c r="I19" s="226"/>
    </row>
    <row r="20" spans="1:9" ht="15" customHeight="1">
      <c r="A20" s="267">
        <v>1</v>
      </c>
      <c r="B20" s="227" t="str">
        <f>VLOOKUP(OverzichtVloer[[#This Row],[Code Locatie]],Locaties[],2,0)</f>
        <v xml:space="preserve">Het Meerik </v>
      </c>
      <c r="C20" s="226">
        <v>2</v>
      </c>
      <c r="D20" s="228" t="str">
        <f>IF(Vloeronderhoud!$C20&gt;0,VLOOKUP(Vloeronderhoud!$C20,$A$8:$B$16,2,FALSE),"")</f>
        <v>Topstrippen en conserveren</v>
      </c>
      <c r="E20" s="229" t="s">
        <v>110</v>
      </c>
      <c r="F20" s="250">
        <f>SUMIFS('Ruimtestaat'!$O:$O,'Ruimtestaat'!M:M,Vloeronderhoud!E20,'Ruimtestaat'!A:A,Vloeronderhoud!A20)</f>
        <v>0</v>
      </c>
      <c r="G20" s="239"/>
      <c r="H20" s="230">
        <f>VLOOKUP(OverzichtVloer[[#This Row],[Code Taak]],InvulVloer[],3,3)*F20*G20</f>
        <v>0</v>
      </c>
      <c r="I20" s="228"/>
    </row>
    <row r="21" spans="1:9" ht="15" customHeight="1">
      <c r="A21" s="267">
        <v>1</v>
      </c>
      <c r="B21" s="227" t="str">
        <f>VLOOKUP(OverzichtVloer[[#This Row],[Code Locatie]],Locaties[],2,0)</f>
        <v xml:space="preserve">Het Meerik </v>
      </c>
      <c r="C21" s="226">
        <v>3</v>
      </c>
      <c r="D21" s="228" t="str">
        <f>IF(Vloeronderhoud!$C21&gt;0,VLOOKUP(Vloeronderhoud!$C21,$A$8:$B$16,2,FALSE),"")</f>
        <v>Diepstrippen, sealen en conserveren (MJOP)</v>
      </c>
      <c r="E21" s="229" t="s">
        <v>110</v>
      </c>
      <c r="F21" s="250">
        <f>SUMIFS('Ruimtestaat'!$O:$O,'Ruimtestaat'!M:M,Vloeronderhoud!E21,'Ruimtestaat'!A:A,Vloeronderhoud!A21)</f>
        <v>0</v>
      </c>
      <c r="G21" s="239"/>
      <c r="H21" s="230">
        <f>VLOOKUP(OverzichtVloer[[#This Row],[Code Taak]],InvulVloer[],3,3)*F21*G21</f>
        <v>0</v>
      </c>
      <c r="I21" s="228"/>
    </row>
    <row r="22" spans="1:9" ht="15" customHeight="1">
      <c r="A22" s="267">
        <v>1</v>
      </c>
      <c r="B22" s="227" t="str">
        <f>VLOOKUP(OverzichtVloer[[#This Row],[Code Locatie]],Locaties[],2,0)</f>
        <v xml:space="preserve">Het Meerik </v>
      </c>
      <c r="C22" s="226">
        <v>8</v>
      </c>
      <c r="D22" s="228" t="str">
        <f>IF(Vloeronderhoud!$C22&gt;0,VLOOKUP(Vloeronderhoud!$C22,$A$8:$B$16,2,FALSE),"")</f>
        <v>Machinaal schrobben en droogzuigen</v>
      </c>
      <c r="E22" s="229" t="s">
        <v>111</v>
      </c>
      <c r="F22" s="250">
        <f>SUMIFS('Ruimtestaat'!$O:$O,'Ruimtestaat'!M:M,Vloeronderhoud!E22,'Ruimtestaat'!A:A,Vloeronderhoud!A22)</f>
        <v>373</v>
      </c>
      <c r="G22" s="239">
        <v>1</v>
      </c>
      <c r="H22" s="230">
        <f>VLOOKUP(OverzichtVloer[[#This Row],[Code Taak]],InvulVloer[],3,3)*F22*G22</f>
        <v>0</v>
      </c>
      <c r="I22" s="226"/>
    </row>
    <row r="23" spans="1:9" ht="15" customHeight="1">
      <c r="A23" s="267">
        <v>1</v>
      </c>
      <c r="B23" s="227" t="str">
        <f>VLOOKUP(OverzichtVloer[[#This Row],[Code Locatie]],Locaties[],2,0)</f>
        <v xml:space="preserve">Het Meerik </v>
      </c>
      <c r="C23" s="226">
        <v>8</v>
      </c>
      <c r="D23" s="228" t="str">
        <f>IF(Vloeronderhoud!$C23&gt;0,VLOOKUP(Vloeronderhoud!$C23,$A$8:$B$16,2,FALSE),"")</f>
        <v>Machinaal schrobben en droogzuigen</v>
      </c>
      <c r="E23" s="229" t="s">
        <v>112</v>
      </c>
      <c r="F23" s="250">
        <f>SUMIFS('Ruimtestaat'!$O:$O,'Ruimtestaat'!M:M,Vloeronderhoud!E23,'Ruimtestaat'!A:A,Vloeronderhoud!A23)</f>
        <v>901</v>
      </c>
      <c r="G23" s="239">
        <v>1</v>
      </c>
      <c r="H23" s="230">
        <f>VLOOKUP(OverzichtVloer[[#This Row],[Code Taak]],InvulVloer[],3,3)*F23*G23</f>
        <v>0</v>
      </c>
      <c r="I23" s="228"/>
    </row>
    <row r="24" spans="1:9" ht="15" customHeight="1">
      <c r="A24" s="267">
        <v>1</v>
      </c>
      <c r="B24" s="227" t="str">
        <f>VLOOKUP(OverzichtVloer[[#This Row],[Code Locatie]],Locaties[],2,0)</f>
        <v xml:space="preserve">Het Meerik </v>
      </c>
      <c r="C24" s="226">
        <v>6</v>
      </c>
      <c r="D24" s="228" t="str">
        <f>IF(Vloeronderhoud!$C24&gt;0,VLOOKUP(Vloeronderhoud!$C24,$A$8:$B$16,2,FALSE),"")</f>
        <v>Schuren en lakken houten vloer</v>
      </c>
      <c r="E24" s="229" t="s">
        <v>439</v>
      </c>
      <c r="F24" s="250">
        <f>SUMIFS('Ruimtestaat'!$O:$O,'Ruimtestaat'!M:M,Vloeronderhoud!E24,'Ruimtestaat'!A:A,Vloeronderhoud!A24)</f>
        <v>0</v>
      </c>
      <c r="G24" s="239"/>
      <c r="H24" s="230">
        <f>VLOOKUP(OverzichtVloer[[#This Row],[Code Taak]],InvulVloer[],3,3)*F24*G24</f>
        <v>0</v>
      </c>
      <c r="I24" s="228"/>
    </row>
    <row r="25" spans="1:9" ht="15" customHeight="1">
      <c r="A25" s="267">
        <v>1</v>
      </c>
      <c r="B25" s="227" t="str">
        <f>VLOOKUP(OverzichtVloer[[#This Row],[Code Locatie]],Locaties[],2,0)</f>
        <v xml:space="preserve">Het Meerik </v>
      </c>
      <c r="C25" s="226">
        <v>4</v>
      </c>
      <c r="D25" s="228" t="str">
        <f>IF(Vloeronderhoud!$C25&gt;0,VLOOKUP(Vloeronderhoud!$C25,$A$8:$B$16,2,FALSE),"")</f>
        <v>Tapijtreinigen, sproei-extractiemethode</v>
      </c>
      <c r="E25" s="229" t="s">
        <v>109</v>
      </c>
      <c r="F25" s="250">
        <f>SUMIFS('Ruimtestaat'!$O:$O,'Ruimtestaat'!M:M,Vloeronderhoud!E25,'Ruimtestaat'!A:A,Vloeronderhoud!A25)</f>
        <v>210</v>
      </c>
      <c r="G25" s="239">
        <v>1</v>
      </c>
      <c r="H25" s="230">
        <f>VLOOKUP(OverzichtVloer[[#This Row],[Code Taak]],InvulVloer[],3,3)*F25*G25</f>
        <v>0</v>
      </c>
      <c r="I25" s="226"/>
    </row>
    <row r="26" spans="1:9" s="33" customFormat="1" ht="15" customHeight="1">
      <c r="A26" s="267">
        <v>2</v>
      </c>
      <c r="B26" s="227" t="str">
        <f>VLOOKUP(OverzichtVloer[[#This Row],[Code Locatie]],Locaties[],2,0)</f>
        <v>Neon College – Enschede</v>
      </c>
      <c r="C26" s="226">
        <v>1</v>
      </c>
      <c r="D26" s="228" t="str">
        <f>IF(Vloeronderhoud!$C26&gt;0,VLOOKUP(Vloeronderhoud!$C26,$A$8:$B$16,2,FALSE),"")</f>
        <v>Sprayen</v>
      </c>
      <c r="E26" s="229" t="s">
        <v>110</v>
      </c>
      <c r="F26" s="250">
        <f>SUMIFS('Ruimtestaat'!$O:$O,'Ruimtestaat'!M:M,Vloeronderhoud!E26,'Ruimtestaat'!A:A,Vloeronderhoud!A26)</f>
        <v>1380.5</v>
      </c>
      <c r="G26" s="239">
        <v>1</v>
      </c>
      <c r="H26" s="230">
        <f>VLOOKUP(OverzichtVloer[[#This Row],[Code Taak]],InvulVloer[],3,3)*F26*G26</f>
        <v>0</v>
      </c>
      <c r="I26" s="229"/>
    </row>
    <row r="27" spans="1:9" s="33" customFormat="1" ht="15" customHeight="1">
      <c r="A27" s="267">
        <v>2</v>
      </c>
      <c r="B27" s="227" t="str">
        <f>VLOOKUP(OverzichtVloer[[#This Row],[Code Locatie]],Locaties[],2,0)</f>
        <v>Neon College – Enschede</v>
      </c>
      <c r="C27" s="226">
        <v>2</v>
      </c>
      <c r="D27" s="228" t="str">
        <f>IF(Vloeronderhoud!$C27&gt;0,VLOOKUP(Vloeronderhoud!$C27,$A$8:$B$16,2,FALSE),"")</f>
        <v>Topstrippen en conserveren</v>
      </c>
      <c r="E27" s="229" t="s">
        <v>110</v>
      </c>
      <c r="F27" s="250">
        <f>SUMIFS('Ruimtestaat'!$O:$O,'Ruimtestaat'!M:M,Vloeronderhoud!E27,'Ruimtestaat'!A:A,Vloeronderhoud!A27)</f>
        <v>1380.5</v>
      </c>
      <c r="G27" s="239">
        <v>1</v>
      </c>
      <c r="H27" s="230">
        <f>VLOOKUP(OverzichtVloer[[#This Row],[Code Taak]],InvulVloer[],3,3)*F27*G27</f>
        <v>0</v>
      </c>
      <c r="I27" s="229"/>
    </row>
    <row r="28" spans="1:9" s="33" customFormat="1" ht="15" customHeight="1">
      <c r="A28" s="267">
        <v>2</v>
      </c>
      <c r="B28" s="227" t="str">
        <f>VLOOKUP(OverzichtVloer[[#This Row],[Code Locatie]],Locaties[],2,0)</f>
        <v>Neon College – Enschede</v>
      </c>
      <c r="C28" s="226">
        <v>3</v>
      </c>
      <c r="D28" s="228" t="str">
        <f>IF(Vloeronderhoud!$C28&gt;0,VLOOKUP(Vloeronderhoud!$C28,$A$8:$B$16,2,FALSE),"")</f>
        <v>Diepstrippen, sealen en conserveren (MJOP)</v>
      </c>
      <c r="E28" s="229" t="s">
        <v>110</v>
      </c>
      <c r="F28" s="250">
        <f>SUMIFS('Ruimtestaat'!$O:$O,'Ruimtestaat'!M:M,Vloeronderhoud!E28,'Ruimtestaat'!A:A,Vloeronderhoud!A28)</f>
        <v>1380.5</v>
      </c>
      <c r="G28" s="239">
        <v>1</v>
      </c>
      <c r="H28" s="230">
        <f>VLOOKUP(OverzichtVloer[[#This Row],[Code Taak]],InvulVloer[],3,3)*F28*G28</f>
        <v>0</v>
      </c>
      <c r="I28" s="229" t="s">
        <v>1284</v>
      </c>
    </row>
    <row r="29" spans="1:9" s="33" customFormat="1" ht="15" customHeight="1">
      <c r="A29" s="267">
        <v>2</v>
      </c>
      <c r="B29" s="227" t="str">
        <f>VLOOKUP(OverzichtVloer[[#This Row],[Code Locatie]],Locaties[],2,0)</f>
        <v>Neon College – Enschede</v>
      </c>
      <c r="C29" s="226">
        <v>8</v>
      </c>
      <c r="D29" s="228" t="str">
        <f>IF(Vloeronderhoud!$C29&gt;0,VLOOKUP(Vloeronderhoud!$C29,$A$8:$B$16,2,FALSE),"")</f>
        <v>Machinaal schrobben en droogzuigen</v>
      </c>
      <c r="E29" s="229" t="s">
        <v>111</v>
      </c>
      <c r="F29" s="250">
        <f>SUMIFS('Ruimtestaat'!$O:$O,'Ruimtestaat'!M:M,Vloeronderhoud!E29,'Ruimtestaat'!A:A,Vloeronderhoud!A29)</f>
        <v>273</v>
      </c>
      <c r="G29" s="239">
        <v>1</v>
      </c>
      <c r="H29" s="230">
        <f>VLOOKUP(OverzichtVloer[[#This Row],[Code Taak]],InvulVloer[],3,3)*F29*G29</f>
        <v>0</v>
      </c>
      <c r="I29" s="229"/>
    </row>
    <row r="30" spans="1:9" s="33" customFormat="1" ht="15" customHeight="1">
      <c r="A30" s="267">
        <v>2</v>
      </c>
      <c r="B30" s="227" t="str">
        <f>VLOOKUP(OverzichtVloer[[#This Row],[Code Locatie]],Locaties[],2,0)</f>
        <v>Neon College – Enschede</v>
      </c>
      <c r="C30" s="226">
        <v>8</v>
      </c>
      <c r="D30" s="228" t="str">
        <f>IF(Vloeronderhoud!$C30&gt;0,VLOOKUP(Vloeronderhoud!$C30,$A$8:$B$16,2,FALSE),"")</f>
        <v>Machinaal schrobben en droogzuigen</v>
      </c>
      <c r="E30" s="229" t="s">
        <v>112</v>
      </c>
      <c r="F30" s="250">
        <f>SUMIFS('Ruimtestaat'!$O:$O,'Ruimtestaat'!M:M,Vloeronderhoud!E30,'Ruimtestaat'!A:A,Vloeronderhoud!A30)</f>
        <v>207</v>
      </c>
      <c r="G30" s="239">
        <v>1</v>
      </c>
      <c r="H30" s="230">
        <f>VLOOKUP(OverzichtVloer[[#This Row],[Code Taak]],InvulVloer[],3,3)*F30*G30</f>
        <v>0</v>
      </c>
      <c r="I30" s="229"/>
    </row>
    <row r="31" spans="1:9" s="33" customFormat="1" ht="15" customHeight="1">
      <c r="A31" s="267">
        <v>2</v>
      </c>
      <c r="B31" s="227" t="str">
        <f>VLOOKUP(OverzichtVloer[[#This Row],[Code Locatie]],Locaties[],2,0)</f>
        <v>Neon College – Enschede</v>
      </c>
      <c r="C31" s="226">
        <v>6</v>
      </c>
      <c r="D31" s="228" t="str">
        <f>IF(Vloeronderhoud!$C31&gt;0,VLOOKUP(Vloeronderhoud!$C31,$A$8:$B$16,2,FALSE),"")</f>
        <v>Schuren en lakken houten vloer</v>
      </c>
      <c r="E31" s="229" t="s">
        <v>439</v>
      </c>
      <c r="F31" s="250">
        <f>SUMIFS('Ruimtestaat'!$O:$O,'Ruimtestaat'!M:M,Vloeronderhoud!E31,'Ruimtestaat'!A:A,Vloeronderhoud!A31)</f>
        <v>0</v>
      </c>
      <c r="G31" s="239"/>
      <c r="H31" s="230">
        <f>VLOOKUP(OverzichtVloer[[#This Row],[Code Taak]],InvulVloer[],3,3)*F31*G31</f>
        <v>0</v>
      </c>
      <c r="I31" s="229"/>
    </row>
    <row r="32" spans="1:9" s="33" customFormat="1" ht="15" customHeight="1">
      <c r="A32" s="267">
        <v>2</v>
      </c>
      <c r="B32" s="227" t="str">
        <f>VLOOKUP(OverzichtVloer[[#This Row],[Code Locatie]],Locaties[],2,0)</f>
        <v>Neon College – Enschede</v>
      </c>
      <c r="C32" s="226">
        <v>4</v>
      </c>
      <c r="D32" s="228" t="str">
        <f>IF(Vloeronderhoud!$C32&gt;0,VLOOKUP(Vloeronderhoud!$C32,$A$8:$B$16,2,FALSE),"")</f>
        <v>Tapijtreinigen, sproei-extractiemethode</v>
      </c>
      <c r="E32" s="229" t="s">
        <v>109</v>
      </c>
      <c r="F32" s="250">
        <f>SUMIFS('Ruimtestaat'!$O:$O,'Ruimtestaat'!M:M,Vloeronderhoud!E32,'Ruimtestaat'!A:A,Vloeronderhoud!A32)</f>
        <v>206</v>
      </c>
      <c r="G32" s="239">
        <v>1</v>
      </c>
      <c r="H32" s="230">
        <f>VLOOKUP(OverzichtVloer[[#This Row],[Code Taak]],InvulVloer[],3,3)*F32*G32</f>
        <v>0</v>
      </c>
      <c r="I32" s="229"/>
    </row>
    <row r="33" spans="1:9" s="33" customFormat="1" ht="15" customHeight="1">
      <c r="A33" s="267">
        <v>3</v>
      </c>
      <c r="B33" s="227" t="str">
        <f>VLOOKUP(OverzichtVloer[[#This Row],[Code Locatie]],Locaties[],2,0)</f>
        <v xml:space="preserve">Panta Rhei College </v>
      </c>
      <c r="C33" s="226">
        <v>1</v>
      </c>
      <c r="D33" s="228" t="str">
        <f>IF(Vloeronderhoud!$C33&gt;0,VLOOKUP(Vloeronderhoud!$C33,$A$8:$B$16,2,FALSE),"")</f>
        <v>Sprayen</v>
      </c>
      <c r="E33" s="229" t="s">
        <v>110</v>
      </c>
      <c r="F33" s="250">
        <f>SUMIFS('Ruimtestaat'!$O:$O,'Ruimtestaat'!M:M,Vloeronderhoud!E33,'Ruimtestaat'!A:A,Vloeronderhoud!A33)</f>
        <v>849</v>
      </c>
      <c r="G33" s="239">
        <v>1</v>
      </c>
      <c r="H33" s="230">
        <f>VLOOKUP(OverzichtVloer[[#This Row],[Code Taak]],InvulVloer[],3,3)*F33*G33</f>
        <v>0</v>
      </c>
      <c r="I33" s="229"/>
    </row>
    <row r="34" spans="1:9" s="33" customFormat="1" ht="15" customHeight="1">
      <c r="A34" s="267">
        <v>3</v>
      </c>
      <c r="B34" s="227" t="str">
        <f>VLOOKUP(OverzichtVloer[[#This Row],[Code Locatie]],Locaties[],2,0)</f>
        <v xml:space="preserve">Panta Rhei College </v>
      </c>
      <c r="C34" s="226">
        <v>2</v>
      </c>
      <c r="D34" s="228" t="str">
        <f>IF(Vloeronderhoud!$C34&gt;0,VLOOKUP(Vloeronderhoud!$C34,$A$8:$B$16,2,FALSE),"")</f>
        <v>Topstrippen en conserveren</v>
      </c>
      <c r="E34" s="229" t="s">
        <v>110</v>
      </c>
      <c r="F34" s="250">
        <f>SUMIFS('Ruimtestaat'!$O:$O,'Ruimtestaat'!M:M,Vloeronderhoud!E34,'Ruimtestaat'!A:A,Vloeronderhoud!A34)</f>
        <v>849</v>
      </c>
      <c r="G34" s="239">
        <v>1</v>
      </c>
      <c r="H34" s="230">
        <f>VLOOKUP(OverzichtVloer[[#This Row],[Code Taak]],InvulVloer[],3,3)*F34*G34</f>
        <v>0</v>
      </c>
      <c r="I34" s="229"/>
    </row>
    <row r="35" spans="1:9" s="33" customFormat="1" ht="15" customHeight="1">
      <c r="A35" s="267">
        <v>3</v>
      </c>
      <c r="B35" s="227" t="str">
        <f>VLOOKUP(OverzichtVloer[[#This Row],[Code Locatie]],Locaties[],2,0)</f>
        <v xml:space="preserve">Panta Rhei College </v>
      </c>
      <c r="C35" s="226">
        <v>3</v>
      </c>
      <c r="D35" s="228" t="str">
        <f>IF(Vloeronderhoud!$C35&gt;0,VLOOKUP(Vloeronderhoud!$C35,$A$8:$B$16,2,FALSE),"")</f>
        <v>Diepstrippen, sealen en conserveren (MJOP)</v>
      </c>
      <c r="E35" s="229" t="s">
        <v>110</v>
      </c>
      <c r="F35" s="250">
        <f>SUMIFS('Ruimtestaat'!$O:$O,'Ruimtestaat'!M:M,Vloeronderhoud!E35,'Ruimtestaat'!A:A,Vloeronderhoud!A35)</f>
        <v>849</v>
      </c>
      <c r="G35" s="239">
        <v>1</v>
      </c>
      <c r="H35" s="230">
        <f>VLOOKUP(OverzichtVloer[[#This Row],[Code Taak]],InvulVloer[],3,3)*F35*G35</f>
        <v>0</v>
      </c>
      <c r="I35" s="229" t="s">
        <v>1285</v>
      </c>
    </row>
    <row r="36" spans="1:9" s="33" customFormat="1" ht="15" customHeight="1">
      <c r="A36" s="267">
        <v>3</v>
      </c>
      <c r="B36" s="227" t="str">
        <f>VLOOKUP(OverzichtVloer[[#This Row],[Code Locatie]],Locaties[],2,0)</f>
        <v xml:space="preserve">Panta Rhei College </v>
      </c>
      <c r="C36" s="226">
        <v>8</v>
      </c>
      <c r="D36" s="228" t="str">
        <f>IF(Vloeronderhoud!$C36&gt;0,VLOOKUP(Vloeronderhoud!$C36,$A$8:$B$16,2,FALSE),"")</f>
        <v>Machinaal schrobben en droogzuigen</v>
      </c>
      <c r="E36" s="229" t="s">
        <v>111</v>
      </c>
      <c r="F36" s="250">
        <f>SUMIFS('Ruimtestaat'!$O:$O,'Ruimtestaat'!M:M,Vloeronderhoud!E36,'Ruimtestaat'!A:A,Vloeronderhoud!A36)</f>
        <v>110</v>
      </c>
      <c r="G36" s="239">
        <v>1</v>
      </c>
      <c r="H36" s="230">
        <f>VLOOKUP(OverzichtVloer[[#This Row],[Code Taak]],InvulVloer[],3,3)*F36*G36</f>
        <v>0</v>
      </c>
      <c r="I36" s="229"/>
    </row>
    <row r="37" spans="1:9" s="33" customFormat="1" ht="15" customHeight="1">
      <c r="A37" s="267">
        <v>3</v>
      </c>
      <c r="B37" s="227" t="str">
        <f>VLOOKUP(OverzichtVloer[[#This Row],[Code Locatie]],Locaties[],2,0)</f>
        <v xml:space="preserve">Panta Rhei College </v>
      </c>
      <c r="C37" s="226">
        <v>8</v>
      </c>
      <c r="D37" s="228" t="str">
        <f>IF(Vloeronderhoud!$C37&gt;0,VLOOKUP(Vloeronderhoud!$C37,$A$8:$B$16,2,FALSE),"")</f>
        <v>Machinaal schrobben en droogzuigen</v>
      </c>
      <c r="E37" s="229" t="s">
        <v>112</v>
      </c>
      <c r="F37" s="250">
        <f>SUMIFS('Ruimtestaat'!$O:$O,'Ruimtestaat'!M:M,Vloeronderhoud!E37,'Ruimtestaat'!A:A,Vloeronderhoud!A37)</f>
        <v>118</v>
      </c>
      <c r="G37" s="239">
        <v>1</v>
      </c>
      <c r="H37" s="230">
        <f>VLOOKUP(OverzichtVloer[[#This Row],[Code Taak]],InvulVloer[],3,3)*F37*G37</f>
        <v>0</v>
      </c>
      <c r="I37" s="229"/>
    </row>
    <row r="38" spans="1:9" s="33" customFormat="1" ht="15" customHeight="1">
      <c r="A38" s="267">
        <v>3</v>
      </c>
      <c r="B38" s="227" t="str">
        <f>VLOOKUP(OverzichtVloer[[#This Row],[Code Locatie]],Locaties[],2,0)</f>
        <v xml:space="preserve">Panta Rhei College </v>
      </c>
      <c r="C38" s="226">
        <v>6</v>
      </c>
      <c r="D38" s="228" t="str">
        <f>IF(Vloeronderhoud!$C38&gt;0,VLOOKUP(Vloeronderhoud!$C38,$A$8:$B$16,2,FALSE),"")</f>
        <v>Schuren en lakken houten vloer</v>
      </c>
      <c r="E38" s="229" t="s">
        <v>439</v>
      </c>
      <c r="F38" s="250">
        <f>SUMIFS('Ruimtestaat'!$O:$O,'Ruimtestaat'!M:M,Vloeronderhoud!E38,'Ruimtestaat'!A:A,Vloeronderhoud!A38)</f>
        <v>0</v>
      </c>
      <c r="G38" s="239"/>
      <c r="H38" s="230">
        <f>VLOOKUP(OverzichtVloer[[#This Row],[Code Taak]],InvulVloer[],3,3)*F38*G38</f>
        <v>0</v>
      </c>
      <c r="I38" s="229"/>
    </row>
    <row r="39" spans="1:9" s="33" customFormat="1" ht="15" customHeight="1">
      <c r="A39" s="267">
        <v>3</v>
      </c>
      <c r="B39" s="227" t="str">
        <f>VLOOKUP(OverzichtVloer[[#This Row],[Code Locatie]],Locaties[],2,0)</f>
        <v xml:space="preserve">Panta Rhei College </v>
      </c>
      <c r="C39" s="226">
        <v>4</v>
      </c>
      <c r="D39" s="228" t="str">
        <f>IF(Vloeronderhoud!$C39&gt;0,VLOOKUP(Vloeronderhoud!$C39,$A$8:$B$16,2,FALSE),"")</f>
        <v>Tapijtreinigen, sproei-extractiemethode</v>
      </c>
      <c r="E39" s="229" t="s">
        <v>109</v>
      </c>
      <c r="F39" s="250">
        <f>SUMIFS('Ruimtestaat'!$O:$O,'Ruimtestaat'!M:M,Vloeronderhoud!E39,'Ruimtestaat'!A:A,Vloeronderhoud!A39)</f>
        <v>140</v>
      </c>
      <c r="G39" s="239">
        <v>1</v>
      </c>
      <c r="H39" s="230">
        <f>VLOOKUP(OverzichtVloer[[#This Row],[Code Taak]],InvulVloer[],3,3)*F39*G39</f>
        <v>0</v>
      </c>
      <c r="I39" s="229"/>
    </row>
    <row r="40" spans="1:9" s="33" customFormat="1" ht="15" customHeight="1">
      <c r="A40" s="267">
        <v>4</v>
      </c>
      <c r="B40" s="227" t="str">
        <f>VLOOKUP(OverzichtVloer[[#This Row],[Code Locatie]],Locaties[],2,0)</f>
        <v>Stafbureau Attendiz</v>
      </c>
      <c r="C40" s="226">
        <v>1</v>
      </c>
      <c r="D40" s="228" t="str">
        <f>IF(Vloeronderhoud!$C40&gt;0,VLOOKUP(Vloeronderhoud!$C40,$A$8:$B$16,2,FALSE),"")</f>
        <v>Sprayen</v>
      </c>
      <c r="E40" s="229" t="s">
        <v>110</v>
      </c>
      <c r="F40" s="250">
        <f>SUMIFS('Ruimtestaat'!$O:$O,'Ruimtestaat'!M:M,Vloeronderhoud!E40,'Ruimtestaat'!A:A,Vloeronderhoud!A40)</f>
        <v>14.6</v>
      </c>
      <c r="G40" s="239">
        <v>1</v>
      </c>
      <c r="H40" s="230">
        <f>VLOOKUP(OverzichtVloer[[#This Row],[Code Taak]],InvulVloer[],3,3)*F40*G40</f>
        <v>0</v>
      </c>
      <c r="I40" s="229"/>
    </row>
    <row r="41" spans="1:9" s="33" customFormat="1" ht="15" customHeight="1">
      <c r="A41" s="267">
        <v>4</v>
      </c>
      <c r="B41" s="227" t="str">
        <f>VLOOKUP(OverzichtVloer[[#This Row],[Code Locatie]],Locaties[],2,0)</f>
        <v>Stafbureau Attendiz</v>
      </c>
      <c r="C41" s="226">
        <v>2</v>
      </c>
      <c r="D41" s="228" t="str">
        <f>IF(Vloeronderhoud!$C41&gt;0,VLOOKUP(Vloeronderhoud!$C41,$A$8:$B$16,2,FALSE),"")</f>
        <v>Topstrippen en conserveren</v>
      </c>
      <c r="E41" s="229" t="s">
        <v>110</v>
      </c>
      <c r="F41" s="250">
        <f>SUMIFS('Ruimtestaat'!$O:$O,'Ruimtestaat'!M:M,Vloeronderhoud!E41,'Ruimtestaat'!A:A,Vloeronderhoud!A41)</f>
        <v>14.6</v>
      </c>
      <c r="G41" s="239">
        <v>1</v>
      </c>
      <c r="H41" s="230">
        <f>VLOOKUP(OverzichtVloer[[#This Row],[Code Taak]],InvulVloer[],3,3)*F41*G41</f>
        <v>0</v>
      </c>
      <c r="I41" s="229"/>
    </row>
    <row r="42" spans="1:9" s="33" customFormat="1" ht="15" customHeight="1">
      <c r="A42" s="267">
        <v>4</v>
      </c>
      <c r="B42" s="227" t="str">
        <f>VLOOKUP(OverzichtVloer[[#This Row],[Code Locatie]],Locaties[],2,0)</f>
        <v>Stafbureau Attendiz</v>
      </c>
      <c r="C42" s="226">
        <v>2</v>
      </c>
      <c r="D42" s="228" t="str">
        <f>IF(Vloeronderhoud!$C42&gt;0,VLOOKUP(Vloeronderhoud!$C42,$A$8:$B$16,2,FALSE),"")</f>
        <v>Topstrippen en conserveren</v>
      </c>
      <c r="E42" s="229" t="s">
        <v>110</v>
      </c>
      <c r="F42" s="250">
        <f>SUMIFS('Ruimtestaat'!$O:$O,'Ruimtestaat'!M:M,Vloeronderhoud!E42,'Ruimtestaat'!A:A,Vloeronderhoud!A42)</f>
        <v>14.6</v>
      </c>
      <c r="G42" s="239">
        <v>1</v>
      </c>
      <c r="H42" s="230">
        <f>VLOOKUP(OverzichtVloer[[#This Row],[Code Taak]],InvulVloer[],3,3)*F42*G42</f>
        <v>0</v>
      </c>
      <c r="I42" s="229"/>
    </row>
    <row r="43" spans="1:9" s="33" customFormat="1" ht="15" customHeight="1">
      <c r="A43" s="267">
        <v>4</v>
      </c>
      <c r="B43" s="227" t="str">
        <f>VLOOKUP(OverzichtVloer[[#This Row],[Code Locatie]],Locaties[],2,0)</f>
        <v>Stafbureau Attendiz</v>
      </c>
      <c r="C43" s="226">
        <v>8</v>
      </c>
      <c r="D43" s="228" t="str">
        <f>IF(Vloeronderhoud!$C43&gt;0,VLOOKUP(Vloeronderhoud!$C43,$A$8:$B$16,2,FALSE),"")</f>
        <v>Machinaal schrobben en droogzuigen</v>
      </c>
      <c r="E43" s="229" t="s">
        <v>111</v>
      </c>
      <c r="F43" s="250">
        <f>SUMIFS('Ruimtestaat'!$O:$O,'Ruimtestaat'!M:M,Vloeronderhoud!E43,'Ruimtestaat'!A:A,Vloeronderhoud!A43)</f>
        <v>180.2</v>
      </c>
      <c r="G43" s="239">
        <v>1</v>
      </c>
      <c r="H43" s="230">
        <f>VLOOKUP(OverzichtVloer[[#This Row],[Code Taak]],InvulVloer[],3,3)*F43*G43</f>
        <v>0</v>
      </c>
      <c r="I43" s="229"/>
    </row>
    <row r="44" spans="1:9" s="33" customFormat="1" ht="15" customHeight="1">
      <c r="A44" s="267">
        <v>4</v>
      </c>
      <c r="B44" s="227" t="str">
        <f>VLOOKUP(OverzichtVloer[[#This Row],[Code Locatie]],Locaties[],2,0)</f>
        <v>Stafbureau Attendiz</v>
      </c>
      <c r="C44" s="226">
        <v>8</v>
      </c>
      <c r="D44" s="228" t="str">
        <f>IF(Vloeronderhoud!$C44&gt;0,VLOOKUP(Vloeronderhoud!$C44,$A$8:$B$16,2,FALSE),"")</f>
        <v>Machinaal schrobben en droogzuigen</v>
      </c>
      <c r="E44" s="229" t="s">
        <v>112</v>
      </c>
      <c r="F44" s="250">
        <f>SUMIFS('Ruimtestaat'!$O:$O,'Ruimtestaat'!M:M,Vloeronderhoud!E44,'Ruimtestaat'!A:A,Vloeronderhoud!A44)</f>
        <v>0</v>
      </c>
      <c r="G44" s="239"/>
      <c r="H44" s="230">
        <f>VLOOKUP(OverzichtVloer[[#This Row],[Code Taak]],InvulVloer[],3,3)*F44*G44</f>
        <v>0</v>
      </c>
      <c r="I44" s="229"/>
    </row>
    <row r="45" spans="1:9" s="33" customFormat="1" ht="15" customHeight="1">
      <c r="A45" s="267">
        <v>4</v>
      </c>
      <c r="B45" s="227" t="str">
        <f>VLOOKUP(OverzichtVloer[[#This Row],[Code Locatie]],Locaties[],2,0)</f>
        <v>Stafbureau Attendiz</v>
      </c>
      <c r="C45" s="226">
        <v>6</v>
      </c>
      <c r="D45" s="228" t="str">
        <f>IF(Vloeronderhoud!$C45&gt;0,VLOOKUP(Vloeronderhoud!$C45,$A$8:$B$16,2,FALSE),"")</f>
        <v>Schuren en lakken houten vloer</v>
      </c>
      <c r="E45" s="229" t="s">
        <v>439</v>
      </c>
      <c r="F45" s="250">
        <f>SUMIFS('Ruimtestaat'!$O:$O,'Ruimtestaat'!M:M,Vloeronderhoud!E45,'Ruimtestaat'!A:A,Vloeronderhoud!A45)</f>
        <v>0</v>
      </c>
      <c r="G45" s="239"/>
      <c r="H45" s="230">
        <f>VLOOKUP(OverzichtVloer[[#This Row],[Code Taak]],InvulVloer[],3,3)*F45*G45</f>
        <v>0</v>
      </c>
      <c r="I45" s="229"/>
    </row>
    <row r="46" spans="1:9" s="33" customFormat="1" ht="15" customHeight="1">
      <c r="A46" s="267">
        <v>4</v>
      </c>
      <c r="B46" s="227" t="str">
        <f>VLOOKUP(OverzichtVloer[[#This Row],[Code Locatie]],Locaties[],2,0)</f>
        <v>Stafbureau Attendiz</v>
      </c>
      <c r="C46" s="226">
        <v>4</v>
      </c>
      <c r="D46" s="228" t="str">
        <f>IF(Vloeronderhoud!$C46&gt;0,VLOOKUP(Vloeronderhoud!$C46,$A$8:$B$16,2,FALSE),"")</f>
        <v>Tapijtreinigen, sproei-extractiemethode</v>
      </c>
      <c r="E46" s="229" t="s">
        <v>109</v>
      </c>
      <c r="F46" s="250">
        <f>SUMIFS('Ruimtestaat'!$O:$O,'Ruimtestaat'!M:M,Vloeronderhoud!E46,'Ruimtestaat'!A:A,Vloeronderhoud!A46)</f>
        <v>664.90000000000009</v>
      </c>
      <c r="G46" s="239">
        <v>1</v>
      </c>
      <c r="H46" s="230">
        <f>VLOOKUP(OverzichtVloer[[#This Row],[Code Taak]],InvulVloer[],3,3)*F46*G46</f>
        <v>0</v>
      </c>
      <c r="I46" s="229"/>
    </row>
    <row r="47" spans="1:9" s="33" customFormat="1" ht="15" customHeight="1">
      <c r="A47" s="267">
        <v>5</v>
      </c>
      <c r="B47" s="227" t="str">
        <f>VLOOKUP(OverzichtVloer[[#This Row],[Code Locatie]],Locaties[],2,0)</f>
        <v>VSO Het Mozaïek Almelo</v>
      </c>
      <c r="C47" s="226">
        <v>1</v>
      </c>
      <c r="D47" s="228" t="str">
        <f>IF(Vloeronderhoud!$C47&gt;0,VLOOKUP(Vloeronderhoud!$C47,$A$8:$B$16,2,FALSE),"")</f>
        <v>Sprayen</v>
      </c>
      <c r="E47" s="229" t="s">
        <v>110</v>
      </c>
      <c r="F47" s="250">
        <f>SUMIFS('Ruimtestaat'!$O:$O,'Ruimtestaat'!M:M,Vloeronderhoud!E47,'Ruimtestaat'!A:A,Vloeronderhoud!A47)</f>
        <v>1295.4100000000001</v>
      </c>
      <c r="G47" s="239">
        <v>1</v>
      </c>
      <c r="H47" s="230">
        <f>VLOOKUP(OverzichtVloer[[#This Row],[Code Taak]],InvulVloer[],3,3)*F47*G47</f>
        <v>0</v>
      </c>
      <c r="I47" s="229"/>
    </row>
    <row r="48" spans="1:9" s="33" customFormat="1" ht="15" customHeight="1">
      <c r="A48" s="267">
        <v>5</v>
      </c>
      <c r="B48" s="227" t="str">
        <f>VLOOKUP(OverzichtVloer[[#This Row],[Code Locatie]],Locaties[],2,0)</f>
        <v>VSO Het Mozaïek Almelo</v>
      </c>
      <c r="C48" s="226">
        <v>2</v>
      </c>
      <c r="D48" s="228" t="str">
        <f>IF(Vloeronderhoud!$C48&gt;0,VLOOKUP(Vloeronderhoud!$C48,$A$8:$B$16,2,FALSE),"")</f>
        <v>Topstrippen en conserveren</v>
      </c>
      <c r="E48" s="229" t="s">
        <v>110</v>
      </c>
      <c r="F48" s="250">
        <f>SUMIFS('Ruimtestaat'!$O:$O,'Ruimtestaat'!M:M,Vloeronderhoud!E48,'Ruimtestaat'!A:A,Vloeronderhoud!A48)</f>
        <v>1295.4100000000001</v>
      </c>
      <c r="G48" s="239">
        <v>1</v>
      </c>
      <c r="H48" s="230">
        <f>VLOOKUP(OverzichtVloer[[#This Row],[Code Taak]],InvulVloer[],3,3)*F48*G48</f>
        <v>0</v>
      </c>
      <c r="I48" s="229"/>
    </row>
    <row r="49" spans="1:9" s="33" customFormat="1" ht="15" customHeight="1">
      <c r="A49" s="267">
        <v>5</v>
      </c>
      <c r="B49" s="227" t="str">
        <f>VLOOKUP(OverzichtVloer[[#This Row],[Code Locatie]],Locaties[],2,0)</f>
        <v>VSO Het Mozaïek Almelo</v>
      </c>
      <c r="C49" s="226">
        <v>3</v>
      </c>
      <c r="D49" s="228" t="str">
        <f>IF(Vloeronderhoud!$C49&gt;0,VLOOKUP(Vloeronderhoud!$C49,$A$8:$B$16,2,FALSE),"")</f>
        <v>Diepstrippen, sealen en conserveren (MJOP)</v>
      </c>
      <c r="E49" s="229" t="s">
        <v>110</v>
      </c>
      <c r="F49" s="250">
        <f>SUMIFS('Ruimtestaat'!$O:$O,'Ruimtestaat'!M:M,Vloeronderhoud!E49,'Ruimtestaat'!A:A,Vloeronderhoud!A49)</f>
        <v>1295.4100000000001</v>
      </c>
      <c r="G49" s="239">
        <v>1</v>
      </c>
      <c r="H49" s="230">
        <f>VLOOKUP(OverzichtVloer[[#This Row],[Code Taak]],InvulVloer[],3,3)*F49*G49</f>
        <v>0</v>
      </c>
      <c r="I49" s="229" t="s">
        <v>1285</v>
      </c>
    </row>
    <row r="50" spans="1:9" s="33" customFormat="1" ht="15" customHeight="1">
      <c r="A50" s="267">
        <v>5</v>
      </c>
      <c r="B50" s="227" t="str">
        <f>VLOOKUP(OverzichtVloer[[#This Row],[Code Locatie]],Locaties[],2,0)</f>
        <v>VSO Het Mozaïek Almelo</v>
      </c>
      <c r="C50" s="226">
        <v>8</v>
      </c>
      <c r="D50" s="228" t="str">
        <f>IF(Vloeronderhoud!$C50&gt;0,VLOOKUP(Vloeronderhoud!$C50,$A$8:$B$16,2,FALSE),"")</f>
        <v>Machinaal schrobben en droogzuigen</v>
      </c>
      <c r="E50" s="229" t="s">
        <v>111</v>
      </c>
      <c r="F50" s="250">
        <f>SUMIFS('Ruimtestaat'!$O:$O,'Ruimtestaat'!M:M,Vloeronderhoud!E50,'Ruimtestaat'!A:A,Vloeronderhoud!A50)</f>
        <v>338.31</v>
      </c>
      <c r="G50" s="239">
        <v>1</v>
      </c>
      <c r="H50" s="230">
        <f>VLOOKUP(OverzichtVloer[[#This Row],[Code Taak]],InvulVloer[],3,3)*F50*G50</f>
        <v>0</v>
      </c>
      <c r="I50" s="229"/>
    </row>
    <row r="51" spans="1:9" s="33" customFormat="1" ht="15" customHeight="1">
      <c r="A51" s="267">
        <v>5</v>
      </c>
      <c r="B51" s="227" t="str">
        <f>VLOOKUP(OverzichtVloer[[#This Row],[Code Locatie]],Locaties[],2,0)</f>
        <v>VSO Het Mozaïek Almelo</v>
      </c>
      <c r="C51" s="226">
        <v>8</v>
      </c>
      <c r="D51" s="228" t="str">
        <f>IF(Vloeronderhoud!$C51&gt;0,VLOOKUP(Vloeronderhoud!$C51,$A$8:$B$16,2,FALSE),"")</f>
        <v>Machinaal schrobben en droogzuigen</v>
      </c>
      <c r="E51" s="229" t="s">
        <v>112</v>
      </c>
      <c r="F51" s="250">
        <f>SUMIFS('Ruimtestaat'!$O:$O,'Ruimtestaat'!M:M,Vloeronderhoud!E51,'Ruimtestaat'!A:A,Vloeronderhoud!A51)</f>
        <v>280.8</v>
      </c>
      <c r="G51" s="239">
        <v>1</v>
      </c>
      <c r="H51" s="230">
        <f>VLOOKUP(OverzichtVloer[[#This Row],[Code Taak]],InvulVloer[],3,3)*F51*G51</f>
        <v>0</v>
      </c>
      <c r="I51" s="229"/>
    </row>
    <row r="52" spans="1:9" s="33" customFormat="1" ht="15" customHeight="1">
      <c r="A52" s="267">
        <v>5</v>
      </c>
      <c r="B52" s="227" t="str">
        <f>VLOOKUP(OverzichtVloer[[#This Row],[Code Locatie]],Locaties[],2,0)</f>
        <v>VSO Het Mozaïek Almelo</v>
      </c>
      <c r="C52" s="226">
        <v>6</v>
      </c>
      <c r="D52" s="228" t="str">
        <f>IF(Vloeronderhoud!$C52&gt;0,VLOOKUP(Vloeronderhoud!$C52,$A$8:$B$16,2,FALSE),"")</f>
        <v>Schuren en lakken houten vloer</v>
      </c>
      <c r="E52" s="229" t="s">
        <v>439</v>
      </c>
      <c r="F52" s="250">
        <f>SUMIFS('Ruimtestaat'!$O:$O,'Ruimtestaat'!M:M,Vloeronderhoud!E52,'Ruimtestaat'!A:A,Vloeronderhoud!A52)</f>
        <v>0</v>
      </c>
      <c r="G52" s="239"/>
      <c r="H52" s="230">
        <f>VLOOKUP(OverzichtVloer[[#This Row],[Code Taak]],InvulVloer[],3,3)*F52*G52</f>
        <v>0</v>
      </c>
      <c r="I52" s="229"/>
    </row>
    <row r="53" spans="1:9" s="33" customFormat="1" ht="15" customHeight="1">
      <c r="A53" s="267">
        <v>5</v>
      </c>
      <c r="B53" s="227" t="str">
        <f>VLOOKUP(OverzichtVloer[[#This Row],[Code Locatie]],Locaties[],2,0)</f>
        <v>VSO Het Mozaïek Almelo</v>
      </c>
      <c r="C53" s="226">
        <v>4</v>
      </c>
      <c r="D53" s="228" t="str">
        <f>IF(Vloeronderhoud!$C53&gt;0,VLOOKUP(Vloeronderhoud!$C53,$A$8:$B$16,2,FALSE),"")</f>
        <v>Tapijtreinigen, sproei-extractiemethode</v>
      </c>
      <c r="E53" s="229" t="s">
        <v>109</v>
      </c>
      <c r="F53" s="250">
        <f>SUMIFS('Ruimtestaat'!$O:$O,'Ruimtestaat'!M:M,Vloeronderhoud!E53,'Ruimtestaat'!A:A,Vloeronderhoud!A53)</f>
        <v>219.56</v>
      </c>
      <c r="G53" s="239">
        <v>1</v>
      </c>
      <c r="H53" s="230">
        <f>VLOOKUP(OverzichtVloer[[#This Row],[Code Taak]],InvulVloer[],3,3)*F53*G53</f>
        <v>0</v>
      </c>
      <c r="I53" s="229"/>
    </row>
    <row r="54" spans="1:9" s="33" customFormat="1" ht="15" customHeight="1">
      <c r="A54" s="267">
        <v>6</v>
      </c>
      <c r="B54" s="227" t="str">
        <f>VLOOKUP(OverzichtVloer[[#This Row],[Code Locatie]],Locaties[],2,0)</f>
        <v>Het Reliëf</v>
      </c>
      <c r="C54" s="226">
        <v>1</v>
      </c>
      <c r="D54" s="228" t="str">
        <f>IF(Vloeronderhoud!$C54&gt;0,VLOOKUP(Vloeronderhoud!$C54,$A$8:$B$16,2,FALSE),"")</f>
        <v>Sprayen</v>
      </c>
      <c r="E54" s="229" t="s">
        <v>110</v>
      </c>
      <c r="F54" s="250">
        <f>SUMIFS('Ruimtestaat'!$O:$O,'Ruimtestaat'!M:M,Vloeronderhoud!E54,'Ruimtestaat'!A:A,Vloeronderhoud!A54)</f>
        <v>1052.2</v>
      </c>
      <c r="G54" s="239">
        <v>1</v>
      </c>
      <c r="H54" s="230">
        <f>VLOOKUP(OverzichtVloer[[#This Row],[Code Taak]],InvulVloer[],3,3)*F54*G54</f>
        <v>0</v>
      </c>
      <c r="I54" s="229"/>
    </row>
    <row r="55" spans="1:9" s="33" customFormat="1" ht="15" customHeight="1">
      <c r="A55" s="267">
        <v>6</v>
      </c>
      <c r="B55" s="227" t="str">
        <f>VLOOKUP(OverzichtVloer[[#This Row],[Code Locatie]],Locaties[],2,0)</f>
        <v>Het Reliëf</v>
      </c>
      <c r="C55" s="226">
        <v>2</v>
      </c>
      <c r="D55" s="228" t="str">
        <f>IF(Vloeronderhoud!$C55&gt;0,VLOOKUP(Vloeronderhoud!$C55,$A$8:$B$16,2,FALSE),"")</f>
        <v>Topstrippen en conserveren</v>
      </c>
      <c r="E55" s="229" t="s">
        <v>110</v>
      </c>
      <c r="F55" s="250">
        <f>SUMIFS('Ruimtestaat'!$O:$O,'Ruimtestaat'!M:M,Vloeronderhoud!E55,'Ruimtestaat'!A:A,Vloeronderhoud!A55)</f>
        <v>1052.2</v>
      </c>
      <c r="G55" s="239">
        <v>1</v>
      </c>
      <c r="H55" s="230">
        <f>VLOOKUP(OverzichtVloer[[#This Row],[Code Taak]],InvulVloer[],3,3)*F55*G55</f>
        <v>0</v>
      </c>
      <c r="I55" s="229"/>
    </row>
    <row r="56" spans="1:9" s="33" customFormat="1" ht="15" customHeight="1">
      <c r="A56" s="267">
        <v>6</v>
      </c>
      <c r="B56" s="227" t="str">
        <f>VLOOKUP(OverzichtVloer[[#This Row],[Code Locatie]],Locaties[],2,0)</f>
        <v>Het Reliëf</v>
      </c>
      <c r="C56" s="226">
        <v>3</v>
      </c>
      <c r="D56" s="228" t="str">
        <f>IF(Vloeronderhoud!$C56&gt;0,VLOOKUP(Vloeronderhoud!$C56,$A$8:$B$16,2,FALSE),"")</f>
        <v>Diepstrippen, sealen en conserveren (MJOP)</v>
      </c>
      <c r="E56" s="229" t="s">
        <v>110</v>
      </c>
      <c r="F56" s="250">
        <f>SUMIFS('Ruimtestaat'!$O:$O,'Ruimtestaat'!M:M,Vloeronderhoud!E56,'Ruimtestaat'!A:A,Vloeronderhoud!A56)</f>
        <v>1052.2</v>
      </c>
      <c r="G56" s="239">
        <v>1</v>
      </c>
      <c r="H56" s="230">
        <f>VLOOKUP(OverzichtVloer[[#This Row],[Code Taak]],InvulVloer[],3,3)*F56*G56</f>
        <v>0</v>
      </c>
      <c r="I56" s="229" t="s">
        <v>1284</v>
      </c>
    </row>
    <row r="57" spans="1:9" s="33" customFormat="1" ht="15" customHeight="1">
      <c r="A57" s="267">
        <v>6</v>
      </c>
      <c r="B57" s="227" t="str">
        <f>VLOOKUP(OverzichtVloer[[#This Row],[Code Locatie]],Locaties[],2,0)</f>
        <v>Het Reliëf</v>
      </c>
      <c r="C57" s="226">
        <v>8</v>
      </c>
      <c r="D57" s="228" t="str">
        <f>IF(Vloeronderhoud!$C57&gt;0,VLOOKUP(Vloeronderhoud!$C57,$A$8:$B$16,2,FALSE),"")</f>
        <v>Machinaal schrobben en droogzuigen</v>
      </c>
      <c r="E57" s="229" t="s">
        <v>111</v>
      </c>
      <c r="F57" s="250">
        <f>SUMIFS('Ruimtestaat'!$O:$O,'Ruimtestaat'!M:M,Vloeronderhoud!E57,'Ruimtestaat'!A:A,Vloeronderhoud!A57)</f>
        <v>783.4699999999998</v>
      </c>
      <c r="G57" s="239">
        <v>1</v>
      </c>
      <c r="H57" s="230">
        <f>VLOOKUP(OverzichtVloer[[#This Row],[Code Taak]],InvulVloer[],3,3)*F57*G57</f>
        <v>0</v>
      </c>
      <c r="I57" s="229"/>
    </row>
    <row r="58" spans="1:9" s="33" customFormat="1" ht="15" customHeight="1">
      <c r="A58" s="267">
        <v>6</v>
      </c>
      <c r="B58" s="227" t="str">
        <f>VLOOKUP(OverzichtVloer[[#This Row],[Code Locatie]],Locaties[],2,0)</f>
        <v>Het Reliëf</v>
      </c>
      <c r="C58" s="226">
        <v>8</v>
      </c>
      <c r="D58" s="228" t="str">
        <f>IF(Vloeronderhoud!$C58&gt;0,VLOOKUP(Vloeronderhoud!$C58,$A$8:$B$16,2,FALSE),"")</f>
        <v>Machinaal schrobben en droogzuigen</v>
      </c>
      <c r="E58" s="229" t="s">
        <v>112</v>
      </c>
      <c r="F58" s="250">
        <f>SUMIFS('Ruimtestaat'!$O:$O,'Ruimtestaat'!M:M,Vloeronderhoud!E58,'Ruimtestaat'!A:A,Vloeronderhoud!A58)</f>
        <v>521.5</v>
      </c>
      <c r="G58" s="239">
        <v>1</v>
      </c>
      <c r="H58" s="230">
        <f>VLOOKUP(OverzichtVloer[[#This Row],[Code Taak]],InvulVloer[],3,3)*F58*G58</f>
        <v>0</v>
      </c>
      <c r="I58" s="229"/>
    </row>
    <row r="59" spans="1:9" s="33" customFormat="1" ht="15" customHeight="1">
      <c r="A59" s="267">
        <v>6</v>
      </c>
      <c r="B59" s="227" t="str">
        <f>VLOOKUP(OverzichtVloer[[#This Row],[Code Locatie]],Locaties[],2,0)</f>
        <v>Het Reliëf</v>
      </c>
      <c r="C59" s="226">
        <v>6</v>
      </c>
      <c r="D59" s="228" t="str">
        <f>IF(Vloeronderhoud!$C59&gt;0,VLOOKUP(Vloeronderhoud!$C59,$A$8:$B$16,2,FALSE),"")</f>
        <v>Schuren en lakken houten vloer</v>
      </c>
      <c r="E59" s="229" t="s">
        <v>439</v>
      </c>
      <c r="F59" s="250">
        <f>SUMIFS('Ruimtestaat'!$O:$O,'Ruimtestaat'!M:M,Vloeronderhoud!E59,'Ruimtestaat'!A:A,Vloeronderhoud!A59)</f>
        <v>0</v>
      </c>
      <c r="G59" s="239"/>
      <c r="H59" s="230">
        <f>VLOOKUP(OverzichtVloer[[#This Row],[Code Taak]],InvulVloer[],3,3)*F59*G59</f>
        <v>0</v>
      </c>
      <c r="I59" s="229"/>
    </row>
    <row r="60" spans="1:9" s="33" customFormat="1" ht="15" customHeight="1">
      <c r="A60" s="267">
        <v>6</v>
      </c>
      <c r="B60" s="227" t="str">
        <f>VLOOKUP(OverzichtVloer[[#This Row],[Code Locatie]],Locaties[],2,0)</f>
        <v>Het Reliëf</v>
      </c>
      <c r="C60" s="226">
        <v>4</v>
      </c>
      <c r="D60" s="228" t="str">
        <f>IF(Vloeronderhoud!$C60&gt;0,VLOOKUP(Vloeronderhoud!$C60,$A$8:$B$16,2,FALSE),"")</f>
        <v>Tapijtreinigen, sproei-extractiemethode</v>
      </c>
      <c r="E60" s="229" t="s">
        <v>109</v>
      </c>
      <c r="F60" s="250">
        <f>SUMIFS('Ruimtestaat'!$O:$O,'Ruimtestaat'!M:M,Vloeronderhoud!E60,'Ruimtestaat'!A:A,Vloeronderhoud!A60)</f>
        <v>227.2</v>
      </c>
      <c r="G60" s="239">
        <v>1</v>
      </c>
      <c r="H60" s="230">
        <f>VLOOKUP(OverzichtVloer[[#This Row],[Code Taak]],InvulVloer[],3,3)*F60*G60</f>
        <v>0</v>
      </c>
      <c r="I60" s="229"/>
    </row>
    <row r="61" spans="1:9" s="33" customFormat="1" ht="15" customHeight="1">
      <c r="A61" s="267">
        <v>7</v>
      </c>
      <c r="B61" s="227" t="str">
        <f>VLOOKUP(OverzichtVloer[[#This Row],[Code Locatie]],Locaties[],2,0)</f>
        <v>De Kapstok AGL</v>
      </c>
      <c r="C61" s="226">
        <v>1</v>
      </c>
      <c r="D61" s="228" t="str">
        <f>IF(Vloeronderhoud!$C61&gt;0,VLOOKUP(Vloeronderhoud!$C61,$A$8:$B$16,2,FALSE),"")</f>
        <v>Sprayen</v>
      </c>
      <c r="E61" s="229" t="s">
        <v>110</v>
      </c>
      <c r="F61" s="250">
        <f>SUMIFS('Ruimtestaat'!$O:$O,'Ruimtestaat'!M:M,Vloeronderhoud!E61,'Ruimtestaat'!A:A,Vloeronderhoud!A61)</f>
        <v>696.99999999999989</v>
      </c>
      <c r="G61" s="239">
        <v>1</v>
      </c>
      <c r="H61" s="230">
        <f>VLOOKUP(OverzichtVloer[[#This Row],[Code Taak]],InvulVloer[],3,3)*F61*G61</f>
        <v>0</v>
      </c>
      <c r="I61" s="229"/>
    </row>
    <row r="62" spans="1:9" s="33" customFormat="1" ht="15" customHeight="1">
      <c r="A62" s="267">
        <v>7</v>
      </c>
      <c r="B62" s="227" t="str">
        <f>VLOOKUP(OverzichtVloer[[#This Row],[Code Locatie]],Locaties[],2,0)</f>
        <v>De Kapstok AGL</v>
      </c>
      <c r="C62" s="226">
        <v>2</v>
      </c>
      <c r="D62" s="228" t="str">
        <f>IF(Vloeronderhoud!$C62&gt;0,VLOOKUP(Vloeronderhoud!$C62,$A$8:$B$16,2,FALSE),"")</f>
        <v>Topstrippen en conserveren</v>
      </c>
      <c r="E62" s="229" t="s">
        <v>110</v>
      </c>
      <c r="F62" s="250">
        <f>SUMIFS('Ruimtestaat'!$O:$O,'Ruimtestaat'!M:M,Vloeronderhoud!E62,'Ruimtestaat'!A:A,Vloeronderhoud!A62)</f>
        <v>696.99999999999989</v>
      </c>
      <c r="G62" s="239">
        <v>1</v>
      </c>
      <c r="H62" s="230">
        <f>VLOOKUP(OverzichtVloer[[#This Row],[Code Taak]],InvulVloer[],3,3)*F62*G62</f>
        <v>0</v>
      </c>
      <c r="I62" s="229"/>
    </row>
    <row r="63" spans="1:9" s="33" customFormat="1" ht="15" customHeight="1">
      <c r="A63" s="267">
        <v>7</v>
      </c>
      <c r="B63" s="227" t="str">
        <f>VLOOKUP(OverzichtVloer[[#This Row],[Code Locatie]],Locaties[],2,0)</f>
        <v>De Kapstok AGL</v>
      </c>
      <c r="C63" s="226">
        <v>3</v>
      </c>
      <c r="D63" s="228" t="str">
        <f>IF(Vloeronderhoud!$C63&gt;0,VLOOKUP(Vloeronderhoud!$C63,$A$8:$B$16,2,FALSE),"")</f>
        <v>Diepstrippen, sealen en conserveren (MJOP)</v>
      </c>
      <c r="E63" s="229" t="s">
        <v>110</v>
      </c>
      <c r="F63" s="250">
        <f>SUMIFS('Ruimtestaat'!$O:$O,'Ruimtestaat'!M:M,Vloeronderhoud!E63,'Ruimtestaat'!A:A,Vloeronderhoud!A63)</f>
        <v>696.99999999999989</v>
      </c>
      <c r="G63" s="239">
        <v>1</v>
      </c>
      <c r="H63" s="230">
        <f>VLOOKUP(OverzichtVloer[[#This Row],[Code Taak]],InvulVloer[],3,3)*F63*G63</f>
        <v>0</v>
      </c>
      <c r="I63" s="229" t="s">
        <v>1286</v>
      </c>
    </row>
    <row r="64" spans="1:9" s="33" customFormat="1" ht="15" customHeight="1">
      <c r="A64" s="267">
        <v>7</v>
      </c>
      <c r="B64" s="227" t="str">
        <f>VLOOKUP(OverzichtVloer[[#This Row],[Code Locatie]],Locaties[],2,0)</f>
        <v>De Kapstok AGL</v>
      </c>
      <c r="C64" s="226">
        <v>8</v>
      </c>
      <c r="D64" s="228" t="str">
        <f>IF(Vloeronderhoud!$C64&gt;0,VLOOKUP(Vloeronderhoud!$C64,$A$8:$B$16,2,FALSE),"")</f>
        <v>Machinaal schrobben en droogzuigen</v>
      </c>
      <c r="E64" s="229" t="s">
        <v>111</v>
      </c>
      <c r="F64" s="250">
        <f>SUMIFS('Ruimtestaat'!$O:$O,'Ruimtestaat'!M:M,Vloeronderhoud!E64,'Ruimtestaat'!A:A,Vloeronderhoud!A64)</f>
        <v>247.70000000000005</v>
      </c>
      <c r="G64" s="239">
        <v>1</v>
      </c>
      <c r="H64" s="230">
        <f>VLOOKUP(OverzichtVloer[[#This Row],[Code Taak]],InvulVloer[],3,3)*F64*G64</f>
        <v>0</v>
      </c>
      <c r="I64" s="229"/>
    </row>
    <row r="65" spans="1:9" s="33" customFormat="1" ht="15" customHeight="1">
      <c r="A65" s="267">
        <v>7</v>
      </c>
      <c r="B65" s="227" t="str">
        <f>VLOOKUP(OverzichtVloer[[#This Row],[Code Locatie]],Locaties[],2,0)</f>
        <v>De Kapstok AGL</v>
      </c>
      <c r="C65" s="226">
        <v>8</v>
      </c>
      <c r="D65" s="228" t="str">
        <f>IF(Vloeronderhoud!$C65&gt;0,VLOOKUP(Vloeronderhoud!$C65,$A$8:$B$16,2,FALSE),"")</f>
        <v>Machinaal schrobben en droogzuigen</v>
      </c>
      <c r="E65" s="229" t="s">
        <v>112</v>
      </c>
      <c r="F65" s="250">
        <f>SUMIFS('Ruimtestaat'!$O:$O,'Ruimtestaat'!M:M,Vloeronderhoud!E65,'Ruimtestaat'!A:A,Vloeronderhoud!A65)</f>
        <v>179.1</v>
      </c>
      <c r="G65" s="239">
        <v>1</v>
      </c>
      <c r="H65" s="230">
        <f>VLOOKUP(OverzichtVloer[[#This Row],[Code Taak]],InvulVloer[],3,3)*F65*G65</f>
        <v>0</v>
      </c>
      <c r="I65" s="229"/>
    </row>
    <row r="66" spans="1:9" s="33" customFormat="1" ht="15" customHeight="1">
      <c r="A66" s="267">
        <v>7</v>
      </c>
      <c r="B66" s="227" t="str">
        <f>VLOOKUP(OverzichtVloer[[#This Row],[Code Locatie]],Locaties[],2,0)</f>
        <v>De Kapstok AGL</v>
      </c>
      <c r="C66" s="226">
        <v>6</v>
      </c>
      <c r="D66" s="228" t="str">
        <f>IF(Vloeronderhoud!$C66&gt;0,VLOOKUP(Vloeronderhoud!$C66,$A$8:$B$16,2,FALSE),"")</f>
        <v>Schuren en lakken houten vloer</v>
      </c>
      <c r="E66" s="229" t="s">
        <v>439</v>
      </c>
      <c r="F66" s="250">
        <f>SUMIFS('Ruimtestaat'!$O:$O,'Ruimtestaat'!M:M,Vloeronderhoud!E66,'Ruimtestaat'!A:A,Vloeronderhoud!A66)</f>
        <v>0</v>
      </c>
      <c r="G66" s="239"/>
      <c r="H66" s="230">
        <f>VLOOKUP(OverzichtVloer[[#This Row],[Code Taak]],InvulVloer[],3,3)*F66*G66</f>
        <v>0</v>
      </c>
      <c r="I66" s="229"/>
    </row>
    <row r="67" spans="1:9" s="33" customFormat="1" ht="15" customHeight="1">
      <c r="A67" s="267">
        <v>7</v>
      </c>
      <c r="B67" s="227" t="str">
        <f>VLOOKUP(OverzichtVloer[[#This Row],[Code Locatie]],Locaties[],2,0)</f>
        <v>De Kapstok AGL</v>
      </c>
      <c r="C67" s="226">
        <v>4</v>
      </c>
      <c r="D67" s="228" t="str">
        <f>IF(Vloeronderhoud!$C67&gt;0,VLOOKUP(Vloeronderhoud!$C67,$A$8:$B$16,2,FALSE),"")</f>
        <v>Tapijtreinigen, sproei-extractiemethode</v>
      </c>
      <c r="E67" s="229" t="s">
        <v>109</v>
      </c>
      <c r="F67" s="250">
        <f>SUMIFS('Ruimtestaat'!$O:$O,'Ruimtestaat'!M:M,Vloeronderhoud!E67,'Ruimtestaat'!A:A,Vloeronderhoud!A67)</f>
        <v>135.80000000000001</v>
      </c>
      <c r="G67" s="239">
        <v>1</v>
      </c>
      <c r="H67" s="230">
        <f>VLOOKUP(OverzichtVloer[[#This Row],[Code Taak]],InvulVloer[],3,3)*F67*G67</f>
        <v>0</v>
      </c>
      <c r="I67" s="229"/>
    </row>
    <row r="68" spans="1:9" s="33" customFormat="1" ht="15" customHeight="1">
      <c r="A68" s="267">
        <v>8</v>
      </c>
      <c r="B68" s="227" t="str">
        <f>VLOOKUP(OverzichtVloer[[#This Row],[Code Locatie]],Locaties[],2,0)</f>
        <v>Het Mozaïek</v>
      </c>
      <c r="C68" s="226">
        <v>1</v>
      </c>
      <c r="D68" s="228" t="str">
        <f>IF(Vloeronderhoud!$C68&gt;0,VLOOKUP(Vloeronderhoud!$C68,$A$8:$B$16,2,FALSE),"")</f>
        <v>Sprayen</v>
      </c>
      <c r="E68" s="229" t="s">
        <v>110</v>
      </c>
      <c r="F68" s="250">
        <f>SUMIFS('Ruimtestaat'!$O:$O,'Ruimtestaat'!M:M,Vloeronderhoud!E68,'Ruimtestaat'!A:A,Vloeronderhoud!A68)</f>
        <v>921.30999999999972</v>
      </c>
      <c r="G68" s="239">
        <v>1</v>
      </c>
      <c r="H68" s="230">
        <f>VLOOKUP(OverzichtVloer[[#This Row],[Code Taak]],InvulVloer[],3,3)*F68*G68</f>
        <v>0</v>
      </c>
      <c r="I68" s="229"/>
    </row>
    <row r="69" spans="1:9" s="33" customFormat="1" ht="15" customHeight="1">
      <c r="A69" s="267">
        <v>8</v>
      </c>
      <c r="B69" s="227" t="str">
        <f>VLOOKUP(OverzichtVloer[[#This Row],[Code Locatie]],Locaties[],2,0)</f>
        <v>Het Mozaïek</v>
      </c>
      <c r="C69" s="226">
        <v>2</v>
      </c>
      <c r="D69" s="228" t="str">
        <f>IF(Vloeronderhoud!$C69&gt;0,VLOOKUP(Vloeronderhoud!$C69,$A$8:$B$16,2,FALSE),"")</f>
        <v>Topstrippen en conserveren</v>
      </c>
      <c r="E69" s="229" t="s">
        <v>110</v>
      </c>
      <c r="F69" s="250">
        <f>SUMIFS('Ruimtestaat'!$O:$O,'Ruimtestaat'!M:M,Vloeronderhoud!E69,'Ruimtestaat'!A:A,Vloeronderhoud!A69)</f>
        <v>921.30999999999972</v>
      </c>
      <c r="G69" s="239">
        <v>1</v>
      </c>
      <c r="H69" s="230">
        <f>VLOOKUP(OverzichtVloer[[#This Row],[Code Taak]],InvulVloer[],3,3)*F69*G69</f>
        <v>0</v>
      </c>
      <c r="I69" s="229"/>
    </row>
    <row r="70" spans="1:9" s="33" customFormat="1" ht="15" customHeight="1">
      <c r="A70" s="267">
        <v>8</v>
      </c>
      <c r="B70" s="227" t="str">
        <f>VLOOKUP(OverzichtVloer[[#This Row],[Code Locatie]],Locaties[],2,0)</f>
        <v>Het Mozaïek</v>
      </c>
      <c r="C70" s="226">
        <v>3</v>
      </c>
      <c r="D70" s="228" t="str">
        <f>IF(Vloeronderhoud!$C70&gt;0,VLOOKUP(Vloeronderhoud!$C70,$A$8:$B$16,2,FALSE),"")</f>
        <v>Diepstrippen, sealen en conserveren (MJOP)</v>
      </c>
      <c r="E70" s="229" t="s">
        <v>110</v>
      </c>
      <c r="F70" s="250">
        <f>SUMIFS('Ruimtestaat'!$O:$O,'Ruimtestaat'!M:M,Vloeronderhoud!E70,'Ruimtestaat'!A:A,Vloeronderhoud!A70)</f>
        <v>921.30999999999972</v>
      </c>
      <c r="G70" s="239">
        <v>1</v>
      </c>
      <c r="H70" s="230">
        <f>VLOOKUP(OverzichtVloer[[#This Row],[Code Taak]],InvulVloer[],3,3)*F70*G70</f>
        <v>0</v>
      </c>
      <c r="I70" s="229" t="s">
        <v>1286</v>
      </c>
    </row>
    <row r="71" spans="1:9" s="33" customFormat="1" ht="15" customHeight="1">
      <c r="A71" s="267">
        <v>8</v>
      </c>
      <c r="B71" s="227" t="str">
        <f>VLOOKUP(OverzichtVloer[[#This Row],[Code Locatie]],Locaties[],2,0)</f>
        <v>Het Mozaïek</v>
      </c>
      <c r="C71" s="226">
        <v>8</v>
      </c>
      <c r="D71" s="228" t="str">
        <f>IF(Vloeronderhoud!$C71&gt;0,VLOOKUP(Vloeronderhoud!$C71,$A$8:$B$16,2,FALSE),"")</f>
        <v>Machinaal schrobben en droogzuigen</v>
      </c>
      <c r="E71" s="229" t="s">
        <v>111</v>
      </c>
      <c r="F71" s="250">
        <f>SUMIFS('Ruimtestaat'!$O:$O,'Ruimtestaat'!M:M,Vloeronderhoud!E71,'Ruimtestaat'!A:A,Vloeronderhoud!A71)</f>
        <v>23.82</v>
      </c>
      <c r="G71" s="239">
        <v>1</v>
      </c>
      <c r="H71" s="230">
        <f>VLOOKUP(OverzichtVloer[[#This Row],[Code Taak]],InvulVloer[],3,3)*F71*G71</f>
        <v>0</v>
      </c>
      <c r="I71" s="229"/>
    </row>
    <row r="72" spans="1:9" s="33" customFormat="1" ht="15" customHeight="1">
      <c r="A72" s="267">
        <v>8</v>
      </c>
      <c r="B72" s="227" t="str">
        <f>VLOOKUP(OverzichtVloer[[#This Row],[Code Locatie]],Locaties[],2,0)</f>
        <v>Het Mozaïek</v>
      </c>
      <c r="C72" s="226">
        <v>8</v>
      </c>
      <c r="D72" s="228" t="str">
        <f>IF(Vloeronderhoud!$C72&gt;0,VLOOKUP(Vloeronderhoud!$C72,$A$8:$B$16,2,FALSE),"")</f>
        <v>Machinaal schrobben en droogzuigen</v>
      </c>
      <c r="E72" s="229" t="s">
        <v>112</v>
      </c>
      <c r="F72" s="250">
        <f>SUMIFS('Ruimtestaat'!$O:$O,'Ruimtestaat'!M:M,Vloeronderhoud!E72,'Ruimtestaat'!A:A,Vloeronderhoud!A72)</f>
        <v>0</v>
      </c>
      <c r="G72" s="239"/>
      <c r="H72" s="230">
        <f>VLOOKUP(OverzichtVloer[[#This Row],[Code Taak]],InvulVloer[],3,3)*F72*G72</f>
        <v>0</v>
      </c>
      <c r="I72" s="229"/>
    </row>
    <row r="73" spans="1:9" s="33" customFormat="1" ht="15" customHeight="1">
      <c r="A73" s="267">
        <v>8</v>
      </c>
      <c r="B73" s="227" t="str">
        <f>VLOOKUP(OverzichtVloer[[#This Row],[Code Locatie]],Locaties[],2,0)</f>
        <v>Het Mozaïek</v>
      </c>
      <c r="C73" s="226">
        <v>6</v>
      </c>
      <c r="D73" s="228" t="str">
        <f>IF(Vloeronderhoud!$C73&gt;0,VLOOKUP(Vloeronderhoud!$C73,$A$8:$B$16,2,FALSE),"")</f>
        <v>Schuren en lakken houten vloer</v>
      </c>
      <c r="E73" s="229" t="s">
        <v>439</v>
      </c>
      <c r="F73" s="250">
        <f>SUMIFS('Ruimtestaat'!$O:$O,'Ruimtestaat'!M:M,Vloeronderhoud!E73,'Ruimtestaat'!A:A,Vloeronderhoud!A73)</f>
        <v>22</v>
      </c>
      <c r="G73" s="239">
        <v>1</v>
      </c>
      <c r="H73" s="230">
        <f>VLOOKUP(OverzichtVloer[[#This Row],[Code Taak]],InvulVloer[],3,3)*F73*G73</f>
        <v>0</v>
      </c>
      <c r="I73" s="229"/>
    </row>
    <row r="74" spans="1:9" s="33" customFormat="1" ht="15" customHeight="1">
      <c r="A74" s="267">
        <v>8</v>
      </c>
      <c r="B74" s="227" t="str">
        <f>VLOOKUP(OverzichtVloer[[#This Row],[Code Locatie]],Locaties[],2,0)</f>
        <v>Het Mozaïek</v>
      </c>
      <c r="C74" s="226">
        <v>4</v>
      </c>
      <c r="D74" s="228" t="str">
        <f>IF(Vloeronderhoud!$C74&gt;0,VLOOKUP(Vloeronderhoud!$C74,$A$8:$B$16,2,FALSE),"")</f>
        <v>Tapijtreinigen, sproei-extractiemethode</v>
      </c>
      <c r="E74" s="229" t="s">
        <v>109</v>
      </c>
      <c r="F74" s="250">
        <f>SUMIFS('Ruimtestaat'!$O:$O,'Ruimtestaat'!M:M,Vloeronderhoud!E74,'Ruimtestaat'!A:A,Vloeronderhoud!A74)</f>
        <v>123.64999999999999</v>
      </c>
      <c r="G74" s="239">
        <v>1</v>
      </c>
      <c r="H74" s="230">
        <f>VLOOKUP(OverzichtVloer[[#This Row],[Code Taak]],InvulVloer[],3,3)*F74*G74</f>
        <v>0</v>
      </c>
      <c r="I74" s="229"/>
    </row>
    <row r="75" spans="1:9" s="33" customFormat="1" ht="15" customHeight="1">
      <c r="A75" s="267">
        <v>9</v>
      </c>
      <c r="B75" s="227" t="str">
        <f>VLOOKUP(OverzichtVloer[[#This Row],[Code Locatie]],Locaties[],2,0)</f>
        <v>De Stapsteen (De Zevensprong)</v>
      </c>
      <c r="C75" s="226">
        <v>1</v>
      </c>
      <c r="D75" s="228" t="str">
        <f>IF(Vloeronderhoud!$C75&gt;0,VLOOKUP(Vloeronderhoud!$C75,$A$8:$B$16,2,FALSE),"")</f>
        <v>Sprayen</v>
      </c>
      <c r="E75" s="229" t="s">
        <v>110</v>
      </c>
      <c r="F75" s="250">
        <f>SUMIFS('Ruimtestaat'!$O:$O,'Ruimtestaat'!M:M,Vloeronderhoud!E75,'Ruimtestaat'!A:A,Vloeronderhoud!A75)</f>
        <v>692.8</v>
      </c>
      <c r="G75" s="239">
        <v>1</v>
      </c>
      <c r="H75" s="230">
        <f>VLOOKUP(OverzichtVloer[[#This Row],[Code Taak]],InvulVloer[],3,3)*F75*G75</f>
        <v>0</v>
      </c>
      <c r="I75" s="229"/>
    </row>
    <row r="76" spans="1:9" s="33" customFormat="1" ht="15" customHeight="1">
      <c r="A76" s="267">
        <v>9</v>
      </c>
      <c r="B76" s="227" t="str">
        <f>VLOOKUP(OverzichtVloer[[#This Row],[Code Locatie]],Locaties[],2,0)</f>
        <v>De Stapsteen (De Zevensprong)</v>
      </c>
      <c r="C76" s="226">
        <v>2</v>
      </c>
      <c r="D76" s="228" t="str">
        <f>IF(Vloeronderhoud!$C76&gt;0,VLOOKUP(Vloeronderhoud!$C76,$A$8:$B$16,2,FALSE),"")</f>
        <v>Topstrippen en conserveren</v>
      </c>
      <c r="E76" s="229" t="s">
        <v>110</v>
      </c>
      <c r="F76" s="250">
        <f>SUMIFS('Ruimtestaat'!$O:$O,'Ruimtestaat'!M:M,Vloeronderhoud!E76,'Ruimtestaat'!A:A,Vloeronderhoud!A76)</f>
        <v>692.8</v>
      </c>
      <c r="G76" s="239">
        <v>1</v>
      </c>
      <c r="H76" s="230">
        <f>VLOOKUP(OverzichtVloer[[#This Row],[Code Taak]],InvulVloer[],3,3)*F76*G76</f>
        <v>0</v>
      </c>
      <c r="I76" s="229"/>
    </row>
    <row r="77" spans="1:9" s="33" customFormat="1" ht="15" customHeight="1">
      <c r="A77" s="267">
        <v>9</v>
      </c>
      <c r="B77" s="227" t="str">
        <f>VLOOKUP(OverzichtVloer[[#This Row],[Code Locatie]],Locaties[],2,0)</f>
        <v>De Stapsteen (De Zevensprong)</v>
      </c>
      <c r="C77" s="226">
        <v>3</v>
      </c>
      <c r="D77" s="228" t="str">
        <f>IF(Vloeronderhoud!$C77&gt;0,VLOOKUP(Vloeronderhoud!$C77,$A$8:$B$16,2,FALSE),"")</f>
        <v>Diepstrippen, sealen en conserveren (MJOP)</v>
      </c>
      <c r="E77" s="229" t="s">
        <v>110</v>
      </c>
      <c r="F77" s="250">
        <f>SUMIFS('Ruimtestaat'!$O:$O,'Ruimtestaat'!M:M,Vloeronderhoud!E77,'Ruimtestaat'!A:A,Vloeronderhoud!A77)</f>
        <v>692.8</v>
      </c>
      <c r="G77" s="239">
        <v>1</v>
      </c>
      <c r="H77" s="230">
        <f>VLOOKUP(OverzichtVloer[[#This Row],[Code Taak]],InvulVloer[],3,3)*F77*G77</f>
        <v>0</v>
      </c>
      <c r="I77" s="229"/>
    </row>
    <row r="78" spans="1:9" s="33" customFormat="1" ht="15" customHeight="1">
      <c r="A78" s="267">
        <v>9</v>
      </c>
      <c r="B78" s="227" t="str">
        <f>VLOOKUP(OverzichtVloer[[#This Row],[Code Locatie]],Locaties[],2,0)</f>
        <v>De Stapsteen (De Zevensprong)</v>
      </c>
      <c r="C78" s="226">
        <v>8</v>
      </c>
      <c r="D78" s="228" t="str">
        <f>IF(Vloeronderhoud!$C78&gt;0,VLOOKUP(Vloeronderhoud!$C78,$A$8:$B$16,2,FALSE),"")</f>
        <v>Machinaal schrobben en droogzuigen</v>
      </c>
      <c r="E78" s="229" t="s">
        <v>111</v>
      </c>
      <c r="F78" s="250">
        <f>SUMIFS('Ruimtestaat'!$O:$O,'Ruimtestaat'!M:M,Vloeronderhoud!E78,'Ruimtestaat'!A:A,Vloeronderhoud!A78)</f>
        <v>98.699999999999989</v>
      </c>
      <c r="G78" s="239">
        <v>1</v>
      </c>
      <c r="H78" s="230">
        <f>VLOOKUP(OverzichtVloer[[#This Row],[Code Taak]],InvulVloer[],3,3)*F78*G78</f>
        <v>0</v>
      </c>
      <c r="I78" s="229"/>
    </row>
    <row r="79" spans="1:9" s="33" customFormat="1" ht="15" customHeight="1">
      <c r="A79" s="267">
        <v>9</v>
      </c>
      <c r="B79" s="227" t="str">
        <f>VLOOKUP(OverzichtVloer[[#This Row],[Code Locatie]],Locaties[],2,0)</f>
        <v>De Stapsteen (De Zevensprong)</v>
      </c>
      <c r="C79" s="226">
        <v>8</v>
      </c>
      <c r="D79" s="228" t="str">
        <f>IF(Vloeronderhoud!$C79&gt;0,VLOOKUP(Vloeronderhoud!$C79,$A$8:$B$16,2,FALSE),"")</f>
        <v>Machinaal schrobben en droogzuigen</v>
      </c>
      <c r="E79" s="229" t="s">
        <v>112</v>
      </c>
      <c r="F79" s="250">
        <f>SUMIFS('Ruimtestaat'!$O:$O,'Ruimtestaat'!M:M,Vloeronderhoud!E79,'Ruimtestaat'!A:A,Vloeronderhoud!A79)</f>
        <v>137.1</v>
      </c>
      <c r="G79" s="239">
        <v>1</v>
      </c>
      <c r="H79" s="230">
        <f>VLOOKUP(OverzichtVloer[[#This Row],[Code Taak]],InvulVloer[],3,3)*F79*G79</f>
        <v>0</v>
      </c>
      <c r="I79" s="229"/>
    </row>
    <row r="80" spans="1:9" s="33" customFormat="1" ht="15" customHeight="1">
      <c r="A80" s="267">
        <v>9</v>
      </c>
      <c r="B80" s="227" t="str">
        <f>VLOOKUP(OverzichtVloer[[#This Row],[Code Locatie]],Locaties[],2,0)</f>
        <v>De Stapsteen (De Zevensprong)</v>
      </c>
      <c r="C80" s="226">
        <v>6</v>
      </c>
      <c r="D80" s="228" t="str">
        <f>IF(Vloeronderhoud!$C80&gt;0,VLOOKUP(Vloeronderhoud!$C80,$A$8:$B$16,2,FALSE),"")</f>
        <v>Schuren en lakken houten vloer</v>
      </c>
      <c r="E80" s="229" t="s">
        <v>439</v>
      </c>
      <c r="F80" s="250">
        <f>SUMIFS('Ruimtestaat'!$O:$O,'Ruimtestaat'!M:M,Vloeronderhoud!E80,'Ruimtestaat'!A:A,Vloeronderhoud!A80)</f>
        <v>0</v>
      </c>
      <c r="G80" s="239"/>
      <c r="H80" s="230">
        <f>VLOOKUP(OverzichtVloer[[#This Row],[Code Taak]],InvulVloer[],3,3)*F80*G80</f>
        <v>0</v>
      </c>
      <c r="I80" s="229"/>
    </row>
    <row r="81" spans="1:9" s="33" customFormat="1" ht="15" customHeight="1">
      <c r="A81" s="267">
        <v>9</v>
      </c>
      <c r="B81" s="227" t="str">
        <f>VLOOKUP(OverzichtVloer[[#This Row],[Code Locatie]],Locaties[],2,0)</f>
        <v>De Stapsteen (De Zevensprong)</v>
      </c>
      <c r="C81" s="226">
        <v>4</v>
      </c>
      <c r="D81" s="228" t="str">
        <f>IF(Vloeronderhoud!$C81&gt;0,VLOOKUP(Vloeronderhoud!$C81,$A$8:$B$16,2,FALSE),"")</f>
        <v>Tapijtreinigen, sproei-extractiemethode</v>
      </c>
      <c r="E81" s="229" t="s">
        <v>109</v>
      </c>
      <c r="F81" s="250">
        <f>SUMIFS('Ruimtestaat'!$O:$O,'Ruimtestaat'!M:M,Vloeronderhoud!E81,'Ruimtestaat'!A:A,Vloeronderhoud!A81)</f>
        <v>173.1</v>
      </c>
      <c r="G81" s="239">
        <v>1</v>
      </c>
      <c r="H81" s="230">
        <f>VLOOKUP(OverzichtVloer[[#This Row],[Code Taak]],InvulVloer[],3,3)*F81*G81</f>
        <v>0</v>
      </c>
      <c r="I81" s="229"/>
    </row>
    <row r="82" spans="1:9" s="33" customFormat="1" ht="15" customHeight="1">
      <c r="A82" s="267">
        <v>10</v>
      </c>
      <c r="B82" s="227" t="str">
        <f>VLOOKUP(OverzichtVloer[[#This Row],[Code Locatie]],Locaties[],2,0)</f>
        <v>De Stapsteen (2 gebouwen)</v>
      </c>
      <c r="C82" s="226">
        <v>1</v>
      </c>
      <c r="D82" s="228" t="str">
        <f>IF(Vloeronderhoud!$C82&gt;0,VLOOKUP(Vloeronderhoud!$C82,$A$8:$B$16,2,FALSE),"")</f>
        <v>Sprayen</v>
      </c>
      <c r="E82" s="229" t="s">
        <v>110</v>
      </c>
      <c r="F82" s="250">
        <f>SUMIFS('Ruimtestaat'!$O:$O,'Ruimtestaat'!M:M,Vloeronderhoud!E82,'Ruimtestaat'!A:A,Vloeronderhoud!A82)</f>
        <v>1732</v>
      </c>
      <c r="G82" s="239">
        <v>1</v>
      </c>
      <c r="H82" s="230">
        <f>VLOOKUP(OverzichtVloer[[#This Row],[Code Taak]],InvulVloer[],3,3)*F82*G82</f>
        <v>0</v>
      </c>
      <c r="I82" s="229"/>
    </row>
    <row r="83" spans="1:9" s="33" customFormat="1" ht="15" customHeight="1">
      <c r="A83" s="267">
        <v>10</v>
      </c>
      <c r="B83" s="227" t="str">
        <f>VLOOKUP(OverzichtVloer[[#This Row],[Code Locatie]],Locaties[],2,0)</f>
        <v>De Stapsteen (2 gebouwen)</v>
      </c>
      <c r="C83" s="226">
        <v>2</v>
      </c>
      <c r="D83" s="228" t="str">
        <f>IF(Vloeronderhoud!$C83&gt;0,VLOOKUP(Vloeronderhoud!$C83,$A$8:$B$16,2,FALSE),"")</f>
        <v>Topstrippen en conserveren</v>
      </c>
      <c r="E83" s="229" t="s">
        <v>110</v>
      </c>
      <c r="F83" s="250">
        <f>SUMIFS('Ruimtestaat'!$O:$O,'Ruimtestaat'!M:M,Vloeronderhoud!E83,'Ruimtestaat'!A:A,Vloeronderhoud!A83)</f>
        <v>1732</v>
      </c>
      <c r="G83" s="239">
        <v>1</v>
      </c>
      <c r="H83" s="230">
        <f>VLOOKUP(OverzichtVloer[[#This Row],[Code Taak]],InvulVloer[],3,3)*F83*G83</f>
        <v>0</v>
      </c>
      <c r="I83" s="229"/>
    </row>
    <row r="84" spans="1:9" s="33" customFormat="1" ht="15" customHeight="1">
      <c r="A84" s="267">
        <v>10</v>
      </c>
      <c r="B84" s="227" t="str">
        <f>VLOOKUP(OverzichtVloer[[#This Row],[Code Locatie]],Locaties[],2,0)</f>
        <v>De Stapsteen (2 gebouwen)</v>
      </c>
      <c r="C84" s="226">
        <v>3</v>
      </c>
      <c r="D84" s="228" t="str">
        <f>IF(Vloeronderhoud!$C84&gt;0,VLOOKUP(Vloeronderhoud!$C84,$A$8:$B$16,2,FALSE),"")</f>
        <v>Diepstrippen, sealen en conserveren (MJOP)</v>
      </c>
      <c r="E84" s="229" t="s">
        <v>110</v>
      </c>
      <c r="F84" s="250">
        <f>SUMIFS('Ruimtestaat'!$O:$O,'Ruimtestaat'!M:M,Vloeronderhoud!E84,'Ruimtestaat'!A:A,Vloeronderhoud!A84)</f>
        <v>1732</v>
      </c>
      <c r="G84" s="239">
        <v>1</v>
      </c>
      <c r="H84" s="230">
        <f>VLOOKUP(OverzichtVloer[[#This Row],[Code Taak]],InvulVloer[],3,3)*F84*G84</f>
        <v>0</v>
      </c>
      <c r="I84" s="229" t="s">
        <v>1284</v>
      </c>
    </row>
    <row r="85" spans="1:9" s="33" customFormat="1" ht="15" customHeight="1">
      <c r="A85" s="267">
        <v>10</v>
      </c>
      <c r="B85" s="227" t="str">
        <f>VLOOKUP(OverzichtVloer[[#This Row],[Code Locatie]],Locaties[],2,0)</f>
        <v>De Stapsteen (2 gebouwen)</v>
      </c>
      <c r="C85" s="226">
        <v>8</v>
      </c>
      <c r="D85" s="228" t="str">
        <f>IF(Vloeronderhoud!$C85&gt;0,VLOOKUP(Vloeronderhoud!$C85,$A$8:$B$16,2,FALSE),"")</f>
        <v>Machinaal schrobben en droogzuigen</v>
      </c>
      <c r="E85" s="229" t="s">
        <v>111</v>
      </c>
      <c r="F85" s="250">
        <f>SUMIFS('Ruimtestaat'!$O:$O,'Ruimtestaat'!M:M,Vloeronderhoud!E85,'Ruimtestaat'!A:A,Vloeronderhoud!A85)</f>
        <v>130.1</v>
      </c>
      <c r="G85" s="239">
        <v>1</v>
      </c>
      <c r="H85" s="230">
        <f>VLOOKUP(OverzichtVloer[[#This Row],[Code Taak]],InvulVloer[],3,3)*F85*G85</f>
        <v>0</v>
      </c>
      <c r="I85" s="229"/>
    </row>
    <row r="86" spans="1:9" s="33" customFormat="1" ht="15" customHeight="1">
      <c r="A86" s="267">
        <v>10</v>
      </c>
      <c r="B86" s="227" t="str">
        <f>VLOOKUP(OverzichtVloer[[#This Row],[Code Locatie]],Locaties[],2,0)</f>
        <v>De Stapsteen (2 gebouwen)</v>
      </c>
      <c r="C86" s="226">
        <v>8</v>
      </c>
      <c r="D86" s="228" t="str">
        <f>IF(Vloeronderhoud!$C86&gt;0,VLOOKUP(Vloeronderhoud!$C86,$A$8:$B$16,2,FALSE),"")</f>
        <v>Machinaal schrobben en droogzuigen</v>
      </c>
      <c r="E86" s="229" t="s">
        <v>112</v>
      </c>
      <c r="F86" s="250">
        <f>SUMIFS('Ruimtestaat'!$O:$O,'Ruimtestaat'!M:M,Vloeronderhoud!E86,'Ruimtestaat'!A:A,Vloeronderhoud!A86)</f>
        <v>0</v>
      </c>
      <c r="G86" s="239"/>
      <c r="H86" s="230">
        <f>VLOOKUP(OverzichtVloer[[#This Row],[Code Taak]],InvulVloer[],3,3)*F86*G86</f>
        <v>0</v>
      </c>
      <c r="I86" s="229"/>
    </row>
    <row r="87" spans="1:9" s="33" customFormat="1" ht="15" customHeight="1">
      <c r="A87" s="267">
        <v>10</v>
      </c>
      <c r="B87" s="227" t="str">
        <f>VLOOKUP(OverzichtVloer[[#This Row],[Code Locatie]],Locaties[],2,0)</f>
        <v>De Stapsteen (2 gebouwen)</v>
      </c>
      <c r="C87" s="226">
        <v>6</v>
      </c>
      <c r="D87" s="228" t="str">
        <f>IF(Vloeronderhoud!$C87&gt;0,VLOOKUP(Vloeronderhoud!$C87,$A$8:$B$16,2,FALSE),"")</f>
        <v>Schuren en lakken houten vloer</v>
      </c>
      <c r="E87" s="229" t="s">
        <v>439</v>
      </c>
      <c r="F87" s="250">
        <f>SUMIFS('Ruimtestaat'!$O:$O,'Ruimtestaat'!M:M,Vloeronderhoud!E87,'Ruimtestaat'!A:A,Vloeronderhoud!A87)</f>
        <v>0</v>
      </c>
      <c r="G87" s="239"/>
      <c r="H87" s="230">
        <f>VLOOKUP(OverzichtVloer[[#This Row],[Code Taak]],InvulVloer[],3,3)*F87*G87</f>
        <v>0</v>
      </c>
      <c r="I87" s="229"/>
    </row>
    <row r="88" spans="1:9" s="33" customFormat="1" ht="15" customHeight="1">
      <c r="A88" s="267">
        <v>10</v>
      </c>
      <c r="B88" s="227" t="str">
        <f>VLOOKUP(OverzichtVloer[[#This Row],[Code Locatie]],Locaties[],2,0)</f>
        <v>De Stapsteen (2 gebouwen)</v>
      </c>
      <c r="C88" s="226">
        <v>4</v>
      </c>
      <c r="D88" s="228" t="str">
        <f>IF(Vloeronderhoud!$C88&gt;0,VLOOKUP(Vloeronderhoud!$C88,$A$8:$B$16,2,FALSE),"")</f>
        <v>Tapijtreinigen, sproei-extractiemethode</v>
      </c>
      <c r="E88" s="229" t="s">
        <v>109</v>
      </c>
      <c r="F88" s="250">
        <f>SUMIFS('Ruimtestaat'!$O:$O,'Ruimtestaat'!M:M,Vloeronderhoud!E88,'Ruimtestaat'!A:A,Vloeronderhoud!A88)</f>
        <v>163</v>
      </c>
      <c r="G88" s="239">
        <v>1</v>
      </c>
      <c r="H88" s="230">
        <f>VLOOKUP(OverzichtVloer[[#This Row],[Code Taak]],InvulVloer[],3,3)*F88*G88</f>
        <v>0</v>
      </c>
      <c r="I88" s="229"/>
    </row>
    <row r="89" spans="1:9" s="33" customFormat="1" ht="15" customHeight="1">
      <c r="A89" s="267">
        <v>11</v>
      </c>
      <c r="B89" s="227" t="str">
        <f>VLOOKUP(OverzichtVloer[[#This Row],[Code Locatie]],Locaties[],2,0)</f>
        <v>De Bouwsteen / Het Fundament</v>
      </c>
      <c r="C89" s="226">
        <v>1</v>
      </c>
      <c r="D89" s="228" t="str">
        <f>IF(Vloeronderhoud!$C89&gt;0,VLOOKUP(Vloeronderhoud!$C89,$A$8:$B$16,2,FALSE),"")</f>
        <v>Sprayen</v>
      </c>
      <c r="E89" s="229" t="s">
        <v>110</v>
      </c>
      <c r="F89" s="250">
        <f>SUMIFS('Ruimtestaat'!$O:$O,'Ruimtestaat'!M:M,Vloeronderhoud!E89,'Ruimtestaat'!A:A,Vloeronderhoud!A89)</f>
        <v>1368.8000000000002</v>
      </c>
      <c r="G89" s="239">
        <v>1</v>
      </c>
      <c r="H89" s="230">
        <f>VLOOKUP(OverzichtVloer[[#This Row],[Code Taak]],InvulVloer[],3,3)*F89*G89</f>
        <v>0</v>
      </c>
      <c r="I89" s="229"/>
    </row>
    <row r="90" spans="1:9" s="33" customFormat="1" ht="14.25" customHeight="1">
      <c r="A90" s="267">
        <v>11</v>
      </c>
      <c r="B90" s="227" t="str">
        <f>VLOOKUP(OverzichtVloer[[#This Row],[Code Locatie]],Locaties[],2,0)</f>
        <v>De Bouwsteen / Het Fundament</v>
      </c>
      <c r="C90" s="226">
        <v>2</v>
      </c>
      <c r="D90" s="228" t="str">
        <f>IF(Vloeronderhoud!$C90&gt;0,VLOOKUP(Vloeronderhoud!$C90,$A$8:$B$16,2,FALSE),"")</f>
        <v>Topstrippen en conserveren</v>
      </c>
      <c r="E90" s="229" t="s">
        <v>110</v>
      </c>
      <c r="F90" s="250">
        <f>SUMIFS('Ruimtestaat'!$O:$O,'Ruimtestaat'!M:M,Vloeronderhoud!E90,'Ruimtestaat'!A:A,Vloeronderhoud!A90)</f>
        <v>1368.8000000000002</v>
      </c>
      <c r="G90" s="239">
        <v>1</v>
      </c>
      <c r="H90" s="230">
        <f>VLOOKUP(OverzichtVloer[[#This Row],[Code Taak]],InvulVloer[],3,3)*F90*G90</f>
        <v>0</v>
      </c>
      <c r="I90" s="229"/>
    </row>
    <row r="91" spans="1:9" s="33" customFormat="1" ht="14.25" customHeight="1">
      <c r="A91" s="267">
        <v>11</v>
      </c>
      <c r="B91" s="227" t="str">
        <f>VLOOKUP(OverzichtVloer[[#This Row],[Code Locatie]],Locaties[],2,0)</f>
        <v>De Bouwsteen / Het Fundament</v>
      </c>
      <c r="C91" s="226">
        <v>3</v>
      </c>
      <c r="D91" s="228" t="str">
        <f>IF(Vloeronderhoud!$C91&gt;0,VLOOKUP(Vloeronderhoud!$C91,$A$8:$B$16,2,FALSE),"")</f>
        <v>Diepstrippen, sealen en conserveren (MJOP)</v>
      </c>
      <c r="E91" s="229" t="s">
        <v>110</v>
      </c>
      <c r="F91" s="250">
        <f>SUMIFS('Ruimtestaat'!$O:$O,'Ruimtestaat'!M:M,Vloeronderhoud!E91,'Ruimtestaat'!A:A,Vloeronderhoud!A91)</f>
        <v>1368.8000000000002</v>
      </c>
      <c r="G91" s="239">
        <v>1</v>
      </c>
      <c r="H91" s="230">
        <f>VLOOKUP(OverzichtVloer[[#This Row],[Code Taak]],InvulVloer[],3,3)*F91*G91</f>
        <v>0</v>
      </c>
      <c r="I91" s="229" t="s">
        <v>1285</v>
      </c>
    </row>
    <row r="92" spans="1:9" s="33" customFormat="1" ht="15" customHeight="1">
      <c r="A92" s="267">
        <v>11</v>
      </c>
      <c r="B92" s="227" t="str">
        <f>VLOOKUP(OverzichtVloer[[#This Row],[Code Locatie]],Locaties[],2,0)</f>
        <v>De Bouwsteen / Het Fundament</v>
      </c>
      <c r="C92" s="226">
        <v>8</v>
      </c>
      <c r="D92" s="228" t="str">
        <f>IF(Vloeronderhoud!$C92&gt;0,VLOOKUP(Vloeronderhoud!$C92,$A$8:$B$16,2,FALSE),"")</f>
        <v>Machinaal schrobben en droogzuigen</v>
      </c>
      <c r="E92" s="229" t="s">
        <v>111</v>
      </c>
      <c r="F92" s="250">
        <f>SUMIFS('Ruimtestaat'!$O:$O,'Ruimtestaat'!M:M,Vloeronderhoud!E92,'Ruimtestaat'!A:A,Vloeronderhoud!A92)</f>
        <v>369.30000000000007</v>
      </c>
      <c r="G92" s="239">
        <v>1</v>
      </c>
      <c r="H92" s="230">
        <f>VLOOKUP(OverzichtVloer[[#This Row],[Code Taak]],InvulVloer[],3,3)*F92*G92</f>
        <v>0</v>
      </c>
      <c r="I92" s="229"/>
    </row>
    <row r="93" spans="1:9" s="33" customFormat="1" ht="15" customHeight="1">
      <c r="A93" s="267">
        <v>11</v>
      </c>
      <c r="B93" s="227" t="str">
        <f>VLOOKUP(OverzichtVloer[[#This Row],[Code Locatie]],Locaties[],2,0)</f>
        <v>De Bouwsteen / Het Fundament</v>
      </c>
      <c r="C93" s="226">
        <v>8</v>
      </c>
      <c r="D93" s="228" t="str">
        <f>IF(Vloeronderhoud!$C93&gt;0,VLOOKUP(Vloeronderhoud!$C93,$A$8:$B$16,2,FALSE),"")</f>
        <v>Machinaal schrobben en droogzuigen</v>
      </c>
      <c r="E93" s="229" t="s">
        <v>112</v>
      </c>
      <c r="F93" s="250">
        <f>SUMIFS('Ruimtestaat'!$O:$O,'Ruimtestaat'!M:M,Vloeronderhoud!E93,'Ruimtestaat'!A:A,Vloeronderhoud!A93)</f>
        <v>425.40000000000003</v>
      </c>
      <c r="G93" s="239">
        <v>1</v>
      </c>
      <c r="H93" s="230">
        <f>VLOOKUP(OverzichtVloer[[#This Row],[Code Taak]],InvulVloer[],3,3)*F93*G93</f>
        <v>0</v>
      </c>
      <c r="I93" s="229"/>
    </row>
    <row r="94" spans="1:9" s="33" customFormat="1" ht="15" customHeight="1">
      <c r="A94" s="267">
        <v>11</v>
      </c>
      <c r="B94" s="227" t="str">
        <f>VLOOKUP(OverzichtVloer[[#This Row],[Code Locatie]],Locaties[],2,0)</f>
        <v>De Bouwsteen / Het Fundament</v>
      </c>
      <c r="C94" s="226">
        <v>6</v>
      </c>
      <c r="D94" s="228" t="str">
        <f>IF(Vloeronderhoud!$C94&gt;0,VLOOKUP(Vloeronderhoud!$C94,$A$8:$B$16,2,FALSE),"")</f>
        <v>Schuren en lakken houten vloer</v>
      </c>
      <c r="E94" s="229" t="s">
        <v>439</v>
      </c>
      <c r="F94" s="250">
        <f>SUMIFS('Ruimtestaat'!$O:$O,'Ruimtestaat'!M:M,Vloeronderhoud!E94,'Ruimtestaat'!A:A,Vloeronderhoud!A94)</f>
        <v>0</v>
      </c>
      <c r="G94" s="239"/>
      <c r="H94" s="230">
        <f>VLOOKUP(OverzichtVloer[[#This Row],[Code Taak]],InvulVloer[],3,3)*F94*G94</f>
        <v>0</v>
      </c>
      <c r="I94" s="229"/>
    </row>
    <row r="95" spans="1:9" s="33" customFormat="1" ht="15" customHeight="1">
      <c r="A95" s="267">
        <v>11</v>
      </c>
      <c r="B95" s="227" t="str">
        <f>VLOOKUP(OverzichtVloer[[#This Row],[Code Locatie]],Locaties[],2,0)</f>
        <v>De Bouwsteen / Het Fundament</v>
      </c>
      <c r="C95" s="226">
        <v>4</v>
      </c>
      <c r="D95" s="228" t="str">
        <f>IF(Vloeronderhoud!$C95&gt;0,VLOOKUP(Vloeronderhoud!$C95,$A$8:$B$16,2,FALSE),"")</f>
        <v>Tapijtreinigen, sproei-extractiemethode</v>
      </c>
      <c r="E95" s="229" t="s">
        <v>109</v>
      </c>
      <c r="F95" s="250">
        <f>SUMIFS('Ruimtestaat'!$O:$O,'Ruimtestaat'!M:M,Vloeronderhoud!E95,'Ruimtestaat'!A:A,Vloeronderhoud!A95)</f>
        <v>107</v>
      </c>
      <c r="G95" s="239">
        <v>1</v>
      </c>
      <c r="H95" s="230">
        <f>VLOOKUP(OverzichtVloer[[#This Row],[Code Taak]],InvulVloer[],3,3)*F95*G95</f>
        <v>0</v>
      </c>
      <c r="I95" s="229"/>
    </row>
    <row r="96" spans="1:9" s="33" customFormat="1" ht="15" customHeight="1">
      <c r="A96" s="267">
        <v>12</v>
      </c>
      <c r="B96" s="227" t="str">
        <f>VLOOKUP(OverzichtVloer[[#This Row],[Code Locatie]],Locaties[],2,0)</f>
        <v>Onderwijscentrum Het Roessingh &amp; De Huifkar</v>
      </c>
      <c r="C96" s="226">
        <v>1</v>
      </c>
      <c r="D96" s="228" t="str">
        <f>IF(Vloeronderhoud!$C96&gt;0,VLOOKUP(Vloeronderhoud!$C96,$A$8:$B$16,2,FALSE),"")</f>
        <v>Sprayen</v>
      </c>
      <c r="E96" s="229" t="s">
        <v>110</v>
      </c>
      <c r="F96" s="250">
        <f>SUMIFS('Ruimtestaat'!$O:$O,'Ruimtestaat'!M:M,Vloeronderhoud!E96,'Ruimtestaat'!A:A,Vloeronderhoud!A96)</f>
        <v>5293.5</v>
      </c>
      <c r="G96" s="239">
        <v>1</v>
      </c>
      <c r="H96" s="230">
        <f>VLOOKUP(OverzichtVloer[[#This Row],[Code Taak]],InvulVloer[],3,3)*F96*G96</f>
        <v>0</v>
      </c>
      <c r="I96" s="229"/>
    </row>
    <row r="97" spans="1:9" s="33" customFormat="1" ht="15" customHeight="1">
      <c r="A97" s="267">
        <v>12</v>
      </c>
      <c r="B97" s="227" t="str">
        <f>VLOOKUP(OverzichtVloer[[#This Row],[Code Locatie]],Locaties[],2,0)</f>
        <v>Onderwijscentrum Het Roessingh &amp; De Huifkar</v>
      </c>
      <c r="C97" s="226">
        <v>2</v>
      </c>
      <c r="D97" s="228" t="str">
        <f>IF(Vloeronderhoud!$C97&gt;0,VLOOKUP(Vloeronderhoud!$C97,$A$8:$B$16,2,FALSE),"")</f>
        <v>Topstrippen en conserveren</v>
      </c>
      <c r="E97" s="229" t="s">
        <v>110</v>
      </c>
      <c r="F97" s="250">
        <f>SUMIFS('Ruimtestaat'!$O:$O,'Ruimtestaat'!M:M,Vloeronderhoud!E97,'Ruimtestaat'!A:A,Vloeronderhoud!A97)</f>
        <v>5293.5</v>
      </c>
      <c r="G97" s="239">
        <v>1</v>
      </c>
      <c r="H97" s="230">
        <f>VLOOKUP(OverzichtVloer[[#This Row],[Code Taak]],InvulVloer[],3,3)*F97*G97</f>
        <v>0</v>
      </c>
      <c r="I97" s="229"/>
    </row>
    <row r="98" spans="1:9" s="33" customFormat="1" ht="15" customHeight="1">
      <c r="A98" s="267">
        <v>12</v>
      </c>
      <c r="B98" s="227" t="str">
        <f>VLOOKUP(OverzichtVloer[[#This Row],[Code Locatie]],Locaties[],2,0)</f>
        <v>Onderwijscentrum Het Roessingh &amp; De Huifkar</v>
      </c>
      <c r="C98" s="226">
        <v>3</v>
      </c>
      <c r="D98" s="228" t="str">
        <f>IF(Vloeronderhoud!$C98&gt;0,VLOOKUP(Vloeronderhoud!$C98,$A$8:$B$16,2,FALSE),"")</f>
        <v>Diepstrippen, sealen en conserveren (MJOP)</v>
      </c>
      <c r="E98" s="229" t="s">
        <v>110</v>
      </c>
      <c r="F98" s="250">
        <f>SUMIFS('Ruimtestaat'!$O:$O,'Ruimtestaat'!M:M,Vloeronderhoud!E98,'Ruimtestaat'!A:A,Vloeronderhoud!A98)</f>
        <v>5293.5</v>
      </c>
      <c r="G98" s="239">
        <v>1</v>
      </c>
      <c r="H98" s="230">
        <f>VLOOKUP(OverzichtVloer[[#This Row],[Code Taak]],InvulVloer[],3,3)*F98*G98</f>
        <v>0</v>
      </c>
      <c r="I98" s="229" t="s">
        <v>1287</v>
      </c>
    </row>
    <row r="99" spans="1:9" s="33" customFormat="1" ht="15" customHeight="1">
      <c r="A99" s="267">
        <v>12</v>
      </c>
      <c r="B99" s="227" t="str">
        <f>VLOOKUP(OverzichtVloer[[#This Row],[Code Locatie]],Locaties[],2,0)</f>
        <v>Onderwijscentrum Het Roessingh &amp; De Huifkar</v>
      </c>
      <c r="C99" s="226">
        <v>8</v>
      </c>
      <c r="D99" s="228" t="str">
        <f>IF(Vloeronderhoud!$C99&gt;0,VLOOKUP(Vloeronderhoud!$C99,$A$8:$B$16,2,FALSE),"")</f>
        <v>Machinaal schrobben en droogzuigen</v>
      </c>
      <c r="E99" s="229" t="s">
        <v>111</v>
      </c>
      <c r="F99" s="250">
        <f>SUMIFS('Ruimtestaat'!$O:$O,'Ruimtestaat'!M:M,Vloeronderhoud!E99,'Ruimtestaat'!A:A,Vloeronderhoud!A99)</f>
        <v>856.80000000000018</v>
      </c>
      <c r="G99" s="239">
        <v>1</v>
      </c>
      <c r="H99" s="230">
        <f>VLOOKUP(OverzichtVloer[[#This Row],[Code Taak]],InvulVloer[],3,3)*F99*G99</f>
        <v>0</v>
      </c>
      <c r="I99" s="229"/>
    </row>
    <row r="100" spans="1:9" s="33" customFormat="1" ht="15" customHeight="1">
      <c r="A100" s="267">
        <v>12</v>
      </c>
      <c r="B100" s="227" t="str">
        <f>VLOOKUP(OverzichtVloer[[#This Row],[Code Locatie]],Locaties[],2,0)</f>
        <v>Onderwijscentrum Het Roessingh &amp; De Huifkar</v>
      </c>
      <c r="C100" s="226">
        <v>8</v>
      </c>
      <c r="D100" s="228" t="str">
        <f>IF(Vloeronderhoud!$C100&gt;0,VLOOKUP(Vloeronderhoud!$C100,$A$8:$B$16,2,FALSE),"")</f>
        <v>Machinaal schrobben en droogzuigen</v>
      </c>
      <c r="E100" s="229" t="s">
        <v>112</v>
      </c>
      <c r="F100" s="250">
        <f>SUMIFS('Ruimtestaat'!$O:$O,'Ruimtestaat'!M:M,Vloeronderhoud!E100,'Ruimtestaat'!A:A,Vloeronderhoud!A100)</f>
        <v>961</v>
      </c>
      <c r="G100" s="239">
        <v>1</v>
      </c>
      <c r="H100" s="230">
        <f>VLOOKUP(OverzichtVloer[[#This Row],[Code Taak]],InvulVloer[],3,3)*F100*G100</f>
        <v>0</v>
      </c>
      <c r="I100" s="229"/>
    </row>
    <row r="101" spans="1:9" s="33" customFormat="1" ht="15" customHeight="1">
      <c r="A101" s="267">
        <v>12</v>
      </c>
      <c r="B101" s="227" t="str">
        <f>VLOOKUP(OverzichtVloer[[#This Row],[Code Locatie]],Locaties[],2,0)</f>
        <v>Onderwijscentrum Het Roessingh &amp; De Huifkar</v>
      </c>
      <c r="C101" s="226">
        <v>6</v>
      </c>
      <c r="D101" s="228" t="str">
        <f>IF(Vloeronderhoud!$C101&gt;0,VLOOKUP(Vloeronderhoud!$C101,$A$8:$B$16,2,FALSE),"")</f>
        <v>Schuren en lakken houten vloer</v>
      </c>
      <c r="E101" s="229" t="s">
        <v>439</v>
      </c>
      <c r="F101" s="250">
        <f>SUMIFS('Ruimtestaat'!$O:$O,'Ruimtestaat'!M:M,Vloeronderhoud!E101,'Ruimtestaat'!A:A,Vloeronderhoud!A101)</f>
        <v>0</v>
      </c>
      <c r="G101" s="239"/>
      <c r="H101" s="230">
        <f>VLOOKUP(OverzichtVloer[[#This Row],[Code Taak]],InvulVloer[],3,3)*F101*G101</f>
        <v>0</v>
      </c>
      <c r="I101" s="229"/>
    </row>
    <row r="102" spans="1:9" s="33" customFormat="1" ht="15" customHeight="1">
      <c r="A102" s="267">
        <v>12</v>
      </c>
      <c r="B102" s="227" t="str">
        <f>VLOOKUP(OverzichtVloer[[#This Row],[Code Locatie]],Locaties[],2,0)</f>
        <v>Onderwijscentrum Het Roessingh &amp; De Huifkar</v>
      </c>
      <c r="C102" s="226">
        <v>4</v>
      </c>
      <c r="D102" s="228" t="str">
        <f>IF(Vloeronderhoud!$C102&gt;0,VLOOKUP(Vloeronderhoud!$C102,$A$8:$B$16,2,FALSE),"")</f>
        <v>Tapijtreinigen, sproei-extractiemethode</v>
      </c>
      <c r="E102" s="229" t="s">
        <v>109</v>
      </c>
      <c r="F102" s="250">
        <f>SUMIFS('Ruimtestaat'!$O:$O,'Ruimtestaat'!M:M,Vloeronderhoud!E102,'Ruimtestaat'!A:A,Vloeronderhoud!A102)</f>
        <v>718.5</v>
      </c>
      <c r="G102" s="239">
        <v>1</v>
      </c>
      <c r="H102" s="230">
        <f>VLOOKUP(OverzichtVloer[[#This Row],[Code Taak]],InvulVloer[],3,3)*F102*G102</f>
        <v>0</v>
      </c>
      <c r="I102" s="229"/>
    </row>
    <row r="103" spans="1:9" s="33" customFormat="1" ht="15" customHeight="1">
      <c r="A103" s="267">
        <v>13</v>
      </c>
      <c r="B103" s="227" t="str">
        <f>VLOOKUP(OverzichtVloer[[#This Row],[Code Locatie]],Locaties[],2,0)</f>
        <v>Neon College – Hengelo</v>
      </c>
      <c r="C103" s="226">
        <v>1</v>
      </c>
      <c r="D103" s="228" t="str">
        <f>IF(Vloeronderhoud!$C103&gt;0,VLOOKUP(Vloeronderhoud!$C103,$A$8:$B$16,2,FALSE),"")</f>
        <v>Sprayen</v>
      </c>
      <c r="E103" s="229" t="s">
        <v>110</v>
      </c>
      <c r="F103" s="250">
        <f>SUMIFS('Ruimtestaat'!$O:$O,'Ruimtestaat'!M:M,Vloeronderhoud!E103,'Ruimtestaat'!A:A,Vloeronderhoud!A103)</f>
        <v>276</v>
      </c>
      <c r="G103" s="239">
        <v>1</v>
      </c>
      <c r="H103" s="230">
        <f>VLOOKUP(OverzichtVloer[[#This Row],[Code Taak]],InvulVloer[],3,3)*F103*G103</f>
        <v>0</v>
      </c>
      <c r="I103" s="229"/>
    </row>
    <row r="104" spans="1:9" s="33" customFormat="1" ht="15" customHeight="1">
      <c r="A104" s="267">
        <v>13</v>
      </c>
      <c r="B104" s="227" t="str">
        <f>VLOOKUP(OverzichtVloer[[#This Row],[Code Locatie]],Locaties[],2,0)</f>
        <v>Neon College – Hengelo</v>
      </c>
      <c r="C104" s="226">
        <v>2</v>
      </c>
      <c r="D104" s="228" t="str">
        <f>IF(Vloeronderhoud!$C104&gt;0,VLOOKUP(Vloeronderhoud!$C104,$A$8:$B$16,2,FALSE),"")</f>
        <v>Topstrippen en conserveren</v>
      </c>
      <c r="E104" s="229" t="s">
        <v>110</v>
      </c>
      <c r="F104" s="250">
        <f>SUMIFS('Ruimtestaat'!$O:$O,'Ruimtestaat'!M:M,Vloeronderhoud!E104,'Ruimtestaat'!A:A,Vloeronderhoud!A104)</f>
        <v>276</v>
      </c>
      <c r="G104" s="239">
        <v>1</v>
      </c>
      <c r="H104" s="230">
        <f>VLOOKUP(OverzichtVloer[[#This Row],[Code Taak]],InvulVloer[],3,3)*F104*G104</f>
        <v>0</v>
      </c>
      <c r="I104" s="229"/>
    </row>
    <row r="105" spans="1:9" s="33" customFormat="1" ht="15" customHeight="1">
      <c r="A105" s="267">
        <v>13</v>
      </c>
      <c r="B105" s="227" t="str">
        <f>VLOOKUP(OverzichtVloer[[#This Row],[Code Locatie]],Locaties[],2,0)</f>
        <v>Neon College – Hengelo</v>
      </c>
      <c r="C105" s="226">
        <v>3</v>
      </c>
      <c r="D105" s="228" t="str">
        <f>IF(Vloeronderhoud!$C105&gt;0,VLOOKUP(Vloeronderhoud!$C105,$A$8:$B$16,2,FALSE),"")</f>
        <v>Diepstrippen, sealen en conserveren (MJOP)</v>
      </c>
      <c r="E105" s="229" t="s">
        <v>110</v>
      </c>
      <c r="F105" s="250">
        <f>SUMIFS('Ruimtestaat'!$O:$O,'Ruimtestaat'!M:M,Vloeronderhoud!E105,'Ruimtestaat'!A:A,Vloeronderhoud!A105)</f>
        <v>276</v>
      </c>
      <c r="G105" s="239">
        <v>1</v>
      </c>
      <c r="H105" s="230">
        <f>VLOOKUP(OverzichtVloer[[#This Row],[Code Taak]],InvulVloer[],3,3)*F105*G105</f>
        <v>0</v>
      </c>
      <c r="I105" s="229"/>
    </row>
    <row r="106" spans="1:9" s="33" customFormat="1" ht="15" customHeight="1">
      <c r="A106" s="267">
        <v>13</v>
      </c>
      <c r="B106" s="227" t="str">
        <f>VLOOKUP(OverzichtVloer[[#This Row],[Code Locatie]],Locaties[],2,0)</f>
        <v>Neon College – Hengelo</v>
      </c>
      <c r="C106" s="226">
        <v>8</v>
      </c>
      <c r="D106" s="228" t="str">
        <f>IF(Vloeronderhoud!$C106&gt;0,VLOOKUP(Vloeronderhoud!$C106,$A$8:$B$16,2,FALSE),"")</f>
        <v>Machinaal schrobben en droogzuigen</v>
      </c>
      <c r="E106" s="229" t="s">
        <v>111</v>
      </c>
      <c r="F106" s="250">
        <f>SUMIFS('Ruimtestaat'!$O:$O,'Ruimtestaat'!M:M,Vloeronderhoud!E106,'Ruimtestaat'!A:A,Vloeronderhoud!A106)</f>
        <v>140</v>
      </c>
      <c r="G106" s="239">
        <v>1</v>
      </c>
      <c r="H106" s="230">
        <f>VLOOKUP(OverzichtVloer[[#This Row],[Code Taak]],InvulVloer[],3,3)*F106*G106</f>
        <v>0</v>
      </c>
      <c r="I106" s="229"/>
    </row>
    <row r="107" spans="1:9" s="33" customFormat="1" ht="15" customHeight="1">
      <c r="A107" s="267">
        <v>13</v>
      </c>
      <c r="B107" s="227" t="str">
        <f>VLOOKUP(OverzichtVloer[[#This Row],[Code Locatie]],Locaties[],2,0)</f>
        <v>Neon College – Hengelo</v>
      </c>
      <c r="C107" s="226">
        <v>8</v>
      </c>
      <c r="D107" s="228" t="str">
        <f>IF(Vloeronderhoud!$C107&gt;0,VLOOKUP(Vloeronderhoud!$C107,$A$8:$B$16,2,FALSE),"")</f>
        <v>Machinaal schrobben en droogzuigen</v>
      </c>
      <c r="E107" s="229" t="s">
        <v>112</v>
      </c>
      <c r="F107" s="250">
        <f>SUMIFS('Ruimtestaat'!$O:$O,'Ruimtestaat'!M:M,Vloeronderhoud!E107,'Ruimtestaat'!A:A,Vloeronderhoud!A107)</f>
        <v>57</v>
      </c>
      <c r="G107" s="239">
        <v>1</v>
      </c>
      <c r="H107" s="230">
        <f>VLOOKUP(OverzichtVloer[[#This Row],[Code Taak]],InvulVloer[],3,3)*F107*G107</f>
        <v>0</v>
      </c>
      <c r="I107" s="229"/>
    </row>
    <row r="108" spans="1:9" s="33" customFormat="1" ht="15" customHeight="1">
      <c r="A108" s="267">
        <v>13</v>
      </c>
      <c r="B108" s="227" t="str">
        <f>VLOOKUP(OverzichtVloer[[#This Row],[Code Locatie]],Locaties[],2,0)</f>
        <v>Neon College – Hengelo</v>
      </c>
      <c r="C108" s="226">
        <v>6</v>
      </c>
      <c r="D108" s="228" t="str">
        <f>IF(Vloeronderhoud!$C108&gt;0,VLOOKUP(Vloeronderhoud!$C108,$A$8:$B$16,2,FALSE),"")</f>
        <v>Schuren en lakken houten vloer</v>
      </c>
      <c r="E108" s="229" t="s">
        <v>439</v>
      </c>
      <c r="F108" s="250">
        <f>SUMIFS('Ruimtestaat'!$O:$O,'Ruimtestaat'!M:M,Vloeronderhoud!E108,'Ruimtestaat'!A:A,Vloeronderhoud!A108)</f>
        <v>0</v>
      </c>
      <c r="G108" s="239"/>
      <c r="H108" s="230">
        <f>VLOOKUP(OverzichtVloer[[#This Row],[Code Taak]],InvulVloer[],3,3)*F108*G108</f>
        <v>0</v>
      </c>
      <c r="I108" s="229"/>
    </row>
    <row r="109" spans="1:9" s="33" customFormat="1" ht="15" customHeight="1">
      <c r="A109" s="267">
        <v>13</v>
      </c>
      <c r="B109" s="227" t="str">
        <f>VLOOKUP(OverzichtVloer[[#This Row],[Code Locatie]],Locaties[],2,0)</f>
        <v>Neon College – Hengelo</v>
      </c>
      <c r="C109" s="226">
        <v>4</v>
      </c>
      <c r="D109" s="228" t="str">
        <f>IF(Vloeronderhoud!$C109&gt;0,VLOOKUP(Vloeronderhoud!$C109,$A$8:$B$16,2,FALSE),"")</f>
        <v>Tapijtreinigen, sproei-extractiemethode</v>
      </c>
      <c r="E109" s="229" t="s">
        <v>109</v>
      </c>
      <c r="F109" s="250">
        <f>SUMIFS('Ruimtestaat'!$O:$O,'Ruimtestaat'!M:M,Vloeronderhoud!E109,'Ruimtestaat'!A:A,Vloeronderhoud!A109)</f>
        <v>406</v>
      </c>
      <c r="G109" s="239">
        <v>1</v>
      </c>
      <c r="H109" s="230">
        <f>VLOOKUP(OverzichtVloer[[#This Row],[Code Taak]],InvulVloer[],3,3)*F109*G109</f>
        <v>0</v>
      </c>
      <c r="I109" s="229"/>
    </row>
    <row r="110" spans="1:9" s="33" customFormat="1" ht="15" customHeight="1">
      <c r="A110" s="267">
        <v>14</v>
      </c>
      <c r="B110" s="227" t="str">
        <f>VLOOKUP(OverzichtVloer[[#This Row],[Code Locatie]],Locaties[],2,0)</f>
        <v>De Meander</v>
      </c>
      <c r="C110" s="226">
        <v>1</v>
      </c>
      <c r="D110" s="228" t="str">
        <f>IF(Vloeronderhoud!$C110&gt;0,VLOOKUP(Vloeronderhoud!$C110,$A$8:$B$16,2,FALSE),"")</f>
        <v>Sprayen</v>
      </c>
      <c r="E110" s="229" t="s">
        <v>110</v>
      </c>
      <c r="F110" s="250">
        <f>SUMIFS('Ruimtestaat'!$O:$O,'Ruimtestaat'!M:M,Vloeronderhoud!E110,'Ruimtestaat'!A:A,Vloeronderhoud!A110)</f>
        <v>493</v>
      </c>
      <c r="G110" s="239">
        <v>1</v>
      </c>
      <c r="H110" s="230">
        <f>VLOOKUP(OverzichtVloer[[#This Row],[Code Taak]],InvulVloer[],3,3)*F110*G110</f>
        <v>0</v>
      </c>
      <c r="I110" s="229"/>
    </row>
    <row r="111" spans="1:9" s="33" customFormat="1" ht="15" customHeight="1">
      <c r="A111" s="267">
        <v>14</v>
      </c>
      <c r="B111" s="227" t="str">
        <f>VLOOKUP(OverzichtVloer[[#This Row],[Code Locatie]],Locaties[],2,0)</f>
        <v>De Meander</v>
      </c>
      <c r="C111" s="226">
        <v>2</v>
      </c>
      <c r="D111" s="228" t="str">
        <f>IF(Vloeronderhoud!$C111&gt;0,VLOOKUP(Vloeronderhoud!$C111,$A$8:$B$16,2,FALSE),"")</f>
        <v>Topstrippen en conserveren</v>
      </c>
      <c r="E111" s="229" t="s">
        <v>110</v>
      </c>
      <c r="F111" s="250">
        <f>SUMIFS('Ruimtestaat'!$O:$O,'Ruimtestaat'!M:M,Vloeronderhoud!E111,'Ruimtestaat'!A:A,Vloeronderhoud!A111)</f>
        <v>493</v>
      </c>
      <c r="G111" s="239">
        <v>1</v>
      </c>
      <c r="H111" s="230">
        <f>VLOOKUP(OverzichtVloer[[#This Row],[Code Taak]],InvulVloer[],3,3)*F111*G111</f>
        <v>0</v>
      </c>
      <c r="I111" s="229"/>
    </row>
    <row r="112" spans="1:9" s="33" customFormat="1" ht="15" customHeight="1">
      <c r="A112" s="267">
        <v>14</v>
      </c>
      <c r="B112" s="227" t="str">
        <f>VLOOKUP(OverzichtVloer[[#This Row],[Code Locatie]],Locaties[],2,0)</f>
        <v>De Meander</v>
      </c>
      <c r="C112" s="226">
        <v>3</v>
      </c>
      <c r="D112" s="228" t="str">
        <f>IF(Vloeronderhoud!$C112&gt;0,VLOOKUP(Vloeronderhoud!$C112,$A$8:$B$16,2,FALSE),"")</f>
        <v>Diepstrippen, sealen en conserveren (MJOP)</v>
      </c>
      <c r="E112" s="229" t="s">
        <v>110</v>
      </c>
      <c r="F112" s="250">
        <f>SUMIFS('Ruimtestaat'!$O:$O,'Ruimtestaat'!M:M,Vloeronderhoud!E112,'Ruimtestaat'!A:A,Vloeronderhoud!A112)</f>
        <v>493</v>
      </c>
      <c r="G112" s="239">
        <v>1</v>
      </c>
      <c r="H112" s="230">
        <f>VLOOKUP(OverzichtVloer[[#This Row],[Code Taak]],InvulVloer[],3,3)*F112*G112</f>
        <v>0</v>
      </c>
      <c r="I112" s="229" t="s">
        <v>1245</v>
      </c>
    </row>
    <row r="113" spans="1:9" s="33" customFormat="1" ht="15" customHeight="1">
      <c r="A113" s="267">
        <v>14</v>
      </c>
      <c r="B113" s="227" t="str">
        <f>VLOOKUP(OverzichtVloer[[#This Row],[Code Locatie]],Locaties[],2,0)</f>
        <v>De Meander</v>
      </c>
      <c r="C113" s="226">
        <v>8</v>
      </c>
      <c r="D113" s="228" t="str">
        <f>IF(Vloeronderhoud!$C113&gt;0,VLOOKUP(Vloeronderhoud!$C113,$A$8:$B$16,2,FALSE),"")</f>
        <v>Machinaal schrobben en droogzuigen</v>
      </c>
      <c r="E113" s="229" t="s">
        <v>111</v>
      </c>
      <c r="F113" s="250">
        <f>SUMIFS('Ruimtestaat'!$O:$O,'Ruimtestaat'!M:M,Vloeronderhoud!E113,'Ruimtestaat'!A:A,Vloeronderhoud!A113)</f>
        <v>66</v>
      </c>
      <c r="G113" s="239">
        <v>1</v>
      </c>
      <c r="H113" s="230">
        <f>VLOOKUP(OverzichtVloer[[#This Row],[Code Taak]],InvulVloer[],3,3)*F113*G113</f>
        <v>0</v>
      </c>
      <c r="I113" s="229"/>
    </row>
    <row r="114" spans="1:9" s="33" customFormat="1" ht="15" customHeight="1">
      <c r="A114" s="267">
        <v>14</v>
      </c>
      <c r="B114" s="227" t="str">
        <f>VLOOKUP(OverzichtVloer[[#This Row],[Code Locatie]],Locaties[],2,0)</f>
        <v>De Meander</v>
      </c>
      <c r="C114" s="226">
        <v>8</v>
      </c>
      <c r="D114" s="228" t="str">
        <f>IF(Vloeronderhoud!$C114&gt;0,VLOOKUP(Vloeronderhoud!$C114,$A$8:$B$16,2,FALSE),"")</f>
        <v>Machinaal schrobben en droogzuigen</v>
      </c>
      <c r="E114" s="229" t="s">
        <v>112</v>
      </c>
      <c r="F114" s="250">
        <f>SUMIFS('Ruimtestaat'!$O:$O,'Ruimtestaat'!M:M,Vloeronderhoud!E114,'Ruimtestaat'!A:A,Vloeronderhoud!A114)</f>
        <v>0</v>
      </c>
      <c r="G114" s="239"/>
      <c r="H114" s="230">
        <f>VLOOKUP(OverzichtVloer[[#This Row],[Code Taak]],InvulVloer[],3,3)*F114*G114</f>
        <v>0</v>
      </c>
      <c r="I114" s="229"/>
    </row>
    <row r="115" spans="1:9" s="33" customFormat="1" ht="15" customHeight="1">
      <c r="A115" s="267">
        <v>14</v>
      </c>
      <c r="B115" s="227" t="str">
        <f>VLOOKUP(OverzichtVloer[[#This Row],[Code Locatie]],Locaties[],2,0)</f>
        <v>De Meander</v>
      </c>
      <c r="C115" s="226">
        <v>6</v>
      </c>
      <c r="D115" s="228" t="str">
        <f>IF(Vloeronderhoud!$C115&gt;0,VLOOKUP(Vloeronderhoud!$C115,$A$8:$B$16,2,FALSE),"")</f>
        <v>Schuren en lakken houten vloer</v>
      </c>
      <c r="E115" s="229" t="s">
        <v>439</v>
      </c>
      <c r="F115" s="250">
        <f>SUMIFS('Ruimtestaat'!$O:$O,'Ruimtestaat'!M:M,Vloeronderhoud!E115,'Ruimtestaat'!A:A,Vloeronderhoud!A115)</f>
        <v>0</v>
      </c>
      <c r="G115" s="239"/>
      <c r="H115" s="230">
        <f>VLOOKUP(OverzichtVloer[[#This Row],[Code Taak]],InvulVloer[],3,3)*F115*G115</f>
        <v>0</v>
      </c>
      <c r="I115" s="229"/>
    </row>
    <row r="116" spans="1:9" s="33" customFormat="1" ht="15" customHeight="1">
      <c r="A116" s="267">
        <v>14</v>
      </c>
      <c r="B116" s="227" t="str">
        <f>VLOOKUP(OverzichtVloer[[#This Row],[Code Locatie]],Locaties[],2,0)</f>
        <v>De Meander</v>
      </c>
      <c r="C116" s="226">
        <v>4</v>
      </c>
      <c r="D116" s="228" t="str">
        <f>IF(Vloeronderhoud!$C116&gt;0,VLOOKUP(Vloeronderhoud!$C116,$A$8:$B$16,2,FALSE),"")</f>
        <v>Tapijtreinigen, sproei-extractiemethode</v>
      </c>
      <c r="E116" s="229" t="s">
        <v>109</v>
      </c>
      <c r="F116" s="250">
        <f>SUMIFS('Ruimtestaat'!$O:$O,'Ruimtestaat'!M:M,Vloeronderhoud!E116,'Ruimtestaat'!A:A,Vloeronderhoud!A116)</f>
        <v>31</v>
      </c>
      <c r="G116" s="239">
        <v>1</v>
      </c>
      <c r="H116" s="230">
        <f>VLOOKUP(OverzichtVloer[[#This Row],[Code Taak]],InvulVloer[],3,3)*F116*G116</f>
        <v>0</v>
      </c>
      <c r="I116" s="229"/>
    </row>
    <row r="117" spans="1:9" s="33" customFormat="1" ht="15" customHeight="1">
      <c r="A117" s="267">
        <v>15</v>
      </c>
      <c r="B117" s="227" t="str">
        <f>VLOOKUP(OverzichtVloer[[#This Row],[Code Locatie]],Locaties[],2,0)</f>
        <v>Gymzaal Lijsterstraat</v>
      </c>
      <c r="C117" s="226">
        <v>1</v>
      </c>
      <c r="D117" s="228" t="str">
        <f>IF(Vloeronderhoud!$C117&gt;0,VLOOKUP(Vloeronderhoud!$C117,$A$8:$B$16,2,FALSE),"")</f>
        <v>Sprayen</v>
      </c>
      <c r="E117" s="229" t="s">
        <v>110</v>
      </c>
      <c r="F117" s="250">
        <f>SUMIFS('Ruimtestaat'!$O:$O,'Ruimtestaat'!M:M,Vloeronderhoud!E117,'Ruimtestaat'!A:A,Vloeronderhoud!A117)</f>
        <v>0</v>
      </c>
      <c r="G117" s="239"/>
      <c r="H117" s="230">
        <f>VLOOKUP(OverzichtVloer[[#This Row],[Code Taak]],InvulVloer[],3,3)*F117*G117</f>
        <v>0</v>
      </c>
      <c r="I117" s="229"/>
    </row>
    <row r="118" spans="1:9" s="33" customFormat="1" ht="15" customHeight="1">
      <c r="A118" s="267">
        <v>15</v>
      </c>
      <c r="B118" s="227" t="str">
        <f>VLOOKUP(OverzichtVloer[[#This Row],[Code Locatie]],Locaties[],2,0)</f>
        <v>Gymzaal Lijsterstraat</v>
      </c>
      <c r="C118" s="226">
        <v>2</v>
      </c>
      <c r="D118" s="228" t="str">
        <f>IF(Vloeronderhoud!$C118&gt;0,VLOOKUP(Vloeronderhoud!$C118,$A$8:$B$16,2,FALSE),"")</f>
        <v>Topstrippen en conserveren</v>
      </c>
      <c r="E118" s="229" t="s">
        <v>110</v>
      </c>
      <c r="F118" s="250">
        <f>SUMIFS('Ruimtestaat'!$O:$O,'Ruimtestaat'!M:M,Vloeronderhoud!E118,'Ruimtestaat'!A:A,Vloeronderhoud!A118)</f>
        <v>0</v>
      </c>
      <c r="G118" s="239"/>
      <c r="H118" s="230">
        <f>VLOOKUP(OverzichtVloer[[#This Row],[Code Taak]],InvulVloer[],3,3)*F118*G118</f>
        <v>0</v>
      </c>
      <c r="I118" s="229"/>
    </row>
    <row r="119" spans="1:9" s="33" customFormat="1" ht="15" customHeight="1">
      <c r="A119" s="267">
        <v>15</v>
      </c>
      <c r="B119" s="227" t="str">
        <f>VLOOKUP(OverzichtVloer[[#This Row],[Code Locatie]],Locaties[],2,0)</f>
        <v>Gymzaal Lijsterstraat</v>
      </c>
      <c r="C119" s="226">
        <v>3</v>
      </c>
      <c r="D119" s="228" t="str">
        <f>IF(Vloeronderhoud!$C119&gt;0,VLOOKUP(Vloeronderhoud!$C119,$A$8:$B$16,2,FALSE),"")</f>
        <v>Diepstrippen, sealen en conserveren (MJOP)</v>
      </c>
      <c r="E119" s="229" t="s">
        <v>110</v>
      </c>
      <c r="F119" s="250">
        <f>SUMIFS('Ruimtestaat'!$O:$O,'Ruimtestaat'!M:M,Vloeronderhoud!E119,'Ruimtestaat'!A:A,Vloeronderhoud!A119)</f>
        <v>0</v>
      </c>
      <c r="G119" s="239"/>
      <c r="H119" s="230">
        <f>VLOOKUP(OverzichtVloer[[#This Row],[Code Taak]],InvulVloer[],3,3)*F119*G119</f>
        <v>0</v>
      </c>
      <c r="I119" s="229"/>
    </row>
    <row r="120" spans="1:9" s="33" customFormat="1" ht="15" customHeight="1">
      <c r="A120" s="267">
        <v>15</v>
      </c>
      <c r="B120" s="227" t="str">
        <f>VLOOKUP(OverzichtVloer[[#This Row],[Code Locatie]],Locaties[],2,0)</f>
        <v>Gymzaal Lijsterstraat</v>
      </c>
      <c r="C120" s="226">
        <v>8</v>
      </c>
      <c r="D120" s="228" t="str">
        <f>IF(Vloeronderhoud!$C120&gt;0,VLOOKUP(Vloeronderhoud!$C120,$A$8:$B$16,2,FALSE),"")</f>
        <v>Machinaal schrobben en droogzuigen</v>
      </c>
      <c r="E120" s="229" t="s">
        <v>111</v>
      </c>
      <c r="F120" s="250">
        <f>SUMIFS('Ruimtestaat'!$O:$O,'Ruimtestaat'!M:M,Vloeronderhoud!E120,'Ruimtestaat'!A:A,Vloeronderhoud!A120)</f>
        <v>102.78000000000002</v>
      </c>
      <c r="G120" s="239">
        <v>1</v>
      </c>
      <c r="H120" s="230">
        <f>VLOOKUP(OverzichtVloer[[#This Row],[Code Taak]],InvulVloer[],3,3)*F120*G120</f>
        <v>0</v>
      </c>
      <c r="I120" s="229"/>
    </row>
    <row r="121" spans="1:9" s="33" customFormat="1" ht="15" customHeight="1">
      <c r="A121" s="267">
        <v>15</v>
      </c>
      <c r="B121" s="227" t="str">
        <f>VLOOKUP(OverzichtVloer[[#This Row],[Code Locatie]],Locaties[],2,0)</f>
        <v>Gymzaal Lijsterstraat</v>
      </c>
      <c r="C121" s="226">
        <v>8</v>
      </c>
      <c r="D121" s="228" t="str">
        <f>IF(Vloeronderhoud!$C121&gt;0,VLOOKUP(Vloeronderhoud!$C121,$A$8:$B$16,2,FALSE),"")</f>
        <v>Machinaal schrobben en droogzuigen</v>
      </c>
      <c r="E121" s="229" t="s">
        <v>112</v>
      </c>
      <c r="F121" s="250">
        <f>SUMIFS('Ruimtestaat'!$O:$O,'Ruimtestaat'!M:M,Vloeronderhoud!E121,'Ruimtestaat'!A:A,Vloeronderhoud!A121)</f>
        <v>233.32999999999998</v>
      </c>
      <c r="G121" s="239">
        <v>1</v>
      </c>
      <c r="H121" s="230">
        <f>VLOOKUP(OverzichtVloer[[#This Row],[Code Taak]],InvulVloer[],3,3)*F121*G121</f>
        <v>0</v>
      </c>
      <c r="I121" s="229"/>
    </row>
    <row r="122" spans="1:9" s="33" customFormat="1" ht="15" customHeight="1">
      <c r="A122" s="267">
        <v>15</v>
      </c>
      <c r="B122" s="227" t="str">
        <f>VLOOKUP(OverzichtVloer[[#This Row],[Code Locatie]],Locaties[],2,0)</f>
        <v>Gymzaal Lijsterstraat</v>
      </c>
      <c r="C122" s="226">
        <v>6</v>
      </c>
      <c r="D122" s="228" t="str">
        <f>IF(Vloeronderhoud!$C122&gt;0,VLOOKUP(Vloeronderhoud!$C122,$A$8:$B$16,2,FALSE),"")</f>
        <v>Schuren en lakken houten vloer</v>
      </c>
      <c r="E122" s="229" t="s">
        <v>439</v>
      </c>
      <c r="F122" s="250">
        <f>SUMIFS('Ruimtestaat'!$O:$O,'Ruimtestaat'!M:M,Vloeronderhoud!E122,'Ruimtestaat'!A:A,Vloeronderhoud!A122)</f>
        <v>0</v>
      </c>
      <c r="G122" s="239"/>
      <c r="H122" s="230">
        <f>VLOOKUP(OverzichtVloer[[#This Row],[Code Taak]],InvulVloer[],3,3)*F122*G122</f>
        <v>0</v>
      </c>
      <c r="I122" s="229"/>
    </row>
    <row r="123" spans="1:9" s="33" customFormat="1" ht="15" customHeight="1">
      <c r="A123" s="267">
        <v>15</v>
      </c>
      <c r="B123" s="227" t="str">
        <f>VLOOKUP(OverzichtVloer[[#This Row],[Code Locatie]],Locaties[],2,0)</f>
        <v>Gymzaal Lijsterstraat</v>
      </c>
      <c r="C123" s="226">
        <v>4</v>
      </c>
      <c r="D123" s="228" t="str">
        <f>IF(Vloeronderhoud!$C123&gt;0,VLOOKUP(Vloeronderhoud!$C123,$A$8:$B$16,2,FALSE),"")</f>
        <v>Tapijtreinigen, sproei-extractiemethode</v>
      </c>
      <c r="E123" s="229" t="s">
        <v>109</v>
      </c>
      <c r="F123" s="250">
        <f>SUMIFS('Ruimtestaat'!$O:$O,'Ruimtestaat'!M:M,Vloeronderhoud!E123,'Ruimtestaat'!A:A,Vloeronderhoud!A123)</f>
        <v>0</v>
      </c>
      <c r="G123" s="239"/>
      <c r="H123" s="230">
        <f>VLOOKUP(OverzichtVloer[[#This Row],[Code Taak]],InvulVloer[],3,3)*F123*G123</f>
        <v>0</v>
      </c>
      <c r="I123" s="229"/>
    </row>
    <row r="124" spans="1:9" s="33" customFormat="1" ht="15" customHeight="1">
      <c r="A124" s="267">
        <v>16</v>
      </c>
      <c r="B124" s="227" t="str">
        <f>VLOOKUP(OverzichtVloer[[#This Row],[Code Locatie]],Locaties[],2,0)</f>
        <v>Hassinkweg</v>
      </c>
      <c r="C124" s="226">
        <v>1</v>
      </c>
      <c r="D124" s="228" t="str">
        <f>IF(Vloeronderhoud!$C124&gt;0,VLOOKUP(Vloeronderhoud!$C124,$A$8:$B$16,2,FALSE),"")</f>
        <v>Sprayen</v>
      </c>
      <c r="E124" s="229" t="s">
        <v>110</v>
      </c>
      <c r="F124" s="250">
        <f>SUMIFS('Ruimtestaat'!$O:$O,'Ruimtestaat'!M:M,Vloeronderhoud!E124,'Ruimtestaat'!A:A,Vloeronderhoud!A124)</f>
        <v>211.89999999999998</v>
      </c>
      <c r="G124" s="239">
        <v>1</v>
      </c>
      <c r="H124" s="230">
        <f>VLOOKUP(OverzichtVloer[[#This Row],[Code Taak]],InvulVloer[],3,3)*F124*G124</f>
        <v>0</v>
      </c>
      <c r="I124" s="229"/>
    </row>
    <row r="125" spans="1:9" s="33" customFormat="1" ht="15" customHeight="1">
      <c r="A125" s="267">
        <v>16</v>
      </c>
      <c r="B125" s="227" t="str">
        <f>VLOOKUP(OverzichtVloer[[#This Row],[Code Locatie]],Locaties[],2,0)</f>
        <v>Hassinkweg</v>
      </c>
      <c r="C125" s="226">
        <v>2</v>
      </c>
      <c r="D125" s="228" t="str">
        <f>IF(Vloeronderhoud!$C125&gt;0,VLOOKUP(Vloeronderhoud!$C125,$A$8:$B$16,2,FALSE),"")</f>
        <v>Topstrippen en conserveren</v>
      </c>
      <c r="E125" s="229" t="s">
        <v>110</v>
      </c>
      <c r="F125" s="250">
        <f>SUMIFS('Ruimtestaat'!$O:$O,'Ruimtestaat'!M:M,Vloeronderhoud!E125,'Ruimtestaat'!A:A,Vloeronderhoud!A125)</f>
        <v>211.89999999999998</v>
      </c>
      <c r="G125" s="239">
        <v>1</v>
      </c>
      <c r="H125" s="230">
        <f>VLOOKUP(OverzichtVloer[[#This Row],[Code Taak]],InvulVloer[],3,3)*F125*G125</f>
        <v>0</v>
      </c>
      <c r="I125" s="229"/>
    </row>
    <row r="126" spans="1:9" s="33" customFormat="1" ht="15" customHeight="1">
      <c r="A126" s="267">
        <v>16</v>
      </c>
      <c r="B126" s="227" t="str">
        <f>VLOOKUP(OverzichtVloer[[#This Row],[Code Locatie]],Locaties[],2,0)</f>
        <v>Hassinkweg</v>
      </c>
      <c r="C126" s="226">
        <v>2</v>
      </c>
      <c r="D126" s="228" t="str">
        <f>IF(Vloeronderhoud!$C126&gt;0,VLOOKUP(Vloeronderhoud!$C126,$A$8:$B$16,2,FALSE),"")</f>
        <v>Topstrippen en conserveren</v>
      </c>
      <c r="E126" s="229" t="s">
        <v>110</v>
      </c>
      <c r="F126" s="250">
        <f>SUMIFS('Ruimtestaat'!$O:$O,'Ruimtestaat'!M:M,Vloeronderhoud!E126,'Ruimtestaat'!A:A,Vloeronderhoud!A126)</f>
        <v>211.89999999999998</v>
      </c>
      <c r="G126" s="239">
        <v>1</v>
      </c>
      <c r="H126" s="230">
        <f>VLOOKUP(OverzichtVloer[[#This Row],[Code Taak]],InvulVloer[],3,3)*F126*G126</f>
        <v>0</v>
      </c>
      <c r="I126" s="229"/>
    </row>
    <row r="127" spans="1:9" s="33" customFormat="1" ht="15" customHeight="1">
      <c r="A127" s="267">
        <v>16</v>
      </c>
      <c r="B127" s="227" t="str">
        <f>VLOOKUP(OverzichtVloer[[#This Row],[Code Locatie]],Locaties[],2,0)</f>
        <v>Hassinkweg</v>
      </c>
      <c r="C127" s="226">
        <v>8</v>
      </c>
      <c r="D127" s="228" t="str">
        <f>IF(Vloeronderhoud!$C127&gt;0,VLOOKUP(Vloeronderhoud!$C127,$A$8:$B$16,2,FALSE),"")</f>
        <v>Machinaal schrobben en droogzuigen</v>
      </c>
      <c r="E127" s="229" t="s">
        <v>111</v>
      </c>
      <c r="F127" s="250">
        <f>SUMIFS('Ruimtestaat'!$O:$O,'Ruimtestaat'!M:M,Vloeronderhoud!E127,'Ruimtestaat'!A:A,Vloeronderhoud!A127)</f>
        <v>71.899999999999991</v>
      </c>
      <c r="G127" s="239">
        <v>1</v>
      </c>
      <c r="H127" s="230">
        <f>VLOOKUP(OverzichtVloer[[#This Row],[Code Taak]],InvulVloer[],3,3)*F127*G127</f>
        <v>0</v>
      </c>
      <c r="I127" s="229"/>
    </row>
    <row r="128" spans="1:9" s="33" customFormat="1" ht="15" customHeight="1">
      <c r="A128" s="267">
        <v>16</v>
      </c>
      <c r="B128" s="227" t="str">
        <f>VLOOKUP(OverzichtVloer[[#This Row],[Code Locatie]],Locaties[],2,0)</f>
        <v>Hassinkweg</v>
      </c>
      <c r="C128" s="226">
        <v>8</v>
      </c>
      <c r="D128" s="228" t="str">
        <f>IF(Vloeronderhoud!$C128&gt;0,VLOOKUP(Vloeronderhoud!$C128,$A$8:$B$16,2,FALSE),"")</f>
        <v>Machinaal schrobben en droogzuigen</v>
      </c>
      <c r="E128" s="229" t="s">
        <v>112</v>
      </c>
      <c r="F128" s="250">
        <f>SUMIFS('Ruimtestaat'!$O:$O,'Ruimtestaat'!M:M,Vloeronderhoud!E128,'Ruimtestaat'!A:A,Vloeronderhoud!A128)</f>
        <v>0</v>
      </c>
      <c r="G128" s="239"/>
      <c r="H128" s="230">
        <f>VLOOKUP(OverzichtVloer[[#This Row],[Code Taak]],InvulVloer[],3,3)*F128*G128</f>
        <v>0</v>
      </c>
      <c r="I128" s="229"/>
    </row>
    <row r="129" spans="1:9" s="33" customFormat="1" ht="15" customHeight="1">
      <c r="A129" s="267">
        <v>16</v>
      </c>
      <c r="B129" s="227" t="str">
        <f>VLOOKUP(OverzichtVloer[[#This Row],[Code Locatie]],Locaties[],2,0)</f>
        <v>Hassinkweg</v>
      </c>
      <c r="C129" s="226">
        <v>6</v>
      </c>
      <c r="D129" s="228" t="str">
        <f>IF(Vloeronderhoud!$C129&gt;0,VLOOKUP(Vloeronderhoud!$C129,$A$8:$B$16,2,FALSE),"")</f>
        <v>Schuren en lakken houten vloer</v>
      </c>
      <c r="E129" s="229" t="s">
        <v>439</v>
      </c>
      <c r="F129" s="250">
        <f>SUMIFS('Ruimtestaat'!$O:$O,'Ruimtestaat'!M:M,Vloeronderhoud!E129,'Ruimtestaat'!A:A,Vloeronderhoud!A129)</f>
        <v>0</v>
      </c>
      <c r="G129" s="239"/>
      <c r="H129" s="230">
        <f>VLOOKUP(OverzichtVloer[[#This Row],[Code Taak]],InvulVloer[],3,3)*F129*G129</f>
        <v>0</v>
      </c>
      <c r="I129" s="229"/>
    </row>
    <row r="130" spans="1:9" s="33" customFormat="1" ht="15" customHeight="1">
      <c r="A130" s="267">
        <v>16</v>
      </c>
      <c r="B130" s="227" t="str">
        <f>VLOOKUP(OverzichtVloer[[#This Row],[Code Locatie]],Locaties[],2,0)</f>
        <v>Hassinkweg</v>
      </c>
      <c r="C130" s="226">
        <v>4</v>
      </c>
      <c r="D130" s="228" t="str">
        <f>IF(Vloeronderhoud!$C130&gt;0,VLOOKUP(Vloeronderhoud!$C130,$A$8:$B$16,2,FALSE),"")</f>
        <v>Tapijtreinigen, sproei-extractiemethode</v>
      </c>
      <c r="E130" s="229" t="s">
        <v>109</v>
      </c>
      <c r="F130" s="250">
        <f>SUMIFS('Ruimtestaat'!$O:$O,'Ruimtestaat'!M:M,Vloeronderhoud!E130,'Ruimtestaat'!A:A,Vloeronderhoud!A130)</f>
        <v>178.6</v>
      </c>
      <c r="G130" s="239">
        <v>1</v>
      </c>
      <c r="H130" s="230">
        <f>VLOOKUP(OverzichtVloer[[#This Row],[Code Taak]],InvulVloer[],3,3)*F130*G130</f>
        <v>0</v>
      </c>
      <c r="I130" s="229"/>
    </row>
    <row r="131" spans="1:9" s="33" customFormat="1" ht="15" customHeight="1">
      <c r="A131" s="267">
        <v>17</v>
      </c>
      <c r="B131" s="227" t="str">
        <f>VLOOKUP(OverzichtVloer[[#This Row],[Code Locatie]],Locaties[],2,0)</f>
        <v>Mota</v>
      </c>
      <c r="C131" s="226">
        <v>1</v>
      </c>
      <c r="D131" s="228" t="str">
        <f>IF(Vloeronderhoud!$C131&gt;0,VLOOKUP(Vloeronderhoud!$C131,$A$8:$B$16,2,FALSE),"")</f>
        <v>Sprayen</v>
      </c>
      <c r="E131" s="229" t="s">
        <v>110</v>
      </c>
      <c r="F131" s="250">
        <f>SUMIFS('Ruimtestaat'!$O:$O,'Ruimtestaat'!M:M,Vloeronderhoud!E131,'Ruimtestaat'!A:A,Vloeronderhoud!A131)</f>
        <v>0</v>
      </c>
      <c r="G131" s="239"/>
      <c r="H131" s="230">
        <f>VLOOKUP(OverzichtVloer[[#This Row],[Code Taak]],InvulVloer[],3,3)*F131*G131</f>
        <v>0</v>
      </c>
      <c r="I131" s="229"/>
    </row>
    <row r="132" spans="1:9" s="33" customFormat="1" ht="15" customHeight="1">
      <c r="A132" s="267">
        <v>17</v>
      </c>
      <c r="B132" s="227" t="str">
        <f>VLOOKUP(OverzichtVloer[[#This Row],[Code Locatie]],Locaties[],2,0)</f>
        <v>Mota</v>
      </c>
      <c r="C132" s="226">
        <v>2</v>
      </c>
      <c r="D132" s="228" t="str">
        <f>IF(Vloeronderhoud!$C132&gt;0,VLOOKUP(Vloeronderhoud!$C132,$A$8:$B$16,2,FALSE),"")</f>
        <v>Topstrippen en conserveren</v>
      </c>
      <c r="E132" s="229" t="s">
        <v>110</v>
      </c>
      <c r="F132" s="250">
        <f>SUMIFS('Ruimtestaat'!$O:$O,'Ruimtestaat'!M:M,Vloeronderhoud!E132,'Ruimtestaat'!A:A,Vloeronderhoud!A132)</f>
        <v>0</v>
      </c>
      <c r="G132" s="239"/>
      <c r="H132" s="230">
        <f>VLOOKUP(OverzichtVloer[[#This Row],[Code Taak]],InvulVloer[],3,3)*F132*G132</f>
        <v>0</v>
      </c>
      <c r="I132" s="229"/>
    </row>
    <row r="133" spans="1:9" s="33" customFormat="1" ht="15" customHeight="1">
      <c r="A133" s="267">
        <v>17</v>
      </c>
      <c r="B133" s="227" t="str">
        <f>VLOOKUP(OverzichtVloer[[#This Row],[Code Locatie]],Locaties[],2,0)</f>
        <v>Mota</v>
      </c>
      <c r="C133" s="226">
        <v>3</v>
      </c>
      <c r="D133" s="228" t="str">
        <f>IF(Vloeronderhoud!$C133&gt;0,VLOOKUP(Vloeronderhoud!$C133,$A$8:$B$16,2,FALSE),"")</f>
        <v>Diepstrippen, sealen en conserveren (MJOP)</v>
      </c>
      <c r="E133" s="229" t="s">
        <v>110</v>
      </c>
      <c r="F133" s="250">
        <f>SUMIFS('Ruimtestaat'!$O:$O,'Ruimtestaat'!M:M,Vloeronderhoud!E133,'Ruimtestaat'!A:A,Vloeronderhoud!A133)</f>
        <v>0</v>
      </c>
      <c r="G133" s="239"/>
      <c r="H133" s="230">
        <f>VLOOKUP(OverzichtVloer[[#This Row],[Code Taak]],InvulVloer[],3,3)*F133*G133</f>
        <v>0</v>
      </c>
      <c r="I133" s="229"/>
    </row>
    <row r="134" spans="1:9" s="33" customFormat="1" ht="15" customHeight="1">
      <c r="A134" s="267">
        <v>17</v>
      </c>
      <c r="B134" s="227" t="str">
        <f>VLOOKUP(OverzichtVloer[[#This Row],[Code Locatie]],Locaties[],2,0)</f>
        <v>Mota</v>
      </c>
      <c r="C134" s="226">
        <v>8</v>
      </c>
      <c r="D134" s="228" t="str">
        <f>IF(Vloeronderhoud!$C134&gt;0,VLOOKUP(Vloeronderhoud!$C134,$A$8:$B$16,2,FALSE),"")</f>
        <v>Machinaal schrobben en droogzuigen</v>
      </c>
      <c r="E134" s="229" t="s">
        <v>111</v>
      </c>
      <c r="F134" s="250">
        <f>SUMIFS('Ruimtestaat'!$O:$O,'Ruimtestaat'!M:M,Vloeronderhoud!E134,'Ruimtestaat'!A:A,Vloeronderhoud!A134)</f>
        <v>29.96</v>
      </c>
      <c r="G134" s="239">
        <v>1</v>
      </c>
      <c r="H134" s="230">
        <f>VLOOKUP(OverzichtVloer[[#This Row],[Code Taak]],InvulVloer[],3,3)*F134*G134</f>
        <v>0</v>
      </c>
      <c r="I134" s="229"/>
    </row>
    <row r="135" spans="1:9" s="33" customFormat="1" ht="15" customHeight="1">
      <c r="A135" s="267">
        <v>17</v>
      </c>
      <c r="B135" s="227" t="str">
        <f>VLOOKUP(OverzichtVloer[[#This Row],[Code Locatie]],Locaties[],2,0)</f>
        <v>Mota</v>
      </c>
      <c r="C135" s="226">
        <v>8</v>
      </c>
      <c r="D135" s="228" t="str">
        <f>IF(Vloeronderhoud!$C135&gt;0,VLOOKUP(Vloeronderhoud!$C135,$A$8:$B$16,2,FALSE),"")</f>
        <v>Machinaal schrobben en droogzuigen</v>
      </c>
      <c r="E135" s="229" t="s">
        <v>112</v>
      </c>
      <c r="F135" s="250">
        <f>SUMIFS('Ruimtestaat'!$O:$O,'Ruimtestaat'!M:M,Vloeronderhoud!E135,'Ruimtestaat'!A:A,Vloeronderhoud!A135)</f>
        <v>0</v>
      </c>
      <c r="G135" s="239"/>
      <c r="H135" s="230">
        <f>VLOOKUP(OverzichtVloer[[#This Row],[Code Taak]],InvulVloer[],3,3)*F135*G135</f>
        <v>0</v>
      </c>
      <c r="I135" s="229"/>
    </row>
    <row r="136" spans="1:9" s="33" customFormat="1" ht="15" customHeight="1">
      <c r="A136" s="267">
        <v>17</v>
      </c>
      <c r="B136" s="227" t="str">
        <f>VLOOKUP(OverzichtVloer[[#This Row],[Code Locatie]],Locaties[],2,0)</f>
        <v>Mota</v>
      </c>
      <c r="C136" s="226">
        <v>6</v>
      </c>
      <c r="D136" s="228" t="str">
        <f>IF(Vloeronderhoud!$C136&gt;0,VLOOKUP(Vloeronderhoud!$C136,$A$8:$B$16,2,FALSE),"")</f>
        <v>Schuren en lakken houten vloer</v>
      </c>
      <c r="E136" s="229" t="s">
        <v>439</v>
      </c>
      <c r="F136" s="250">
        <f>SUMIFS('Ruimtestaat'!$O:$O,'Ruimtestaat'!M:M,Vloeronderhoud!E136,'Ruimtestaat'!A:A,Vloeronderhoud!A136)</f>
        <v>0</v>
      </c>
      <c r="G136" s="239"/>
      <c r="H136" s="230">
        <f>VLOOKUP(OverzichtVloer[[#This Row],[Code Taak]],InvulVloer[],3,3)*F136*G136</f>
        <v>0</v>
      </c>
      <c r="I136" s="229"/>
    </row>
    <row r="137" spans="1:9" s="33" customFormat="1" ht="15" customHeight="1">
      <c r="A137" s="267">
        <v>17</v>
      </c>
      <c r="B137" s="227" t="str">
        <f>VLOOKUP(OverzichtVloer[[#This Row],[Code Locatie]],Locaties[],2,0)</f>
        <v>Mota</v>
      </c>
      <c r="C137" s="226">
        <v>4</v>
      </c>
      <c r="D137" s="228" t="str">
        <f>IF(Vloeronderhoud!$C137&gt;0,VLOOKUP(Vloeronderhoud!$C137,$A$8:$B$16,2,FALSE),"")</f>
        <v>Tapijtreinigen, sproei-extractiemethode</v>
      </c>
      <c r="E137" s="229" t="s">
        <v>109</v>
      </c>
      <c r="F137" s="250">
        <f>SUMIFS('Ruimtestaat'!$O:$O,'Ruimtestaat'!M:M,Vloeronderhoud!E137,'Ruimtestaat'!A:A,Vloeronderhoud!A137)</f>
        <v>0</v>
      </c>
      <c r="G137" s="239"/>
      <c r="H137" s="230">
        <f>VLOOKUP(OverzichtVloer[[#This Row],[Code Taak]],InvulVloer[],3,3)*F137*G137</f>
        <v>0</v>
      </c>
      <c r="I137" s="229"/>
    </row>
    <row r="138" spans="1:9" ht="15" customHeight="1">
      <c r="A138" s="275"/>
      <c r="B138" s="157" t="s">
        <v>33</v>
      </c>
      <c r="C138" s="156"/>
      <c r="D138" s="158"/>
      <c r="E138" s="156"/>
      <c r="F138" s="159"/>
      <c r="G138" s="156"/>
      <c r="H138" s="160">
        <f>SUBTOTAL(109,OverzichtVloer[Kosten/jaar excl. BTW])</f>
        <v>0</v>
      </c>
      <c r="I138" s="214"/>
    </row>
    <row r="139" spans="1:9" ht="15" customHeight="1">
      <c r="A139" s="272"/>
      <c r="C139" s="35"/>
      <c r="D139" s="35"/>
      <c r="E139" s="35"/>
      <c r="F139" s="147"/>
      <c r="G139" s="41"/>
      <c r="H139" s="36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33D4D-CE06-430B-A89B-74397568C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1D780-3B97-493C-9478-2802C9533A1F}">
  <ds:schemaRefs>
    <ds:schemaRef ds:uri="5d807127-6dfe-4777-9fc9-8a2ccfc388c3"/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11</vt:i4>
      </vt:variant>
    </vt:vector>
  </HeadingPairs>
  <TitlesOfParts>
    <vt:vector size="24" baseType="lpstr">
      <vt:lpstr>Opleverstaat dagelijks</vt:lpstr>
      <vt:lpstr>Werkprogramma periodiek</vt:lpstr>
      <vt:lpstr>Werkprogramma diepreinigen</vt:lpstr>
      <vt:lpstr>Tariefsopbouw</vt:lpstr>
      <vt:lpstr>Overnamegegevens</vt:lpstr>
      <vt:lpstr>Prestatiefactoren</vt:lpstr>
      <vt:lpstr>Ruimtestaat</vt:lpstr>
      <vt:lpstr>Glasbewassing</vt:lpstr>
      <vt:lpstr>Vloeronderhoud</vt:lpstr>
      <vt:lpstr>Extra werkzaamheden</vt:lpstr>
      <vt:lpstr>MJOP</vt:lpstr>
      <vt:lpstr>Regie en afroep</vt:lpstr>
      <vt:lpstr>Totalisatie</vt:lpstr>
      <vt:lpstr>Glasbewassing!Afdrukbereik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diepreinigen'!Afdrukbereik</vt:lpstr>
      <vt:lpstr>'Ruimtestaat'!Afdruktitels</vt:lpstr>
      <vt:lpstr>Invulglas1</vt:lpstr>
      <vt:lpstr>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Myrna</dc:creator>
  <cp:lastModifiedBy>Myrna Lansink | Inkada Inkoop &amp; Advies</cp:lastModifiedBy>
  <cp:lastPrinted>2021-07-08T15:06:34Z</cp:lastPrinted>
  <dcterms:created xsi:type="dcterms:W3CDTF">1999-03-23T11:24:21Z</dcterms:created>
  <dcterms:modified xsi:type="dcterms:W3CDTF">2021-09-07T09:37:48Z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