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IJburg College/Schoonmaak 2021/Bestek/"/>
    </mc:Choice>
  </mc:AlternateContent>
  <xr:revisionPtr revIDLastSave="2389" documentId="8_{DFD9872C-2621-4379-B35C-1E08DE9FB9CB}" xr6:coauthVersionLast="47" xr6:coauthVersionMax="47" xr10:uidLastSave="{769FC809-3875-495F-B5C5-7F48FB2B4100}"/>
  <bookViews>
    <workbookView xWindow="-120" yWindow="-120" windowWidth="29040" windowHeight="15840" tabRatio="750" firstSheet="4" activeTab="6" xr2:uid="{00000000-000D-0000-FFFF-FFFF00000000}"/>
  </bookViews>
  <sheets>
    <sheet name="Opleverstaat dagelijks" sheetId="29" r:id="rId1"/>
    <sheet name="Werkprogramma periodiek" sheetId="30" r:id="rId2"/>
    <sheet name="Werkprogramma diepreinigen" sheetId="21" r:id="rId3"/>
    <sheet name="Tariefsopbouw" sheetId="31" r:id="rId4"/>
    <sheet name="Overnamegegevens" sheetId="28" r:id="rId5"/>
    <sheet name="Prestatiefactoren" sheetId="11" r:id="rId6"/>
    <sheet name="Ruimtestaat" sheetId="13" r:id="rId7"/>
    <sheet name="Glasbewassing" sheetId="22" r:id="rId8"/>
    <sheet name="Vloeronderhoud" sheetId="25" r:id="rId9"/>
    <sheet name="Extra werkzaamheden" sheetId="32" r:id="rId10"/>
    <sheet name="Regie en afroep" sheetId="24" r:id="rId11"/>
    <sheet name="Totalisatie" sheetId="19" r:id="rId12"/>
  </sheets>
  <externalReferences>
    <externalReference r:id="rId13"/>
    <externalReference r:id="rId14"/>
    <externalReference r:id="rId15"/>
  </externalReferences>
  <definedNames>
    <definedName name="_1F" localSheetId="0" hidden="1">[1]Psychiatrie!#REF!</definedName>
    <definedName name="_1F" localSheetId="3" hidden="1">[1]Psychiatrie!#REF!</definedName>
    <definedName name="_1F" localSheetId="8" hidden="1">[1]Psychiatrie!#REF!</definedName>
    <definedName name="_1F" localSheetId="1" hidden="1">[1]Psychiatrie!#REF!</definedName>
    <definedName name="_1F" hidden="1">[1]Psychiatrie!#REF!</definedName>
    <definedName name="_2_0_F" localSheetId="0" hidden="1">[1]Psychiatrie!#REF!</definedName>
    <definedName name="_2_0_F" localSheetId="8" hidden="1">[1]Psychiatrie!#REF!</definedName>
    <definedName name="_2_0_F" localSheetId="1" hidden="1">[1]Psychiatrie!#REF!</definedName>
    <definedName name="_2_0_F" hidden="1">[1]Psychiatrie!#REF!</definedName>
    <definedName name="_Dist_Bin" localSheetId="0" hidden="1">#REF!</definedName>
    <definedName name="_Dist_Bin" localSheetId="3" hidden="1">#REF!</definedName>
    <definedName name="_Dist_Bin" localSheetId="8" hidden="1">#REF!</definedName>
    <definedName name="_Dist_Bin" localSheetId="1" hidden="1">#REF!</definedName>
    <definedName name="_Dist_Bin" hidden="1">#REF!</definedName>
    <definedName name="_Dist_Values" localSheetId="8" hidden="1">#REF!</definedName>
    <definedName name="_Dist_Values" hidden="1">#REF!</definedName>
    <definedName name="_Fill" localSheetId="8" hidden="1">'[2]#REF'!#REF!</definedName>
    <definedName name="_Fill" hidden="1">'[2]#REF'!#REF!</definedName>
    <definedName name="_xlnm._FilterDatabase" localSheetId="4" hidden="1">Overnamegegevens!$A$1:$R$1</definedName>
    <definedName name="_xlnm._FilterDatabase" localSheetId="11" hidden="1">Totalisatie!#REF!</definedName>
    <definedName name="_Key1" localSheetId="0" hidden="1">'[2]#REF'!#REF!</definedName>
    <definedName name="_Key1" localSheetId="8" hidden="1">'[2]#REF'!#REF!</definedName>
    <definedName name="_Key1" localSheetId="1" hidden="1">'[2]#REF'!#REF!</definedName>
    <definedName name="_Key1" hidden="1">'[2]#REF'!#REF!</definedName>
    <definedName name="_Order1" hidden="1">255</definedName>
    <definedName name="_Sort" localSheetId="0" hidden="1">#REF!</definedName>
    <definedName name="_Sort" localSheetId="3" hidden="1">#REF!</definedName>
    <definedName name="_Sort" localSheetId="8" hidden="1">#REF!</definedName>
    <definedName name="_Sort" localSheetId="1" hidden="1">#REF!</definedName>
    <definedName name="_Sort" hidden="1">#REF!</definedName>
    <definedName name="_Table1_In1" localSheetId="8" hidden="1">#REF!</definedName>
    <definedName name="_Table1_In1" hidden="1">#REF!</definedName>
    <definedName name="_Table1_Out" localSheetId="8" hidden="1">#REF!</definedName>
    <definedName name="_Table1_Out" hidden="1">#REF!</definedName>
    <definedName name="AccessDatabase" hidden="1">"C:\data\excel\BASISWP.mdb"</definedName>
    <definedName name="_xlnm.Print_Area" localSheetId="7">Glasbewassing!$A$1:$I$33</definedName>
    <definedName name="_xlnm.Print_Area" localSheetId="5">Prestatiefactoren!$A$1:$F$52</definedName>
    <definedName name="_xlnm.Print_Area" localSheetId="10">'Regie en afroep'!$A$1:$I$37</definedName>
    <definedName name="_xlnm.Print_Area" localSheetId="6">'Ruimtestaat'!$A$1:$AH$223</definedName>
    <definedName name="_xlnm.Print_Area" localSheetId="3">Tariefsopbouw!$A$1:$Q$41</definedName>
    <definedName name="_xlnm.Print_Area" localSheetId="11">Totalisatie!$A$1:$H$22</definedName>
    <definedName name="_xlnm.Print_Area" localSheetId="8">Vloeronderhoud!$A$1:$I$25</definedName>
    <definedName name="_xlnm.Print_Area" localSheetId="2">'Werkprogramma diepreinigen'!$A$1:$A$16</definedName>
    <definedName name="_xlnm.Print_Titles" localSheetId="6">'Ruimtestaat'!$2:$4</definedName>
    <definedName name="Glas" hidden="1">[3]Psychiatrie!#REF!</definedName>
    <definedName name="Invulglas1">Glasbewassing!$A$9:$I$19</definedName>
    <definedName name="Invulvloer1">Vloeronderhoud!$A$9:$I$16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32" l="1"/>
  <c r="D19" i="32"/>
  <c r="B19" i="32"/>
  <c r="E12" i="32"/>
  <c r="F12" i="32" s="1"/>
  <c r="G12" i="32" s="1"/>
  <c r="H12" i="32" s="1"/>
  <c r="I12" i="32" s="1"/>
  <c r="F23" i="25" l="1"/>
  <c r="H23" i="25" s="1"/>
  <c r="D23" i="25"/>
  <c r="B23" i="25"/>
  <c r="G26" i="22"/>
  <c r="D26" i="22"/>
  <c r="B26" i="22"/>
  <c r="G20" i="32"/>
  <c r="G18" i="32"/>
  <c r="G17" i="32"/>
  <c r="E10" i="32"/>
  <c r="F10" i="32" s="1"/>
  <c r="G10" i="32" s="1"/>
  <c r="H10" i="32" s="1"/>
  <c r="I10" i="32" s="1"/>
  <c r="D20" i="32" l="1"/>
  <c r="B20" i="32"/>
  <c r="U7" i="13"/>
  <c r="B14" i="13" l="1"/>
  <c r="B13" i="13"/>
  <c r="B12" i="13"/>
  <c r="B11" i="13"/>
  <c r="B10" i="13"/>
  <c r="B9" i="13"/>
  <c r="B8" i="13"/>
  <c r="B7" i="13"/>
  <c r="B6" i="13"/>
  <c r="B5" i="13"/>
  <c r="B25" i="22"/>
  <c r="D25" i="22"/>
  <c r="G25" i="22"/>
  <c r="C5" i="13"/>
  <c r="C6" i="13"/>
  <c r="C7" i="13"/>
  <c r="C8" i="13"/>
  <c r="C9" i="13"/>
  <c r="C10" i="13"/>
  <c r="C11" i="13"/>
  <c r="C12" i="13"/>
  <c r="C13" i="13"/>
  <c r="C14" i="13"/>
  <c r="D5" i="13"/>
  <c r="D6" i="13"/>
  <c r="D7" i="13"/>
  <c r="D8" i="13"/>
  <c r="D9" i="13"/>
  <c r="D10" i="13"/>
  <c r="D11" i="13"/>
  <c r="D12" i="13"/>
  <c r="D13" i="13"/>
  <c r="D14" i="13"/>
  <c r="E5" i="13"/>
  <c r="E6" i="13"/>
  <c r="E7" i="13"/>
  <c r="E8" i="13"/>
  <c r="E9" i="13"/>
  <c r="E10" i="13"/>
  <c r="E11" i="13"/>
  <c r="E12" i="13"/>
  <c r="E13" i="13"/>
  <c r="E14" i="13"/>
  <c r="L5" i="13"/>
  <c r="L6" i="13"/>
  <c r="L7" i="13"/>
  <c r="L8" i="13"/>
  <c r="L9" i="13"/>
  <c r="L10" i="13"/>
  <c r="L11" i="13"/>
  <c r="L12" i="13"/>
  <c r="L13" i="13"/>
  <c r="L14" i="13"/>
  <c r="Q5" i="13"/>
  <c r="Q6" i="13"/>
  <c r="Q7" i="13"/>
  <c r="Q8" i="13"/>
  <c r="Q9" i="13"/>
  <c r="Q10" i="13"/>
  <c r="Q11" i="13"/>
  <c r="Q12" i="13"/>
  <c r="Q13" i="13"/>
  <c r="Q14" i="13"/>
  <c r="V5" i="13"/>
  <c r="X5" i="13" s="1"/>
  <c r="V6" i="13"/>
  <c r="X6" i="13" s="1"/>
  <c r="V7" i="13"/>
  <c r="X7" i="13" s="1"/>
  <c r="AG7" i="13" s="1"/>
  <c r="V8" i="13"/>
  <c r="X8" i="13" s="1"/>
  <c r="V9" i="13"/>
  <c r="X9" i="13" s="1"/>
  <c r="Y9" i="13" s="1"/>
  <c r="V10" i="13"/>
  <c r="X10" i="13" s="1"/>
  <c r="V11" i="13"/>
  <c r="X11" i="13" s="1"/>
  <c r="V12" i="13"/>
  <c r="X12" i="13" s="1"/>
  <c r="V13" i="13"/>
  <c r="X13" i="13" s="1"/>
  <c r="Y13" i="13" s="1"/>
  <c r="V14" i="13"/>
  <c r="X14" i="13" s="1"/>
  <c r="W5" i="13"/>
  <c r="AF5" i="13" s="1"/>
  <c r="W6" i="13"/>
  <c r="AF6" i="13" s="1"/>
  <c r="W7" i="13"/>
  <c r="AF7" i="13" s="1"/>
  <c r="W8" i="13"/>
  <c r="AF8" i="13" s="1"/>
  <c r="W9" i="13"/>
  <c r="AF9" i="13" s="1"/>
  <c r="W10" i="13"/>
  <c r="AF10" i="13" s="1"/>
  <c r="W11" i="13"/>
  <c r="W12" i="13"/>
  <c r="AF12" i="13" s="1"/>
  <c r="W13" i="13"/>
  <c r="AF13" i="13" s="1"/>
  <c r="W14" i="13"/>
  <c r="AF14" i="13" s="1"/>
  <c r="AA5" i="13"/>
  <c r="AB5" i="13" s="1"/>
  <c r="AA6" i="13"/>
  <c r="AB6" i="13" s="1"/>
  <c r="AA7" i="13"/>
  <c r="AB7" i="13" s="1"/>
  <c r="AA8" i="13"/>
  <c r="AB8" i="13" s="1"/>
  <c r="AA9" i="13"/>
  <c r="AB9" i="13" s="1"/>
  <c r="AA10" i="13"/>
  <c r="AB10" i="13" s="1"/>
  <c r="AA11" i="13"/>
  <c r="AB11" i="13" s="1"/>
  <c r="AA12" i="13"/>
  <c r="AB12" i="13" s="1"/>
  <c r="AA13" i="13"/>
  <c r="AB13" i="13" s="1"/>
  <c r="AA14" i="13"/>
  <c r="AB14" i="13" s="1"/>
  <c r="AE5" i="13"/>
  <c r="AE6" i="13"/>
  <c r="AE7" i="13"/>
  <c r="AE8" i="13"/>
  <c r="AE9" i="13"/>
  <c r="AE10" i="13"/>
  <c r="AE11" i="13"/>
  <c r="AE12" i="13"/>
  <c r="AE13" i="13"/>
  <c r="AE14" i="13"/>
  <c r="AF11" i="13"/>
  <c r="AH9" i="13" l="1"/>
  <c r="Y11" i="13"/>
  <c r="AH11" i="13" s="1"/>
  <c r="AG11" i="13"/>
  <c r="AG13" i="13"/>
  <c r="AG9" i="13"/>
  <c r="AH13" i="13"/>
  <c r="AG6" i="13"/>
  <c r="Y6" i="13"/>
  <c r="AH6" i="13" s="1"/>
  <c r="Y12" i="13"/>
  <c r="AH12" i="13" s="1"/>
  <c r="AG12" i="13"/>
  <c r="Y7" i="13"/>
  <c r="AH7" i="13" s="1"/>
  <c r="Y14" i="13"/>
  <c r="AH14" i="13" s="1"/>
  <c r="AG14" i="13"/>
  <c r="Y5" i="13"/>
  <c r="AH5" i="13" s="1"/>
  <c r="AG5" i="13"/>
  <c r="AG10" i="13"/>
  <c r="Y10" i="13"/>
  <c r="AH10" i="13" s="1"/>
  <c r="Y8" i="13"/>
  <c r="AH8" i="13" s="1"/>
  <c r="AG8" i="13"/>
  <c r="D17" i="32" l="1"/>
  <c r="B17" i="32"/>
  <c r="E11" i="32"/>
  <c r="F11" i="32" s="1"/>
  <c r="G11" i="32" s="1"/>
  <c r="H11" i="32" s="1"/>
  <c r="I11" i="32" s="1"/>
  <c r="D18" i="32"/>
  <c r="B18" i="32"/>
  <c r="E13" i="32"/>
  <c r="F13" i="32" s="1"/>
  <c r="G13" i="32" s="1"/>
  <c r="H13" i="32" s="1"/>
  <c r="I13" i="32" s="1"/>
  <c r="D16" i="32" l="1"/>
  <c r="G16" i="32"/>
  <c r="E9" i="32"/>
  <c r="F9" i="32" s="1"/>
  <c r="G9" i="32" s="1"/>
  <c r="H9" i="32" s="1"/>
  <c r="I9" i="32" s="1"/>
  <c r="B16" i="32"/>
  <c r="F12" i="19" l="1"/>
  <c r="G21" i="32"/>
  <c r="F13" i="19" l="1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78" i="13"/>
  <c r="Q79" i="13"/>
  <c r="Q80" i="13"/>
  <c r="Q81" i="13"/>
  <c r="Q82" i="13"/>
  <c r="Q83" i="13"/>
  <c r="Q84" i="13"/>
  <c r="Q85" i="13"/>
  <c r="Q86" i="13"/>
  <c r="Q87" i="13"/>
  <c r="Q88" i="13"/>
  <c r="Q89" i="13"/>
  <c r="Q90" i="13"/>
  <c r="Q91" i="13"/>
  <c r="Q92" i="13"/>
  <c r="Q93" i="13"/>
  <c r="Q94" i="13"/>
  <c r="Q95" i="13"/>
  <c r="Q96" i="13"/>
  <c r="Q97" i="13"/>
  <c r="Q98" i="13"/>
  <c r="Q99" i="13"/>
  <c r="Q100" i="13"/>
  <c r="Q101" i="13"/>
  <c r="Q102" i="13"/>
  <c r="Q103" i="13"/>
  <c r="Q104" i="13"/>
  <c r="Q105" i="13"/>
  <c r="Q106" i="13"/>
  <c r="Q107" i="13"/>
  <c r="Q108" i="13"/>
  <c r="Q109" i="13"/>
  <c r="Q110" i="13"/>
  <c r="Q111" i="13"/>
  <c r="Q112" i="13"/>
  <c r="Q113" i="13"/>
  <c r="Q114" i="13"/>
  <c r="Q115" i="13"/>
  <c r="Q116" i="13"/>
  <c r="Q117" i="13"/>
  <c r="Q118" i="13"/>
  <c r="Q119" i="13"/>
  <c r="Q120" i="13"/>
  <c r="Q121" i="13"/>
  <c r="Q122" i="13"/>
  <c r="Q123" i="13"/>
  <c r="Q124" i="13"/>
  <c r="Q125" i="13"/>
  <c r="Q126" i="13"/>
  <c r="Q127" i="13"/>
  <c r="Q128" i="13"/>
  <c r="Q129" i="13"/>
  <c r="Q130" i="13"/>
  <c r="Q131" i="13"/>
  <c r="Q132" i="13"/>
  <c r="Q133" i="13"/>
  <c r="Q134" i="13"/>
  <c r="Q135" i="13"/>
  <c r="Q136" i="13"/>
  <c r="Q137" i="13"/>
  <c r="Q138" i="13"/>
  <c r="Q139" i="13"/>
  <c r="Q140" i="13"/>
  <c r="Q141" i="13"/>
  <c r="Q142" i="13"/>
  <c r="Q143" i="13"/>
  <c r="Q144" i="13"/>
  <c r="Q145" i="13"/>
  <c r="Q146" i="13"/>
  <c r="Q147" i="13"/>
  <c r="Q148" i="13"/>
  <c r="Q149" i="13"/>
  <c r="Q150" i="13"/>
  <c r="Q151" i="13"/>
  <c r="Q152" i="13"/>
  <c r="Q153" i="13"/>
  <c r="Q154" i="13"/>
  <c r="Q155" i="13"/>
  <c r="Q156" i="13"/>
  <c r="Q157" i="13"/>
  <c r="Q158" i="13"/>
  <c r="Q159" i="13"/>
  <c r="Q160" i="13"/>
  <c r="Q161" i="13"/>
  <c r="Q162" i="13"/>
  <c r="Q163" i="13"/>
  <c r="Q164" i="13"/>
  <c r="Q165" i="13"/>
  <c r="Q166" i="13"/>
  <c r="Q167" i="13"/>
  <c r="Q168" i="13"/>
  <c r="Q169" i="13"/>
  <c r="Q170" i="13"/>
  <c r="Q171" i="13"/>
  <c r="Q172" i="13"/>
  <c r="Q173" i="13"/>
  <c r="Q174" i="13"/>
  <c r="Q175" i="13"/>
  <c r="Q176" i="13"/>
  <c r="Q177" i="13"/>
  <c r="Q178" i="13"/>
  <c r="Q179" i="13"/>
  <c r="Q180" i="13"/>
  <c r="Q181" i="13"/>
  <c r="Q182" i="13"/>
  <c r="Q183" i="13"/>
  <c r="Q184" i="13"/>
  <c r="Q185" i="13"/>
  <c r="Q186" i="13"/>
  <c r="Q187" i="13"/>
  <c r="Q188" i="13"/>
  <c r="Q189" i="13"/>
  <c r="Q190" i="13"/>
  <c r="Q191" i="13"/>
  <c r="Q192" i="13"/>
  <c r="Q193" i="13"/>
  <c r="Q194" i="13"/>
  <c r="Q195" i="13"/>
  <c r="Q196" i="13"/>
  <c r="Q197" i="13"/>
  <c r="Q198" i="13"/>
  <c r="Q199" i="13"/>
  <c r="Q200" i="13"/>
  <c r="Q201" i="13"/>
  <c r="Q202" i="13"/>
  <c r="Q203" i="13"/>
  <c r="Q204" i="13"/>
  <c r="Q205" i="13"/>
  <c r="Q206" i="13"/>
  <c r="Q207" i="13"/>
  <c r="Q208" i="13"/>
  <c r="Q209" i="13"/>
  <c r="Q210" i="13"/>
  <c r="Q211" i="13"/>
  <c r="Q212" i="13"/>
  <c r="Q213" i="13"/>
  <c r="Q214" i="13"/>
  <c r="Q215" i="13"/>
  <c r="Q216" i="13"/>
  <c r="Q217" i="13"/>
  <c r="Q218" i="13"/>
  <c r="Q219" i="13"/>
  <c r="Q220" i="13"/>
  <c r="Q221" i="13"/>
  <c r="Q222" i="13"/>
  <c r="Q223" i="13"/>
  <c r="U19" i="13" l="1"/>
  <c r="U18" i="13"/>
  <c r="U17" i="13"/>
  <c r="U16" i="13"/>
  <c r="U223" i="13"/>
  <c r="U222" i="13"/>
  <c r="U221" i="13"/>
  <c r="U220" i="13"/>
  <c r="U219" i="13"/>
  <c r="U218" i="13"/>
  <c r="U217" i="13"/>
  <c r="U216" i="13"/>
  <c r="U215" i="13"/>
  <c r="U214" i="13"/>
  <c r="U213" i="13"/>
  <c r="U212" i="13"/>
  <c r="U211" i="13"/>
  <c r="U210" i="13"/>
  <c r="U209" i="13"/>
  <c r="U208" i="13"/>
  <c r="U207" i="13"/>
  <c r="U206" i="13"/>
  <c r="U205" i="13"/>
  <c r="U204" i="13"/>
  <c r="U203" i="13"/>
  <c r="U202" i="13"/>
  <c r="U201" i="13"/>
  <c r="U200" i="13"/>
  <c r="U199" i="13"/>
  <c r="U198" i="13"/>
  <c r="U197" i="13"/>
  <c r="U196" i="13"/>
  <c r="U195" i="13"/>
  <c r="U194" i="13"/>
  <c r="U193" i="13"/>
  <c r="U192" i="13"/>
  <c r="U191" i="13"/>
  <c r="U190" i="13"/>
  <c r="U189" i="13"/>
  <c r="U188" i="13"/>
  <c r="U187" i="13"/>
  <c r="U186" i="13"/>
  <c r="U185" i="13"/>
  <c r="U184" i="13"/>
  <c r="U183" i="13"/>
  <c r="U182" i="13"/>
  <c r="U181" i="13"/>
  <c r="U180" i="13"/>
  <c r="U179" i="13"/>
  <c r="U178" i="13"/>
  <c r="U177" i="13"/>
  <c r="U176" i="13"/>
  <c r="U175" i="13"/>
  <c r="U174" i="13"/>
  <c r="U173" i="13"/>
  <c r="U172" i="13"/>
  <c r="U171" i="13"/>
  <c r="U170" i="13"/>
  <c r="U169" i="13"/>
  <c r="U168" i="13"/>
  <c r="U167" i="13"/>
  <c r="U166" i="13"/>
  <c r="U165" i="13"/>
  <c r="U164" i="13"/>
  <c r="U163" i="13"/>
  <c r="U162" i="13"/>
  <c r="U161" i="13"/>
  <c r="U160" i="13"/>
  <c r="U159" i="13"/>
  <c r="U158" i="13"/>
  <c r="U157" i="13"/>
  <c r="U156" i="13"/>
  <c r="U155" i="13"/>
  <c r="U154" i="13"/>
  <c r="U153" i="13"/>
  <c r="U152" i="13"/>
  <c r="U151" i="13"/>
  <c r="U150" i="13"/>
  <c r="U149" i="13"/>
  <c r="U148" i="13"/>
  <c r="U147" i="13"/>
  <c r="U146" i="13"/>
  <c r="U145" i="13"/>
  <c r="U144" i="13"/>
  <c r="U143" i="13"/>
  <c r="U142" i="13"/>
  <c r="U141" i="13"/>
  <c r="U140" i="13"/>
  <c r="U139" i="13"/>
  <c r="U138" i="13"/>
  <c r="U137" i="13"/>
  <c r="U136" i="13"/>
  <c r="U135" i="13"/>
  <c r="U134" i="13"/>
  <c r="U133" i="13"/>
  <c r="U132" i="13"/>
  <c r="U131" i="13"/>
  <c r="U130" i="13"/>
  <c r="U129" i="13"/>
  <c r="U128" i="13"/>
  <c r="U127" i="13"/>
  <c r="U126" i="13"/>
  <c r="U125" i="13"/>
  <c r="U124" i="13"/>
  <c r="U123" i="13"/>
  <c r="U122" i="13"/>
  <c r="U121" i="13"/>
  <c r="U120" i="13"/>
  <c r="U119" i="13"/>
  <c r="U118" i="13"/>
  <c r="U117" i="13"/>
  <c r="U116" i="13"/>
  <c r="U115" i="13"/>
  <c r="U114" i="13"/>
  <c r="U113" i="13"/>
  <c r="U112" i="13"/>
  <c r="U111" i="13"/>
  <c r="V111" i="13" s="1"/>
  <c r="X111" i="13" s="1"/>
  <c r="U110" i="13"/>
  <c r="U109" i="13"/>
  <c r="U108" i="13"/>
  <c r="U107" i="13"/>
  <c r="U106" i="13"/>
  <c r="U105" i="13"/>
  <c r="U104" i="13"/>
  <c r="U103" i="13"/>
  <c r="U102" i="13"/>
  <c r="U101" i="13"/>
  <c r="U100" i="13"/>
  <c r="U99" i="13"/>
  <c r="U98" i="13"/>
  <c r="U97" i="13"/>
  <c r="U96" i="13"/>
  <c r="U95" i="13"/>
  <c r="U94" i="13"/>
  <c r="U93" i="13"/>
  <c r="U92" i="13"/>
  <c r="U91" i="13"/>
  <c r="U90" i="13"/>
  <c r="U89" i="13"/>
  <c r="U88" i="13"/>
  <c r="U87" i="13"/>
  <c r="U86" i="13"/>
  <c r="U85" i="13"/>
  <c r="U84" i="13"/>
  <c r="U83" i="13"/>
  <c r="U82" i="13"/>
  <c r="U81" i="13"/>
  <c r="U80" i="13"/>
  <c r="U79" i="13"/>
  <c r="U78" i="13"/>
  <c r="U77" i="13"/>
  <c r="U76" i="13"/>
  <c r="U75" i="13"/>
  <c r="U74" i="13"/>
  <c r="U73" i="13"/>
  <c r="U72" i="13"/>
  <c r="U71" i="13"/>
  <c r="U70" i="13"/>
  <c r="U69" i="13"/>
  <c r="U68" i="13"/>
  <c r="U67" i="13"/>
  <c r="U66" i="13"/>
  <c r="U65" i="13"/>
  <c r="U64" i="13"/>
  <c r="U63" i="13"/>
  <c r="U62" i="13"/>
  <c r="U61" i="13"/>
  <c r="U60" i="13"/>
  <c r="U59" i="13"/>
  <c r="U58" i="13"/>
  <c r="U57" i="13"/>
  <c r="U56" i="13"/>
  <c r="U55" i="13"/>
  <c r="U54" i="13"/>
  <c r="U53" i="13"/>
  <c r="U52" i="13"/>
  <c r="U51" i="13"/>
  <c r="U50" i="13"/>
  <c r="U49" i="13"/>
  <c r="U48" i="13"/>
  <c r="U47" i="13"/>
  <c r="U46" i="13"/>
  <c r="U45" i="13"/>
  <c r="U44" i="13"/>
  <c r="U43" i="13"/>
  <c r="U42" i="13"/>
  <c r="U41" i="13"/>
  <c r="U40" i="13"/>
  <c r="U39" i="13"/>
  <c r="U38" i="13"/>
  <c r="U37" i="13"/>
  <c r="U36" i="13"/>
  <c r="U35" i="13"/>
  <c r="U34" i="13"/>
  <c r="U33" i="13"/>
  <c r="U32" i="13"/>
  <c r="U31" i="13"/>
  <c r="U30" i="13"/>
  <c r="U29" i="13"/>
  <c r="U28" i="13"/>
  <c r="U27" i="13"/>
  <c r="U26" i="13"/>
  <c r="U25" i="13"/>
  <c r="U24" i="13"/>
  <c r="U23" i="13"/>
  <c r="U22" i="13"/>
  <c r="U21" i="13"/>
  <c r="U20" i="13"/>
  <c r="V20" i="13" s="1"/>
  <c r="U15" i="13"/>
  <c r="AE223" i="13" l="1"/>
  <c r="AA223" i="13"/>
  <c r="AB223" i="13" s="1"/>
  <c r="W223" i="13"/>
  <c r="AF223" i="13" s="1"/>
  <c r="V223" i="13"/>
  <c r="X223" i="13" s="1"/>
  <c r="AE222" i="13"/>
  <c r="AA222" i="13"/>
  <c r="AB222" i="13" s="1"/>
  <c r="W222" i="13"/>
  <c r="AF222" i="13" s="1"/>
  <c r="V222" i="13"/>
  <c r="X222" i="13" s="1"/>
  <c r="AE221" i="13"/>
  <c r="AA221" i="13"/>
  <c r="AB221" i="13" s="1"/>
  <c r="W221" i="13"/>
  <c r="AF221" i="13" s="1"/>
  <c r="V221" i="13"/>
  <c r="X221" i="13" s="1"/>
  <c r="AE220" i="13"/>
  <c r="AA220" i="13"/>
  <c r="AB220" i="13" s="1"/>
  <c r="W220" i="13"/>
  <c r="AF220" i="13" s="1"/>
  <c r="V220" i="13"/>
  <c r="X220" i="13" s="1"/>
  <c r="AE219" i="13"/>
  <c r="AA219" i="13"/>
  <c r="AB219" i="13" s="1"/>
  <c r="W219" i="13"/>
  <c r="AF219" i="13" s="1"/>
  <c r="V219" i="13"/>
  <c r="X219" i="13" s="1"/>
  <c r="AE218" i="13"/>
  <c r="AA218" i="13"/>
  <c r="AB218" i="13" s="1"/>
  <c r="W218" i="13"/>
  <c r="AF218" i="13" s="1"/>
  <c r="V218" i="13"/>
  <c r="X218" i="13" s="1"/>
  <c r="AG218" i="13" s="1"/>
  <c r="AE217" i="13"/>
  <c r="AA217" i="13"/>
  <c r="AB217" i="13" s="1"/>
  <c r="W217" i="13"/>
  <c r="AF217" i="13" s="1"/>
  <c r="V217" i="13"/>
  <c r="X217" i="13" s="1"/>
  <c r="AG217" i="13" s="1"/>
  <c r="AE216" i="13"/>
  <c r="AA216" i="13"/>
  <c r="AB216" i="13" s="1"/>
  <c r="W216" i="13"/>
  <c r="AF216" i="13" s="1"/>
  <c r="V216" i="13"/>
  <c r="X216" i="13" s="1"/>
  <c r="AE215" i="13"/>
  <c r="AA215" i="13"/>
  <c r="AB215" i="13" s="1"/>
  <c r="W215" i="13"/>
  <c r="AF215" i="13" s="1"/>
  <c r="V215" i="13"/>
  <c r="X215" i="13" s="1"/>
  <c r="AE214" i="13"/>
  <c r="AA214" i="13"/>
  <c r="AB214" i="13" s="1"/>
  <c r="W214" i="13"/>
  <c r="AF214" i="13" s="1"/>
  <c r="V214" i="13"/>
  <c r="X214" i="13" s="1"/>
  <c r="AE213" i="13"/>
  <c r="AA213" i="13"/>
  <c r="AB213" i="13" s="1"/>
  <c r="W213" i="13"/>
  <c r="AF213" i="13" s="1"/>
  <c r="V213" i="13"/>
  <c r="X213" i="13" s="1"/>
  <c r="AG213" i="13" s="1"/>
  <c r="AE212" i="13"/>
  <c r="AA212" i="13"/>
  <c r="AB212" i="13" s="1"/>
  <c r="W212" i="13"/>
  <c r="AF212" i="13" s="1"/>
  <c r="V212" i="13"/>
  <c r="X212" i="13" s="1"/>
  <c r="AG212" i="13" s="1"/>
  <c r="AE211" i="13"/>
  <c r="AA211" i="13"/>
  <c r="AB211" i="13" s="1"/>
  <c r="W211" i="13"/>
  <c r="AF211" i="13" s="1"/>
  <c r="V211" i="13"/>
  <c r="X211" i="13" s="1"/>
  <c r="AE210" i="13"/>
  <c r="AA210" i="13"/>
  <c r="AB210" i="13" s="1"/>
  <c r="W210" i="13"/>
  <c r="AF210" i="13" s="1"/>
  <c r="V210" i="13"/>
  <c r="X210" i="13" s="1"/>
  <c r="AE209" i="13"/>
  <c r="AA209" i="13"/>
  <c r="AB209" i="13" s="1"/>
  <c r="W209" i="13"/>
  <c r="AF209" i="13" s="1"/>
  <c r="V209" i="13"/>
  <c r="X209" i="13" s="1"/>
  <c r="AG209" i="13" s="1"/>
  <c r="AE208" i="13"/>
  <c r="AA208" i="13"/>
  <c r="AB208" i="13" s="1"/>
  <c r="W208" i="13"/>
  <c r="AF208" i="13" s="1"/>
  <c r="V208" i="13"/>
  <c r="X208" i="13" s="1"/>
  <c r="AG208" i="13" s="1"/>
  <c r="AE207" i="13"/>
  <c r="AA207" i="13"/>
  <c r="AB207" i="13" s="1"/>
  <c r="W207" i="13"/>
  <c r="AF207" i="13" s="1"/>
  <c r="V207" i="13"/>
  <c r="X207" i="13" s="1"/>
  <c r="AG207" i="13" s="1"/>
  <c r="AE206" i="13"/>
  <c r="AA206" i="13"/>
  <c r="AB206" i="13" s="1"/>
  <c r="W206" i="13"/>
  <c r="AF206" i="13" s="1"/>
  <c r="V206" i="13"/>
  <c r="X206" i="13" s="1"/>
  <c r="AG206" i="13" s="1"/>
  <c r="AE205" i="13"/>
  <c r="AA205" i="13"/>
  <c r="AB205" i="13" s="1"/>
  <c r="W205" i="13"/>
  <c r="AF205" i="13" s="1"/>
  <c r="V205" i="13"/>
  <c r="X205" i="13" s="1"/>
  <c r="AG205" i="13" s="1"/>
  <c r="AE204" i="13"/>
  <c r="AA204" i="13"/>
  <c r="AB204" i="13" s="1"/>
  <c r="W204" i="13"/>
  <c r="AF204" i="13" s="1"/>
  <c r="V204" i="13"/>
  <c r="X204" i="13" s="1"/>
  <c r="AE203" i="13"/>
  <c r="AA203" i="13"/>
  <c r="AB203" i="13" s="1"/>
  <c r="W203" i="13"/>
  <c r="AF203" i="13" s="1"/>
  <c r="V203" i="13"/>
  <c r="X203" i="13" s="1"/>
  <c r="AG203" i="13" s="1"/>
  <c r="AE202" i="13"/>
  <c r="AA202" i="13"/>
  <c r="AB202" i="13" s="1"/>
  <c r="W202" i="13"/>
  <c r="AF202" i="13" s="1"/>
  <c r="V202" i="13"/>
  <c r="X202" i="13" s="1"/>
  <c r="AE201" i="13"/>
  <c r="AA201" i="13"/>
  <c r="AB201" i="13" s="1"/>
  <c r="W201" i="13"/>
  <c r="AF201" i="13" s="1"/>
  <c r="V201" i="13"/>
  <c r="X201" i="13" s="1"/>
  <c r="AE200" i="13"/>
  <c r="AA200" i="13"/>
  <c r="AB200" i="13" s="1"/>
  <c r="W200" i="13"/>
  <c r="AF200" i="13" s="1"/>
  <c r="V200" i="13"/>
  <c r="X200" i="13" s="1"/>
  <c r="AE199" i="13"/>
  <c r="AA199" i="13"/>
  <c r="AB199" i="13" s="1"/>
  <c r="W199" i="13"/>
  <c r="AF199" i="13" s="1"/>
  <c r="V199" i="13"/>
  <c r="X199" i="13" s="1"/>
  <c r="AE198" i="13"/>
  <c r="AA198" i="13"/>
  <c r="AB198" i="13" s="1"/>
  <c r="W198" i="13"/>
  <c r="AF198" i="13" s="1"/>
  <c r="V198" i="13"/>
  <c r="X198" i="13" s="1"/>
  <c r="AG198" i="13" s="1"/>
  <c r="AE197" i="13"/>
  <c r="AA197" i="13"/>
  <c r="AB197" i="13" s="1"/>
  <c r="W197" i="13"/>
  <c r="AF197" i="13" s="1"/>
  <c r="V197" i="13"/>
  <c r="X197" i="13" s="1"/>
  <c r="AG197" i="13" s="1"/>
  <c r="AE196" i="13"/>
  <c r="AA196" i="13"/>
  <c r="AB196" i="13" s="1"/>
  <c r="W196" i="13"/>
  <c r="AF196" i="13" s="1"/>
  <c r="V196" i="13"/>
  <c r="X196" i="13" s="1"/>
  <c r="AE195" i="13"/>
  <c r="AA195" i="13"/>
  <c r="AB195" i="13" s="1"/>
  <c r="W195" i="13"/>
  <c r="AF195" i="13" s="1"/>
  <c r="V195" i="13"/>
  <c r="X195" i="13" s="1"/>
  <c r="AE194" i="13"/>
  <c r="AA194" i="13"/>
  <c r="AB194" i="13" s="1"/>
  <c r="W194" i="13"/>
  <c r="AF194" i="13" s="1"/>
  <c r="V194" i="13"/>
  <c r="X194" i="13" s="1"/>
  <c r="AG194" i="13" s="1"/>
  <c r="AE193" i="13"/>
  <c r="AA193" i="13"/>
  <c r="AB193" i="13" s="1"/>
  <c r="W193" i="13"/>
  <c r="AF193" i="13" s="1"/>
  <c r="V193" i="13"/>
  <c r="X193" i="13" s="1"/>
  <c r="AE192" i="13"/>
  <c r="AA192" i="13"/>
  <c r="AB192" i="13" s="1"/>
  <c r="W192" i="13"/>
  <c r="AF192" i="13" s="1"/>
  <c r="V192" i="13"/>
  <c r="X192" i="13" s="1"/>
  <c r="Y192" i="13" s="1"/>
  <c r="AE191" i="13"/>
  <c r="AA191" i="13"/>
  <c r="AB191" i="13" s="1"/>
  <c r="W191" i="13"/>
  <c r="AF191" i="13" s="1"/>
  <c r="V191" i="13"/>
  <c r="X191" i="13" s="1"/>
  <c r="AE190" i="13"/>
  <c r="AA190" i="13"/>
  <c r="AB190" i="13" s="1"/>
  <c r="W190" i="13"/>
  <c r="AF190" i="13" s="1"/>
  <c r="V190" i="13"/>
  <c r="X190" i="13" s="1"/>
  <c r="AG190" i="13" s="1"/>
  <c r="AE189" i="13"/>
  <c r="AA189" i="13"/>
  <c r="AB189" i="13" s="1"/>
  <c r="W189" i="13"/>
  <c r="AF189" i="13" s="1"/>
  <c r="V189" i="13"/>
  <c r="X189" i="13" s="1"/>
  <c r="Y189" i="13" s="1"/>
  <c r="AE188" i="13"/>
  <c r="AA188" i="13"/>
  <c r="AB188" i="13" s="1"/>
  <c r="W188" i="13"/>
  <c r="AF188" i="13" s="1"/>
  <c r="V188" i="13"/>
  <c r="X188" i="13" s="1"/>
  <c r="Y188" i="13" s="1"/>
  <c r="AE187" i="13"/>
  <c r="AA187" i="13"/>
  <c r="AB187" i="13" s="1"/>
  <c r="W187" i="13"/>
  <c r="AF187" i="13" s="1"/>
  <c r="V187" i="13"/>
  <c r="X187" i="13" s="1"/>
  <c r="AE186" i="13"/>
  <c r="AA186" i="13"/>
  <c r="AB186" i="13" s="1"/>
  <c r="W186" i="13"/>
  <c r="AF186" i="13" s="1"/>
  <c r="V186" i="13"/>
  <c r="X186" i="13" s="1"/>
  <c r="AG186" i="13" s="1"/>
  <c r="AE185" i="13"/>
  <c r="AA185" i="13"/>
  <c r="AB185" i="13" s="1"/>
  <c r="W185" i="13"/>
  <c r="AF185" i="13" s="1"/>
  <c r="V185" i="13"/>
  <c r="X185" i="13" s="1"/>
  <c r="Y185" i="13" s="1"/>
  <c r="AE184" i="13"/>
  <c r="AA184" i="13"/>
  <c r="AB184" i="13" s="1"/>
  <c r="W184" i="13"/>
  <c r="AF184" i="13" s="1"/>
  <c r="V184" i="13"/>
  <c r="X184" i="13" s="1"/>
  <c r="Y184" i="13" s="1"/>
  <c r="AE183" i="13"/>
  <c r="AA183" i="13"/>
  <c r="AB183" i="13" s="1"/>
  <c r="W183" i="13"/>
  <c r="AF183" i="13" s="1"/>
  <c r="V183" i="13"/>
  <c r="X183" i="13" s="1"/>
  <c r="Y183" i="13" s="1"/>
  <c r="AE182" i="13"/>
  <c r="AA182" i="13"/>
  <c r="AB182" i="13" s="1"/>
  <c r="W182" i="13"/>
  <c r="AF182" i="13" s="1"/>
  <c r="V182" i="13"/>
  <c r="X182" i="13" s="1"/>
  <c r="Y182" i="13" s="1"/>
  <c r="AE181" i="13"/>
  <c r="AA181" i="13"/>
  <c r="AB181" i="13" s="1"/>
  <c r="W181" i="13"/>
  <c r="AF181" i="13" s="1"/>
  <c r="V181" i="13"/>
  <c r="X181" i="13" s="1"/>
  <c r="AE180" i="13"/>
  <c r="AA180" i="13"/>
  <c r="AB180" i="13" s="1"/>
  <c r="W180" i="13"/>
  <c r="AF180" i="13" s="1"/>
  <c r="V180" i="13"/>
  <c r="X180" i="13" s="1"/>
  <c r="Y180" i="13" s="1"/>
  <c r="AE179" i="13"/>
  <c r="AA179" i="13"/>
  <c r="AB179" i="13" s="1"/>
  <c r="W179" i="13"/>
  <c r="AF179" i="13" s="1"/>
  <c r="V179" i="13"/>
  <c r="X179" i="13" s="1"/>
  <c r="AE178" i="13"/>
  <c r="AA178" i="13"/>
  <c r="AB178" i="13" s="1"/>
  <c r="W178" i="13"/>
  <c r="AF178" i="13" s="1"/>
  <c r="V178" i="13"/>
  <c r="X178" i="13" s="1"/>
  <c r="AE177" i="13"/>
  <c r="AA177" i="13"/>
  <c r="AB177" i="13" s="1"/>
  <c r="W177" i="13"/>
  <c r="AF177" i="13" s="1"/>
  <c r="V177" i="13"/>
  <c r="X177" i="13" s="1"/>
  <c r="AG177" i="13" s="1"/>
  <c r="AE176" i="13"/>
  <c r="AA176" i="13"/>
  <c r="AB176" i="13" s="1"/>
  <c r="W176" i="13"/>
  <c r="AF176" i="13" s="1"/>
  <c r="V176" i="13"/>
  <c r="X176" i="13" s="1"/>
  <c r="AE175" i="13"/>
  <c r="AA175" i="13"/>
  <c r="AB175" i="13" s="1"/>
  <c r="W175" i="13"/>
  <c r="AF175" i="13" s="1"/>
  <c r="V175" i="13"/>
  <c r="X175" i="13" s="1"/>
  <c r="Y175" i="13" s="1"/>
  <c r="AE174" i="13"/>
  <c r="AA174" i="13"/>
  <c r="AB174" i="13" s="1"/>
  <c r="W174" i="13"/>
  <c r="AF174" i="13" s="1"/>
  <c r="V174" i="13"/>
  <c r="X174" i="13" s="1"/>
  <c r="AE173" i="13"/>
  <c r="AA173" i="13"/>
  <c r="AB173" i="13" s="1"/>
  <c r="W173" i="13"/>
  <c r="AF173" i="13" s="1"/>
  <c r="V173" i="13"/>
  <c r="X173" i="13" s="1"/>
  <c r="AE172" i="13"/>
  <c r="AA172" i="13"/>
  <c r="AB172" i="13" s="1"/>
  <c r="W172" i="13"/>
  <c r="AF172" i="13" s="1"/>
  <c r="V172" i="13"/>
  <c r="X172" i="13" s="1"/>
  <c r="Y172" i="13" s="1"/>
  <c r="AE171" i="13"/>
  <c r="AA171" i="13"/>
  <c r="AB171" i="13" s="1"/>
  <c r="W171" i="13"/>
  <c r="AF171" i="13" s="1"/>
  <c r="V171" i="13"/>
  <c r="X171" i="13" s="1"/>
  <c r="AE170" i="13"/>
  <c r="AA170" i="13"/>
  <c r="AB170" i="13" s="1"/>
  <c r="W170" i="13"/>
  <c r="AF170" i="13" s="1"/>
  <c r="V170" i="13"/>
  <c r="X170" i="13" s="1"/>
  <c r="AE169" i="13"/>
  <c r="AA169" i="13"/>
  <c r="AB169" i="13" s="1"/>
  <c r="W169" i="13"/>
  <c r="AF169" i="13" s="1"/>
  <c r="V169" i="13"/>
  <c r="X169" i="13" s="1"/>
  <c r="Y169" i="13" s="1"/>
  <c r="AE168" i="13"/>
  <c r="AA168" i="13"/>
  <c r="AB168" i="13" s="1"/>
  <c r="W168" i="13"/>
  <c r="AF168" i="13" s="1"/>
  <c r="V168" i="13"/>
  <c r="X168" i="13" s="1"/>
  <c r="AE167" i="13"/>
  <c r="AA167" i="13"/>
  <c r="AB167" i="13" s="1"/>
  <c r="W167" i="13"/>
  <c r="AF167" i="13" s="1"/>
  <c r="V167" i="13"/>
  <c r="X167" i="13" s="1"/>
  <c r="Y167" i="13" s="1"/>
  <c r="AE166" i="13"/>
  <c r="AA166" i="13"/>
  <c r="AB166" i="13" s="1"/>
  <c r="W166" i="13"/>
  <c r="AF166" i="13" s="1"/>
  <c r="V166" i="13"/>
  <c r="X166" i="13" s="1"/>
  <c r="Y166" i="13" s="1"/>
  <c r="AE165" i="13"/>
  <c r="AA165" i="13"/>
  <c r="AB165" i="13" s="1"/>
  <c r="W165" i="13"/>
  <c r="AF165" i="13" s="1"/>
  <c r="V165" i="13"/>
  <c r="X165" i="13" s="1"/>
  <c r="AE164" i="13"/>
  <c r="AA164" i="13"/>
  <c r="AB164" i="13" s="1"/>
  <c r="W164" i="13"/>
  <c r="AF164" i="13" s="1"/>
  <c r="V164" i="13"/>
  <c r="X164" i="13" s="1"/>
  <c r="Y164" i="13" s="1"/>
  <c r="AE163" i="13"/>
  <c r="AA163" i="13"/>
  <c r="AB163" i="13" s="1"/>
  <c r="W163" i="13"/>
  <c r="AF163" i="13" s="1"/>
  <c r="V163" i="13"/>
  <c r="X163" i="13" s="1"/>
  <c r="Y163" i="13" s="1"/>
  <c r="AE162" i="13"/>
  <c r="AA162" i="13"/>
  <c r="AB162" i="13" s="1"/>
  <c r="W162" i="13"/>
  <c r="AF162" i="13" s="1"/>
  <c r="V162" i="13"/>
  <c r="X162" i="13" s="1"/>
  <c r="AE161" i="13"/>
  <c r="AA161" i="13"/>
  <c r="AB161" i="13" s="1"/>
  <c r="W161" i="13"/>
  <c r="AF161" i="13" s="1"/>
  <c r="V161" i="13"/>
  <c r="X161" i="13" s="1"/>
  <c r="Y161" i="13" s="1"/>
  <c r="AE160" i="13"/>
  <c r="AA160" i="13"/>
  <c r="AB160" i="13" s="1"/>
  <c r="W160" i="13"/>
  <c r="AF160" i="13" s="1"/>
  <c r="V160" i="13"/>
  <c r="X160" i="13" s="1"/>
  <c r="AG160" i="13" s="1"/>
  <c r="AE159" i="13"/>
  <c r="AA159" i="13"/>
  <c r="AB159" i="13" s="1"/>
  <c r="W159" i="13"/>
  <c r="AF159" i="13" s="1"/>
  <c r="V159" i="13"/>
  <c r="X159" i="13" s="1"/>
  <c r="AE158" i="13"/>
  <c r="AA158" i="13"/>
  <c r="AB158" i="13" s="1"/>
  <c r="W158" i="13"/>
  <c r="AF158" i="13" s="1"/>
  <c r="V158" i="13"/>
  <c r="X158" i="13" s="1"/>
  <c r="AE157" i="13"/>
  <c r="AA157" i="13"/>
  <c r="AB157" i="13" s="1"/>
  <c r="W157" i="13"/>
  <c r="AF157" i="13" s="1"/>
  <c r="V157" i="13"/>
  <c r="X157" i="13" s="1"/>
  <c r="AE156" i="13"/>
  <c r="AA156" i="13"/>
  <c r="AB156" i="13" s="1"/>
  <c r="W156" i="13"/>
  <c r="AF156" i="13" s="1"/>
  <c r="V156" i="13"/>
  <c r="X156" i="13" s="1"/>
  <c r="AG156" i="13" s="1"/>
  <c r="AE155" i="13"/>
  <c r="AA155" i="13"/>
  <c r="AB155" i="13" s="1"/>
  <c r="W155" i="13"/>
  <c r="AF155" i="13" s="1"/>
  <c r="V155" i="13"/>
  <c r="X155" i="13" s="1"/>
  <c r="AE154" i="13"/>
  <c r="AA154" i="13"/>
  <c r="AB154" i="13" s="1"/>
  <c r="W154" i="13"/>
  <c r="AF154" i="13" s="1"/>
  <c r="V154" i="13"/>
  <c r="X154" i="13" s="1"/>
  <c r="AE153" i="13"/>
  <c r="AA153" i="13"/>
  <c r="AB153" i="13" s="1"/>
  <c r="W153" i="13"/>
  <c r="AF153" i="13" s="1"/>
  <c r="V153" i="13"/>
  <c r="X153" i="13" s="1"/>
  <c r="AG153" i="13" s="1"/>
  <c r="AE152" i="13"/>
  <c r="AA152" i="13"/>
  <c r="AB152" i="13" s="1"/>
  <c r="W152" i="13"/>
  <c r="AF152" i="13" s="1"/>
  <c r="V152" i="13"/>
  <c r="X152" i="13" s="1"/>
  <c r="Y152" i="13" s="1"/>
  <c r="AE151" i="13"/>
  <c r="AA151" i="13"/>
  <c r="AB151" i="13" s="1"/>
  <c r="W151" i="13"/>
  <c r="AF151" i="13" s="1"/>
  <c r="V151" i="13"/>
  <c r="X151" i="13" s="1"/>
  <c r="AE150" i="13"/>
  <c r="AA150" i="13"/>
  <c r="AB150" i="13" s="1"/>
  <c r="W150" i="13"/>
  <c r="AF150" i="13" s="1"/>
  <c r="V150" i="13"/>
  <c r="X150" i="13" s="1"/>
  <c r="Y150" i="13" s="1"/>
  <c r="AE149" i="13"/>
  <c r="AA149" i="13"/>
  <c r="AB149" i="13" s="1"/>
  <c r="W149" i="13"/>
  <c r="AF149" i="13" s="1"/>
  <c r="V149" i="13"/>
  <c r="X149" i="13" s="1"/>
  <c r="Y149" i="13" s="1"/>
  <c r="AE148" i="13"/>
  <c r="AA148" i="13"/>
  <c r="AB148" i="13" s="1"/>
  <c r="W148" i="13"/>
  <c r="AF148" i="13" s="1"/>
  <c r="V148" i="13"/>
  <c r="X148" i="13" s="1"/>
  <c r="AE147" i="13"/>
  <c r="AA147" i="13"/>
  <c r="AB147" i="13" s="1"/>
  <c r="W147" i="13"/>
  <c r="AF147" i="13" s="1"/>
  <c r="V147" i="13"/>
  <c r="X147" i="13" s="1"/>
  <c r="Y147" i="13" s="1"/>
  <c r="AE146" i="13"/>
  <c r="AA146" i="13"/>
  <c r="AB146" i="13" s="1"/>
  <c r="W146" i="13"/>
  <c r="AF146" i="13" s="1"/>
  <c r="V146" i="13"/>
  <c r="X146" i="13" s="1"/>
  <c r="Y146" i="13" s="1"/>
  <c r="AE145" i="13"/>
  <c r="AA145" i="13"/>
  <c r="AB145" i="13" s="1"/>
  <c r="W145" i="13"/>
  <c r="AF145" i="13" s="1"/>
  <c r="V145" i="13"/>
  <c r="X145" i="13" s="1"/>
  <c r="AE144" i="13"/>
  <c r="AA144" i="13"/>
  <c r="AB144" i="13" s="1"/>
  <c r="W144" i="13"/>
  <c r="AF144" i="13" s="1"/>
  <c r="V144" i="13"/>
  <c r="X144" i="13" s="1"/>
  <c r="AE143" i="13"/>
  <c r="AA143" i="13"/>
  <c r="AB143" i="13" s="1"/>
  <c r="W143" i="13"/>
  <c r="AF143" i="13" s="1"/>
  <c r="V143" i="13"/>
  <c r="X143" i="13" s="1"/>
  <c r="Y143" i="13" s="1"/>
  <c r="AE142" i="13"/>
  <c r="AA142" i="13"/>
  <c r="AB142" i="13" s="1"/>
  <c r="W142" i="13"/>
  <c r="AF142" i="13" s="1"/>
  <c r="V142" i="13"/>
  <c r="X142" i="13" s="1"/>
  <c r="AE141" i="13"/>
  <c r="AA141" i="13"/>
  <c r="AB141" i="13" s="1"/>
  <c r="W141" i="13"/>
  <c r="AF141" i="13" s="1"/>
  <c r="V141" i="13"/>
  <c r="X141" i="13" s="1"/>
  <c r="AG141" i="13" s="1"/>
  <c r="AE140" i="13"/>
  <c r="AA140" i="13"/>
  <c r="AB140" i="13" s="1"/>
  <c r="W140" i="13"/>
  <c r="AF140" i="13" s="1"/>
  <c r="V140" i="13"/>
  <c r="X140" i="13" s="1"/>
  <c r="AE139" i="13"/>
  <c r="AA139" i="13"/>
  <c r="AB139" i="13" s="1"/>
  <c r="W139" i="13"/>
  <c r="AF139" i="13" s="1"/>
  <c r="V139" i="13"/>
  <c r="X139" i="13" s="1"/>
  <c r="Y139" i="13" s="1"/>
  <c r="AE138" i="13"/>
  <c r="AA138" i="13"/>
  <c r="AB138" i="13" s="1"/>
  <c r="W138" i="13"/>
  <c r="AF138" i="13" s="1"/>
  <c r="V138" i="13"/>
  <c r="X138" i="13" s="1"/>
  <c r="AE137" i="13"/>
  <c r="AA137" i="13"/>
  <c r="AB137" i="13" s="1"/>
  <c r="W137" i="13"/>
  <c r="AF137" i="13" s="1"/>
  <c r="V137" i="13"/>
  <c r="X137" i="13" s="1"/>
  <c r="AE136" i="13"/>
  <c r="AA136" i="13"/>
  <c r="AB136" i="13" s="1"/>
  <c r="W136" i="13"/>
  <c r="AF136" i="13" s="1"/>
  <c r="V136" i="13"/>
  <c r="X136" i="13" s="1"/>
  <c r="Y136" i="13" s="1"/>
  <c r="AE135" i="13"/>
  <c r="AA135" i="13"/>
  <c r="AB135" i="13" s="1"/>
  <c r="W135" i="13"/>
  <c r="AF135" i="13" s="1"/>
  <c r="V135" i="13"/>
  <c r="X135" i="13" s="1"/>
  <c r="AE134" i="13"/>
  <c r="AA134" i="13"/>
  <c r="AB134" i="13" s="1"/>
  <c r="W134" i="13"/>
  <c r="AF134" i="13" s="1"/>
  <c r="V134" i="13"/>
  <c r="X134" i="13" s="1"/>
  <c r="AE133" i="13"/>
  <c r="AA133" i="13"/>
  <c r="AB133" i="13" s="1"/>
  <c r="W133" i="13"/>
  <c r="AF133" i="13" s="1"/>
  <c r="V133" i="13"/>
  <c r="X133" i="13" s="1"/>
  <c r="Y133" i="13" s="1"/>
  <c r="AE132" i="13"/>
  <c r="AA132" i="13"/>
  <c r="AB132" i="13" s="1"/>
  <c r="W132" i="13"/>
  <c r="AF132" i="13" s="1"/>
  <c r="V132" i="13"/>
  <c r="X132" i="13" s="1"/>
  <c r="AE131" i="13"/>
  <c r="AA131" i="13"/>
  <c r="AB131" i="13" s="1"/>
  <c r="W131" i="13"/>
  <c r="AF131" i="13" s="1"/>
  <c r="V131" i="13"/>
  <c r="X131" i="13" s="1"/>
  <c r="AG131" i="13" s="1"/>
  <c r="AE130" i="13"/>
  <c r="AA130" i="13"/>
  <c r="AB130" i="13" s="1"/>
  <c r="W130" i="13"/>
  <c r="AF130" i="13" s="1"/>
  <c r="V130" i="13"/>
  <c r="X130" i="13" s="1"/>
  <c r="Y130" i="13" s="1"/>
  <c r="AE129" i="13"/>
  <c r="AA129" i="13"/>
  <c r="AB129" i="13" s="1"/>
  <c r="W129" i="13"/>
  <c r="AF129" i="13" s="1"/>
  <c r="V129" i="13"/>
  <c r="X129" i="13" s="1"/>
  <c r="AE128" i="13"/>
  <c r="AA128" i="13"/>
  <c r="AB128" i="13" s="1"/>
  <c r="W128" i="13"/>
  <c r="AF128" i="13" s="1"/>
  <c r="V128" i="13"/>
  <c r="X128" i="13" s="1"/>
  <c r="AE127" i="13"/>
  <c r="AA127" i="13"/>
  <c r="AB127" i="13" s="1"/>
  <c r="W127" i="13"/>
  <c r="AF127" i="13" s="1"/>
  <c r="V127" i="13"/>
  <c r="X127" i="13" s="1"/>
  <c r="Y127" i="13" s="1"/>
  <c r="AE126" i="13"/>
  <c r="AA126" i="13"/>
  <c r="AB126" i="13" s="1"/>
  <c r="W126" i="13"/>
  <c r="AF126" i="13" s="1"/>
  <c r="V126" i="13"/>
  <c r="X126" i="13" s="1"/>
  <c r="AG126" i="13" s="1"/>
  <c r="AE125" i="13"/>
  <c r="AA125" i="13"/>
  <c r="AB125" i="13" s="1"/>
  <c r="W125" i="13"/>
  <c r="AF125" i="13" s="1"/>
  <c r="V125" i="13"/>
  <c r="X125" i="13" s="1"/>
  <c r="Y125" i="13" s="1"/>
  <c r="AE124" i="13"/>
  <c r="AA124" i="13"/>
  <c r="AB124" i="13" s="1"/>
  <c r="W124" i="13"/>
  <c r="AF124" i="13" s="1"/>
  <c r="V124" i="13"/>
  <c r="X124" i="13" s="1"/>
  <c r="AE123" i="13"/>
  <c r="AA123" i="13"/>
  <c r="AB123" i="13" s="1"/>
  <c r="W123" i="13"/>
  <c r="AF123" i="13" s="1"/>
  <c r="V123" i="13"/>
  <c r="X123" i="13" s="1"/>
  <c r="AE122" i="13"/>
  <c r="AA122" i="13"/>
  <c r="AB122" i="13" s="1"/>
  <c r="W122" i="13"/>
  <c r="AF122" i="13" s="1"/>
  <c r="V122" i="13"/>
  <c r="X122" i="13" s="1"/>
  <c r="Y122" i="13" s="1"/>
  <c r="AE121" i="13"/>
  <c r="AA121" i="13"/>
  <c r="AB121" i="13" s="1"/>
  <c r="W121" i="13"/>
  <c r="AF121" i="13" s="1"/>
  <c r="V121" i="13"/>
  <c r="X121" i="13" s="1"/>
  <c r="AE120" i="13"/>
  <c r="AA120" i="13"/>
  <c r="AB120" i="13" s="1"/>
  <c r="W120" i="13"/>
  <c r="AF120" i="13" s="1"/>
  <c r="V120" i="13"/>
  <c r="X120" i="13" s="1"/>
  <c r="AE119" i="13"/>
  <c r="AA119" i="13"/>
  <c r="AB119" i="13" s="1"/>
  <c r="W119" i="13"/>
  <c r="AF119" i="13" s="1"/>
  <c r="V119" i="13"/>
  <c r="X119" i="13" s="1"/>
  <c r="Y119" i="13" s="1"/>
  <c r="AE118" i="13"/>
  <c r="AA118" i="13"/>
  <c r="AB118" i="13" s="1"/>
  <c r="W118" i="13"/>
  <c r="AF118" i="13" s="1"/>
  <c r="V118" i="13"/>
  <c r="X118" i="13" s="1"/>
  <c r="AE117" i="13"/>
  <c r="AA117" i="13"/>
  <c r="AB117" i="13" s="1"/>
  <c r="W117" i="13"/>
  <c r="AF117" i="13" s="1"/>
  <c r="V117" i="13"/>
  <c r="X117" i="13" s="1"/>
  <c r="AE116" i="13"/>
  <c r="AA116" i="13"/>
  <c r="AB116" i="13" s="1"/>
  <c r="W116" i="13"/>
  <c r="AF116" i="13" s="1"/>
  <c r="V116" i="13"/>
  <c r="X116" i="13" s="1"/>
  <c r="Y116" i="13" s="1"/>
  <c r="AE115" i="13"/>
  <c r="AA115" i="13"/>
  <c r="AB115" i="13" s="1"/>
  <c r="W115" i="13"/>
  <c r="AF115" i="13" s="1"/>
  <c r="V115" i="13"/>
  <c r="X115" i="13" s="1"/>
  <c r="AE114" i="13"/>
  <c r="AA114" i="13"/>
  <c r="AB114" i="13" s="1"/>
  <c r="W114" i="13"/>
  <c r="AF114" i="13" s="1"/>
  <c r="V114" i="13"/>
  <c r="X114" i="13" s="1"/>
  <c r="AG114" i="13" s="1"/>
  <c r="AE113" i="13"/>
  <c r="AA113" i="13"/>
  <c r="AB113" i="13" s="1"/>
  <c r="W113" i="13"/>
  <c r="AF113" i="13" s="1"/>
  <c r="V113" i="13"/>
  <c r="X113" i="13" s="1"/>
  <c r="Y113" i="13" s="1"/>
  <c r="AE112" i="13"/>
  <c r="AA112" i="13"/>
  <c r="AB112" i="13" s="1"/>
  <c r="W112" i="13"/>
  <c r="AF112" i="13" s="1"/>
  <c r="V112" i="13"/>
  <c r="X112" i="13" s="1"/>
  <c r="AE111" i="13"/>
  <c r="AA111" i="13"/>
  <c r="AB111" i="13" s="1"/>
  <c r="W111" i="13"/>
  <c r="AF111" i="13" s="1"/>
  <c r="AG111" i="13"/>
  <c r="AE110" i="13"/>
  <c r="AA110" i="13"/>
  <c r="AB110" i="13" s="1"/>
  <c r="W110" i="13"/>
  <c r="AF110" i="13" s="1"/>
  <c r="V110" i="13"/>
  <c r="X110" i="13" s="1"/>
  <c r="Y110" i="13" s="1"/>
  <c r="AE109" i="13"/>
  <c r="AA109" i="13"/>
  <c r="AB109" i="13" s="1"/>
  <c r="W109" i="13"/>
  <c r="AF109" i="13" s="1"/>
  <c r="V109" i="13"/>
  <c r="X109" i="13" s="1"/>
  <c r="AE108" i="13"/>
  <c r="AA108" i="13"/>
  <c r="AB108" i="13" s="1"/>
  <c r="W108" i="13"/>
  <c r="AF108" i="13" s="1"/>
  <c r="V108" i="13"/>
  <c r="X108" i="13" s="1"/>
  <c r="AE107" i="13"/>
  <c r="AA107" i="13"/>
  <c r="AB107" i="13" s="1"/>
  <c r="W107" i="13"/>
  <c r="AF107" i="13" s="1"/>
  <c r="V107" i="13"/>
  <c r="X107" i="13" s="1"/>
  <c r="Y107" i="13" s="1"/>
  <c r="AE106" i="13"/>
  <c r="AA106" i="13"/>
  <c r="AB106" i="13" s="1"/>
  <c r="W106" i="13"/>
  <c r="AF106" i="13" s="1"/>
  <c r="V106" i="13"/>
  <c r="X106" i="13" s="1"/>
  <c r="AE105" i="13"/>
  <c r="AA105" i="13"/>
  <c r="AB105" i="13" s="1"/>
  <c r="W105" i="13"/>
  <c r="AF105" i="13" s="1"/>
  <c r="V105" i="13"/>
  <c r="X105" i="13" s="1"/>
  <c r="AE104" i="13"/>
  <c r="AA104" i="13"/>
  <c r="AB104" i="13" s="1"/>
  <c r="W104" i="13"/>
  <c r="AF104" i="13" s="1"/>
  <c r="V104" i="13"/>
  <c r="X104" i="13" s="1"/>
  <c r="Y104" i="13" s="1"/>
  <c r="AE103" i="13"/>
  <c r="AA103" i="13"/>
  <c r="AB103" i="13" s="1"/>
  <c r="W103" i="13"/>
  <c r="AF103" i="13" s="1"/>
  <c r="V103" i="13"/>
  <c r="X103" i="13" s="1"/>
  <c r="AE102" i="13"/>
  <c r="AA102" i="13"/>
  <c r="AB102" i="13" s="1"/>
  <c r="W102" i="13"/>
  <c r="AF102" i="13" s="1"/>
  <c r="V102" i="13"/>
  <c r="X102" i="13" s="1"/>
  <c r="AG102" i="13" s="1"/>
  <c r="AE101" i="13"/>
  <c r="AA101" i="13"/>
  <c r="AB101" i="13" s="1"/>
  <c r="W101" i="13"/>
  <c r="AF101" i="13" s="1"/>
  <c r="V101" i="13"/>
  <c r="X101" i="13" s="1"/>
  <c r="Y101" i="13" s="1"/>
  <c r="AE100" i="13"/>
  <c r="AA100" i="13"/>
  <c r="AB100" i="13" s="1"/>
  <c r="W100" i="13"/>
  <c r="AF100" i="13" s="1"/>
  <c r="V100" i="13"/>
  <c r="X100" i="13" s="1"/>
  <c r="AE99" i="13"/>
  <c r="AA99" i="13"/>
  <c r="AB99" i="13" s="1"/>
  <c r="W99" i="13"/>
  <c r="AF99" i="13" s="1"/>
  <c r="V99" i="13"/>
  <c r="X99" i="13" s="1"/>
  <c r="AE98" i="13"/>
  <c r="AA98" i="13"/>
  <c r="AB98" i="13" s="1"/>
  <c r="W98" i="13"/>
  <c r="AF98" i="13" s="1"/>
  <c r="V98" i="13"/>
  <c r="X98" i="13" s="1"/>
  <c r="Y98" i="13" s="1"/>
  <c r="AE97" i="13"/>
  <c r="AA97" i="13"/>
  <c r="AB97" i="13" s="1"/>
  <c r="W97" i="13"/>
  <c r="AF97" i="13" s="1"/>
  <c r="V97" i="13"/>
  <c r="X97" i="13" s="1"/>
  <c r="AE96" i="13"/>
  <c r="AA96" i="13"/>
  <c r="AB96" i="13" s="1"/>
  <c r="W96" i="13"/>
  <c r="AF96" i="13" s="1"/>
  <c r="V96" i="13"/>
  <c r="X96" i="13" s="1"/>
  <c r="AG96" i="13" s="1"/>
  <c r="AE95" i="13"/>
  <c r="AA95" i="13"/>
  <c r="AB95" i="13" s="1"/>
  <c r="W95" i="13"/>
  <c r="AF95" i="13" s="1"/>
  <c r="V95" i="13"/>
  <c r="X95" i="13" s="1"/>
  <c r="Y95" i="13" s="1"/>
  <c r="AE94" i="13"/>
  <c r="AA94" i="13"/>
  <c r="AB94" i="13" s="1"/>
  <c r="W94" i="13"/>
  <c r="AF94" i="13" s="1"/>
  <c r="V94" i="13"/>
  <c r="X94" i="13" s="1"/>
  <c r="AE93" i="13"/>
  <c r="AA93" i="13"/>
  <c r="AB93" i="13" s="1"/>
  <c r="W93" i="13"/>
  <c r="AF93" i="13" s="1"/>
  <c r="V93" i="13"/>
  <c r="X93" i="13" s="1"/>
  <c r="AE92" i="13"/>
  <c r="AA92" i="13"/>
  <c r="AB92" i="13" s="1"/>
  <c r="W92" i="13"/>
  <c r="AF92" i="13" s="1"/>
  <c r="V92" i="13"/>
  <c r="X92" i="13" s="1"/>
  <c r="Y92" i="13" s="1"/>
  <c r="AE91" i="13"/>
  <c r="AA91" i="13"/>
  <c r="AB91" i="13" s="1"/>
  <c r="W91" i="13"/>
  <c r="AF91" i="13" s="1"/>
  <c r="V91" i="13"/>
  <c r="X91" i="13" s="1"/>
  <c r="AE90" i="13"/>
  <c r="AA90" i="13"/>
  <c r="AB90" i="13" s="1"/>
  <c r="W90" i="13"/>
  <c r="AF90" i="13" s="1"/>
  <c r="V90" i="13"/>
  <c r="X90" i="13" s="1"/>
  <c r="AE89" i="13"/>
  <c r="AA89" i="13"/>
  <c r="AB89" i="13" s="1"/>
  <c r="W89" i="13"/>
  <c r="AF89" i="13" s="1"/>
  <c r="V89" i="13"/>
  <c r="X89" i="13" s="1"/>
  <c r="Y89" i="13" s="1"/>
  <c r="AE88" i="13"/>
  <c r="AA88" i="13"/>
  <c r="AB88" i="13" s="1"/>
  <c r="W88" i="13"/>
  <c r="AF88" i="13" s="1"/>
  <c r="V88" i="13"/>
  <c r="X88" i="13" s="1"/>
  <c r="AE87" i="13"/>
  <c r="AA87" i="13"/>
  <c r="AB87" i="13" s="1"/>
  <c r="W87" i="13"/>
  <c r="AF87" i="13" s="1"/>
  <c r="V87" i="13"/>
  <c r="X87" i="13" s="1"/>
  <c r="AE86" i="13"/>
  <c r="AA86" i="13"/>
  <c r="AB86" i="13" s="1"/>
  <c r="W86" i="13"/>
  <c r="AF86" i="13" s="1"/>
  <c r="V86" i="13"/>
  <c r="X86" i="13" s="1"/>
  <c r="Y86" i="13" s="1"/>
  <c r="AE85" i="13"/>
  <c r="AA85" i="13"/>
  <c r="AB85" i="13" s="1"/>
  <c r="W85" i="13"/>
  <c r="AF85" i="13" s="1"/>
  <c r="V85" i="13"/>
  <c r="X85" i="13" s="1"/>
  <c r="AE84" i="13"/>
  <c r="AA84" i="13"/>
  <c r="AB84" i="13" s="1"/>
  <c r="W84" i="13"/>
  <c r="AF84" i="13" s="1"/>
  <c r="V84" i="13"/>
  <c r="X84" i="13" s="1"/>
  <c r="AG84" i="13" s="1"/>
  <c r="AE83" i="13"/>
  <c r="AA83" i="13"/>
  <c r="AB83" i="13" s="1"/>
  <c r="W83" i="13"/>
  <c r="AF83" i="13" s="1"/>
  <c r="V83" i="13"/>
  <c r="X83" i="13" s="1"/>
  <c r="Y83" i="13" s="1"/>
  <c r="AE82" i="13"/>
  <c r="AA82" i="13"/>
  <c r="AB82" i="13" s="1"/>
  <c r="W82" i="13"/>
  <c r="AF82" i="13" s="1"/>
  <c r="V82" i="13"/>
  <c r="X82" i="13" s="1"/>
  <c r="AE81" i="13"/>
  <c r="AA81" i="13"/>
  <c r="AB81" i="13" s="1"/>
  <c r="W81" i="13"/>
  <c r="AF81" i="13" s="1"/>
  <c r="V81" i="13"/>
  <c r="X81" i="13" s="1"/>
  <c r="AG81" i="13" s="1"/>
  <c r="AE80" i="13"/>
  <c r="AA80" i="13"/>
  <c r="AB80" i="13" s="1"/>
  <c r="W80" i="13"/>
  <c r="AF80" i="13" s="1"/>
  <c r="V80" i="13"/>
  <c r="X80" i="13" s="1"/>
  <c r="Y80" i="13" s="1"/>
  <c r="AE79" i="13"/>
  <c r="AA79" i="13"/>
  <c r="AB79" i="13" s="1"/>
  <c r="W79" i="13"/>
  <c r="AF79" i="13" s="1"/>
  <c r="V79" i="13"/>
  <c r="X79" i="13" s="1"/>
  <c r="AE78" i="13"/>
  <c r="AA78" i="13"/>
  <c r="AB78" i="13" s="1"/>
  <c r="W78" i="13"/>
  <c r="AF78" i="13" s="1"/>
  <c r="V78" i="13"/>
  <c r="X78" i="13" s="1"/>
  <c r="AE77" i="13"/>
  <c r="AA77" i="13"/>
  <c r="AB77" i="13" s="1"/>
  <c r="W77" i="13"/>
  <c r="AF77" i="13" s="1"/>
  <c r="V77" i="13"/>
  <c r="X77" i="13" s="1"/>
  <c r="Y77" i="13" s="1"/>
  <c r="AE76" i="13"/>
  <c r="AA76" i="13"/>
  <c r="AB76" i="13" s="1"/>
  <c r="W76" i="13"/>
  <c r="AF76" i="13" s="1"/>
  <c r="V76" i="13"/>
  <c r="X76" i="13" s="1"/>
  <c r="AE75" i="13"/>
  <c r="AA75" i="13"/>
  <c r="AB75" i="13" s="1"/>
  <c r="W75" i="13"/>
  <c r="AF75" i="13" s="1"/>
  <c r="V75" i="13"/>
  <c r="X75" i="13" s="1"/>
  <c r="AE74" i="13"/>
  <c r="AA74" i="13"/>
  <c r="AB74" i="13" s="1"/>
  <c r="W74" i="13"/>
  <c r="AF74" i="13" s="1"/>
  <c r="V74" i="13"/>
  <c r="X74" i="13" s="1"/>
  <c r="Y74" i="13" s="1"/>
  <c r="AE73" i="13"/>
  <c r="AA73" i="13"/>
  <c r="AB73" i="13" s="1"/>
  <c r="W73" i="13"/>
  <c r="AF73" i="13" s="1"/>
  <c r="V73" i="13"/>
  <c r="X73" i="13" s="1"/>
  <c r="AE72" i="13"/>
  <c r="AA72" i="13"/>
  <c r="AB72" i="13" s="1"/>
  <c r="W72" i="13"/>
  <c r="AF72" i="13" s="1"/>
  <c r="V72" i="13"/>
  <c r="X72" i="13" s="1"/>
  <c r="AG72" i="13" s="1"/>
  <c r="AE71" i="13"/>
  <c r="AA71" i="13"/>
  <c r="AB71" i="13" s="1"/>
  <c r="W71" i="13"/>
  <c r="AF71" i="13" s="1"/>
  <c r="V71" i="13"/>
  <c r="X71" i="13" s="1"/>
  <c r="Y71" i="13" s="1"/>
  <c r="AE70" i="13"/>
  <c r="AA70" i="13"/>
  <c r="AB70" i="13" s="1"/>
  <c r="W70" i="13"/>
  <c r="AF70" i="13" s="1"/>
  <c r="V70" i="13"/>
  <c r="X70" i="13" s="1"/>
  <c r="AE69" i="13"/>
  <c r="AA69" i="13"/>
  <c r="AB69" i="13" s="1"/>
  <c r="W69" i="13"/>
  <c r="AF69" i="13" s="1"/>
  <c r="V69" i="13"/>
  <c r="X69" i="13" s="1"/>
  <c r="AE68" i="13"/>
  <c r="AA68" i="13"/>
  <c r="AB68" i="13" s="1"/>
  <c r="W68" i="13"/>
  <c r="AF68" i="13" s="1"/>
  <c r="V68" i="13"/>
  <c r="X68" i="13" s="1"/>
  <c r="Y68" i="13" s="1"/>
  <c r="AE67" i="13"/>
  <c r="AA67" i="13"/>
  <c r="AB67" i="13" s="1"/>
  <c r="W67" i="13"/>
  <c r="AF67" i="13" s="1"/>
  <c r="V67" i="13"/>
  <c r="X67" i="13" s="1"/>
  <c r="AE66" i="13"/>
  <c r="AA66" i="13"/>
  <c r="AB66" i="13" s="1"/>
  <c r="W66" i="13"/>
  <c r="AF66" i="13" s="1"/>
  <c r="V66" i="13"/>
  <c r="X66" i="13" s="1"/>
  <c r="AG66" i="13" s="1"/>
  <c r="AE65" i="13"/>
  <c r="AA65" i="13"/>
  <c r="AB65" i="13" s="1"/>
  <c r="W65" i="13"/>
  <c r="AF65" i="13" s="1"/>
  <c r="V65" i="13"/>
  <c r="X65" i="13" s="1"/>
  <c r="Y65" i="13" s="1"/>
  <c r="AE64" i="13"/>
  <c r="AA64" i="13"/>
  <c r="AB64" i="13" s="1"/>
  <c r="W64" i="13"/>
  <c r="AF64" i="13" s="1"/>
  <c r="V64" i="13"/>
  <c r="X64" i="13" s="1"/>
  <c r="AE63" i="13"/>
  <c r="AA63" i="13"/>
  <c r="AB63" i="13" s="1"/>
  <c r="W63" i="13"/>
  <c r="AF63" i="13" s="1"/>
  <c r="V63" i="13"/>
  <c r="X63" i="13" s="1"/>
  <c r="AG63" i="13" s="1"/>
  <c r="AE62" i="13"/>
  <c r="AA62" i="13"/>
  <c r="AB62" i="13" s="1"/>
  <c r="W62" i="13"/>
  <c r="AF62" i="13" s="1"/>
  <c r="V62" i="13"/>
  <c r="X62" i="13" s="1"/>
  <c r="Y62" i="13" s="1"/>
  <c r="AE61" i="13"/>
  <c r="AA61" i="13"/>
  <c r="AB61" i="13" s="1"/>
  <c r="W61" i="13"/>
  <c r="AF61" i="13" s="1"/>
  <c r="V61" i="13"/>
  <c r="X61" i="13" s="1"/>
  <c r="AE60" i="13"/>
  <c r="AA60" i="13"/>
  <c r="AB60" i="13" s="1"/>
  <c r="W60" i="13"/>
  <c r="AF60" i="13" s="1"/>
  <c r="V60" i="13"/>
  <c r="X60" i="13" s="1"/>
  <c r="AE59" i="13"/>
  <c r="AA59" i="13"/>
  <c r="AB59" i="13" s="1"/>
  <c r="W59" i="13"/>
  <c r="AF59" i="13" s="1"/>
  <c r="V59" i="13"/>
  <c r="X59" i="13" s="1"/>
  <c r="Y59" i="13" s="1"/>
  <c r="AE58" i="13"/>
  <c r="AA58" i="13"/>
  <c r="AB58" i="13" s="1"/>
  <c r="W58" i="13"/>
  <c r="AF58" i="13" s="1"/>
  <c r="V58" i="13"/>
  <c r="X58" i="13" s="1"/>
  <c r="AE57" i="13"/>
  <c r="AA57" i="13"/>
  <c r="AB57" i="13" s="1"/>
  <c r="W57" i="13"/>
  <c r="AF57" i="13" s="1"/>
  <c r="V57" i="13"/>
  <c r="X57" i="13" s="1"/>
  <c r="AE56" i="13"/>
  <c r="AA56" i="13"/>
  <c r="AB56" i="13" s="1"/>
  <c r="W56" i="13"/>
  <c r="AF56" i="13" s="1"/>
  <c r="V56" i="13"/>
  <c r="X56" i="13" s="1"/>
  <c r="Y56" i="13" s="1"/>
  <c r="AE55" i="13"/>
  <c r="AA55" i="13"/>
  <c r="AB55" i="13" s="1"/>
  <c r="W55" i="13"/>
  <c r="AF55" i="13" s="1"/>
  <c r="V55" i="13"/>
  <c r="X55" i="13" s="1"/>
  <c r="AE54" i="13"/>
  <c r="AA54" i="13"/>
  <c r="AB54" i="13" s="1"/>
  <c r="W54" i="13"/>
  <c r="AF54" i="13" s="1"/>
  <c r="V54" i="13"/>
  <c r="X54" i="13" s="1"/>
  <c r="AG54" i="13" s="1"/>
  <c r="AE53" i="13"/>
  <c r="AA53" i="13"/>
  <c r="AB53" i="13" s="1"/>
  <c r="W53" i="13"/>
  <c r="AF53" i="13" s="1"/>
  <c r="V53" i="13"/>
  <c r="X53" i="13" s="1"/>
  <c r="Y53" i="13" s="1"/>
  <c r="AE52" i="13"/>
  <c r="AA52" i="13"/>
  <c r="AB52" i="13" s="1"/>
  <c r="W52" i="13"/>
  <c r="AF52" i="13" s="1"/>
  <c r="V52" i="13"/>
  <c r="X52" i="13" s="1"/>
  <c r="AE51" i="13"/>
  <c r="AA51" i="13"/>
  <c r="AB51" i="13" s="1"/>
  <c r="W51" i="13"/>
  <c r="AF51" i="13" s="1"/>
  <c r="V51" i="13"/>
  <c r="X51" i="13" s="1"/>
  <c r="AE50" i="13"/>
  <c r="AA50" i="13"/>
  <c r="AB50" i="13" s="1"/>
  <c r="W50" i="13"/>
  <c r="AF50" i="13" s="1"/>
  <c r="V50" i="13"/>
  <c r="X50" i="13" s="1"/>
  <c r="Y50" i="13" s="1"/>
  <c r="AE49" i="13"/>
  <c r="AA49" i="13"/>
  <c r="AB49" i="13" s="1"/>
  <c r="W49" i="13"/>
  <c r="AF49" i="13" s="1"/>
  <c r="V49" i="13"/>
  <c r="X49" i="13" s="1"/>
  <c r="AE48" i="13"/>
  <c r="AA48" i="13"/>
  <c r="AB48" i="13" s="1"/>
  <c r="W48" i="13"/>
  <c r="AF48" i="13" s="1"/>
  <c r="V48" i="13"/>
  <c r="X48" i="13" s="1"/>
  <c r="AG48" i="13" s="1"/>
  <c r="AE47" i="13"/>
  <c r="AA47" i="13"/>
  <c r="AB47" i="13" s="1"/>
  <c r="W47" i="13"/>
  <c r="AF47" i="13" s="1"/>
  <c r="V47" i="13"/>
  <c r="X47" i="13" s="1"/>
  <c r="Y47" i="13" s="1"/>
  <c r="AE46" i="13"/>
  <c r="AA46" i="13"/>
  <c r="AB46" i="13" s="1"/>
  <c r="W46" i="13"/>
  <c r="AF46" i="13" s="1"/>
  <c r="V46" i="13"/>
  <c r="X46" i="13" s="1"/>
  <c r="AE45" i="13"/>
  <c r="AA45" i="13"/>
  <c r="AB45" i="13" s="1"/>
  <c r="W45" i="13"/>
  <c r="AF45" i="13" s="1"/>
  <c r="V45" i="13"/>
  <c r="X45" i="13" s="1"/>
  <c r="AG45" i="13" s="1"/>
  <c r="AE44" i="13"/>
  <c r="AA44" i="13"/>
  <c r="AB44" i="13" s="1"/>
  <c r="W44" i="13"/>
  <c r="AF44" i="13" s="1"/>
  <c r="V44" i="13"/>
  <c r="X44" i="13" s="1"/>
  <c r="Y44" i="13" s="1"/>
  <c r="AE43" i="13"/>
  <c r="AA43" i="13"/>
  <c r="AB43" i="13" s="1"/>
  <c r="W43" i="13"/>
  <c r="AF43" i="13" s="1"/>
  <c r="V43" i="13"/>
  <c r="X43" i="13" s="1"/>
  <c r="AE42" i="13"/>
  <c r="AA42" i="13"/>
  <c r="AB42" i="13" s="1"/>
  <c r="W42" i="13"/>
  <c r="AF42" i="13" s="1"/>
  <c r="V42" i="13"/>
  <c r="X42" i="13" s="1"/>
  <c r="AE41" i="13"/>
  <c r="AA41" i="13"/>
  <c r="AB41" i="13" s="1"/>
  <c r="W41" i="13"/>
  <c r="AF41" i="13" s="1"/>
  <c r="V41" i="13"/>
  <c r="X41" i="13" s="1"/>
  <c r="Y41" i="13" s="1"/>
  <c r="AE40" i="13"/>
  <c r="AA40" i="13"/>
  <c r="AB40" i="13" s="1"/>
  <c r="W40" i="13"/>
  <c r="AF40" i="13" s="1"/>
  <c r="V40" i="13"/>
  <c r="X40" i="13" s="1"/>
  <c r="AE39" i="13"/>
  <c r="AA39" i="13"/>
  <c r="AB39" i="13" s="1"/>
  <c r="W39" i="13"/>
  <c r="AF39" i="13" s="1"/>
  <c r="V39" i="13"/>
  <c r="X39" i="13" s="1"/>
  <c r="AE38" i="13"/>
  <c r="AA38" i="13"/>
  <c r="AB38" i="13" s="1"/>
  <c r="W38" i="13"/>
  <c r="AF38" i="13" s="1"/>
  <c r="V38" i="13"/>
  <c r="X38" i="13" s="1"/>
  <c r="Y38" i="13" s="1"/>
  <c r="AE37" i="13"/>
  <c r="AA37" i="13"/>
  <c r="AB37" i="13" s="1"/>
  <c r="W37" i="13"/>
  <c r="AF37" i="13" s="1"/>
  <c r="V37" i="13"/>
  <c r="X37" i="13" s="1"/>
  <c r="AE36" i="13"/>
  <c r="AA36" i="13"/>
  <c r="AB36" i="13" s="1"/>
  <c r="W36" i="13"/>
  <c r="AF36" i="13" s="1"/>
  <c r="V36" i="13"/>
  <c r="X36" i="13" s="1"/>
  <c r="AG36" i="13" s="1"/>
  <c r="AE35" i="13"/>
  <c r="AA35" i="13"/>
  <c r="AB35" i="13" s="1"/>
  <c r="W35" i="13"/>
  <c r="AF35" i="13" s="1"/>
  <c r="V35" i="13"/>
  <c r="X35" i="13" s="1"/>
  <c r="Y35" i="13" s="1"/>
  <c r="AE34" i="13"/>
  <c r="AA34" i="13"/>
  <c r="AB34" i="13" s="1"/>
  <c r="W34" i="13"/>
  <c r="AF34" i="13" s="1"/>
  <c r="V34" i="13"/>
  <c r="X34" i="13" s="1"/>
  <c r="AE33" i="13"/>
  <c r="AA33" i="13"/>
  <c r="AB33" i="13" s="1"/>
  <c r="W33" i="13"/>
  <c r="AF33" i="13" s="1"/>
  <c r="V33" i="13"/>
  <c r="X33" i="13" s="1"/>
  <c r="AE32" i="13"/>
  <c r="AA32" i="13"/>
  <c r="AB32" i="13" s="1"/>
  <c r="W32" i="13"/>
  <c r="AF32" i="13" s="1"/>
  <c r="V32" i="13"/>
  <c r="X32" i="13" s="1"/>
  <c r="Y32" i="13" s="1"/>
  <c r="AE31" i="13"/>
  <c r="AA31" i="13"/>
  <c r="AB31" i="13" s="1"/>
  <c r="W31" i="13"/>
  <c r="AF31" i="13" s="1"/>
  <c r="V31" i="13"/>
  <c r="X31" i="13" s="1"/>
  <c r="AE30" i="13"/>
  <c r="AA30" i="13"/>
  <c r="AB30" i="13" s="1"/>
  <c r="W30" i="13"/>
  <c r="AF30" i="13" s="1"/>
  <c r="V30" i="13"/>
  <c r="X30" i="13" s="1"/>
  <c r="AG30" i="13" s="1"/>
  <c r="AE29" i="13"/>
  <c r="AA29" i="13"/>
  <c r="AB29" i="13" s="1"/>
  <c r="W29" i="13"/>
  <c r="AF29" i="13" s="1"/>
  <c r="V29" i="13"/>
  <c r="X29" i="13" s="1"/>
  <c r="Y29" i="13" s="1"/>
  <c r="AE28" i="13"/>
  <c r="AA28" i="13"/>
  <c r="AB28" i="13" s="1"/>
  <c r="W28" i="13"/>
  <c r="AF28" i="13" s="1"/>
  <c r="V28" i="13"/>
  <c r="X28" i="13" s="1"/>
  <c r="AE27" i="13"/>
  <c r="AA27" i="13"/>
  <c r="AB27" i="13" s="1"/>
  <c r="W27" i="13"/>
  <c r="AF27" i="13" s="1"/>
  <c r="V27" i="13"/>
  <c r="X27" i="13" s="1"/>
  <c r="AG27" i="13" s="1"/>
  <c r="AE26" i="13"/>
  <c r="AA26" i="13"/>
  <c r="AB26" i="13" s="1"/>
  <c r="W26" i="13"/>
  <c r="AF26" i="13" s="1"/>
  <c r="V26" i="13"/>
  <c r="X26" i="13" s="1"/>
  <c r="Y26" i="13" s="1"/>
  <c r="AE25" i="13"/>
  <c r="AA25" i="13"/>
  <c r="AB25" i="13" s="1"/>
  <c r="W25" i="13"/>
  <c r="AF25" i="13" s="1"/>
  <c r="V25" i="13"/>
  <c r="X25" i="13" s="1"/>
  <c r="AE24" i="13"/>
  <c r="AA24" i="13"/>
  <c r="AB24" i="13" s="1"/>
  <c r="W24" i="13"/>
  <c r="AF24" i="13" s="1"/>
  <c r="V24" i="13"/>
  <c r="X24" i="13" s="1"/>
  <c r="AE23" i="13"/>
  <c r="AA23" i="13"/>
  <c r="AB23" i="13" s="1"/>
  <c r="W23" i="13"/>
  <c r="AF23" i="13" s="1"/>
  <c r="V23" i="13"/>
  <c r="X23" i="13" s="1"/>
  <c r="Y23" i="13" s="1"/>
  <c r="AE22" i="13"/>
  <c r="AA22" i="13"/>
  <c r="AB22" i="13" s="1"/>
  <c r="W22" i="13"/>
  <c r="AF22" i="13" s="1"/>
  <c r="V22" i="13"/>
  <c r="X22" i="13" s="1"/>
  <c r="AE21" i="13"/>
  <c r="AA21" i="13"/>
  <c r="AB21" i="13" s="1"/>
  <c r="W21" i="13"/>
  <c r="AF21" i="13" s="1"/>
  <c r="V21" i="13"/>
  <c r="X21" i="13" s="1"/>
  <c r="AE20" i="13"/>
  <c r="AA20" i="13"/>
  <c r="AB20" i="13" s="1"/>
  <c r="W20" i="13"/>
  <c r="AF20" i="13" s="1"/>
  <c r="X20" i="13"/>
  <c r="Y20" i="13" s="1"/>
  <c r="AE19" i="13"/>
  <c r="AA19" i="13"/>
  <c r="AB19" i="13" s="1"/>
  <c r="W19" i="13"/>
  <c r="AF19" i="13" s="1"/>
  <c r="V19" i="13"/>
  <c r="X19" i="13" s="1"/>
  <c r="AE18" i="13"/>
  <c r="AA18" i="13"/>
  <c r="AB18" i="13" s="1"/>
  <c r="W18" i="13"/>
  <c r="AF18" i="13" s="1"/>
  <c r="V18" i="13"/>
  <c r="X18" i="13" s="1"/>
  <c r="AG18" i="13" s="1"/>
  <c r="AE17" i="13"/>
  <c r="AA17" i="13"/>
  <c r="AB17" i="13" s="1"/>
  <c r="W17" i="13"/>
  <c r="AF17" i="13" s="1"/>
  <c r="V17" i="13"/>
  <c r="X17" i="13" s="1"/>
  <c r="Y17" i="13" s="1"/>
  <c r="AE16" i="13"/>
  <c r="AA16" i="13"/>
  <c r="AB16" i="13" s="1"/>
  <c r="W16" i="13"/>
  <c r="AF16" i="13" s="1"/>
  <c r="V16" i="13"/>
  <c r="X16" i="13" s="1"/>
  <c r="F21" i="25"/>
  <c r="H21" i="25" s="1"/>
  <c r="D21" i="25"/>
  <c r="B21" i="25"/>
  <c r="AH189" i="13" l="1"/>
  <c r="AH175" i="13"/>
  <c r="AH143" i="13"/>
  <c r="AH146" i="13"/>
  <c r="AH163" i="13"/>
  <c r="AG128" i="13"/>
  <c r="Y128" i="13"/>
  <c r="AH128" i="13" s="1"/>
  <c r="AG174" i="13"/>
  <c r="Y174" i="13"/>
  <c r="AH174" i="13" s="1"/>
  <c r="Y96" i="13"/>
  <c r="AH96" i="13" s="1"/>
  <c r="AH149" i="13"/>
  <c r="AH161" i="13"/>
  <c r="AH167" i="13"/>
  <c r="AH169" i="13"/>
  <c r="AH172" i="13"/>
  <c r="Y208" i="13"/>
  <c r="AH208" i="13" s="1"/>
  <c r="Y221" i="13"/>
  <c r="AH221" i="13" s="1"/>
  <c r="AG221" i="13"/>
  <c r="AG90" i="13"/>
  <c r="Y90" i="13"/>
  <c r="AH90" i="13" s="1"/>
  <c r="AG155" i="13"/>
  <c r="Y155" i="13"/>
  <c r="AH155" i="13" s="1"/>
  <c r="AG181" i="13"/>
  <c r="Y181" i="13"/>
  <c r="AH181" i="13" s="1"/>
  <c r="AG158" i="13"/>
  <c r="Y158" i="13"/>
  <c r="AH158" i="13" s="1"/>
  <c r="AG108" i="13"/>
  <c r="Y108" i="13"/>
  <c r="AH108" i="13" s="1"/>
  <c r="AH89" i="13"/>
  <c r="AH53" i="13"/>
  <c r="AH71" i="13"/>
  <c r="Y153" i="13"/>
  <c r="AH153" i="13" s="1"/>
  <c r="AH184" i="13"/>
  <c r="AH35" i="13"/>
  <c r="Y131" i="13"/>
  <c r="AH131" i="13" s="1"/>
  <c r="AH150" i="13"/>
  <c r="AH95" i="13"/>
  <c r="AH17" i="13"/>
  <c r="Y197" i="13"/>
  <c r="AH197" i="13" s="1"/>
  <c r="Y198" i="13"/>
  <c r="AH198" i="13" s="1"/>
  <c r="Y218" i="13"/>
  <c r="AH218" i="13" s="1"/>
  <c r="AG57" i="13"/>
  <c r="Y57" i="13"/>
  <c r="AH57" i="13" s="1"/>
  <c r="AG75" i="13"/>
  <c r="Y75" i="13"/>
  <c r="AH75" i="13" s="1"/>
  <c r="Y191" i="13"/>
  <c r="AH191" i="13" s="1"/>
  <c r="AG191" i="13"/>
  <c r="AG51" i="13"/>
  <c r="Y51" i="13"/>
  <c r="AH51" i="13" s="1"/>
  <c r="AG60" i="13"/>
  <c r="Y60" i="13"/>
  <c r="AH60" i="13" s="1"/>
  <c r="AG78" i="13"/>
  <c r="Y78" i="13"/>
  <c r="AH78" i="13" s="1"/>
  <c r="AG87" i="13"/>
  <c r="Y87" i="13"/>
  <c r="AH87" i="13" s="1"/>
  <c r="AG93" i="13"/>
  <c r="Y93" i="13"/>
  <c r="AH93" i="13" s="1"/>
  <c r="AG201" i="13"/>
  <c r="Y201" i="13"/>
  <c r="AH201" i="13" s="1"/>
  <c r="AG105" i="13"/>
  <c r="Y105" i="13"/>
  <c r="AH105" i="13" s="1"/>
  <c r="AG123" i="13"/>
  <c r="Y123" i="13"/>
  <c r="AH123" i="13" s="1"/>
  <c r="AG24" i="13"/>
  <c r="Y24" i="13"/>
  <c r="AH24" i="13" s="1"/>
  <c r="AG39" i="13"/>
  <c r="Y39" i="13"/>
  <c r="AH39" i="13" s="1"/>
  <c r="AG69" i="13"/>
  <c r="Y69" i="13"/>
  <c r="AH69" i="13" s="1"/>
  <c r="AG21" i="13"/>
  <c r="Y21" i="13"/>
  <c r="AH21" i="13" s="1"/>
  <c r="AG33" i="13"/>
  <c r="Y33" i="13"/>
  <c r="AH33" i="13" s="1"/>
  <c r="AG42" i="13"/>
  <c r="Y42" i="13"/>
  <c r="AH42" i="13" s="1"/>
  <c r="AH20" i="13"/>
  <c r="AH74" i="13"/>
  <c r="AG211" i="13"/>
  <c r="Y211" i="13"/>
  <c r="AH211" i="13" s="1"/>
  <c r="AG215" i="13"/>
  <c r="Y215" i="13"/>
  <c r="AH215" i="13" s="1"/>
  <c r="AH38" i="13"/>
  <c r="AH56" i="13"/>
  <c r="Y30" i="13"/>
  <c r="AH30" i="13" s="1"/>
  <c r="Y48" i="13"/>
  <c r="AH48" i="13" s="1"/>
  <c r="Y66" i="13"/>
  <c r="AH66" i="13" s="1"/>
  <c r="Y84" i="13"/>
  <c r="AH84" i="13" s="1"/>
  <c r="Y144" i="13"/>
  <c r="AH144" i="13" s="1"/>
  <c r="AG144" i="13"/>
  <c r="Y203" i="13"/>
  <c r="AH203" i="13" s="1"/>
  <c r="AG210" i="13"/>
  <c r="Y210" i="13"/>
  <c r="AH210" i="13" s="1"/>
  <c r="AG222" i="13"/>
  <c r="Y222" i="13"/>
  <c r="AH222" i="13" s="1"/>
  <c r="Y27" i="13"/>
  <c r="AH27" i="13" s="1"/>
  <c r="Y45" i="13"/>
  <c r="AH45" i="13" s="1"/>
  <c r="Y63" i="13"/>
  <c r="AH63" i="13" s="1"/>
  <c r="Y81" i="13"/>
  <c r="AH81" i="13" s="1"/>
  <c r="AH107" i="13"/>
  <c r="Y114" i="13"/>
  <c r="AH114" i="13" s="1"/>
  <c r="AG134" i="13"/>
  <c r="Y134" i="13"/>
  <c r="AH134" i="13" s="1"/>
  <c r="AG137" i="13"/>
  <c r="Y137" i="13"/>
  <c r="AH137" i="13" s="1"/>
  <c r="AG147" i="13"/>
  <c r="AG152" i="13"/>
  <c r="Y160" i="13"/>
  <c r="AH160" i="13" s="1"/>
  <c r="AG164" i="13"/>
  <c r="Y209" i="13"/>
  <c r="AH209" i="13" s="1"/>
  <c r="Y212" i="13"/>
  <c r="AH212" i="13" s="1"/>
  <c r="AG214" i="13"/>
  <c r="Y214" i="13"/>
  <c r="AH214" i="13" s="1"/>
  <c r="AG117" i="13"/>
  <c r="Y117" i="13"/>
  <c r="AH117" i="13" s="1"/>
  <c r="AG120" i="13"/>
  <c r="Y120" i="13"/>
  <c r="AH120" i="13" s="1"/>
  <c r="AG146" i="13"/>
  <c r="AG163" i="13"/>
  <c r="AG192" i="13"/>
  <c r="Y213" i="13"/>
  <c r="AH213" i="13" s="1"/>
  <c r="AG99" i="13"/>
  <c r="Y99" i="13"/>
  <c r="AH99" i="13" s="1"/>
  <c r="AH130" i="13"/>
  <c r="AH147" i="13"/>
  <c r="AG150" i="13"/>
  <c r="AH152" i="13"/>
  <c r="AG161" i="13"/>
  <c r="AH164" i="13"/>
  <c r="AG188" i="13"/>
  <c r="AH192" i="13"/>
  <c r="Y18" i="13"/>
  <c r="AH18" i="13" s="1"/>
  <c r="AH23" i="13"/>
  <c r="Y36" i="13"/>
  <c r="AH36" i="13" s="1"/>
  <c r="AH41" i="13"/>
  <c r="Y54" i="13"/>
  <c r="AH54" i="13" s="1"/>
  <c r="AH59" i="13"/>
  <c r="Y72" i="13"/>
  <c r="AH72" i="13" s="1"/>
  <c r="AH77" i="13"/>
  <c r="Y102" i="13"/>
  <c r="AH102" i="13" s="1"/>
  <c r="Y111" i="13"/>
  <c r="AH111" i="13" s="1"/>
  <c r="AH113" i="13"/>
  <c r="Y126" i="13"/>
  <c r="AH126" i="13" s="1"/>
  <c r="Y141" i="13"/>
  <c r="AH141" i="13" s="1"/>
  <c r="AG149" i="13"/>
  <c r="Y156" i="13"/>
  <c r="AH156" i="13" s="1"/>
  <c r="AG169" i="13"/>
  <c r="Y190" i="13"/>
  <c r="AH190" i="13" s="1"/>
  <c r="Y206" i="13"/>
  <c r="AH206" i="13" s="1"/>
  <c r="AG216" i="13"/>
  <c r="Y216" i="13"/>
  <c r="AH216" i="13" s="1"/>
  <c r="AH92" i="13"/>
  <c r="AH110" i="13"/>
  <c r="AH127" i="13"/>
  <c r="AH125" i="13"/>
  <c r="AH166" i="13"/>
  <c r="AH180" i="13"/>
  <c r="AH185" i="13"/>
  <c r="Y194" i="13"/>
  <c r="AH194" i="13" s="1"/>
  <c r="Y217" i="13"/>
  <c r="AH217" i="13" s="1"/>
  <c r="Y34" i="13"/>
  <c r="AH34" i="13" s="1"/>
  <c r="AG34" i="13"/>
  <c r="AH47" i="13"/>
  <c r="Y52" i="13"/>
  <c r="AH52" i="13" s="1"/>
  <c r="AG52" i="13"/>
  <c r="Y88" i="13"/>
  <c r="AH88" i="13" s="1"/>
  <c r="AG88" i="13"/>
  <c r="AH26" i="13"/>
  <c r="Y31" i="13"/>
  <c r="AH31" i="13" s="1"/>
  <c r="AG31" i="13"/>
  <c r="AH44" i="13"/>
  <c r="Y49" i="13"/>
  <c r="AH49" i="13" s="1"/>
  <c r="AG49" i="13"/>
  <c r="AH62" i="13"/>
  <c r="Y67" i="13"/>
  <c r="AH67" i="13" s="1"/>
  <c r="AG67" i="13"/>
  <c r="AH80" i="13"/>
  <c r="Y85" i="13"/>
  <c r="AH85" i="13" s="1"/>
  <c r="AG85" i="13"/>
  <c r="AH98" i="13"/>
  <c r="Y103" i="13"/>
  <c r="AH103" i="13" s="1"/>
  <c r="AG103" i="13"/>
  <c r="AH116" i="13"/>
  <c r="Y121" i="13"/>
  <c r="AH121" i="13" s="1"/>
  <c r="AG121" i="13"/>
  <c r="AH133" i="13"/>
  <c r="Y138" i="13"/>
  <c r="AH138" i="13" s="1"/>
  <c r="AG138" i="13"/>
  <c r="AG171" i="13"/>
  <c r="Y171" i="13"/>
  <c r="AH171" i="13" s="1"/>
  <c r="Y22" i="13"/>
  <c r="AH22" i="13" s="1"/>
  <c r="AG22" i="13"/>
  <c r="AH29" i="13"/>
  <c r="Y28" i="13"/>
  <c r="AH28" i="13" s="1"/>
  <c r="AG28" i="13"/>
  <c r="Y46" i="13"/>
  <c r="AH46" i="13" s="1"/>
  <c r="AG46" i="13"/>
  <c r="Y64" i="13"/>
  <c r="AH64" i="13" s="1"/>
  <c r="AG64" i="13"/>
  <c r="Y82" i="13"/>
  <c r="AH82" i="13" s="1"/>
  <c r="AG82" i="13"/>
  <c r="Y100" i="13"/>
  <c r="AH100" i="13" s="1"/>
  <c r="AG100" i="13"/>
  <c r="Y118" i="13"/>
  <c r="AH118" i="13" s="1"/>
  <c r="AG118" i="13"/>
  <c r="Y135" i="13"/>
  <c r="AH135" i="13" s="1"/>
  <c r="AG135" i="13"/>
  <c r="Y25" i="13"/>
  <c r="AH25" i="13" s="1"/>
  <c r="AG25" i="13"/>
  <c r="Y43" i="13"/>
  <c r="AH43" i="13" s="1"/>
  <c r="AG43" i="13"/>
  <c r="Y61" i="13"/>
  <c r="AH61" i="13" s="1"/>
  <c r="AG61" i="13"/>
  <c r="Y79" i="13"/>
  <c r="AH79" i="13" s="1"/>
  <c r="AG79" i="13"/>
  <c r="Y97" i="13"/>
  <c r="AH97" i="13" s="1"/>
  <c r="AG97" i="13"/>
  <c r="Y115" i="13"/>
  <c r="AH115" i="13" s="1"/>
  <c r="AG115" i="13"/>
  <c r="Y132" i="13"/>
  <c r="AH132" i="13" s="1"/>
  <c r="AG132" i="13"/>
  <c r="Y112" i="13"/>
  <c r="AH112" i="13" s="1"/>
  <c r="AG112" i="13"/>
  <c r="Y129" i="13"/>
  <c r="AH129" i="13" s="1"/>
  <c r="AG129" i="13"/>
  <c r="Y40" i="13"/>
  <c r="AH40" i="13" s="1"/>
  <c r="AG40" i="13"/>
  <c r="Y58" i="13"/>
  <c r="AH58" i="13" s="1"/>
  <c r="AG58" i="13"/>
  <c r="Y76" i="13"/>
  <c r="AH76" i="13" s="1"/>
  <c r="AG76" i="13"/>
  <c r="Y94" i="13"/>
  <c r="AH94" i="13" s="1"/>
  <c r="AG94" i="13"/>
  <c r="Y19" i="13"/>
  <c r="AH19" i="13" s="1"/>
  <c r="AG19" i="13"/>
  <c r="AH32" i="13"/>
  <c r="Y37" i="13"/>
  <c r="AH37" i="13" s="1"/>
  <c r="AG37" i="13"/>
  <c r="AH50" i="13"/>
  <c r="Y55" i="13"/>
  <c r="AH55" i="13" s="1"/>
  <c r="AG55" i="13"/>
  <c r="AH68" i="13"/>
  <c r="Y73" i="13"/>
  <c r="AH73" i="13" s="1"/>
  <c r="AG73" i="13"/>
  <c r="AH86" i="13"/>
  <c r="Y91" i="13"/>
  <c r="AH91" i="13" s="1"/>
  <c r="AG91" i="13"/>
  <c r="AH104" i="13"/>
  <c r="Y109" i="13"/>
  <c r="AH109" i="13" s="1"/>
  <c r="AG109" i="13"/>
  <c r="AH122" i="13"/>
  <c r="Y16" i="13"/>
  <c r="AH16" i="13" s="1"/>
  <c r="AG16" i="13"/>
  <c r="AH65" i="13"/>
  <c r="Y70" i="13"/>
  <c r="AH70" i="13" s="1"/>
  <c r="AG70" i="13"/>
  <c r="AH83" i="13"/>
  <c r="AH101" i="13"/>
  <c r="Y106" i="13"/>
  <c r="AH106" i="13" s="1"/>
  <c r="AG106" i="13"/>
  <c r="AH119" i="13"/>
  <c r="Y124" i="13"/>
  <c r="AH124" i="13" s="1"/>
  <c r="AG124" i="13"/>
  <c r="AH136" i="13"/>
  <c r="Y140" i="13"/>
  <c r="AH140" i="13" s="1"/>
  <c r="AG140" i="13"/>
  <c r="Y142" i="13"/>
  <c r="AH142" i="13" s="1"/>
  <c r="AG142" i="13"/>
  <c r="AG17" i="13"/>
  <c r="AG20" i="13"/>
  <c r="AG23" i="13"/>
  <c r="AG26" i="13"/>
  <c r="AG29" i="13"/>
  <c r="AG32" i="13"/>
  <c r="AG35" i="13"/>
  <c r="AG38" i="13"/>
  <c r="AG41" i="13"/>
  <c r="AG44" i="13"/>
  <c r="AG47" i="13"/>
  <c r="AG50" i="13"/>
  <c r="AG53" i="13"/>
  <c r="AG56" i="13"/>
  <c r="AG59" i="13"/>
  <c r="AG62" i="13"/>
  <c r="AG65" i="13"/>
  <c r="AG68" i="13"/>
  <c r="AG71" i="13"/>
  <c r="AG74" i="13"/>
  <c r="AG77" i="13"/>
  <c r="AG80" i="13"/>
  <c r="AG83" i="13"/>
  <c r="AG86" i="13"/>
  <c r="AG89" i="13"/>
  <c r="AG92" i="13"/>
  <c r="AG95" i="13"/>
  <c r="AG98" i="13"/>
  <c r="AG101" i="13"/>
  <c r="AG104" i="13"/>
  <c r="AG107" i="13"/>
  <c r="AG110" i="13"/>
  <c r="AG113" i="13"/>
  <c r="AG116" i="13"/>
  <c r="AG119" i="13"/>
  <c r="AG122" i="13"/>
  <c r="AG125" i="13"/>
  <c r="AG127" i="13"/>
  <c r="AG130" i="13"/>
  <c r="AG133" i="13"/>
  <c r="AG136" i="13"/>
  <c r="Y170" i="13"/>
  <c r="AH170" i="13" s="1"/>
  <c r="AG170" i="13"/>
  <c r="AG219" i="13"/>
  <c r="Y219" i="13"/>
  <c r="AH219" i="13" s="1"/>
  <c r="AG220" i="13"/>
  <c r="Y220" i="13"/>
  <c r="AH220" i="13" s="1"/>
  <c r="AG166" i="13"/>
  <c r="Y173" i="13"/>
  <c r="AH173" i="13" s="1"/>
  <c r="AG173" i="13"/>
  <c r="AG180" i="13"/>
  <c r="AG196" i="13"/>
  <c r="Y196" i="13"/>
  <c r="AH196" i="13" s="1"/>
  <c r="AH139" i="13"/>
  <c r="AG143" i="13"/>
  <c r="Y148" i="13"/>
  <c r="AH148" i="13" s="1"/>
  <c r="AG148" i="13"/>
  <c r="Y151" i="13"/>
  <c r="AH151" i="13" s="1"/>
  <c r="AG151" i="13"/>
  <c r="Y154" i="13"/>
  <c r="AH154" i="13" s="1"/>
  <c r="AG154" i="13"/>
  <c r="Y157" i="13"/>
  <c r="AH157" i="13" s="1"/>
  <c r="AG157" i="13"/>
  <c r="Y159" i="13"/>
  <c r="AH159" i="13" s="1"/>
  <c r="AG159" i="13"/>
  <c r="Y162" i="13"/>
  <c r="AH162" i="13" s="1"/>
  <c r="AG162" i="13"/>
  <c r="Y165" i="13"/>
  <c r="AH165" i="13" s="1"/>
  <c r="AG165" i="13"/>
  <c r="Y176" i="13"/>
  <c r="AH176" i="13" s="1"/>
  <c r="AG176" i="13"/>
  <c r="AH183" i="13"/>
  <c r="AG189" i="13"/>
  <c r="Y145" i="13"/>
  <c r="AH145" i="13" s="1"/>
  <c r="AG145" i="13"/>
  <c r="AG167" i="13"/>
  <c r="Y178" i="13"/>
  <c r="AH178" i="13" s="1"/>
  <c r="AG178" i="13"/>
  <c r="AG182" i="13"/>
  <c r="AG187" i="13"/>
  <c r="Y187" i="13"/>
  <c r="AH187" i="13" s="1"/>
  <c r="Y195" i="13"/>
  <c r="AH195" i="13" s="1"/>
  <c r="AG195" i="13"/>
  <c r="AG139" i="13"/>
  <c r="Y168" i="13"/>
  <c r="AH168" i="13" s="1"/>
  <c r="AG168" i="13"/>
  <c r="Y177" i="13"/>
  <c r="AH177" i="13" s="1"/>
  <c r="Y179" i="13"/>
  <c r="AH179" i="13" s="1"/>
  <c r="AG179" i="13"/>
  <c r="AG184" i="13"/>
  <c r="Y186" i="13"/>
  <c r="AH186" i="13" s="1"/>
  <c r="AG202" i="13"/>
  <c r="Y202" i="13"/>
  <c r="AH202" i="13" s="1"/>
  <c r="Y200" i="13"/>
  <c r="AH200" i="13" s="1"/>
  <c r="AG200" i="13"/>
  <c r="AH188" i="13"/>
  <c r="AG183" i="13"/>
  <c r="AG185" i="13"/>
  <c r="AG193" i="13"/>
  <c r="Y193" i="13"/>
  <c r="AH193" i="13" s="1"/>
  <c r="AG204" i="13"/>
  <c r="Y204" i="13"/>
  <c r="AH204" i="13" s="1"/>
  <c r="AG223" i="13"/>
  <c r="Y223" i="13"/>
  <c r="AH223" i="13" s="1"/>
  <c r="AG172" i="13"/>
  <c r="AG175" i="13"/>
  <c r="AG199" i="13"/>
  <c r="Y199" i="13"/>
  <c r="AH199" i="13" s="1"/>
  <c r="AH182" i="13"/>
  <c r="Y205" i="13"/>
  <c r="AH205" i="13" s="1"/>
  <c r="Y207" i="13"/>
  <c r="AH207" i="13" s="1"/>
  <c r="C223" i="13"/>
  <c r="B223" i="13"/>
  <c r="C222" i="13"/>
  <c r="B222" i="13"/>
  <c r="C221" i="13"/>
  <c r="B221" i="13"/>
  <c r="C220" i="13"/>
  <c r="B220" i="13"/>
  <c r="C219" i="13"/>
  <c r="B219" i="13"/>
  <c r="C218" i="13"/>
  <c r="B218" i="13"/>
  <c r="C217" i="13"/>
  <c r="B217" i="13"/>
  <c r="C216" i="13"/>
  <c r="B216" i="13"/>
  <c r="C215" i="13"/>
  <c r="B215" i="13"/>
  <c r="C214" i="13"/>
  <c r="B214" i="13"/>
  <c r="C212" i="13"/>
  <c r="B212" i="13"/>
  <c r="C211" i="13"/>
  <c r="B211" i="13"/>
  <c r="C210" i="13"/>
  <c r="B210" i="13"/>
  <c r="C209" i="13"/>
  <c r="B209" i="13"/>
  <c r="C208" i="13"/>
  <c r="B208" i="13"/>
  <c r="C207" i="13"/>
  <c r="B207" i="13"/>
  <c r="C206" i="13"/>
  <c r="B206" i="13"/>
  <c r="C205" i="13"/>
  <c r="B205" i="13"/>
  <c r="C204" i="13"/>
  <c r="B204" i="13"/>
  <c r="C203" i="13"/>
  <c r="B203" i="13"/>
  <c r="C202" i="13"/>
  <c r="B202" i="13"/>
  <c r="C201" i="13"/>
  <c r="B201" i="13"/>
  <c r="C200" i="13"/>
  <c r="B200" i="13"/>
  <c r="C199" i="13"/>
  <c r="B199" i="13"/>
  <c r="C198" i="13"/>
  <c r="B198" i="13"/>
  <c r="C197" i="13"/>
  <c r="B197" i="13"/>
  <c r="C196" i="13"/>
  <c r="B196" i="13"/>
  <c r="C195" i="13"/>
  <c r="B195" i="13"/>
  <c r="C194" i="13"/>
  <c r="B194" i="13"/>
  <c r="C193" i="13"/>
  <c r="B193" i="13"/>
  <c r="C192" i="13"/>
  <c r="B192" i="13"/>
  <c r="C191" i="13"/>
  <c r="B191" i="13"/>
  <c r="C190" i="13"/>
  <c r="B190" i="13"/>
  <c r="C189" i="13"/>
  <c r="B189" i="13"/>
  <c r="C188" i="13"/>
  <c r="B188" i="13"/>
  <c r="C187" i="13"/>
  <c r="B187" i="13"/>
  <c r="C186" i="13"/>
  <c r="B186" i="13"/>
  <c r="C185" i="13"/>
  <c r="B185" i="13"/>
  <c r="C184" i="13"/>
  <c r="B184" i="13"/>
  <c r="C183" i="13"/>
  <c r="B183" i="13"/>
  <c r="C182" i="13"/>
  <c r="B182" i="13"/>
  <c r="C181" i="13"/>
  <c r="B181" i="13"/>
  <c r="C180" i="13"/>
  <c r="B180" i="13"/>
  <c r="C179" i="13"/>
  <c r="B179" i="13"/>
  <c r="C178" i="13"/>
  <c r="B178" i="13"/>
  <c r="C177" i="13"/>
  <c r="B177" i="13"/>
  <c r="C176" i="13"/>
  <c r="B176" i="13"/>
  <c r="C175" i="13"/>
  <c r="B175" i="13"/>
  <c r="C174" i="13"/>
  <c r="B174" i="13"/>
  <c r="C173" i="13"/>
  <c r="B173" i="13"/>
  <c r="C172" i="13"/>
  <c r="B172" i="13"/>
  <c r="C171" i="13"/>
  <c r="B171" i="13"/>
  <c r="C170" i="13"/>
  <c r="B170" i="13"/>
  <c r="C169" i="13"/>
  <c r="B169" i="13"/>
  <c r="C168" i="13"/>
  <c r="B168" i="13"/>
  <c r="C167" i="13"/>
  <c r="B167" i="13"/>
  <c r="C166" i="13"/>
  <c r="B166" i="13"/>
  <c r="C165" i="13"/>
  <c r="B165" i="13"/>
  <c r="C164" i="13"/>
  <c r="B164" i="13"/>
  <c r="C163" i="13"/>
  <c r="B163" i="13"/>
  <c r="C162" i="13"/>
  <c r="B162" i="13"/>
  <c r="C161" i="13"/>
  <c r="B161" i="13"/>
  <c r="C160" i="13"/>
  <c r="B160" i="13"/>
  <c r="C159" i="13"/>
  <c r="B159" i="13"/>
  <c r="C158" i="13"/>
  <c r="B158" i="13"/>
  <c r="C157" i="13"/>
  <c r="B157" i="13"/>
  <c r="C156" i="13"/>
  <c r="B156" i="13"/>
  <c r="C155" i="13"/>
  <c r="B155" i="13"/>
  <c r="C154" i="13"/>
  <c r="B154" i="13"/>
  <c r="C153" i="13"/>
  <c r="B153" i="13"/>
  <c r="C152" i="13"/>
  <c r="B152" i="13"/>
  <c r="C151" i="13"/>
  <c r="B151" i="13"/>
  <c r="C150" i="13"/>
  <c r="B150" i="13"/>
  <c r="C149" i="13"/>
  <c r="B149" i="13"/>
  <c r="C148" i="13"/>
  <c r="B148" i="13"/>
  <c r="C147" i="13"/>
  <c r="B147" i="13"/>
  <c r="C146" i="13"/>
  <c r="B146" i="13"/>
  <c r="C145" i="13"/>
  <c r="B145" i="13"/>
  <c r="C144" i="13"/>
  <c r="B144" i="13"/>
  <c r="C143" i="13"/>
  <c r="B143" i="13"/>
  <c r="C142" i="13"/>
  <c r="B142" i="13"/>
  <c r="C141" i="13"/>
  <c r="B141" i="13"/>
  <c r="C140" i="13"/>
  <c r="B140" i="13"/>
  <c r="C139" i="13"/>
  <c r="B139" i="13"/>
  <c r="C138" i="13"/>
  <c r="B138" i="13"/>
  <c r="C137" i="13"/>
  <c r="B137" i="13"/>
  <c r="C136" i="13"/>
  <c r="B136" i="13"/>
  <c r="C135" i="13"/>
  <c r="B135" i="13"/>
  <c r="C134" i="13"/>
  <c r="B134" i="13"/>
  <c r="C133" i="13"/>
  <c r="B133" i="13"/>
  <c r="C132" i="13"/>
  <c r="B132" i="13"/>
  <c r="C131" i="13"/>
  <c r="B131" i="13"/>
  <c r="C130" i="13"/>
  <c r="B130" i="13"/>
  <c r="C129" i="13"/>
  <c r="B129" i="13"/>
  <c r="C128" i="13"/>
  <c r="B128" i="13"/>
  <c r="C127" i="13"/>
  <c r="B127" i="13"/>
  <c r="C126" i="13"/>
  <c r="B126" i="13"/>
  <c r="C125" i="13"/>
  <c r="B125" i="13"/>
  <c r="C124" i="13"/>
  <c r="B124" i="13"/>
  <c r="C123" i="13"/>
  <c r="B123" i="13"/>
  <c r="C122" i="13"/>
  <c r="B122" i="13"/>
  <c r="C121" i="13"/>
  <c r="B121" i="13"/>
  <c r="C120" i="13"/>
  <c r="B120" i="13"/>
  <c r="C119" i="13"/>
  <c r="B119" i="13"/>
  <c r="C118" i="13"/>
  <c r="B118" i="13"/>
  <c r="C117" i="13"/>
  <c r="B117" i="13"/>
  <c r="C116" i="13"/>
  <c r="B116" i="13"/>
  <c r="C115" i="13"/>
  <c r="B115" i="13"/>
  <c r="C114" i="13"/>
  <c r="B114" i="13"/>
  <c r="C113" i="13"/>
  <c r="B113" i="13"/>
  <c r="C112" i="13"/>
  <c r="B112" i="13"/>
  <c r="C111" i="13"/>
  <c r="B111" i="13"/>
  <c r="C110" i="13"/>
  <c r="B110" i="13"/>
  <c r="C109" i="13"/>
  <c r="B109" i="13"/>
  <c r="C108" i="13"/>
  <c r="B108" i="13"/>
  <c r="C107" i="13"/>
  <c r="B107" i="13"/>
  <c r="C106" i="13"/>
  <c r="B106" i="13"/>
  <c r="C105" i="13"/>
  <c r="B105" i="13"/>
  <c r="C104" i="13"/>
  <c r="B104" i="13"/>
  <c r="C103" i="13"/>
  <c r="B103" i="13"/>
  <c r="C102" i="13"/>
  <c r="B102" i="13"/>
  <c r="C101" i="13"/>
  <c r="B101" i="13"/>
  <c r="C100" i="13"/>
  <c r="B100" i="13"/>
  <c r="C99" i="13"/>
  <c r="B99" i="13"/>
  <c r="C98" i="13"/>
  <c r="B98" i="13"/>
  <c r="C97" i="13"/>
  <c r="B97" i="13"/>
  <c r="C96" i="13"/>
  <c r="B96" i="13"/>
  <c r="C95" i="13"/>
  <c r="B95" i="13"/>
  <c r="C94" i="13"/>
  <c r="B94" i="13"/>
  <c r="C93" i="13"/>
  <c r="B93" i="13"/>
  <c r="C92" i="13"/>
  <c r="B92" i="13"/>
  <c r="C91" i="13"/>
  <c r="B91" i="13"/>
  <c r="C90" i="13"/>
  <c r="B90" i="13"/>
  <c r="C89" i="13"/>
  <c r="B89" i="13"/>
  <c r="C88" i="13"/>
  <c r="B88" i="13"/>
  <c r="C87" i="13"/>
  <c r="B87" i="13"/>
  <c r="C86" i="13"/>
  <c r="B86" i="13"/>
  <c r="C85" i="13"/>
  <c r="B85" i="13"/>
  <c r="C84" i="13"/>
  <c r="B84" i="13"/>
  <c r="C83" i="13"/>
  <c r="B83" i="13"/>
  <c r="C82" i="13"/>
  <c r="B82" i="13"/>
  <c r="C81" i="13"/>
  <c r="B81" i="13"/>
  <c r="C80" i="13"/>
  <c r="B80" i="13"/>
  <c r="C79" i="13"/>
  <c r="B79" i="13"/>
  <c r="C78" i="13"/>
  <c r="B78" i="13"/>
  <c r="C77" i="13"/>
  <c r="B77" i="13"/>
  <c r="C76" i="13"/>
  <c r="B76" i="13"/>
  <c r="C75" i="13"/>
  <c r="B75" i="13"/>
  <c r="C74" i="13"/>
  <c r="B74" i="13"/>
  <c r="C73" i="13"/>
  <c r="B73" i="13"/>
  <c r="C72" i="13"/>
  <c r="B72" i="13"/>
  <c r="C71" i="13"/>
  <c r="B71" i="13"/>
  <c r="C70" i="13"/>
  <c r="B70" i="13"/>
  <c r="C69" i="13"/>
  <c r="B69" i="13"/>
  <c r="C68" i="13"/>
  <c r="B68" i="13"/>
  <c r="C67" i="13"/>
  <c r="B67" i="13"/>
  <c r="C66" i="13"/>
  <c r="B66" i="13"/>
  <c r="C65" i="13"/>
  <c r="B65" i="13"/>
  <c r="C64" i="13"/>
  <c r="B64" i="13"/>
  <c r="C63" i="13"/>
  <c r="B63" i="13"/>
  <c r="C62" i="13"/>
  <c r="B62" i="13"/>
  <c r="C61" i="13"/>
  <c r="B61" i="13"/>
  <c r="C60" i="13"/>
  <c r="B60" i="13"/>
  <c r="C59" i="13"/>
  <c r="B59" i="13"/>
  <c r="C58" i="13"/>
  <c r="B58" i="13"/>
  <c r="C57" i="13"/>
  <c r="B57" i="13"/>
  <c r="C56" i="13"/>
  <c r="B56" i="13"/>
  <c r="C55" i="13"/>
  <c r="B55" i="13"/>
  <c r="C54" i="13"/>
  <c r="B54" i="13"/>
  <c r="C53" i="13"/>
  <c r="B53" i="13"/>
  <c r="C52" i="13"/>
  <c r="B52" i="13"/>
  <c r="C51" i="13"/>
  <c r="B51" i="13"/>
  <c r="C50" i="13"/>
  <c r="B50" i="13"/>
  <c r="C49" i="13"/>
  <c r="B49" i="13"/>
  <c r="C48" i="13"/>
  <c r="B48" i="13"/>
  <c r="C47" i="13"/>
  <c r="B47" i="13"/>
  <c r="C46" i="13"/>
  <c r="B46" i="13"/>
  <c r="C45" i="13"/>
  <c r="B45" i="13"/>
  <c r="C44" i="13"/>
  <c r="B44" i="13"/>
  <c r="C43" i="13"/>
  <c r="B43" i="13"/>
  <c r="C42" i="13"/>
  <c r="B42" i="13"/>
  <c r="C41" i="13"/>
  <c r="B41" i="13"/>
  <c r="C40" i="13"/>
  <c r="B40" i="13"/>
  <c r="C39" i="13"/>
  <c r="B39" i="13"/>
  <c r="C38" i="13"/>
  <c r="B38" i="13"/>
  <c r="C37" i="13"/>
  <c r="B37" i="13"/>
  <c r="C36" i="13"/>
  <c r="B36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6" i="13"/>
  <c r="B26" i="13"/>
  <c r="C25" i="13"/>
  <c r="B25" i="13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5" i="13"/>
  <c r="B15" i="13"/>
  <c r="E16" i="25"/>
  <c r="F16" i="25" s="1"/>
  <c r="G16" i="25" s="1"/>
  <c r="H16" i="25" s="1"/>
  <c r="I16" i="25" s="1"/>
  <c r="E15" i="25"/>
  <c r="F15" i="25" s="1"/>
  <c r="G15" i="25" s="1"/>
  <c r="H15" i="25" s="1"/>
  <c r="I15" i="25" s="1"/>
  <c r="E14" i="25"/>
  <c r="F14" i="25" s="1"/>
  <c r="G14" i="25" s="1"/>
  <c r="H14" i="25" s="1"/>
  <c r="I14" i="25" s="1"/>
  <c r="E13" i="25"/>
  <c r="F13" i="25" s="1"/>
  <c r="G13" i="25" s="1"/>
  <c r="H13" i="25" s="1"/>
  <c r="I13" i="25" s="1"/>
  <c r="E12" i="25"/>
  <c r="F12" i="25" s="1"/>
  <c r="G12" i="25" s="1"/>
  <c r="H12" i="25" s="1"/>
  <c r="I12" i="25" s="1"/>
  <c r="E11" i="25"/>
  <c r="F11" i="25" s="1"/>
  <c r="G11" i="25" s="1"/>
  <c r="H11" i="25" s="1"/>
  <c r="I11" i="25" s="1"/>
  <c r="E10" i="25"/>
  <c r="F10" i="25" s="1"/>
  <c r="G10" i="25" s="1"/>
  <c r="H10" i="25" s="1"/>
  <c r="I10" i="25" s="1"/>
  <c r="E9" i="25"/>
  <c r="F9" i="25" s="1"/>
  <c r="G9" i="25" s="1"/>
  <c r="H9" i="25" s="1"/>
  <c r="I9" i="25" s="1"/>
  <c r="E19" i="22"/>
  <c r="F19" i="22" s="1"/>
  <c r="G19" i="22" s="1"/>
  <c r="E18" i="22"/>
  <c r="F18" i="22" s="1"/>
  <c r="G18" i="22" s="1"/>
  <c r="E17" i="22"/>
  <c r="F17" i="22" s="1"/>
  <c r="G17" i="22" s="1"/>
  <c r="E16" i="22"/>
  <c r="F16" i="22" s="1"/>
  <c r="G16" i="22" s="1"/>
  <c r="E15" i="22"/>
  <c r="F15" i="22" s="1"/>
  <c r="G15" i="22" s="1"/>
  <c r="E14" i="22"/>
  <c r="F14" i="22" s="1"/>
  <c r="G14" i="22" s="1"/>
  <c r="E13" i="22"/>
  <c r="F13" i="22" s="1"/>
  <c r="G13" i="22" s="1"/>
  <c r="E12" i="22"/>
  <c r="F12" i="22" s="1"/>
  <c r="G12" i="22" s="1"/>
  <c r="E11" i="22"/>
  <c r="F11" i="22" s="1"/>
  <c r="G11" i="22" s="1"/>
  <c r="E10" i="22"/>
  <c r="F10" i="22" s="1"/>
  <c r="G10" i="22" s="1"/>
  <c r="E9" i="22"/>
  <c r="F9" i="22" s="1"/>
  <c r="G9" i="22" s="1"/>
  <c r="H9" i="22" s="1"/>
  <c r="I9" i="22" l="1"/>
  <c r="H10" i="22"/>
  <c r="I10" i="22" s="1"/>
  <c r="H17" i="22"/>
  <c r="I17" i="22" s="1"/>
  <c r="H15" i="22"/>
  <c r="I15" i="22" s="1"/>
  <c r="H12" i="22"/>
  <c r="I12" i="22" s="1"/>
  <c r="H19" i="22"/>
  <c r="I19" i="22" s="1"/>
  <c r="H14" i="22"/>
  <c r="I14" i="22" s="1"/>
  <c r="H11" i="22"/>
  <c r="I11" i="22" s="1"/>
  <c r="H18" i="22"/>
  <c r="I18" i="22" s="1"/>
  <c r="H13" i="22"/>
  <c r="I13" i="22" s="1"/>
  <c r="H16" i="22"/>
  <c r="I16" i="22" s="1"/>
  <c r="E125" i="13" l="1"/>
  <c r="D125" i="13"/>
  <c r="E124" i="13"/>
  <c r="D124" i="13"/>
  <c r="E123" i="13"/>
  <c r="D123" i="13"/>
  <c r="B7" i="19" l="1"/>
  <c r="D39" i="13" l="1"/>
  <c r="E39" i="13"/>
  <c r="D40" i="13"/>
  <c r="E40" i="13"/>
  <c r="B12" i="19" l="1"/>
  <c r="C7" i="19"/>
  <c r="F24" i="25"/>
  <c r="H24" i="25" s="1"/>
  <c r="D24" i="25"/>
  <c r="B24" i="25"/>
  <c r="F22" i="25"/>
  <c r="H22" i="25" s="1"/>
  <c r="D22" i="25"/>
  <c r="B22" i="25"/>
  <c r="F20" i="25"/>
  <c r="H20" i="25" s="1"/>
  <c r="D20" i="25"/>
  <c r="B20" i="25"/>
  <c r="F19" i="25"/>
  <c r="H19" i="25" s="1"/>
  <c r="D19" i="25"/>
  <c r="B19" i="25"/>
  <c r="G27" i="22"/>
  <c r="D27" i="22"/>
  <c r="B27" i="22"/>
  <c r="G24" i="22"/>
  <c r="D24" i="22"/>
  <c r="B24" i="22"/>
  <c r="D23" i="22"/>
  <c r="B23" i="22"/>
  <c r="G22" i="22"/>
  <c r="D22" i="22"/>
  <c r="B22" i="22"/>
  <c r="E12" i="19" l="1"/>
  <c r="G23" i="22"/>
  <c r="D12" i="19" s="1"/>
  <c r="E22" i="13"/>
  <c r="E5" i="31" l="1"/>
  <c r="E6" i="31"/>
  <c r="E7" i="31"/>
  <c r="E8" i="31"/>
  <c r="D9" i="31"/>
  <c r="I21" i="31"/>
  <c r="K21" i="31" s="1"/>
  <c r="M21" i="31" s="1"/>
  <c r="O21" i="31" s="1"/>
  <c r="I22" i="31"/>
  <c r="K22" i="31" s="1"/>
  <c r="M22" i="31" s="1"/>
  <c r="O22" i="31" s="1"/>
  <c r="Q22" i="31" s="1"/>
  <c r="I23" i="31"/>
  <c r="K23" i="31" s="1"/>
  <c r="M23" i="31" s="1"/>
  <c r="O23" i="31" s="1"/>
  <c r="Q23" i="31" s="1"/>
  <c r="I25" i="31"/>
  <c r="K25" i="31" s="1"/>
  <c r="M25" i="31" s="1"/>
  <c r="O25" i="31" s="1"/>
  <c r="Q25" i="31" s="1"/>
  <c r="I30" i="31"/>
  <c r="K30" i="31" s="1"/>
  <c r="M30" i="31" s="1"/>
  <c r="O30" i="31" s="1"/>
  <c r="Q30" i="31" s="1"/>
  <c r="I31" i="31"/>
  <c r="K31" i="31" s="1"/>
  <c r="M31" i="31" s="1"/>
  <c r="O31" i="31" s="1"/>
  <c r="Q31" i="31" s="1"/>
  <c r="I32" i="31"/>
  <c r="K32" i="31" s="1"/>
  <c r="M32" i="31" s="1"/>
  <c r="O32" i="31" s="1"/>
  <c r="Q32" i="31" s="1"/>
  <c r="E9" i="31" l="1"/>
  <c r="E10" i="31" s="1"/>
  <c r="E13" i="31" s="1"/>
  <c r="I13" i="31" s="1"/>
  <c r="Q21" i="31"/>
  <c r="E16" i="31" l="1"/>
  <c r="I16" i="31" s="1"/>
  <c r="K16" i="31" s="1"/>
  <c r="M16" i="31" s="1"/>
  <c r="O16" i="31" s="1"/>
  <c r="Q16" i="31" s="1"/>
  <c r="E14" i="31"/>
  <c r="I14" i="31" s="1"/>
  <c r="K14" i="31" s="1"/>
  <c r="M14" i="31" s="1"/>
  <c r="O14" i="31" s="1"/>
  <c r="Q14" i="31" s="1"/>
  <c r="E24" i="31"/>
  <c r="I24" i="31" s="1"/>
  <c r="E15" i="31"/>
  <c r="I15" i="31" s="1"/>
  <c r="K15" i="31" s="1"/>
  <c r="M15" i="31" s="1"/>
  <c r="O15" i="31" s="1"/>
  <c r="Q15" i="31" s="1"/>
  <c r="I10" i="31"/>
  <c r="K10" i="31" s="1"/>
  <c r="M10" i="31" s="1"/>
  <c r="O10" i="31" s="1"/>
  <c r="Q10" i="31" s="1"/>
  <c r="E17" i="31"/>
  <c r="I17" i="31" s="1"/>
  <c r="K17" i="31" s="1"/>
  <c r="M17" i="31" s="1"/>
  <c r="O17" i="31" s="1"/>
  <c r="Q17" i="31" s="1"/>
  <c r="K13" i="31"/>
  <c r="I18" i="31" l="1"/>
  <c r="E18" i="31"/>
  <c r="E29" i="31" s="1"/>
  <c r="E26" i="31"/>
  <c r="K24" i="31"/>
  <c r="I26" i="31"/>
  <c r="K18" i="31"/>
  <c r="M13" i="31"/>
  <c r="M24" i="31" l="1"/>
  <c r="K26" i="31"/>
  <c r="E33" i="31"/>
  <c r="I29" i="31"/>
  <c r="O13" i="31"/>
  <c r="M18" i="31"/>
  <c r="O24" i="31" l="1"/>
  <c r="M26" i="31"/>
  <c r="O18" i="31"/>
  <c r="Q13" i="31"/>
  <c r="Q18" i="31" s="1"/>
  <c r="I33" i="31"/>
  <c r="I35" i="31" s="1"/>
  <c r="K29" i="31"/>
  <c r="E35" i="31"/>
  <c r="D38" i="31"/>
  <c r="D39" i="31"/>
  <c r="D41" i="31"/>
  <c r="D40" i="31"/>
  <c r="D21" i="31" l="1"/>
  <c r="D22" i="31"/>
  <c r="D23" i="31"/>
  <c r="I37" i="31"/>
  <c r="AE15" i="13"/>
  <c r="Q24" i="31"/>
  <c r="Q26" i="31" s="1"/>
  <c r="O26" i="31"/>
  <c r="K33" i="31"/>
  <c r="K35" i="31" s="1"/>
  <c r="K37" i="31" s="1"/>
  <c r="M29" i="31"/>
  <c r="E39" i="31"/>
  <c r="E38" i="31"/>
  <c r="E41" i="31"/>
  <c r="E40" i="31"/>
  <c r="D25" i="31"/>
  <c r="D31" i="31"/>
  <c r="D30" i="31"/>
  <c r="D32" i="31"/>
  <c r="I39" i="31" l="1"/>
  <c r="I41" i="31"/>
  <c r="K41" i="31" s="1"/>
  <c r="I38" i="31"/>
  <c r="K38" i="31" s="1"/>
  <c r="I40" i="31"/>
  <c r="K40" i="31" s="1"/>
  <c r="E36" i="24"/>
  <c r="F36" i="24" s="1"/>
  <c r="E32" i="24"/>
  <c r="F32" i="24" s="1"/>
  <c r="E28" i="24"/>
  <c r="F28" i="24" s="1"/>
  <c r="E24" i="24"/>
  <c r="F24" i="24" s="1"/>
  <c r="E20" i="24"/>
  <c r="F20" i="24" s="1"/>
  <c r="E16" i="24"/>
  <c r="F16" i="24" s="1"/>
  <c r="E12" i="24"/>
  <c r="F12" i="24" s="1"/>
  <c r="E25" i="24"/>
  <c r="F25" i="24" s="1"/>
  <c r="E17" i="24"/>
  <c r="F17" i="24" s="1"/>
  <c r="E35" i="24"/>
  <c r="F35" i="24" s="1"/>
  <c r="E31" i="24"/>
  <c r="F31" i="24" s="1"/>
  <c r="E27" i="24"/>
  <c r="F27" i="24" s="1"/>
  <c r="E23" i="24"/>
  <c r="F23" i="24" s="1"/>
  <c r="E19" i="24"/>
  <c r="F19" i="24" s="1"/>
  <c r="E15" i="24"/>
  <c r="F15" i="24" s="1"/>
  <c r="E11" i="24"/>
  <c r="F11" i="24" s="1"/>
  <c r="E33" i="24"/>
  <c r="F33" i="24" s="1"/>
  <c r="E13" i="24"/>
  <c r="F13" i="24" s="1"/>
  <c r="E34" i="24"/>
  <c r="F34" i="24" s="1"/>
  <c r="E30" i="24"/>
  <c r="F30" i="24" s="1"/>
  <c r="E26" i="24"/>
  <c r="F26" i="24" s="1"/>
  <c r="E22" i="24"/>
  <c r="F22" i="24" s="1"/>
  <c r="E18" i="24"/>
  <c r="F18" i="24" s="1"/>
  <c r="E14" i="24"/>
  <c r="F14" i="24" s="1"/>
  <c r="E29" i="24"/>
  <c r="E21" i="24"/>
  <c r="F21" i="24" s="1"/>
  <c r="E10" i="24"/>
  <c r="F10" i="24" s="1"/>
  <c r="E9" i="24"/>
  <c r="F9" i="24" s="1"/>
  <c r="F29" i="24"/>
  <c r="K39" i="31"/>
  <c r="O29" i="31"/>
  <c r="M33" i="31"/>
  <c r="M35" i="31" s="1"/>
  <c r="M37" i="31" s="1"/>
  <c r="G15" i="24" l="1"/>
  <c r="G13" i="24"/>
  <c r="G29" i="24"/>
  <c r="G11" i="24"/>
  <c r="G16" i="24"/>
  <c r="G32" i="24"/>
  <c r="G31" i="24"/>
  <c r="G18" i="24"/>
  <c r="G34" i="24"/>
  <c r="G23" i="24"/>
  <c r="G20" i="24"/>
  <c r="G36" i="24"/>
  <c r="G27" i="24"/>
  <c r="G17" i="24"/>
  <c r="G33" i="24"/>
  <c r="G22" i="24"/>
  <c r="G9" i="24"/>
  <c r="G21" i="24"/>
  <c r="G26" i="24"/>
  <c r="G35" i="24"/>
  <c r="G24" i="24"/>
  <c r="G12" i="24"/>
  <c r="G28" i="24"/>
  <c r="G10" i="24"/>
  <c r="G25" i="24"/>
  <c r="G19" i="24"/>
  <c r="G14" i="24"/>
  <c r="G30" i="24"/>
  <c r="M38" i="31"/>
  <c r="M41" i="31"/>
  <c r="M40" i="31"/>
  <c r="M39" i="31"/>
  <c r="O33" i="31"/>
  <c r="O35" i="31" s="1"/>
  <c r="O37" i="31" s="1"/>
  <c r="Q29" i="31"/>
  <c r="Q33" i="31" s="1"/>
  <c r="Q35" i="31" s="1"/>
  <c r="Q37" i="31" l="1"/>
  <c r="H30" i="24"/>
  <c r="H25" i="24"/>
  <c r="H28" i="24"/>
  <c r="H35" i="24"/>
  <c r="H26" i="24"/>
  <c r="H21" i="24"/>
  <c r="H9" i="24"/>
  <c r="H16" i="24"/>
  <c r="H19" i="24"/>
  <c r="H33" i="24"/>
  <c r="H36" i="24"/>
  <c r="H24" i="24"/>
  <c r="H11" i="24"/>
  <c r="H29" i="24"/>
  <c r="H22" i="24"/>
  <c r="H17" i="24"/>
  <c r="H20" i="24"/>
  <c r="H34" i="24"/>
  <c r="H13" i="24"/>
  <c r="H32" i="24"/>
  <c r="H27" i="24"/>
  <c r="H18" i="24"/>
  <c r="H14" i="24"/>
  <c r="H10" i="24"/>
  <c r="H12" i="24"/>
  <c r="H15" i="24"/>
  <c r="H23" i="24"/>
  <c r="H31" i="24"/>
  <c r="O40" i="31"/>
  <c r="O41" i="31"/>
  <c r="O39" i="31"/>
  <c r="O38" i="31"/>
  <c r="I34" i="24" l="1"/>
  <c r="I32" i="24"/>
  <c r="Q39" i="31"/>
  <c r="I23" i="24"/>
  <c r="I10" i="24"/>
  <c r="I21" i="24"/>
  <c r="I14" i="24"/>
  <c r="I20" i="24"/>
  <c r="I11" i="24"/>
  <c r="I19" i="24"/>
  <c r="Q40" i="31"/>
  <c r="I18" i="24"/>
  <c r="I17" i="24"/>
  <c r="I24" i="24"/>
  <c r="I36" i="24"/>
  <c r="Q41" i="31"/>
  <c r="I31" i="24"/>
  <c r="I35" i="24"/>
  <c r="I22" i="24"/>
  <c r="I33" i="24"/>
  <c r="I16" i="24"/>
  <c r="I28" i="24"/>
  <c r="I15" i="24"/>
  <c r="I27" i="24"/>
  <c r="I30" i="24"/>
  <c r="I29" i="24"/>
  <c r="Q38" i="31"/>
  <c r="I12" i="24"/>
  <c r="I13" i="24"/>
  <c r="I9" i="24"/>
  <c r="I25" i="24"/>
  <c r="I26" i="24"/>
  <c r="V15" i="13" l="1"/>
  <c r="AA15" i="13"/>
  <c r="AB15" i="13" s="1"/>
  <c r="D110" i="13"/>
  <c r="E110" i="13"/>
  <c r="D63" i="13"/>
  <c r="E63" i="13"/>
  <c r="D64" i="13"/>
  <c r="E64" i="13"/>
  <c r="D65" i="13"/>
  <c r="E65" i="13"/>
  <c r="D66" i="13"/>
  <c r="E66" i="13"/>
  <c r="D67" i="13"/>
  <c r="E67" i="13"/>
  <c r="D68" i="13"/>
  <c r="E68" i="13"/>
  <c r="D69" i="13"/>
  <c r="E69" i="13"/>
  <c r="D70" i="13"/>
  <c r="E70" i="13"/>
  <c r="D71" i="13"/>
  <c r="E71" i="13"/>
  <c r="D72" i="13"/>
  <c r="E72" i="13"/>
  <c r="D73" i="13"/>
  <c r="E73" i="13"/>
  <c r="D74" i="13"/>
  <c r="E74" i="13"/>
  <c r="D75" i="13"/>
  <c r="E75" i="13"/>
  <c r="D76" i="13"/>
  <c r="E76" i="13"/>
  <c r="D77" i="13"/>
  <c r="E77" i="13"/>
  <c r="D78" i="13"/>
  <c r="E78" i="13"/>
  <c r="D79" i="13"/>
  <c r="E79" i="13"/>
  <c r="D80" i="13"/>
  <c r="E80" i="13"/>
  <c r="D81" i="13"/>
  <c r="E81" i="13"/>
  <c r="D82" i="13"/>
  <c r="E82" i="13"/>
  <c r="D83" i="13"/>
  <c r="E83" i="13"/>
  <c r="D84" i="13"/>
  <c r="E84" i="13"/>
  <c r="D85" i="13"/>
  <c r="E85" i="13"/>
  <c r="D86" i="13"/>
  <c r="E86" i="13"/>
  <c r="D87" i="13"/>
  <c r="E87" i="13"/>
  <c r="D88" i="13"/>
  <c r="E88" i="13"/>
  <c r="D89" i="13"/>
  <c r="E89" i="13"/>
  <c r="D90" i="13"/>
  <c r="E90" i="13"/>
  <c r="D91" i="13"/>
  <c r="E91" i="13"/>
  <c r="D92" i="13"/>
  <c r="E92" i="13"/>
  <c r="D93" i="13"/>
  <c r="E93" i="13"/>
  <c r="D94" i="13"/>
  <c r="E94" i="13"/>
  <c r="D95" i="13"/>
  <c r="E95" i="13"/>
  <c r="D96" i="13"/>
  <c r="E96" i="13"/>
  <c r="D97" i="13"/>
  <c r="E97" i="13"/>
  <c r="D98" i="13"/>
  <c r="E98" i="13"/>
  <c r="D99" i="13"/>
  <c r="E99" i="13"/>
  <c r="D100" i="13"/>
  <c r="E100" i="13"/>
  <c r="D101" i="13"/>
  <c r="E101" i="13"/>
  <c r="D102" i="13"/>
  <c r="E102" i="13"/>
  <c r="D103" i="13"/>
  <c r="E103" i="13"/>
  <c r="D104" i="13"/>
  <c r="E104" i="13"/>
  <c r="D105" i="13"/>
  <c r="E105" i="13"/>
  <c r="D106" i="13"/>
  <c r="E106" i="13"/>
  <c r="D107" i="13"/>
  <c r="E107" i="13"/>
  <c r="D108" i="13"/>
  <c r="E108" i="13"/>
  <c r="D109" i="13"/>
  <c r="E109" i="13"/>
  <c r="D111" i="13"/>
  <c r="E111" i="13"/>
  <c r="D112" i="13"/>
  <c r="E112" i="13"/>
  <c r="D113" i="13"/>
  <c r="E113" i="13"/>
  <c r="D114" i="13"/>
  <c r="E114" i="13"/>
  <c r="D115" i="13"/>
  <c r="E115" i="13"/>
  <c r="D116" i="13"/>
  <c r="E116" i="13"/>
  <c r="D117" i="13"/>
  <c r="E117" i="13"/>
  <c r="D118" i="13"/>
  <c r="E118" i="13"/>
  <c r="D119" i="13"/>
  <c r="E119" i="13"/>
  <c r="D120" i="13"/>
  <c r="E120" i="13"/>
  <c r="D121" i="13"/>
  <c r="E121" i="13"/>
  <c r="D122" i="13"/>
  <c r="E122" i="13"/>
  <c r="D126" i="13"/>
  <c r="E126" i="13"/>
  <c r="D127" i="13"/>
  <c r="E127" i="13"/>
  <c r="D128" i="13"/>
  <c r="E128" i="13"/>
  <c r="D129" i="13"/>
  <c r="E129" i="13"/>
  <c r="D130" i="13"/>
  <c r="E130" i="13"/>
  <c r="D131" i="13"/>
  <c r="E131" i="13"/>
  <c r="D132" i="13"/>
  <c r="E132" i="13"/>
  <c r="D133" i="13"/>
  <c r="E133" i="13"/>
  <c r="D134" i="13"/>
  <c r="E134" i="13"/>
  <c r="D135" i="13"/>
  <c r="E135" i="13"/>
  <c r="D136" i="13"/>
  <c r="E136" i="13"/>
  <c r="D137" i="13"/>
  <c r="E137" i="13"/>
  <c r="D138" i="13"/>
  <c r="E138" i="13"/>
  <c r="D139" i="13"/>
  <c r="E139" i="13"/>
  <c r="D140" i="13"/>
  <c r="E140" i="13"/>
  <c r="D141" i="13"/>
  <c r="E141" i="13"/>
  <c r="D142" i="13"/>
  <c r="E142" i="13"/>
  <c r="D143" i="13"/>
  <c r="E143" i="13"/>
  <c r="D144" i="13"/>
  <c r="E144" i="13"/>
  <c r="D145" i="13"/>
  <c r="E145" i="13"/>
  <c r="D146" i="13"/>
  <c r="E146" i="13"/>
  <c r="D147" i="13"/>
  <c r="E147" i="13"/>
  <c r="D148" i="13"/>
  <c r="E148" i="13"/>
  <c r="D149" i="13"/>
  <c r="E149" i="13"/>
  <c r="D150" i="13"/>
  <c r="E150" i="13"/>
  <c r="D151" i="13"/>
  <c r="E151" i="13"/>
  <c r="D152" i="13"/>
  <c r="E152" i="13"/>
  <c r="D153" i="13"/>
  <c r="E153" i="13"/>
  <c r="D154" i="13"/>
  <c r="E154" i="13"/>
  <c r="D155" i="13"/>
  <c r="E155" i="13"/>
  <c r="D156" i="13"/>
  <c r="E156" i="13"/>
  <c r="D157" i="13"/>
  <c r="E157" i="13"/>
  <c r="D158" i="13"/>
  <c r="E158" i="13"/>
  <c r="D159" i="13"/>
  <c r="E159" i="13"/>
  <c r="D160" i="13"/>
  <c r="E160" i="13"/>
  <c r="D161" i="13"/>
  <c r="E161" i="13"/>
  <c r="D162" i="13"/>
  <c r="E162" i="13"/>
  <c r="D163" i="13"/>
  <c r="E163" i="13"/>
  <c r="D164" i="13"/>
  <c r="E164" i="13"/>
  <c r="D165" i="13"/>
  <c r="E165" i="13"/>
  <c r="D166" i="13"/>
  <c r="E166" i="13"/>
  <c r="D167" i="13"/>
  <c r="E167" i="13"/>
  <c r="D168" i="13"/>
  <c r="E168" i="13"/>
  <c r="D169" i="13"/>
  <c r="E169" i="13"/>
  <c r="D170" i="13"/>
  <c r="E170" i="13"/>
  <c r="D171" i="13"/>
  <c r="E171" i="13"/>
  <c r="D172" i="13"/>
  <c r="E172" i="13"/>
  <c r="D173" i="13"/>
  <c r="E173" i="13"/>
  <c r="D174" i="13"/>
  <c r="E174" i="13"/>
  <c r="D175" i="13"/>
  <c r="E175" i="13"/>
  <c r="D176" i="13"/>
  <c r="E176" i="13"/>
  <c r="D177" i="13"/>
  <c r="E177" i="13"/>
  <c r="D178" i="13"/>
  <c r="E178" i="13"/>
  <c r="D179" i="13"/>
  <c r="E179" i="13"/>
  <c r="D180" i="13"/>
  <c r="E180" i="13"/>
  <c r="D181" i="13"/>
  <c r="E181" i="13"/>
  <c r="D182" i="13"/>
  <c r="E182" i="13"/>
  <c r="D183" i="13"/>
  <c r="E183" i="13"/>
  <c r="D184" i="13"/>
  <c r="E184" i="13"/>
  <c r="D185" i="13"/>
  <c r="E185" i="13"/>
  <c r="D186" i="13"/>
  <c r="E186" i="13"/>
  <c r="D187" i="13"/>
  <c r="E187" i="13"/>
  <c r="D188" i="13"/>
  <c r="E188" i="13"/>
  <c r="D189" i="13"/>
  <c r="E189" i="13"/>
  <c r="D190" i="13"/>
  <c r="E190" i="13"/>
  <c r="D191" i="13"/>
  <c r="E191" i="13"/>
  <c r="D192" i="13"/>
  <c r="E192" i="13"/>
  <c r="D193" i="13"/>
  <c r="E193" i="13"/>
  <c r="D194" i="13"/>
  <c r="E194" i="13"/>
  <c r="D195" i="13"/>
  <c r="E195" i="13"/>
  <c r="D196" i="13"/>
  <c r="E196" i="13"/>
  <c r="D197" i="13"/>
  <c r="E197" i="13"/>
  <c r="D198" i="13"/>
  <c r="E198" i="13"/>
  <c r="D199" i="13"/>
  <c r="E199" i="13"/>
  <c r="D200" i="13"/>
  <c r="E200" i="13"/>
  <c r="D201" i="13"/>
  <c r="E201" i="13"/>
  <c r="D202" i="13"/>
  <c r="E202" i="13"/>
  <c r="D203" i="13"/>
  <c r="E203" i="13"/>
  <c r="D204" i="13"/>
  <c r="E204" i="13"/>
  <c r="D205" i="13"/>
  <c r="E205" i="13"/>
  <c r="D206" i="13"/>
  <c r="E206" i="13"/>
  <c r="D207" i="13"/>
  <c r="E207" i="13"/>
  <c r="D208" i="13"/>
  <c r="E208" i="13"/>
  <c r="D209" i="13"/>
  <c r="E209" i="13"/>
  <c r="D210" i="13"/>
  <c r="E210" i="13"/>
  <c r="D211" i="13"/>
  <c r="E211" i="13"/>
  <c r="D212" i="13"/>
  <c r="E212" i="13"/>
  <c r="B213" i="13"/>
  <c r="C213" i="13"/>
  <c r="D213" i="13"/>
  <c r="E213" i="13"/>
  <c r="D214" i="13"/>
  <c r="E214" i="13"/>
  <c r="D215" i="13"/>
  <c r="E215" i="13"/>
  <c r="D216" i="13"/>
  <c r="E216" i="13"/>
  <c r="D217" i="13"/>
  <c r="E217" i="13"/>
  <c r="D218" i="13"/>
  <c r="E218" i="13"/>
  <c r="D219" i="13"/>
  <c r="E219" i="13"/>
  <c r="D220" i="13"/>
  <c r="E220" i="13"/>
  <c r="D221" i="13"/>
  <c r="E221" i="13"/>
  <c r="D222" i="13"/>
  <c r="E222" i="13"/>
  <c r="D223" i="13"/>
  <c r="E223" i="13"/>
  <c r="D15" i="13"/>
  <c r="E15" i="13"/>
  <c r="D26" i="13"/>
  <c r="E26" i="13"/>
  <c r="B16" i="13"/>
  <c r="C16" i="13"/>
  <c r="D16" i="13"/>
  <c r="E16" i="13"/>
  <c r="W15" i="13" l="1"/>
  <c r="AF15" i="13" s="1"/>
  <c r="D7" i="19" l="1"/>
  <c r="X15" i="13"/>
  <c r="Y15" i="13" s="1"/>
  <c r="AG15" i="13" l="1"/>
  <c r="E7" i="19" l="1"/>
  <c r="E46" i="13"/>
  <c r="E45" i="13"/>
  <c r="D45" i="13"/>
  <c r="D46" i="13"/>
  <c r="C8" i="19" l="1"/>
  <c r="D22" i="13" l="1"/>
  <c r="D30" i="13" l="1"/>
  <c r="D61" i="13"/>
  <c r="D44" i="13"/>
  <c r="D43" i="13"/>
  <c r="D29" i="13"/>
  <c r="D31" i="13"/>
  <c r="D33" i="13"/>
  <c r="D41" i="13"/>
  <c r="D42" i="13"/>
  <c r="D25" i="13"/>
  <c r="D27" i="13"/>
  <c r="D18" i="13"/>
  <c r="D20" i="13"/>
  <c r="D28" i="13"/>
  <c r="D62" i="13"/>
  <c r="D23" i="13"/>
  <c r="D24" i="13"/>
  <c r="D21" i="13"/>
  <c r="E30" i="13"/>
  <c r="E61" i="13"/>
  <c r="E44" i="13"/>
  <c r="E43" i="13"/>
  <c r="E29" i="13"/>
  <c r="E31" i="13"/>
  <c r="E33" i="13"/>
  <c r="E41" i="13"/>
  <c r="E42" i="13"/>
  <c r="E25" i="13"/>
  <c r="E27" i="13"/>
  <c r="E18" i="13"/>
  <c r="E20" i="13"/>
  <c r="E28" i="13"/>
  <c r="E62" i="13"/>
  <c r="E23" i="13"/>
  <c r="E24" i="13"/>
  <c r="E21" i="13"/>
  <c r="E38" i="13"/>
  <c r="D38" i="13"/>
  <c r="E37" i="13"/>
  <c r="D37" i="13"/>
  <c r="E36" i="13"/>
  <c r="D36" i="13"/>
  <c r="E35" i="13"/>
  <c r="D35" i="13"/>
  <c r="E34" i="13"/>
  <c r="D34" i="13"/>
  <c r="E32" i="13"/>
  <c r="D32" i="13"/>
  <c r="E60" i="13"/>
  <c r="D60" i="13"/>
  <c r="E59" i="13"/>
  <c r="D59" i="13"/>
  <c r="E58" i="13"/>
  <c r="D58" i="13"/>
  <c r="E57" i="13"/>
  <c r="D57" i="13"/>
  <c r="E19" i="13"/>
  <c r="D19" i="13"/>
  <c r="E17" i="13"/>
  <c r="D17" i="13"/>
  <c r="E56" i="13"/>
  <c r="D56" i="13"/>
  <c r="E55" i="13"/>
  <c r="D55" i="13"/>
  <c r="E54" i="13"/>
  <c r="D54" i="13"/>
  <c r="E53" i="13"/>
  <c r="D53" i="13"/>
  <c r="E52" i="13"/>
  <c r="D52" i="13"/>
  <c r="E51" i="13"/>
  <c r="D51" i="13"/>
  <c r="E50" i="13"/>
  <c r="D50" i="13"/>
  <c r="E49" i="13"/>
  <c r="D49" i="13"/>
  <c r="E48" i="13"/>
  <c r="D48" i="13"/>
  <c r="E47" i="13"/>
  <c r="D47" i="13"/>
  <c r="G28" i="22" l="1"/>
  <c r="H25" i="25" l="1"/>
  <c r="E13" i="19" l="1"/>
  <c r="D13" i="19" l="1"/>
  <c r="AH15" i="13" l="1"/>
  <c r="F7" i="19" l="1"/>
  <c r="C12" i="19"/>
  <c r="G12" i="19" s="1"/>
  <c r="G13" i="19" l="1"/>
  <c r="D8" i="19"/>
  <c r="E8" i="19" l="1"/>
  <c r="F8" i="19"/>
  <c r="C13" i="19" l="1"/>
</calcChain>
</file>

<file path=xl/sharedStrings.xml><?xml version="1.0" encoding="utf-8"?>
<sst xmlns="http://schemas.openxmlformats.org/spreadsheetml/2006/main" count="2420" uniqueCount="920">
  <si>
    <t>1 x per maand</t>
  </si>
  <si>
    <t>5 x per week</t>
  </si>
  <si>
    <t>5w</t>
  </si>
  <si>
    <t xml:space="preserve"> </t>
  </si>
  <si>
    <t>Vakantiedagen, -toeslag, feestdagen</t>
  </si>
  <si>
    <t>Suppletie ziekengeld</t>
  </si>
  <si>
    <t>Sociale lasten</t>
  </si>
  <si>
    <t>Materialen</t>
  </si>
  <si>
    <t>Middelen</t>
  </si>
  <si>
    <t>Afschrijving machines</t>
  </si>
  <si>
    <t>Directe leiding</t>
  </si>
  <si>
    <t>Indirecte leiding</t>
  </si>
  <si>
    <t>3 x per week</t>
  </si>
  <si>
    <t>1 x per week</t>
  </si>
  <si>
    <t>2 x per week</t>
  </si>
  <si>
    <t>1w</t>
  </si>
  <si>
    <t>1m</t>
  </si>
  <si>
    <t>2w</t>
  </si>
  <si>
    <t>3w</t>
  </si>
  <si>
    <t>10w</t>
  </si>
  <si>
    <t>4w</t>
  </si>
  <si>
    <t>4 x per week</t>
  </si>
  <si>
    <t>Sanitair</t>
  </si>
  <si>
    <t>Ruimte code</t>
  </si>
  <si>
    <t>Weekend</t>
  </si>
  <si>
    <t>2ww</t>
  </si>
  <si>
    <t>1ww</t>
  </si>
  <si>
    <t>1 x per weekend</t>
  </si>
  <si>
    <t>2 x per weekend</t>
  </si>
  <si>
    <t>5 x per week met naloop</t>
  </si>
  <si>
    <t>Plaats</t>
  </si>
  <si>
    <t>Gebouw gedeelte</t>
  </si>
  <si>
    <t>Oppervlak (netto)</t>
  </si>
  <si>
    <t>Totaal</t>
  </si>
  <si>
    <t>Code</t>
  </si>
  <si>
    <t>Tariefsopbouw</t>
  </si>
  <si>
    <t>kosten / jaar</t>
  </si>
  <si>
    <t>uren / jaar</t>
  </si>
  <si>
    <t>Tapijt</t>
  </si>
  <si>
    <t>Vloer afwerking</t>
  </si>
  <si>
    <t>Entree</t>
  </si>
  <si>
    <t>Glasbewassing</t>
  </si>
  <si>
    <t>Wassen handdoeken</t>
  </si>
  <si>
    <t>Prijs per stuk</t>
  </si>
  <si>
    <t>Wassen theedoeken</t>
  </si>
  <si>
    <t>prijs per stuk</t>
  </si>
  <si>
    <t>Verwijderen kauwgom buitenterrein</t>
  </si>
  <si>
    <t>Vlek verwijderen textiele bekleding zitvlak stoelen</t>
  </si>
  <si>
    <t>Prijs per beurt</t>
  </si>
  <si>
    <t xml:space="preserve">Reinigen van plafonds </t>
  </si>
  <si>
    <t>prijs per m²</t>
  </si>
  <si>
    <t>Reinigen van vitrage</t>
  </si>
  <si>
    <t>Reinigen van kunststoflamellen</t>
  </si>
  <si>
    <t>Reinigen van stoffenlamellen</t>
  </si>
  <si>
    <t>Reinigen van horizontale kunststoflamellen (luxaflex)</t>
  </si>
  <si>
    <t xml:space="preserve">Het verwijderen van aanslag per unit incl. (de-)montage </t>
  </si>
  <si>
    <t>Het desinfecteren van alle sanitaire onderdelen</t>
  </si>
  <si>
    <t>prijs per toiletunit</t>
  </si>
  <si>
    <t xml:space="preserve">Vegen van het buitenterrein </t>
  </si>
  <si>
    <t>Magazijnen/bergingen</t>
  </si>
  <si>
    <t>Kantoren</t>
  </si>
  <si>
    <t>Reproruimte</t>
  </si>
  <si>
    <t>Gangen/hallen</t>
  </si>
  <si>
    <t>Trappenhuizen/lift</t>
  </si>
  <si>
    <t>Keuken/pantry</t>
  </si>
  <si>
    <t>Kleedruimten</t>
  </si>
  <si>
    <t>Niet in onderhoud</t>
  </si>
  <si>
    <t>Postcode</t>
  </si>
  <si>
    <t>Adres</t>
  </si>
  <si>
    <t>Inspectie categorie</t>
  </si>
  <si>
    <t>Schoonmaakmedewerker</t>
  </si>
  <si>
    <t>Specialist</t>
  </si>
  <si>
    <t>Meewerkend leidinggevende</t>
  </si>
  <si>
    <t>Totaal geindexeerd uurloon</t>
  </si>
  <si>
    <r>
      <t>Prijs per m</t>
    </r>
    <r>
      <rPr>
        <vertAlign val="superscript"/>
        <sz val="9"/>
        <rFont val="Verdana"/>
        <family val="2"/>
      </rPr>
      <t>2</t>
    </r>
  </si>
  <si>
    <t>Loonkosten:</t>
  </si>
  <si>
    <t>Directe kosten:</t>
  </si>
  <si>
    <t>Indirecte kosten:</t>
  </si>
  <si>
    <t>Overheadkosten</t>
  </si>
  <si>
    <t>Winst en risico</t>
  </si>
  <si>
    <t>Loon:</t>
  </si>
  <si>
    <t>Subtotaal Loonkosten</t>
  </si>
  <si>
    <t>Subtotaal Directe kosten</t>
  </si>
  <si>
    <t>Subtotaal Indirecte kosten</t>
  </si>
  <si>
    <t>% v.h. loon</t>
  </si>
  <si>
    <t>% v.h. loon incl. loonkosten</t>
  </si>
  <si>
    <t>Rekentarieven</t>
  </si>
  <si>
    <t>€</t>
  </si>
  <si>
    <t>Standaard</t>
  </si>
  <si>
    <t>Eindejaarsuitkering</t>
  </si>
  <si>
    <t>Overige directe kosten</t>
  </si>
  <si>
    <t>Overige indirecte kosten</t>
  </si>
  <si>
    <t>Overige loonkosten</t>
  </si>
  <si>
    <t>Ochtend/avond</t>
  </si>
  <si>
    <t>ma. t/m vr. 6:00 - 21:30 uur</t>
  </si>
  <si>
    <t>ma. t/m vr. 21:30 - 6:00 uur</t>
  </si>
  <si>
    <t>vr. 21:30 t/m ma. 6:00 uur</t>
  </si>
  <si>
    <t>Feestdag</t>
  </si>
  <si>
    <t>Erkende feestdagen</t>
  </si>
  <si>
    <t>Tarief 
excl. 21% BTW</t>
  </si>
  <si>
    <t>Tarief 
incl. 21% BTW</t>
  </si>
  <si>
    <t>% opslag op loonkosten</t>
  </si>
  <si>
    <t>Tarief</t>
  </si>
  <si>
    <t xml:space="preserve">Over te nemen personeel </t>
  </si>
  <si>
    <t>Totale berekende productieve ureninzet (contractjaar 1)</t>
  </si>
  <si>
    <t>Norm (5w)</t>
  </si>
  <si>
    <t>Ruimte omschrijving</t>
  </si>
  <si>
    <t>Vloersoort omschrijving</t>
  </si>
  <si>
    <t>Aanpassing norm</t>
  </si>
  <si>
    <t>T</t>
  </si>
  <si>
    <t>L</t>
  </si>
  <si>
    <t>S</t>
  </si>
  <si>
    <t>P</t>
  </si>
  <si>
    <t>Vloerafwerkingen met beschermlaag, zoals linoleum, marmoleum e.d.</t>
  </si>
  <si>
    <t>Textiele vloerafwerking, zoals tapijt, schoonloopmat, flotex e.d.</t>
  </si>
  <si>
    <t>Vloeren zonder beschermlaag, die wel behandeling nodig hebben, zoals pvc e.d.</t>
  </si>
  <si>
    <t>Aanpassing standaardnorm o.b.v. frequentie</t>
  </si>
  <si>
    <t>Frequentie omschrijving</t>
  </si>
  <si>
    <t>2,5w</t>
  </si>
  <si>
    <t>2,5 x per week (om-de-dag)</t>
  </si>
  <si>
    <t>Prestatie</t>
  </si>
  <si>
    <t>Etage</t>
  </si>
  <si>
    <t>Ruimtesoort</t>
  </si>
  <si>
    <t>Vloer code</t>
  </si>
  <si>
    <t>Frequentie weekend</t>
  </si>
  <si>
    <t>Aantal weken/jr</t>
  </si>
  <si>
    <t>Frequentie</t>
  </si>
  <si>
    <t>Prest. (m2 /jaar)</t>
  </si>
  <si>
    <t>Steen</t>
  </si>
  <si>
    <t>PVC</t>
  </si>
  <si>
    <t>Pantry</t>
  </si>
  <si>
    <t>Naam</t>
  </si>
  <si>
    <t>Lino</t>
  </si>
  <si>
    <t>Oppervlakte n.i.o.</t>
  </si>
  <si>
    <t>Uitvoeringen</t>
  </si>
  <si>
    <t>uren / jaar werkdagen</t>
  </si>
  <si>
    <t>kosten / jaar werkdagen</t>
  </si>
  <si>
    <t>Uitvoeringen werkdagen</t>
  </si>
  <si>
    <t>Norm (m2/uur) werkdagen</t>
  </si>
  <si>
    <t>Prest. (m2 /jaar) werkdagen</t>
  </si>
  <si>
    <t>Norm (m2/uur) weekend</t>
  </si>
  <si>
    <t>Prest. (m2 /jaar) weekend</t>
  </si>
  <si>
    <t>uren / jaar weekend</t>
  </si>
  <si>
    <t>kosten / jaar weekend</t>
  </si>
  <si>
    <t>Uitvoeringen weekend</t>
  </si>
  <si>
    <t>Locatie</t>
  </si>
  <si>
    <t>Glassoort/voorziening</t>
  </si>
  <si>
    <t>Kosten/jaar excl. BTW</t>
  </si>
  <si>
    <t>Gevelglas buitenzijde</t>
  </si>
  <si>
    <t>Prijs per m2 per beurt</t>
  </si>
  <si>
    <t>Separatieglas (enkel gemeten, dubbel te wassen)</t>
  </si>
  <si>
    <t>Eenheid</t>
  </si>
  <si>
    <t>Prijs</t>
  </si>
  <si>
    <t>Hoogwerker buiten max 12 meter</t>
  </si>
  <si>
    <t>Hoogwerker buiten max 16 meter</t>
  </si>
  <si>
    <t>Hoogwerker buiten max 20 meter</t>
  </si>
  <si>
    <t>Oppervlakte of dagen</t>
  </si>
  <si>
    <t>H1</t>
  </si>
  <si>
    <t>H2</t>
  </si>
  <si>
    <t>H3</t>
  </si>
  <si>
    <t>Werkzaamheden</t>
  </si>
  <si>
    <t>Prijs per m2 per beurt, incl. in- en uitruimen</t>
  </si>
  <si>
    <t>Prijs per m2 per beurt, incl. in- en uitruimen, minimaal 2 lagen, kruislings</t>
  </si>
  <si>
    <t>Vloersoort</t>
  </si>
  <si>
    <t>Oppervlakte</t>
  </si>
  <si>
    <t>Diepstrippen, sealen en conserveren</t>
  </si>
  <si>
    <t>Schuren en lakken houten vloer</t>
  </si>
  <si>
    <t>Frequentie (uitv./jaar)</t>
  </si>
  <si>
    <t>Handmatig schrobben en droogzuigen</t>
  </si>
  <si>
    <t>Vloeronderhoud</t>
  </si>
  <si>
    <t>Ruimtestaat</t>
  </si>
  <si>
    <t>Oppervlakte i/o</t>
  </si>
  <si>
    <t>Uren / jaar</t>
  </si>
  <si>
    <t>Kosten / jaar</t>
  </si>
  <si>
    <t>Glasbewassing
Kosten / jaar</t>
  </si>
  <si>
    <t>Vloeronderhoud
Kosten / jaar</t>
  </si>
  <si>
    <t>Totalisatie (excl. BTW)</t>
  </si>
  <si>
    <t>Kolom1</t>
  </si>
  <si>
    <t>Schoonmaakonderhoud
Kosten / jaar</t>
  </si>
  <si>
    <t>Prijs excl. BTW</t>
  </si>
  <si>
    <t xml:space="preserve">Aan genoemde aantallen kunnen geen rechten worden ontleend. </t>
  </si>
  <si>
    <t>Regie- en afroepwerkzaamheden</t>
  </si>
  <si>
    <t>Genoemde aantallen zijn fictief en dienen om een vergelijkingsprijs op te stellen</t>
  </si>
  <si>
    <t>Werkzaamheid</t>
  </si>
  <si>
    <t>Prijs per uur</t>
  </si>
  <si>
    <t>Regiewerkzaamheden (schoonmaakonderhoud, ma-vr. tussen 6:00 en 21:30)</t>
  </si>
  <si>
    <t>Specialistische regiewerkzaamheden  (ma-vr. tussen 6:00 en 21:30)</t>
  </si>
  <si>
    <t>Cateringwerkzaamheden (ma-vr. tussen 6:00 en 21:30)</t>
  </si>
  <si>
    <t>Prijs per stuk per beurt</t>
  </si>
  <si>
    <t>Vaatwasser inruimen, activeren en uitruimen</t>
  </si>
  <si>
    <t>Reinigen koelkast binnen- en buitenzijde</t>
  </si>
  <si>
    <t>Reinigen van magnetron binnen- en buitenzijde</t>
  </si>
  <si>
    <t>Reinigen van koffieautomaat binnen- en buitenzijde</t>
  </si>
  <si>
    <t>Calamiteitenservice inclusief materialen en middelen</t>
  </si>
  <si>
    <t>Buiten</t>
  </si>
  <si>
    <t>Intensief reinigen voegen tegelwanden</t>
  </si>
  <si>
    <r>
      <t>Prijs per m</t>
    </r>
    <r>
      <rPr>
        <vertAlign val="superscript"/>
        <sz val="9"/>
        <rFont val="Verdana"/>
        <family val="2"/>
      </rPr>
      <t xml:space="preserve">2 </t>
    </r>
    <r>
      <rPr>
        <sz val="9"/>
        <rFont val="Verdana"/>
        <family val="2"/>
      </rPr>
      <t>per beurt</t>
    </r>
  </si>
  <si>
    <t>Regie per uur</t>
  </si>
  <si>
    <t>De opgegeven prijzen zijn tijdens de gehele contractduur van toepassing als afroepprijs.</t>
  </si>
  <si>
    <t>Machinaal schrobben en droogzuigen</t>
  </si>
  <si>
    <t>Textiel reinigen</t>
  </si>
  <si>
    <t>Dieptereiniging sanitair</t>
  </si>
  <si>
    <t>Fantomatten sanitaire ruimte</t>
  </si>
  <si>
    <t>Stoomreinigen sanitaire ruimte</t>
  </si>
  <si>
    <t>Klein technisch onderhoud, verhelpen techische gebreken</t>
  </si>
  <si>
    <t>Wanden en plafonds</t>
  </si>
  <si>
    <t>Volledig (diep)reinigen van de deur (beide zijden), (tegel-)wanden, vloeren en putjes (in- en uitwendig)</t>
  </si>
  <si>
    <t>Kolom2</t>
  </si>
  <si>
    <t>Inspectiecategorie</t>
  </si>
  <si>
    <t>Gemiddeld brutoloon</t>
  </si>
  <si>
    <t>Code Locatie</t>
  </si>
  <si>
    <t>Code Taak</t>
  </si>
  <si>
    <t>Code taak</t>
  </si>
  <si>
    <t>Omschrijving2</t>
  </si>
  <si>
    <r>
      <rPr>
        <b/>
        <sz val="9"/>
        <rFont val="Verdana"/>
        <family val="2"/>
      </rPr>
      <t>Alle</t>
    </r>
    <r>
      <rPr>
        <sz val="9"/>
        <rFont val="Verdana"/>
        <family val="2"/>
      </rPr>
      <t xml:space="preserve"> groen gearceerde velden dienen ingevuld te worden, overige cellen mogen niet gewijzigd worden</t>
    </r>
  </si>
  <si>
    <t>Alle groen gearceerde velden dienen ingevuld te worden, overige cellen mogen niet gewijzigd worden</t>
  </si>
  <si>
    <r>
      <t xml:space="preserve">Alle </t>
    </r>
    <r>
      <rPr>
        <sz val="9"/>
        <rFont val="Verdana"/>
        <family val="2"/>
      </rPr>
      <t>groen gearceerde velden dienen ingevuld te worden, overige cellen mogen niet gewijzigd worden</t>
    </r>
  </si>
  <si>
    <t>Totalisatie</t>
  </si>
  <si>
    <t>Totaalprijs
Kosten / jaar</t>
  </si>
  <si>
    <t>Locaties</t>
  </si>
  <si>
    <t>Rechtsgeldig ondertekening</t>
  </si>
  <si>
    <t>Functie</t>
  </si>
  <si>
    <t>Plaats, datum</t>
  </si>
  <si>
    <t>Handtekening</t>
  </si>
  <si>
    <t>Naam Inschrijver:</t>
  </si>
  <si>
    <t>% van de prod. uren</t>
  </si>
  <si>
    <t>Samenvatting schoonmaakonderhoud</t>
  </si>
  <si>
    <t>prijs per toiletunit*</t>
  </si>
  <si>
    <t>* zie tabblad Werkprogramma voor definities</t>
  </si>
  <si>
    <r>
      <t>Alle groen gearceerde velden dienen ingevuld te worden, overige cellen mogen niet gewijzigd worden (</t>
    </r>
    <r>
      <rPr>
        <sz val="9"/>
        <rFont val="Verdana"/>
        <family val="2"/>
      </rPr>
      <t>m.u.v. de tabel Rechtsgeldige Ondertekening), waar alle stippellijnen ingevuld dienen te worden)</t>
    </r>
  </si>
  <si>
    <t>……………</t>
  </si>
  <si>
    <t>Lichtkoepels (enkel gemeten, dubbel te wassen)</t>
  </si>
  <si>
    <t>Gevelglas binnenzijde</t>
  </si>
  <si>
    <t>V  (Verkeersruimte)</t>
  </si>
  <si>
    <t>S  (Sanitair)</t>
  </si>
  <si>
    <t>L  (Lesruimte)</t>
  </si>
  <si>
    <t>B  (Bureauruimte)</t>
  </si>
  <si>
    <t>Sp  (Sportruimte)</t>
  </si>
  <si>
    <t>De opgegeven prijzen zijn tijdens de gehele contractduur van toepassing als all-in afroepprijs.</t>
  </si>
  <si>
    <t>Aanpassing standaardnorm schoonmaakonderhoud o.b.v. locatie</t>
  </si>
  <si>
    <t>Standaardnorm schoonmaakonderhoud per ruimtegroep / werkprogramma</t>
  </si>
  <si>
    <t>Aanpassing standaardnorm schoonmaakonderhoud o.b.v. vloersoort</t>
  </si>
  <si>
    <t>Volledig reinigen kunststofwanden (maximaal 6 meter hoog)</t>
  </si>
  <si>
    <t>Volledig reinigen geschilderde wanden (maximaal 6 meter hoog)</t>
  </si>
  <si>
    <t>Volledig reinigen tegelwanden (maximaal 6 meter hoog)</t>
  </si>
  <si>
    <t xml:space="preserve">Opdrachtgever heeft tijdens de gehele contractduur het recht frequenties en uitvoermomenten aan te passen of werkzaamheden aan derden uit te besteden. </t>
  </si>
  <si>
    <t>Werkdagen</t>
  </si>
  <si>
    <t>Weekenddagen</t>
  </si>
  <si>
    <t>Totaal (werkdagen + weekenddagen</t>
  </si>
  <si>
    <t>Reinigen van keukenkastjes binnen- en buitenzijde</t>
  </si>
  <si>
    <t>Vloersoort / toelichting</t>
  </si>
  <si>
    <t>Garderobe</t>
  </si>
  <si>
    <t>Prijs per strekkende meter, incl materialen en middelen</t>
  </si>
  <si>
    <t>H4</t>
  </si>
  <si>
    <t>Spinhoogwerker</t>
  </si>
  <si>
    <t>Opmerking 1</t>
  </si>
  <si>
    <t>Vliesgevel/boeiboord/damwand</t>
  </si>
  <si>
    <t>Geboorte- datum</t>
  </si>
  <si>
    <t>Branche datum</t>
  </si>
  <si>
    <t>Soort  contract</t>
  </si>
  <si>
    <t>Aantal uur op object</t>
  </si>
  <si>
    <t>Functiecode</t>
  </si>
  <si>
    <t>Loongroep</t>
  </si>
  <si>
    <t>Basis-uurloon</t>
  </si>
  <si>
    <t>OT Dienstjaren</t>
  </si>
  <si>
    <t>VET toeslag</t>
  </si>
  <si>
    <t>Pers. Toeslag</t>
  </si>
  <si>
    <t>Reiskosten boven CAO voor 31-12-2007 afgesproken</t>
  </si>
  <si>
    <t>In het bezit van basisvak-diploma? Ja/Nee</t>
  </si>
  <si>
    <t>Lift</t>
  </si>
  <si>
    <t>Linoleum</t>
  </si>
  <si>
    <t>Opleverstaat schoonmaak</t>
  </si>
  <si>
    <t>Element</t>
  </si>
  <si>
    <t>Onderdeel</t>
  </si>
  <si>
    <t>Reinheidsniveau</t>
  </si>
  <si>
    <t>Acceptabel</t>
  </si>
  <si>
    <t>(dagelijks toegestane afwijking)</t>
  </si>
  <si>
    <t>Inventaris :</t>
  </si>
  <si>
    <t>Algemeen</t>
  </si>
  <si>
    <t>Alle inventarisonderdelen dienen vrij te zijn van: stickers, lijmresten en kauwgom.</t>
  </si>
  <si>
    <t xml:space="preserve">Aanrechtblad </t>
  </si>
  <si>
    <t>Geheel buitenzijde</t>
  </si>
  <si>
    <t>Stof-, vlek-, aanslag en streepvrij</t>
  </si>
  <si>
    <t>Lichte stofvorming, enkele vingertasten en zichtbare vlekken max. 1 tot 3 st.</t>
  </si>
  <si>
    <t>Audiovisuele middelen</t>
  </si>
  <si>
    <t>Lichte stofvorming bovenzijde</t>
  </si>
  <si>
    <t>Afvalbak/prullenbak</t>
  </si>
  <si>
    <t>Inhoud, plastic zak</t>
  </si>
  <si>
    <t>Inhoud geleegd, schone plastic zak aanwezig. Afwezigheid van fruitvliegjes</t>
  </si>
  <si>
    <t>Lichte stofvorming, enkele vinger tasten of kleine zichtbare vlekken max 3 tot 7 st.</t>
  </si>
  <si>
    <t>Geheel</t>
  </si>
  <si>
    <t>Stof-, vlek-, aanslag en streepvrij. Afwezigheid van fruitvliegjes.</t>
  </si>
  <si>
    <t>Afval</t>
  </si>
  <si>
    <t>Afgevoerd naar containers</t>
  </si>
  <si>
    <t>Balie</t>
  </si>
  <si>
    <t>Enkele vinger tasten of kleine zichtbare vlekken max 1 tot 3 st.</t>
  </si>
  <si>
    <t>Brandblusapparatuur</t>
  </si>
  <si>
    <t>Lichte stofvorming</t>
  </si>
  <si>
    <t>Bureau/Tafel/Incl. onderlegger</t>
  </si>
  <si>
    <t>Enkele vinger tasten of kleine zichtbare vlekken, max. 3 tot 7 st.</t>
  </si>
  <si>
    <t>Bureaulamp</t>
  </si>
  <si>
    <t>Enkele vinger tasten of kleine zichtbare vlekken, max. 3 tot 7 st., lichte stofvorming op voetlamp</t>
  </si>
  <si>
    <t>Kapstok/Garderoberek</t>
  </si>
  <si>
    <t>Lichte stofvorming, enkele vinger tasten en zichtbare vlekken max. 1 tot 3 st.</t>
  </si>
  <si>
    <t>Kast hoog</t>
  </si>
  <si>
    <t>Lichte stofvorming bovenzijde, enkele vinger tasten of kleine zichtbare vlekken max 3 tot 7 st.</t>
  </si>
  <si>
    <t>Kast laag/Ladenblok</t>
  </si>
  <si>
    <t>Enkele vinger tasten of kleine zichtbare vlekken, max. 3 tot 7 st</t>
  </si>
  <si>
    <t>Lampen</t>
  </si>
  <si>
    <t>Locker</t>
  </si>
  <si>
    <t>Papierbak</t>
  </si>
  <si>
    <t>Inhoud</t>
  </si>
  <si>
    <t>Inhoud geleegd, stof en vlekvrij</t>
  </si>
  <si>
    <t>PC, incl. toebehoren</t>
  </si>
  <si>
    <t>Lichte stofvorming bovenzijde, enkele vinger tasten en kleine zichtbare vlekken max. 1 tot 3 st.</t>
  </si>
  <si>
    <t>Plantenbak</t>
  </si>
  <si>
    <t>Enkele vinger tasten of kleine zichtbare vlekken max. 3 tot 7 st., enkele schopstrepen max. 3 tot 7 st.</t>
  </si>
  <si>
    <t>Plinten/kabelgoten</t>
  </si>
  <si>
    <t>Lichte stofvorming bovenzijde, enkele vinger tasten of zichtbare vlekken max 7 tot 10 st., enkele schopstrepen max. 3 tot 7 st</t>
  </si>
  <si>
    <t>Printer/copier</t>
  </si>
  <si>
    <t>Stoel/bank/kruk</t>
  </si>
  <si>
    <t>Licht stofvorming in naden, enkele vinger tasten of kleine zichtbare vlekken max. 3 tot 7 st. op achterzijde leuning</t>
  </si>
  <si>
    <t>Telefoon</t>
  </si>
  <si>
    <t>Vitrinekast</t>
  </si>
  <si>
    <t>Whiteboard/Schoolbord/Krijtrichel</t>
  </si>
  <si>
    <t>Bouwdelen :</t>
  </si>
  <si>
    <t>Alle bouwdelen dienen vrij te zijn van: stickers, lijmresten en kauwgom.</t>
  </si>
  <si>
    <t>Deur/deurglas</t>
  </si>
  <si>
    <t>Enkele vinger tasten of kleine zichtbare vlekken max. 7 tot 10 stuks, enkele schopstrepen max. 1 tot 3 st.</t>
  </si>
  <si>
    <t>Glas binnenzijde</t>
  </si>
  <si>
    <t>Enkele vinger tasten of kleine zichtbare vlekken max. 3 tot 7 st.</t>
  </si>
  <si>
    <t>Kabelgoot</t>
  </si>
  <si>
    <t>Lichte stofvorming bovenzijde, enkele vinger tasten of zichtbare vlekken max 7 tot 10 st., enkele schopstrepen max. 3 tot 7 st.</t>
  </si>
  <si>
    <t>Lichtknop/contact/</t>
  </si>
  <si>
    <t>Lichte stofvorming bovenzijde, enkele vinger tasten of kleine zichtbare vlekken max 1 tot 3 st.</t>
  </si>
  <si>
    <t>Plafond</t>
  </si>
  <si>
    <t>Geen zichtbare spinrag, lichte stofvorming en kleine zichtbare vlekken max. 3 stuks</t>
  </si>
  <si>
    <t>Plafond rooster</t>
  </si>
  <si>
    <t>Radiator/convectorkast/paneel</t>
  </si>
  <si>
    <t>Randen</t>
  </si>
  <si>
    <t>Enkele vinger tasten of kleine zichtbare vlekken max. 1 tot 3 st., enkele schopstrepen max. 1 tot 3 st</t>
  </si>
  <si>
    <t>Richels</t>
  </si>
  <si>
    <t>Lichte stofvorming, enkele vinger tasten of kleine zichtbare vlekken max. 3 tot 7 st., enkele schopstrepen max. 3 tot 7 st.</t>
  </si>
  <si>
    <t>Trapleuning / balustrade</t>
  </si>
  <si>
    <t>Lichte stofvorming bovenzijde, enkele vinger tasten of kleine zichtbare vlekken max 1 tot 3 st</t>
  </si>
  <si>
    <t>Vensterbank</t>
  </si>
  <si>
    <t>Ventilatierooster</t>
  </si>
  <si>
    <t>Verlichtingsarmatuur en buizen &lt; 2.00 m</t>
  </si>
  <si>
    <t>Wanden</t>
  </si>
  <si>
    <t>Enkele vingertasten of kleine zichtbare vlekken max. 3 tot 7 st., enkele schopstrepen max. 3 tot 7 st., geen vlekken en schopstrepen tot om 3,5m hoogte</t>
  </si>
  <si>
    <t>Sanitaire elementen:</t>
  </si>
  <si>
    <t xml:space="preserve">Alle sanitaire elementen dienen vrij te zijn van: stickers, lijmresten, kauwgom, zeepresten en huidvetten. </t>
  </si>
  <si>
    <t>Aut. handdoek/zeep/lucht</t>
  </si>
  <si>
    <t>Stof-, vlek-, aanslag en streepvrij en bijgevuld</t>
  </si>
  <si>
    <t>Lichte stofvorming bovenzijde, enkele vinger tasten of zichtbare vlekken max. 3 tot 7 st.</t>
  </si>
  <si>
    <t>Borstel- en borstelhouder</t>
  </si>
  <si>
    <t>Lichte stofvorming bovenzijde, enkele vinger tasten of zichtbare vlekken max. 7 tot 10 st</t>
  </si>
  <si>
    <t>Doorspoelinstallatie</t>
  </si>
  <si>
    <t>Enkele vinger tasten of zichtbare vlekken max. 1 tot 3 st.</t>
  </si>
  <si>
    <t>Kalkvrij</t>
  </si>
  <si>
    <t>Handgreep/steun</t>
  </si>
  <si>
    <t>Hygienebox</t>
  </si>
  <si>
    <t>Schaam-tussenschot</t>
  </si>
  <si>
    <t>Spiegel</t>
  </si>
  <si>
    <t>Enkele vinger tasten of kleine zichtbare vlekken, max. 1 tot 3 st. Enkele waterdruppels toegestaan.</t>
  </si>
  <si>
    <t>Toiletpot-bril/Urinoir/Doorspoelinst.</t>
  </si>
  <si>
    <t>Enkele zichtbare vlekken max. 3 tot 7 st.</t>
  </si>
  <si>
    <t>Toiletrolhouder</t>
  </si>
  <si>
    <t>Lichte stofvorming bovenzijde, enkele vinger tasten of zichtbare vlekken max. 7 tot 10 st.</t>
  </si>
  <si>
    <t>Wand sanitair/Planchet</t>
  </si>
  <si>
    <t>Wastafel</t>
  </si>
  <si>
    <t>Stof-, vlek-, aanslag en streepvrij. Geen zeepresten</t>
  </si>
  <si>
    <t>Vloer :</t>
  </si>
  <si>
    <t>Alle vloeren dienen vrij te zijn van stickers, lijmresten en kauwgom</t>
  </si>
  <si>
    <t>Harde vloeren (steen / pvc)</t>
  </si>
  <si>
    <t>Bureaukamers</t>
  </si>
  <si>
    <t>Grofvuil-, stof-, vlek-, aanslag en streepvrij. Geen schopstrepen</t>
  </si>
  <si>
    <t>Geen losliggend en/of zichtbaar vuil en enkele zichtbare vlekken max 8 st</t>
  </si>
  <si>
    <t>Leslokalen</t>
  </si>
  <si>
    <t>Verkeersruimte</t>
  </si>
  <si>
    <t xml:space="preserve">Geen losliggend en/of zichtbaar vuil en enkele zichtbare vlekken max 10 st.  </t>
  </si>
  <si>
    <t>Sanitaire ruimten</t>
  </si>
  <si>
    <t xml:space="preserve">Geen losliggend en/of zichtbaar vuil en enkele zichtbare vlekken max 1 st.  </t>
  </si>
  <si>
    <t>Grofvuil-, stof-, vlekvrij</t>
  </si>
  <si>
    <t>Handeling</t>
  </si>
  <si>
    <t>vochtig afnemen</t>
  </si>
  <si>
    <t>Verlichtingsarmatuur en buizen &gt; 2.00 m</t>
  </si>
  <si>
    <t>periodiek vloeronderhoud conform afspraak</t>
  </si>
  <si>
    <t>Harde vloeren zonder extra behandeling, zoals steen, beton e.d.</t>
  </si>
  <si>
    <t>Vergader/spreekkamers</t>
  </si>
  <si>
    <t>Groepruimte / kantine</t>
  </si>
  <si>
    <t>Personeelsruimte</t>
  </si>
  <si>
    <t>Lokaal</t>
  </si>
  <si>
    <t>Gym - / speellokaal</t>
  </si>
  <si>
    <t>Gemiddelde
indexering</t>
  </si>
  <si>
    <t>CBS index</t>
  </si>
  <si>
    <t>CAO</t>
  </si>
  <si>
    <t>Tarief excl btw</t>
  </si>
  <si>
    <t>Percentage</t>
  </si>
  <si>
    <t>Soort indexatie</t>
  </si>
  <si>
    <t>Indexatie</t>
  </si>
  <si>
    <t>Topstrippen en conserveren</t>
  </si>
  <si>
    <t>Tapijtreinigen, sproei-extractiemethode</t>
  </si>
  <si>
    <t>Tapijtreinigen, poedermethode</t>
  </si>
  <si>
    <t>Verwijderen van vervuiling in spoelranden, afvoersluitingen en restant van de binnenzijde van het toilet</t>
  </si>
  <si>
    <t>De drukspoeler controleren op goede werking en ontdoen van aanslag op de buitenzijde</t>
  </si>
  <si>
    <t>De spoelpijp ontdoen van aanslag en controleren op losse of defecte bevestigingsbeugels op de aansluiting van de pot en op lekkage</t>
  </si>
  <si>
    <t>Het verwijderen van vervuiling van schaamschotten</t>
  </si>
  <si>
    <t>Het reinigen van het toilet/urinoir aan de buitenzijde</t>
  </si>
  <si>
    <t>De toiletbril ontdoen van aanslag, demonteren van een bril met brugstuk (teneinde het vuil eronder te verwijderen) en weer monteren</t>
  </si>
  <si>
    <t>De binnen- en buitenzijde van de stortbak ontdoen van aanslag en vuil (gietijzer alleen buitenzijde)</t>
  </si>
  <si>
    <t>De stortbak controleren op het functioneren van het mechanisme, het waterniveau en de bevestiging ervan</t>
  </si>
  <si>
    <t>De stopkraan van de stortbak ontkalken en controleren op goede werking</t>
  </si>
  <si>
    <t>Het verwijderen van organische en anorganische vervuiling op de binnen- en buitenzijde van de wastafel</t>
  </si>
  <si>
    <t>Alle spiegels reinigen</t>
  </si>
  <si>
    <t>Diepreiniging volgens programma</t>
  </si>
  <si>
    <t>Sanitaire ruimte</t>
  </si>
  <si>
    <t>Datum in dienst</t>
  </si>
  <si>
    <t>De gehele vloer en alle wanden reinigen met fantomat</t>
  </si>
  <si>
    <t>Toestel berging</t>
  </si>
  <si>
    <t>Multifunctionele ruimte</t>
  </si>
  <si>
    <t>Sport ruimten</t>
  </si>
  <si>
    <t>Opmerking</t>
  </si>
  <si>
    <t>Handelingen dieptereiniging 2 x per jaar</t>
  </si>
  <si>
    <t>Opleverstaat schoonmaak periodiek (tijdens vakanties uitvoeren) 2 x per jaar</t>
  </si>
  <si>
    <t>……………………………………………………</t>
  </si>
  <si>
    <t>Ruimte- 
nummer</t>
  </si>
  <si>
    <t>Geldig tot</t>
  </si>
  <si>
    <r>
      <t xml:space="preserve">Alle groen gearceerde velden dienen ingevuld te worden, overige cellen mogen niet gewijzigd worden    </t>
    </r>
    <r>
      <rPr>
        <b/>
        <sz val="9"/>
        <color rgb="FFFF0000"/>
        <rFont val="Verdana"/>
        <family val="2"/>
      </rPr>
      <t xml:space="preserve"> </t>
    </r>
  </si>
  <si>
    <t>2023</t>
  </si>
  <si>
    <t>2024</t>
  </si>
  <si>
    <t>2025</t>
  </si>
  <si>
    <t>2026</t>
  </si>
  <si>
    <t>Praktijklokaal</t>
  </si>
  <si>
    <t>Kabinet</t>
  </si>
  <si>
    <t>2027</t>
  </si>
  <si>
    <t>Extra werkzaamheden</t>
  </si>
  <si>
    <t>Extra werkzaamheden
Kosten / jaar</t>
  </si>
  <si>
    <t>Sprayen</t>
  </si>
  <si>
    <t>Omschrijving</t>
  </si>
  <si>
    <t>Toelichting</t>
  </si>
  <si>
    <t>Beroepspraktijklokalen</t>
  </si>
  <si>
    <t>aantal uur per keer/meter</t>
  </si>
  <si>
    <t>Ingangsdatum werkzaam op object</t>
  </si>
  <si>
    <t>Reiskosten op basis van CAO</t>
  </si>
  <si>
    <t>Nr.</t>
  </si>
  <si>
    <t>Ruimte gebruiks-intentie</t>
  </si>
  <si>
    <t>Planning in overleg met opdrachtgever</t>
  </si>
  <si>
    <t>Pampuslaan 1</t>
  </si>
  <si>
    <t>IJburg College</t>
  </si>
  <si>
    <t>1087 HP</t>
  </si>
  <si>
    <t>Amsterdam</t>
  </si>
  <si>
    <t>B.01</t>
  </si>
  <si>
    <t>B.02</t>
  </si>
  <si>
    <t>B.03</t>
  </si>
  <si>
    <t>B.04</t>
  </si>
  <si>
    <t>B.05</t>
  </si>
  <si>
    <t>B.06</t>
  </si>
  <si>
    <t>B.07</t>
  </si>
  <si>
    <t>B.08</t>
  </si>
  <si>
    <t>B.09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</si>
  <si>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</si>
  <si>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</si>
  <si>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</si>
  <si>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</si>
  <si>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</si>
  <si>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</si>
  <si>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</si>
  <si>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</si>
  <si>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</si>
  <si>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</si>
  <si>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</si>
  <si>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</si>
  <si>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</si>
  <si>
    <t>B.23</t>
  </si>
  <si>
    <t>B.24</t>
  </si>
  <si>
    <t>B.25</t>
  </si>
  <si>
    <t>B.26</t>
  </si>
  <si>
    <t>B.27</t>
  </si>
  <si>
    <t>B.28</t>
  </si>
  <si>
    <t>B.29</t>
  </si>
  <si>
    <t>B.30</t>
  </si>
  <si>
    <t>B.31</t>
  </si>
  <si>
    <t>B.32</t>
  </si>
  <si>
    <t>B.33</t>
  </si>
  <si>
    <t>B.34</t>
  </si>
  <si>
    <t>B.35</t>
  </si>
  <si>
    <t>B.36</t>
  </si>
  <si>
    <t>B.37</t>
  </si>
  <si>
    <t>B.38</t>
  </si>
  <si>
    <t>B.39</t>
  </si>
  <si>
    <t>B.40</t>
  </si>
  <si>
    <t>B.41</t>
  </si>
  <si>
    <t>B.42</t>
  </si>
  <si>
    <t>B.43</t>
  </si>
  <si>
    <t>B.44</t>
  </si>
  <si>
    <t>B.45</t>
  </si>
  <si>
    <t>B.46</t>
  </si>
  <si>
    <t>B.47</t>
  </si>
  <si>
    <t>B.48</t>
  </si>
  <si>
    <t>B.49</t>
  </si>
  <si>
    <t>B.50</t>
  </si>
  <si>
    <t>B.51</t>
  </si>
  <si>
    <t>B.52</t>
  </si>
  <si>
    <t>B.53</t>
  </si>
  <si>
    <t>B.54</t>
  </si>
  <si>
    <t>B.55</t>
  </si>
  <si>
    <t>B.56</t>
  </si>
  <si>
    <t>B.57</t>
  </si>
  <si>
    <t>B.58</t>
  </si>
  <si>
    <t>B.59</t>
  </si>
  <si>
    <t>B.60</t>
  </si>
  <si>
    <t>B.61</t>
  </si>
  <si>
    <t>bg</t>
  </si>
  <si>
    <t xml:space="preserve">bordes/voor entree </t>
  </si>
  <si>
    <t xml:space="preserve">entree school </t>
  </si>
  <si>
    <t>lift L</t>
  </si>
  <si>
    <t>lift R</t>
  </si>
  <si>
    <t xml:space="preserve">trappenhuis </t>
  </si>
  <si>
    <t>entreehal</t>
  </si>
  <si>
    <t>hoofdtrappenhuis</t>
  </si>
  <si>
    <t>receptie frontoffice</t>
  </si>
  <si>
    <t>zitkuil</t>
  </si>
  <si>
    <t>hal/gang om zitkuil</t>
  </si>
  <si>
    <t>keuken afwas uitgifte</t>
  </si>
  <si>
    <t>multi functionele zaal</t>
  </si>
  <si>
    <t>muziek lokaal</t>
  </si>
  <si>
    <t>oefenruimte 1 (meest links)</t>
  </si>
  <si>
    <t>oefenruimte 2</t>
  </si>
  <si>
    <t>oefenruimte 3</t>
  </si>
  <si>
    <t>oefenruimte 4 (meest rechts)</t>
  </si>
  <si>
    <t>kleedkamer L</t>
  </si>
  <si>
    <t>kleedkamer R</t>
  </si>
  <si>
    <t>werkkast</t>
  </si>
  <si>
    <t>Hal   (naar trappenhuis)</t>
  </si>
  <si>
    <t>multi functionele zaal (incl bergingen)</t>
  </si>
  <si>
    <t>gebedsruimte</t>
  </si>
  <si>
    <t>Achter entree school</t>
  </si>
  <si>
    <t>Achter entree bordes</t>
  </si>
  <si>
    <t>congierge</t>
  </si>
  <si>
    <t>miva toilet</t>
  </si>
  <si>
    <t>pantry</t>
  </si>
  <si>
    <t>heren toiletgroep</t>
  </si>
  <si>
    <t>dames toiletgroep</t>
  </si>
  <si>
    <t>thuisbasis</t>
  </si>
  <si>
    <t>frontoffice ruimte</t>
  </si>
  <si>
    <t>onderbouw deel school (incl kluisjes 182) kluis gr kast per 13</t>
  </si>
  <si>
    <t>leiding deelscholdocenten</t>
  </si>
  <si>
    <t>gang</t>
  </si>
  <si>
    <t>spreekruimte (vervallen?)</t>
  </si>
  <si>
    <t>spreekruimte</t>
  </si>
  <si>
    <t>middenbouw deelschool frontoffice</t>
  </si>
  <si>
    <t>middenbouw deelschool (incl 169 kluisjes)</t>
  </si>
  <si>
    <t>leiding deelschool docenten</t>
  </si>
  <si>
    <t>metalen roosters</t>
  </si>
  <si>
    <t>mat</t>
  </si>
  <si>
    <t>lino</t>
  </si>
  <si>
    <t>gietvloer</t>
  </si>
  <si>
    <t>steen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</si>
  <si>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</si>
  <si>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</si>
  <si>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</si>
  <si>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</si>
  <si>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</si>
  <si>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</si>
  <si>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</si>
  <si>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</si>
  <si>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</si>
  <si>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</si>
  <si>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</si>
  <si>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</si>
  <si>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</si>
  <si>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</si>
  <si>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</si>
  <si>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</si>
  <si>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</si>
  <si>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</si>
  <si>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</si>
  <si>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</si>
  <si>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</si>
  <si>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</si>
  <si>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</si>
  <si>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</si>
  <si>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</si>
  <si>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</si>
  <si>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</si>
  <si>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</si>
  <si>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</si>
  <si>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</si>
  <si>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</si>
  <si>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</si>
  <si>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</si>
  <si>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</si>
  <si>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</si>
  <si>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</si>
  <si>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</si>
  <si>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</si>
  <si>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</si>
  <si>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</si>
  <si>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</si>
  <si>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</si>
  <si>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</si>
  <si>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</si>
  <si>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</si>
  <si>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</si>
  <si>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</si>
  <si>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</si>
  <si>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</si>
  <si>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</si>
  <si>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</si>
  <si>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</si>
  <si>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</si>
  <si>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</si>
  <si>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</si>
  <si>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</si>
  <si>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</si>
  <si>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</si>
  <si>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</si>
  <si>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</si>
  <si>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lifthal/gang</t>
  </si>
  <si>
    <t>personeelruimte</t>
  </si>
  <si>
    <t>directiekamer</t>
  </si>
  <si>
    <t>ondersteuning</t>
  </si>
  <si>
    <t>gang/hal</t>
  </si>
  <si>
    <t>theorie lokaal</t>
  </si>
  <si>
    <t>kunst lokaal</t>
  </si>
  <si>
    <t>hal</t>
  </si>
  <si>
    <t>berging</t>
  </si>
  <si>
    <t>trappenhuis</t>
  </si>
  <si>
    <t>kast</t>
  </si>
  <si>
    <t>kantoor</t>
  </si>
  <si>
    <t>thuisbasis (leslokaal)</t>
  </si>
  <si>
    <t>regieruimte</t>
  </si>
  <si>
    <t>multifunctionele zaal</t>
  </si>
  <si>
    <t>repro/archief</t>
  </si>
  <si>
    <t xml:space="preserve">hal </t>
  </si>
  <si>
    <t>Hoofdtrappenhuis</t>
  </si>
  <si>
    <t>open leergebied (met  205 kluisjes)</t>
  </si>
  <si>
    <t>frontoffice (in olg)</t>
  </si>
  <si>
    <t>instructieruimte</t>
  </si>
  <si>
    <t xml:space="preserve">spreekruimte </t>
  </si>
  <si>
    <t>gang bij toiletten</t>
  </si>
  <si>
    <t>middenbouw deelschool ( 195 kluisjes)</t>
  </si>
  <si>
    <t>leiding deelschool/docenten</t>
  </si>
  <si>
    <t>trap naar 2e bij lifthal</t>
  </si>
  <si>
    <t>1e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</si>
  <si>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</si>
  <si>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</si>
  <si>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</si>
  <si>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</si>
  <si>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</si>
  <si>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</si>
  <si>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</si>
  <si>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</si>
  <si>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</si>
  <si>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</si>
  <si>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</si>
  <si>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</si>
  <si>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</si>
  <si>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</si>
  <si>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</si>
  <si>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</si>
  <si>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</si>
  <si>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</si>
  <si>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</si>
  <si>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</si>
  <si>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</si>
  <si>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</si>
  <si>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</si>
  <si>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</si>
  <si>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</si>
  <si>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</si>
  <si>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</si>
  <si>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</si>
  <si>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</si>
  <si>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</si>
  <si>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</si>
  <si>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</si>
  <si>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</si>
  <si>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</si>
  <si>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</si>
  <si>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</si>
  <si>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</si>
  <si>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</si>
  <si>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</si>
  <si>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</si>
  <si>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</si>
  <si>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</si>
  <si>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</si>
  <si>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</si>
  <si>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</si>
  <si>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</si>
  <si>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</si>
  <si>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</si>
  <si>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</si>
  <si>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</si>
  <si>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</si>
  <si>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lifthal</t>
  </si>
  <si>
    <t>facilitair centrum</t>
  </si>
  <si>
    <t>managers / kantoor</t>
  </si>
  <si>
    <t>hal / gang</t>
  </si>
  <si>
    <t>ICT &amp; Theorie</t>
  </si>
  <si>
    <t>ICT</t>
  </si>
  <si>
    <t>Biologie</t>
  </si>
  <si>
    <t>science</t>
  </si>
  <si>
    <t>kabinet</t>
  </si>
  <si>
    <t>houtbewerking</t>
  </si>
  <si>
    <t>gasfles opslag</t>
  </si>
  <si>
    <t>hal bij vide</t>
  </si>
  <si>
    <t>hier is ook trappenhuis van 1 naar 2</t>
  </si>
  <si>
    <t>open leergebied (met 212 kluisjes)</t>
  </si>
  <si>
    <t>trap</t>
  </si>
  <si>
    <t xml:space="preserve">leiding deelschool / docenten </t>
  </si>
  <si>
    <t>bovenbouw deelschool ( 195 kluisjes)</t>
  </si>
  <si>
    <t>beton</t>
  </si>
  <si>
    <t>2e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</si>
  <si>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</si>
  <si>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</si>
  <si>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</si>
  <si>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</si>
  <si>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</si>
  <si>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</si>
  <si>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</si>
  <si>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</si>
  <si>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</si>
  <si>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</si>
  <si>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</si>
  <si>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</si>
  <si>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</si>
  <si>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</si>
  <si>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</si>
  <si>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</si>
  <si>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</si>
  <si>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</si>
  <si>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</si>
  <si>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</si>
  <si>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</si>
  <si>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</si>
  <si>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trappenhuis bijj lifthal (2 naar 3)</t>
  </si>
  <si>
    <t>berging werkkast</t>
  </si>
  <si>
    <t>gang naar woningen??</t>
  </si>
  <si>
    <t>sporthal</t>
  </si>
  <si>
    <t>lockerwand</t>
  </si>
  <si>
    <t>kleedkamer</t>
  </si>
  <si>
    <t>lange gang bij Lockerwand</t>
  </si>
  <si>
    <t>werkplaats</t>
  </si>
  <si>
    <t xml:space="preserve">berging </t>
  </si>
  <si>
    <t>trappenhuis (achter )</t>
  </si>
  <si>
    <t xml:space="preserve">ruimte beheerder </t>
  </si>
  <si>
    <t>toiletruimte heren</t>
  </si>
  <si>
    <t>toiletruimte dames</t>
  </si>
  <si>
    <t>kleedkamer docenten</t>
  </si>
  <si>
    <t>hal bij trappenhuis</t>
  </si>
  <si>
    <t>multifunctionele ruimte</t>
  </si>
  <si>
    <t>sportvloer</t>
  </si>
  <si>
    <t>3e</t>
  </si>
  <si>
    <t>4.71</t>
  </si>
  <si>
    <t>4.58</t>
  </si>
  <si>
    <t>4.90</t>
  </si>
  <si>
    <t>4.91</t>
  </si>
  <si>
    <t>4.03</t>
  </si>
  <si>
    <t>4.04</t>
  </si>
  <si>
    <t>4.85</t>
  </si>
  <si>
    <t>4.01</t>
  </si>
  <si>
    <t>4.02</t>
  </si>
  <si>
    <t>4.65</t>
  </si>
  <si>
    <t>4.51</t>
  </si>
  <si>
    <t>4.50</t>
  </si>
  <si>
    <t>4.05</t>
  </si>
  <si>
    <t>4.06</t>
  </si>
  <si>
    <t>4.07</t>
  </si>
  <si>
    <t>4.08</t>
  </si>
  <si>
    <t>4.09</t>
  </si>
  <si>
    <t>4.10</t>
  </si>
  <si>
    <t>4.11</t>
  </si>
  <si>
    <t>4.12</t>
  </si>
  <si>
    <t>4.13</t>
  </si>
  <si>
    <t>sportbureau vergaderruimte</t>
  </si>
  <si>
    <t>jury ruimte</t>
  </si>
  <si>
    <t xml:space="preserve">installatieruimte </t>
  </si>
  <si>
    <t>rechts (horeca?)</t>
  </si>
  <si>
    <t>keuken</t>
  </si>
  <si>
    <t>ruimte-nummer plattegrond</t>
  </si>
  <si>
    <t>3.71</t>
  </si>
  <si>
    <t>3.58</t>
  </si>
  <si>
    <t>3.92</t>
  </si>
  <si>
    <t>3.66</t>
  </si>
  <si>
    <t>3.52</t>
  </si>
  <si>
    <t>3.65</t>
  </si>
  <si>
    <t>3.51</t>
  </si>
  <si>
    <t>3.56</t>
  </si>
  <si>
    <t>3.57</t>
  </si>
  <si>
    <t>3.59</t>
  </si>
  <si>
    <t>3.54</t>
  </si>
  <si>
    <t>3.53</t>
  </si>
  <si>
    <t>3.91</t>
  </si>
  <si>
    <t>2.71</t>
  </si>
  <si>
    <t>2.57</t>
  </si>
  <si>
    <t>2.58</t>
  </si>
  <si>
    <t>2.56</t>
  </si>
  <si>
    <t>2.85</t>
  </si>
  <si>
    <t>2.67</t>
  </si>
  <si>
    <t>2.91</t>
  </si>
  <si>
    <t>2.90</t>
  </si>
  <si>
    <t>2.96</t>
  </si>
  <si>
    <t>2.60</t>
  </si>
  <si>
    <t>2.66</t>
  </si>
  <si>
    <t>2.68</t>
  </si>
  <si>
    <t>2.69</t>
  </si>
  <si>
    <t>2.52</t>
  </si>
  <si>
    <t>2.55</t>
  </si>
  <si>
    <t>2.70</t>
  </si>
  <si>
    <t>2.53</t>
  </si>
  <si>
    <t>2.54</t>
  </si>
  <si>
    <t>1.71</t>
  </si>
  <si>
    <t>1.66</t>
  </si>
  <si>
    <t>1.67</t>
  </si>
  <si>
    <t>1.96</t>
  </si>
  <si>
    <t>1.97</t>
  </si>
  <si>
    <t>1.90</t>
  </si>
  <si>
    <t>1.72</t>
  </si>
  <si>
    <t>1.68</t>
  </si>
  <si>
    <t>0.72</t>
  </si>
  <si>
    <t>0.104</t>
  </si>
  <si>
    <t>0.67</t>
  </si>
  <si>
    <t>0.17</t>
  </si>
  <si>
    <t>0.18</t>
  </si>
  <si>
    <t>0.73</t>
  </si>
  <si>
    <t>0.20</t>
  </si>
  <si>
    <t>0.21</t>
  </si>
  <si>
    <t>0.01</t>
  </si>
  <si>
    <t>0.1A</t>
  </si>
  <si>
    <t>0.1B</t>
  </si>
  <si>
    <t>0.1C</t>
  </si>
  <si>
    <t>0.1D</t>
  </si>
  <si>
    <t>0.50</t>
  </si>
  <si>
    <t>0.51</t>
  </si>
  <si>
    <t>0.59</t>
  </si>
  <si>
    <t>0.64</t>
  </si>
  <si>
    <t>0.111</t>
  </si>
  <si>
    <t>0.30</t>
  </si>
  <si>
    <t>0.90</t>
  </si>
  <si>
    <t>0.66</t>
  </si>
  <si>
    <t>0.93</t>
  </si>
  <si>
    <t>0.58</t>
  </si>
  <si>
    <t>0.97</t>
  </si>
  <si>
    <t>0.56</t>
  </si>
  <si>
    <t>0.57</t>
  </si>
  <si>
    <t>0.03</t>
  </si>
  <si>
    <t>0.102</t>
  </si>
  <si>
    <t>0.04</t>
  </si>
  <si>
    <t>0.05</t>
  </si>
  <si>
    <t>0.06</t>
  </si>
  <si>
    <t>0.22</t>
  </si>
  <si>
    <t>0.68</t>
  </si>
  <si>
    <t>0.07</t>
  </si>
  <si>
    <t>0.08</t>
  </si>
  <si>
    <t>0.69</t>
  </si>
  <si>
    <t>0.52</t>
  </si>
  <si>
    <t>0.53</t>
  </si>
  <si>
    <t>0.54</t>
  </si>
  <si>
    <t>0.55</t>
  </si>
  <si>
    <t>0.26</t>
  </si>
  <si>
    <t>0.25</t>
  </si>
  <si>
    <t>0.24</t>
  </si>
  <si>
    <t>0.23</t>
  </si>
  <si>
    <t>0.29</t>
  </si>
  <si>
    <t>0.70</t>
  </si>
  <si>
    <t>0.28</t>
  </si>
  <si>
    <t>0.27</t>
  </si>
  <si>
    <t>0.11</t>
  </si>
  <si>
    <t>0.12</t>
  </si>
  <si>
    <t>0.10</t>
  </si>
  <si>
    <t>0.103</t>
  </si>
  <si>
    <t>0.13</t>
  </si>
  <si>
    <t>0.14</t>
  </si>
  <si>
    <t>0.15</t>
  </si>
  <si>
    <t>4e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</si>
  <si>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</si>
  <si>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</si>
  <si>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</si>
  <si>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</si>
  <si>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</si>
  <si>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</si>
  <si>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</si>
  <si>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</si>
  <si>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</si>
  <si>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</si>
  <si>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Fietsenstalling school</t>
  </si>
  <si>
    <t>Parkeren school</t>
  </si>
  <si>
    <t>containerstalling</t>
  </si>
  <si>
    <t>Gang</t>
  </si>
  <si>
    <t>Stadsverwarming</t>
  </si>
  <si>
    <t>Hydro S.</t>
  </si>
  <si>
    <t>Ventilatie</t>
  </si>
  <si>
    <t>HKL</t>
  </si>
  <si>
    <t>Electra park</t>
  </si>
  <si>
    <t xml:space="preserve">tegels </t>
  </si>
  <si>
    <t>kelder</t>
  </si>
  <si>
    <t>Gevelbeplating</t>
  </si>
  <si>
    <t>Daklicht (enkel gemeten, dubbel te wassen)</t>
  </si>
  <si>
    <t>tijdelijk</t>
  </si>
  <si>
    <t>vast</t>
  </si>
  <si>
    <t>Interieurverzorgster</t>
  </si>
  <si>
    <t>II.01</t>
  </si>
  <si>
    <t>nee</t>
  </si>
  <si>
    <t>ja</t>
  </si>
  <si>
    <t>Uitgiftepunt catering</t>
  </si>
  <si>
    <t>Hout</t>
  </si>
  <si>
    <t>H</t>
  </si>
  <si>
    <t>Vloeren zonder beschermlaag, die wel behandeling nodig hebben</t>
  </si>
  <si>
    <t>in beheer gemeente</t>
  </si>
  <si>
    <t>op afroep</t>
  </si>
  <si>
    <t>Fietsenkelder vegen</t>
  </si>
  <si>
    <t>Fietsenkelder ragen</t>
  </si>
  <si>
    <t>Prijs per kast</t>
  </si>
  <si>
    <t>Binnen en buiten zetten van de containers</t>
  </si>
  <si>
    <t>Reinigen binnenzijde kasten</t>
  </si>
  <si>
    <t>Dieptereiniging afzuigkappen binnenzijde</t>
  </si>
  <si>
    <t>Prijs per dieptereiniging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</si>
</sst>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fl&quot;\ * #,##0.00_-;_-&quot;fl&quot;\ * #,##0.00\-;_-&quot;fl&quot;\ * &quot;-&quot;??_-;_-@_-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00"/>
    <numFmt numFmtId="170" formatCode="0.000%"/>
    <numFmt numFmtId="171" formatCode="_([$€]* #,##0.00_);_([$€]* \(#,##0.00\);_([$€]* &quot;-&quot;??_);_(@_)"/>
    <numFmt numFmtId="172" formatCode="_-[$€-2]\ * #,##0.00_-;_-[$€-2]\ * #,##0.00\-;_-[$€-2]\ * &quot;-&quot;??_-;_-@_-"/>
    <numFmt numFmtId="173" formatCode="_ [$€-413]\ * #,##0.00_ ;_ [$€-413]\ * \-#,##0.00_ ;_ [$€-413]\ * &quot;-&quot;??_ ;_ @_ "/>
    <numFmt numFmtId="174" formatCode="0\ &quot;m2&quot;"/>
    <numFmt numFmtId="175" formatCode="_-&quot;F&quot;\ * #,##0_-;_-&quot;F&quot;\ * #,##0\-;_-&quot;F&quot;\ * &quot;-&quot;_-;_-@_-"/>
    <numFmt numFmtId="176" formatCode="_-&quot;F&quot;\ * #,##0.00_-;_-&quot;F&quot;\ * #,##0.00\-;_-&quot;F&quot;\ * &quot;-&quot;??_-;_-@_-"/>
    <numFmt numFmtId="177" formatCode="General\ &quot;m²&quot;"/>
    <numFmt numFmtId="178" formatCode="0.00\ &quot;m²&quot;"/>
    <numFmt numFmtId="179" formatCode="#,##0.0"/>
    <numFmt numFmtId="180" formatCode="#,##0_ ;\-#,##0\ "/>
    <numFmt numFmtId="181" formatCode="#,##0.0_ ;\-#,##0.0\ "/>
    <numFmt numFmtId="182" formatCode="_ [$€-2]\ * #,##0.00_ ;_ [$€-2]\ * \-#,##0.00_ ;_ [$€-2]\ * &quot;-&quot;??_ ;_ @_ "/>
    <numFmt numFmtId="183" formatCode="&quot;€&quot;\ #,##0.00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</font>
    <font>
      <sz val="9"/>
      <color indexed="9"/>
      <name val="Verdana"/>
      <family val="2"/>
    </font>
    <font>
      <u/>
      <sz val="9"/>
      <name val="Verdana"/>
      <family val="2"/>
    </font>
    <font>
      <vertAlign val="superscript"/>
      <sz val="9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u/>
      <sz val="12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Verdana"/>
      <family val="2"/>
    </font>
    <font>
      <sz val="9"/>
      <color theme="4"/>
      <name val="Verdana"/>
      <family val="2"/>
    </font>
    <font>
      <b/>
      <sz val="12"/>
      <color theme="0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9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Geneva"/>
    </font>
    <font>
      <sz val="10"/>
      <color indexed="8"/>
      <name val="Arial"/>
      <family val="2"/>
    </font>
    <font>
      <sz val="9"/>
      <name val="Verdana"/>
      <family val="2"/>
    </font>
    <font>
      <b/>
      <sz val="9"/>
      <color rgb="FFFFFFFF"/>
      <name val="Verdana"/>
      <family val="2"/>
    </font>
    <font>
      <sz val="9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</borders>
  <cellStyleXfs count="58">
    <xf numFmtId="0" fontId="0" fillId="0" borderId="0"/>
    <xf numFmtId="0" fontId="12" fillId="0" borderId="0"/>
    <xf numFmtId="17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7" fillId="0" borderId="0">
      <alignment horizontal="center" vertical="center" textRotation="90" wrapText="1"/>
    </xf>
    <xf numFmtId="0" fontId="14" fillId="2" borderId="1"/>
    <xf numFmtId="174" fontId="8" fillId="0" borderId="0"/>
    <xf numFmtId="0" fontId="15" fillId="0" borderId="0" applyNumberFormat="0" applyBorder="0">
      <protection locked="0"/>
    </xf>
    <xf numFmtId="0" fontId="16" fillId="0" borderId="0"/>
    <xf numFmtId="0" fontId="17" fillId="3" borderId="2" applyNumberFormat="0" applyFont="0" applyFill="0" applyBorder="0" applyAlignment="0">
      <alignment horizontal="right"/>
    </xf>
    <xf numFmtId="0" fontId="14" fillId="4" borderId="3" applyNumberFormat="0" applyFont="0" applyBorder="0">
      <alignment horizontal="center"/>
    </xf>
    <xf numFmtId="0" fontId="10" fillId="0" borderId="0"/>
    <xf numFmtId="0" fontId="21" fillId="0" borderId="0"/>
    <xf numFmtId="0" fontId="4" fillId="0" borderId="0"/>
    <xf numFmtId="167" fontId="4" fillId="0" borderId="0" applyFont="0" applyFill="0" applyBorder="0" applyAlignment="0" applyProtection="0"/>
    <xf numFmtId="175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8" fillId="2" borderId="1"/>
    <xf numFmtId="0" fontId="4" fillId="0" borderId="0"/>
    <xf numFmtId="0" fontId="3" fillId="0" borderId="0"/>
    <xf numFmtId="9" fontId="4" fillId="0" borderId="0" applyFont="0" applyFill="0" applyBorder="0" applyAlignment="0" applyProtection="0"/>
    <xf numFmtId="0" fontId="2" fillId="0" borderId="0"/>
    <xf numFmtId="44" fontId="4" fillId="0" borderId="0" applyFont="0" applyFill="0" applyBorder="0" applyAlignment="0" applyProtection="0"/>
    <xf numFmtId="0" fontId="2" fillId="0" borderId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4" fontId="43" fillId="0" borderId="0" applyFont="0" applyFill="0" applyBorder="0" applyAlignment="0" applyProtection="0"/>
    <xf numFmtId="0" fontId="46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47">
    <xf numFmtId="0" fontId="0" fillId="0" borderId="0" xfId="0"/>
    <xf numFmtId="0" fontId="24" fillId="0" borderId="0" xfId="0" applyFont="1" applyAlignment="1">
      <alignment horizontal="center"/>
    </xf>
    <xf numFmtId="0" fontId="24" fillId="0" borderId="0" xfId="0" applyFont="1"/>
    <xf numFmtId="0" fontId="30" fillId="0" borderId="0" xfId="29" applyFont="1"/>
    <xf numFmtId="0" fontId="24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169" fontId="24" fillId="0" borderId="0" xfId="0" applyNumberFormat="1" applyFont="1"/>
    <xf numFmtId="2" fontId="24" fillId="0" borderId="0" xfId="0" applyNumberFormat="1" applyFont="1"/>
    <xf numFmtId="0" fontId="24" fillId="0" borderId="0" xfId="0" applyFont="1" applyAlignment="1">
      <alignment vertical="center" wrapText="1"/>
    </xf>
    <xf numFmtId="0" fontId="24" fillId="0" borderId="0" xfId="30" applyFont="1" applyAlignment="1">
      <alignment vertical="center"/>
    </xf>
    <xf numFmtId="164" fontId="24" fillId="5" borderId="9" xfId="0" applyNumberFormat="1" applyFont="1" applyFill="1" applyBorder="1" applyAlignment="1">
      <alignment horizontal="left" vertical="center"/>
    </xf>
    <xf numFmtId="10" fontId="24" fillId="5" borderId="9" xfId="0" applyNumberFormat="1" applyFont="1" applyFill="1" applyBorder="1" applyAlignment="1">
      <alignment horizontal="center" vertical="center"/>
    </xf>
    <xf numFmtId="173" fontId="24" fillId="0" borderId="9" xfId="0" applyNumberFormat="1" applyFont="1" applyBorder="1" applyAlignment="1">
      <alignment vertical="center"/>
    </xf>
    <xf numFmtId="10" fontId="24" fillId="0" borderId="9" xfId="0" applyNumberFormat="1" applyFont="1" applyBorder="1" applyAlignment="1">
      <alignment horizontal="center" vertical="center"/>
    </xf>
    <xf numFmtId="171" fontId="24" fillId="0" borderId="9" xfId="2" applyFont="1" applyBorder="1" applyAlignment="1" applyProtection="1">
      <alignment horizontal="left" vertical="center"/>
      <protection locked="0"/>
    </xf>
    <xf numFmtId="172" fontId="24" fillId="0" borderId="9" xfId="31" applyNumberFormat="1" applyFont="1" applyBorder="1" applyAlignment="1" applyProtection="1">
      <alignment horizontal="left" vertical="center"/>
      <protection hidden="1"/>
    </xf>
    <xf numFmtId="0" fontId="28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70" fontId="24" fillId="0" borderId="0" xfId="0" applyNumberFormat="1" applyFont="1" applyAlignment="1">
      <alignment vertical="center"/>
    </xf>
    <xf numFmtId="170" fontId="24" fillId="0" borderId="0" xfId="0" applyNumberFormat="1" applyFont="1" applyAlignment="1" applyProtection="1">
      <alignment horizontal="center" vertical="center"/>
      <protection locked="0"/>
    </xf>
    <xf numFmtId="166" fontId="24" fillId="0" borderId="0" xfId="0" applyNumberFormat="1" applyFont="1" applyAlignment="1" applyProtection="1">
      <alignment horizontal="left" vertical="center"/>
      <protection hidden="1"/>
    </xf>
    <xf numFmtId="0" fontId="24" fillId="0" borderId="0" xfId="0" applyFont="1" applyAlignment="1">
      <alignment horizontal="center" vertical="center"/>
    </xf>
    <xf numFmtId="170" fontId="24" fillId="0" borderId="0" xfId="0" applyNumberFormat="1" applyFont="1" applyAlignment="1">
      <alignment horizontal="center" vertical="center"/>
    </xf>
    <xf numFmtId="172" fontId="24" fillId="0" borderId="0" xfId="31" applyNumberFormat="1" applyFont="1" applyAlignment="1" applyProtection="1">
      <alignment horizontal="left" vertical="center"/>
      <protection hidden="1"/>
    </xf>
    <xf numFmtId="171" fontId="24" fillId="0" borderId="0" xfId="2" applyFont="1" applyAlignment="1" applyProtection="1">
      <alignment horizontal="left" vertical="center"/>
      <protection locked="0"/>
    </xf>
    <xf numFmtId="9" fontId="24" fillId="0" borderId="9" xfId="0" applyNumberFormat="1" applyFont="1" applyBorder="1" applyAlignment="1">
      <alignment horizontal="center" vertical="center"/>
    </xf>
    <xf numFmtId="173" fontId="24" fillId="0" borderId="9" xfId="0" applyNumberFormat="1" applyFont="1" applyBorder="1" applyAlignment="1" applyProtection="1">
      <alignment vertical="center"/>
      <protection locked="0"/>
    </xf>
    <xf numFmtId="173" fontId="24" fillId="0" borderId="9" xfId="2" applyNumberFormat="1" applyFont="1" applyBorder="1" applyAlignment="1" applyProtection="1">
      <alignment horizontal="left" vertical="center"/>
      <protection hidden="1"/>
    </xf>
    <xf numFmtId="173" fontId="24" fillId="0" borderId="0" xfId="0" applyNumberFormat="1" applyFont="1" applyAlignment="1">
      <alignment vertical="center"/>
    </xf>
    <xf numFmtId="0" fontId="24" fillId="0" borderId="0" xfId="30" applyFont="1" applyAlignment="1">
      <alignment vertical="center" wrapText="1"/>
    </xf>
    <xf numFmtId="0" fontId="24" fillId="0" borderId="0" xfId="30" applyFont="1" applyAlignment="1">
      <alignment horizontal="center" vertical="center"/>
    </xf>
    <xf numFmtId="0" fontId="24" fillId="0" borderId="0" xfId="0" applyFont="1" applyAlignment="1">
      <alignment wrapText="1"/>
    </xf>
    <xf numFmtId="2" fontId="24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4" fontId="24" fillId="0" borderId="0" xfId="0" applyNumberFormat="1" applyFont="1" applyAlignment="1">
      <alignment vertical="center"/>
    </xf>
    <xf numFmtId="4" fontId="24" fillId="0" borderId="0" xfId="0" applyNumberFormat="1" applyFont="1" applyAlignment="1">
      <alignment horizontal="center" vertical="center"/>
    </xf>
    <xf numFmtId="164" fontId="24" fillId="0" borderId="0" xfId="8" applyFont="1" applyAlignment="1">
      <alignment vertical="center"/>
    </xf>
    <xf numFmtId="0" fontId="26" fillId="0" borderId="0" xfId="0" applyFont="1" applyAlignment="1">
      <alignment vertical="center"/>
    </xf>
    <xf numFmtId="3" fontId="24" fillId="0" borderId="0" xfId="0" applyNumberFormat="1" applyFont="1" applyAlignment="1">
      <alignment horizontal="center" vertical="center"/>
    </xf>
    <xf numFmtId="2" fontId="27" fillId="0" borderId="0" xfId="0" applyNumberFormat="1" applyFont="1" applyAlignment="1">
      <alignment horizontal="left" vertical="center"/>
    </xf>
    <xf numFmtId="164" fontId="24" fillId="6" borderId="0" xfId="0" applyNumberFormat="1" applyFont="1" applyFill="1" applyAlignment="1">
      <alignment horizontal="center" vertical="center"/>
    </xf>
    <xf numFmtId="3" fontId="24" fillId="0" borderId="0" xfId="8" applyNumberFormat="1" applyFont="1" applyAlignment="1">
      <alignment vertical="center"/>
    </xf>
    <xf numFmtId="0" fontId="24" fillId="0" borderId="5" xfId="30" applyFont="1" applyBorder="1" applyAlignment="1">
      <alignment vertical="center"/>
    </xf>
    <xf numFmtId="0" fontId="24" fillId="0" borderId="10" xfId="30" applyFont="1" applyBorder="1" applyAlignment="1">
      <alignment vertical="center"/>
    </xf>
    <xf numFmtId="0" fontId="31" fillId="0" borderId="0" xfId="29" applyFont="1"/>
    <xf numFmtId="0" fontId="30" fillId="0" borderId="0" xfId="29" applyFont="1" applyAlignment="1">
      <alignment horizontal="center" vertical="center"/>
    </xf>
    <xf numFmtId="1" fontId="35" fillId="8" borderId="0" xfId="30" applyNumberFormat="1" applyFont="1" applyFill="1" applyAlignment="1">
      <alignment horizontal="center" vertical="center"/>
    </xf>
    <xf numFmtId="0" fontId="35" fillId="8" borderId="0" xfId="30" applyFont="1" applyFill="1" applyAlignment="1">
      <alignment horizontal="left" vertical="center"/>
    </xf>
    <xf numFmtId="1" fontId="35" fillId="7" borderId="0" xfId="30" applyNumberFormat="1" applyFont="1" applyFill="1" applyAlignment="1">
      <alignment horizontal="center" vertical="center"/>
    </xf>
    <xf numFmtId="0" fontId="35" fillId="7" borderId="0" xfId="30" applyFont="1" applyFill="1" applyAlignment="1">
      <alignment horizontal="left" vertical="center"/>
    </xf>
    <xf numFmtId="0" fontId="34" fillId="9" borderId="0" xfId="0" applyFont="1" applyFill="1" applyAlignment="1">
      <alignment horizontal="center" vertical="center" wrapText="1"/>
    </xf>
    <xf numFmtId="0" fontId="34" fillId="9" borderId="0" xfId="0" applyFont="1" applyFill="1" applyAlignment="1">
      <alignment vertical="center" wrapText="1"/>
    </xf>
    <xf numFmtId="164" fontId="34" fillId="9" borderId="0" xfId="0" applyNumberFormat="1" applyFont="1" applyFill="1" applyAlignment="1">
      <alignment horizontal="center" vertical="center" wrapText="1"/>
    </xf>
    <xf numFmtId="0" fontId="35" fillId="8" borderId="0" xfId="0" applyFont="1" applyFill="1" applyAlignment="1">
      <alignment horizontal="center" vertical="center"/>
    </xf>
    <xf numFmtId="0" fontId="35" fillId="8" borderId="0" xfId="0" applyFont="1" applyFill="1" applyAlignment="1">
      <alignment vertical="center"/>
    </xf>
    <xf numFmtId="164" fontId="35" fillId="5" borderId="0" xfId="0" applyNumberFormat="1" applyFont="1" applyFill="1" applyAlignment="1">
      <alignment horizontal="center" vertical="center"/>
    </xf>
    <xf numFmtId="0" fontId="35" fillId="7" borderId="0" xfId="0" applyFont="1" applyFill="1" applyAlignment="1">
      <alignment horizontal="center" vertical="center"/>
    </xf>
    <xf numFmtId="0" fontId="35" fillId="7" borderId="0" xfId="0" applyFont="1" applyFill="1" applyAlignment="1">
      <alignment vertical="center"/>
    </xf>
    <xf numFmtId="0" fontId="35" fillId="8" borderId="0" xfId="0" applyFont="1" applyFill="1" applyAlignment="1">
      <alignment horizontal="left" vertical="center"/>
    </xf>
    <xf numFmtId="4" fontId="35" fillId="7" borderId="0" xfId="0" applyNumberFormat="1" applyFont="1" applyFill="1" applyAlignment="1">
      <alignment horizontal="left" vertical="center"/>
    </xf>
    <xf numFmtId="0" fontId="35" fillId="7" borderId="0" xfId="0" applyFont="1" applyFill="1" applyAlignment="1">
      <alignment horizontal="left" vertical="center"/>
    </xf>
    <xf numFmtId="4" fontId="34" fillId="9" borderId="0" xfId="0" applyNumberFormat="1" applyFont="1" applyFill="1" applyAlignment="1">
      <alignment horizontal="center" vertical="center" wrapText="1"/>
    </xf>
    <xf numFmtId="164" fontId="34" fillId="9" borderId="0" xfId="8" applyFont="1" applyFill="1" applyAlignment="1">
      <alignment horizontal="center" vertical="center" wrapText="1"/>
    </xf>
    <xf numFmtId="0" fontId="24" fillId="6" borderId="0" xfId="0" applyFont="1" applyFill="1"/>
    <xf numFmtId="0" fontId="24" fillId="6" borderId="0" xfId="0" applyFont="1" applyFill="1" applyAlignment="1">
      <alignment horizontal="center"/>
    </xf>
    <xf numFmtId="0" fontId="24" fillId="6" borderId="0" xfId="0" applyFont="1" applyFill="1" applyAlignment="1">
      <alignment wrapText="1"/>
    </xf>
    <xf numFmtId="0" fontId="26" fillId="0" borderId="0" xfId="0" applyFont="1" applyAlignment="1">
      <alignment horizontal="center" vertical="center" wrapText="1"/>
    </xf>
    <xf numFmtId="0" fontId="33" fillId="9" borderId="0" xfId="0" applyFont="1" applyFill="1" applyAlignment="1">
      <alignment horizontal="center" vertical="center" wrapText="1"/>
    </xf>
    <xf numFmtId="4" fontId="33" fillId="9" borderId="0" xfId="0" applyNumberFormat="1" applyFont="1" applyFill="1" applyAlignment="1">
      <alignment horizontal="center" vertical="center" wrapText="1"/>
    </xf>
    <xf numFmtId="164" fontId="33" fillId="9" borderId="0" xfId="8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textRotation="90"/>
    </xf>
    <xf numFmtId="0" fontId="24" fillId="0" borderId="9" xfId="0" applyFont="1" applyBorder="1" applyAlignment="1">
      <alignment horizontal="center" vertical="center" textRotation="90"/>
    </xf>
    <xf numFmtId="0" fontId="32" fillId="0" borderId="0" xfId="30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textRotation="90" wrapText="1"/>
    </xf>
    <xf numFmtId="173" fontId="24" fillId="5" borderId="0" xfId="0" applyNumberFormat="1" applyFont="1" applyFill="1" applyAlignment="1">
      <alignment vertical="center"/>
    </xf>
    <xf numFmtId="0" fontId="24" fillId="6" borderId="0" xfId="0" applyFont="1" applyFill="1" applyAlignment="1">
      <alignment horizontal="center" vertical="center" textRotation="90"/>
    </xf>
    <xf numFmtId="0" fontId="24" fillId="6" borderId="0" xfId="0" applyFont="1" applyFill="1" applyAlignment="1">
      <alignment vertical="center"/>
    </xf>
    <xf numFmtId="168" fontId="24" fillId="0" borderId="0" xfId="19" applyFont="1" applyAlignment="1">
      <alignment horizontal="center" vertical="center" wrapText="1"/>
    </xf>
    <xf numFmtId="173" fontId="24" fillId="0" borderId="0" xfId="0" applyNumberFormat="1" applyFont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24" fillId="6" borderId="0" xfId="0" applyFont="1" applyFill="1" applyAlignment="1">
      <alignment vertical="center" wrapText="1"/>
    </xf>
    <xf numFmtId="2" fontId="24" fillId="6" borderId="0" xfId="0" applyNumberFormat="1" applyFont="1" applyFill="1"/>
    <xf numFmtId="169" fontId="24" fillId="6" borderId="0" xfId="0" applyNumberFormat="1" applyFont="1" applyFill="1"/>
    <xf numFmtId="17" fontId="24" fillId="6" borderId="0" xfId="0" applyNumberFormat="1" applyFont="1" applyFill="1" applyAlignment="1">
      <alignment horizontal="center"/>
    </xf>
    <xf numFmtId="2" fontId="26" fillId="6" borderId="0" xfId="0" applyNumberFormat="1" applyFont="1" applyFill="1" applyAlignment="1">
      <alignment vertical="center"/>
    </xf>
    <xf numFmtId="169" fontId="24" fillId="6" borderId="0" xfId="0" applyNumberFormat="1" applyFont="1" applyFill="1" applyAlignment="1">
      <alignment vertical="center"/>
    </xf>
    <xf numFmtId="0" fontId="24" fillId="6" borderId="0" xfId="0" applyFont="1" applyFill="1" applyAlignment="1">
      <alignment horizontal="center" vertical="center"/>
    </xf>
    <xf numFmtId="169" fontId="24" fillId="6" borderId="0" xfId="0" applyNumberFormat="1" applyFont="1" applyFill="1" applyAlignment="1">
      <alignment wrapText="1"/>
    </xf>
    <xf numFmtId="0" fontId="34" fillId="10" borderId="9" xfId="0" applyFont="1" applyFill="1" applyBorder="1" applyAlignment="1">
      <alignment horizontal="center" vertical="center" wrapText="1"/>
    </xf>
    <xf numFmtId="170" fontId="34" fillId="10" borderId="9" xfId="0" applyNumberFormat="1" applyFont="1" applyFill="1" applyBorder="1" applyAlignment="1">
      <alignment horizontal="center" vertical="center" wrapText="1"/>
    </xf>
    <xf numFmtId="0" fontId="33" fillId="10" borderId="7" xfId="0" applyFont="1" applyFill="1" applyBorder="1" applyAlignment="1">
      <alignment vertical="center" wrapText="1"/>
    </xf>
    <xf numFmtId="0" fontId="33" fillId="10" borderId="4" xfId="0" applyFont="1" applyFill="1" applyBorder="1" applyAlignment="1">
      <alignment vertical="center" wrapText="1"/>
    </xf>
    <xf numFmtId="0" fontId="24" fillId="0" borderId="0" xfId="30" applyFont="1" applyAlignment="1">
      <alignment horizontal="center" vertical="center" wrapText="1"/>
    </xf>
    <xf numFmtId="0" fontId="26" fillId="6" borderId="0" xfId="0" applyFont="1" applyFill="1" applyAlignment="1">
      <alignment horizontal="left" vertical="center"/>
    </xf>
    <xf numFmtId="2" fontId="26" fillId="5" borderId="0" xfId="0" applyNumberFormat="1" applyFont="1" applyFill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5" fillId="0" borderId="0" xfId="30" applyFont="1" applyAlignment="1">
      <alignment horizontal="center" vertical="center"/>
    </xf>
    <xf numFmtId="9" fontId="26" fillId="5" borderId="0" xfId="38" applyFont="1" applyFill="1" applyAlignment="1">
      <alignment horizontal="center" vertical="center"/>
    </xf>
    <xf numFmtId="2" fontId="24" fillId="6" borderId="0" xfId="0" applyNumberFormat="1" applyFont="1" applyFill="1" applyAlignment="1">
      <alignment vertical="center"/>
    </xf>
    <xf numFmtId="17" fontId="24" fillId="6" borderId="0" xfId="0" applyNumberFormat="1" applyFont="1" applyFill="1" applyAlignment="1">
      <alignment horizontal="center" vertical="center"/>
    </xf>
    <xf numFmtId="177" fontId="24" fillId="6" borderId="0" xfId="0" applyNumberFormat="1" applyFont="1" applyFill="1" applyAlignment="1">
      <alignment vertical="center"/>
    </xf>
    <xf numFmtId="177" fontId="24" fillId="6" borderId="0" xfId="0" applyNumberFormat="1" applyFont="1" applyFill="1" applyAlignment="1">
      <alignment horizontal="center" vertical="center"/>
    </xf>
    <xf numFmtId="2" fontId="24" fillId="6" borderId="0" xfId="0" applyNumberFormat="1" applyFont="1" applyFill="1" applyAlignment="1" applyProtection="1">
      <alignment vertical="center"/>
      <protection hidden="1"/>
    </xf>
    <xf numFmtId="177" fontId="24" fillId="0" borderId="0" xfId="0" applyNumberFormat="1" applyFont="1" applyAlignment="1">
      <alignment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 applyAlignment="1" applyProtection="1">
      <alignment vertical="center"/>
      <protection hidden="1"/>
    </xf>
    <xf numFmtId="169" fontId="24" fillId="0" borderId="0" xfId="0" applyNumberFormat="1" applyFont="1" applyAlignment="1" applyProtection="1">
      <alignment vertical="center"/>
      <protection hidden="1"/>
    </xf>
    <xf numFmtId="2" fontId="24" fillId="0" borderId="0" xfId="0" applyNumberFormat="1" applyFont="1" applyAlignment="1" applyProtection="1">
      <alignment vertical="center"/>
      <protection hidden="1"/>
    </xf>
    <xf numFmtId="168" fontId="24" fillId="0" borderId="0" xfId="19" applyFont="1" applyAlignment="1">
      <alignment vertical="center"/>
    </xf>
    <xf numFmtId="0" fontId="33" fillId="9" borderId="17" xfId="0" applyFont="1" applyFill="1" applyBorder="1" applyAlignment="1">
      <alignment horizontal="center" vertical="center" wrapText="1"/>
    </xf>
    <xf numFmtId="9" fontId="38" fillId="5" borderId="20" xfId="38" applyFont="1" applyFill="1" applyBorder="1" applyAlignment="1">
      <alignment horizontal="center" vertical="center"/>
    </xf>
    <xf numFmtId="2" fontId="33" fillId="0" borderId="15" xfId="0" applyNumberFormat="1" applyFont="1" applyBorder="1" applyAlignment="1">
      <alignment vertical="center" wrapText="1"/>
    </xf>
    <xf numFmtId="2" fontId="33" fillId="0" borderId="16" xfId="0" applyNumberFormat="1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169" fontId="24" fillId="0" borderId="0" xfId="0" applyNumberFormat="1" applyFont="1" applyAlignment="1">
      <alignment vertical="center"/>
    </xf>
    <xf numFmtId="0" fontId="35" fillId="0" borderId="19" xfId="30" applyFont="1" applyBorder="1" applyAlignment="1">
      <alignment vertical="center"/>
    </xf>
    <xf numFmtId="2" fontId="24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70" fontId="24" fillId="5" borderId="0" xfId="0" applyNumberFormat="1" applyFont="1" applyFill="1" applyAlignment="1">
      <alignment vertical="center"/>
    </xf>
    <xf numFmtId="0" fontId="24" fillId="6" borderId="0" xfId="0" applyFont="1" applyFill="1" applyAlignment="1">
      <alignment horizontal="left" vertical="center"/>
    </xf>
    <xf numFmtId="0" fontId="24" fillId="6" borderId="0" xfId="0" applyFont="1" applyFill="1" applyAlignment="1">
      <alignment horizontal="center" wrapText="1"/>
    </xf>
    <xf numFmtId="17" fontId="26" fillId="6" borderId="0" xfId="0" applyNumberFormat="1" applyFont="1" applyFill="1" applyAlignment="1">
      <alignment horizontal="center"/>
    </xf>
    <xf numFmtId="0" fontId="26" fillId="6" borderId="0" xfId="0" applyFont="1" applyFill="1" applyAlignment="1">
      <alignment horizontal="center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wrapText="1"/>
    </xf>
    <xf numFmtId="0" fontId="34" fillId="9" borderId="9" xfId="0" applyFont="1" applyFill="1" applyBorder="1" applyAlignment="1">
      <alignment horizontal="center" vertical="center" wrapText="1"/>
    </xf>
    <xf numFmtId="0" fontId="34" fillId="9" borderId="9" xfId="0" applyFont="1" applyFill="1" applyBorder="1" applyAlignment="1">
      <alignment horizontal="left" vertical="center" wrapText="1"/>
    </xf>
    <xf numFmtId="168" fontId="34" fillId="9" borderId="9" xfId="19" applyFont="1" applyFill="1" applyBorder="1" applyAlignment="1">
      <alignment horizontal="center" vertical="center" wrapText="1"/>
    </xf>
    <xf numFmtId="173" fontId="34" fillId="9" borderId="9" xfId="0" applyNumberFormat="1" applyFont="1" applyFill="1" applyBorder="1" applyAlignment="1">
      <alignment horizontal="center" vertical="center" wrapText="1"/>
    </xf>
    <xf numFmtId="0" fontId="30" fillId="0" borderId="0" xfId="29" applyFont="1" applyAlignment="1">
      <alignment horizontal="center"/>
    </xf>
    <xf numFmtId="0" fontId="35" fillId="7" borderId="9" xfId="0" applyFont="1" applyFill="1" applyBorder="1" applyAlignment="1">
      <alignment horizontal="left" vertical="center"/>
    </xf>
    <xf numFmtId="0" fontId="35" fillId="8" borderId="9" xfId="0" applyFont="1" applyFill="1" applyBorder="1" applyAlignment="1">
      <alignment horizontal="left" vertical="center"/>
    </xf>
    <xf numFmtId="0" fontId="35" fillId="0" borderId="0" xfId="0" applyFont="1" applyAlignment="1">
      <alignment horizontal="center" vertical="center" textRotation="90"/>
    </xf>
    <xf numFmtId="0" fontId="35" fillId="13" borderId="0" xfId="0" applyFont="1" applyFill="1" applyAlignment="1">
      <alignment horizontal="left" vertical="center" wrapText="1"/>
    </xf>
    <xf numFmtId="0" fontId="35" fillId="0" borderId="0" xfId="0" applyFont="1"/>
    <xf numFmtId="173" fontId="38" fillId="13" borderId="9" xfId="0" applyNumberFormat="1" applyFont="1" applyFill="1" applyBorder="1" applyAlignment="1">
      <alignment vertical="center"/>
    </xf>
    <xf numFmtId="170" fontId="35" fillId="13" borderId="9" xfId="0" applyNumberFormat="1" applyFont="1" applyFill="1" applyBorder="1" applyAlignment="1">
      <alignment horizontal="center" vertical="center"/>
    </xf>
    <xf numFmtId="171" fontId="35" fillId="13" borderId="9" xfId="2" applyFont="1" applyFill="1" applyBorder="1" applyAlignment="1" applyProtection="1">
      <alignment horizontal="left" vertical="center"/>
      <protection locked="0"/>
    </xf>
    <xf numFmtId="172" fontId="35" fillId="13" borderId="9" xfId="31" applyNumberFormat="1" applyFont="1" applyFill="1" applyBorder="1" applyAlignment="1" applyProtection="1">
      <alignment horizontal="left" vertical="center"/>
      <protection hidden="1"/>
    </xf>
    <xf numFmtId="170" fontId="35" fillId="13" borderId="9" xfId="0" applyNumberFormat="1" applyFont="1" applyFill="1" applyBorder="1" applyAlignment="1" applyProtection="1">
      <alignment horizontal="center" vertical="center"/>
      <protection locked="0"/>
    </xf>
    <xf numFmtId="172" fontId="35" fillId="13" borderId="9" xfId="2" applyNumberFormat="1" applyFont="1" applyFill="1" applyBorder="1" applyAlignment="1" applyProtection="1">
      <alignment horizontal="left" vertical="center"/>
      <protection hidden="1"/>
    </xf>
    <xf numFmtId="0" fontId="40" fillId="0" borderId="0" xfId="0" applyFont="1" applyAlignment="1">
      <alignment vertical="center"/>
    </xf>
    <xf numFmtId="2" fontId="24" fillId="0" borderId="0" xfId="0" applyNumberFormat="1" applyFont="1" applyAlignment="1">
      <alignment horizontal="center" vertical="center"/>
    </xf>
    <xf numFmtId="1" fontId="24" fillId="0" borderId="0" xfId="38" applyNumberFormat="1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164" fontId="24" fillId="0" borderId="0" xfId="8" applyFont="1" applyAlignment="1">
      <alignment horizontal="right" vertical="center"/>
    </xf>
    <xf numFmtId="2" fontId="27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4" fontId="34" fillId="9" borderId="0" xfId="0" applyNumberFormat="1" applyFont="1" applyFill="1" applyAlignment="1">
      <alignment horizontal="right" vertical="center" wrapText="1"/>
    </xf>
    <xf numFmtId="0" fontId="35" fillId="11" borderId="0" xfId="0" applyFont="1" applyFill="1" applyAlignment="1">
      <alignment horizontal="center" vertical="center"/>
    </xf>
    <xf numFmtId="0" fontId="35" fillId="11" borderId="0" xfId="0" applyFont="1" applyFill="1" applyAlignment="1">
      <alignment horizontal="left" vertical="center"/>
    </xf>
    <xf numFmtId="0" fontId="35" fillId="11" borderId="0" xfId="0" applyFont="1" applyFill="1" applyAlignment="1">
      <alignment vertical="center"/>
    </xf>
    <xf numFmtId="173" fontId="35" fillId="11" borderId="0" xfId="0" applyNumberFormat="1" applyFont="1" applyFill="1" applyAlignment="1">
      <alignment horizontal="center" vertical="center"/>
    </xf>
    <xf numFmtId="49" fontId="24" fillId="6" borderId="0" xfId="0" applyNumberFormat="1" applyFont="1" applyFill="1" applyAlignment="1">
      <alignment horizontal="center" vertical="center"/>
    </xf>
    <xf numFmtId="49" fontId="24" fillId="0" borderId="0" xfId="0" applyNumberFormat="1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0" fontId="35" fillId="12" borderId="0" xfId="0" applyFont="1" applyFill="1" applyAlignment="1">
      <alignment horizontal="center" vertical="center"/>
    </xf>
    <xf numFmtId="0" fontId="35" fillId="12" borderId="0" xfId="0" applyFont="1" applyFill="1" applyAlignment="1">
      <alignment horizontal="left" vertical="center"/>
    </xf>
    <xf numFmtId="0" fontId="35" fillId="12" borderId="0" xfId="0" applyFont="1" applyFill="1" applyAlignment="1">
      <alignment vertical="center"/>
    </xf>
    <xf numFmtId="0" fontId="35" fillId="12" borderId="0" xfId="0" applyFont="1" applyFill="1" applyAlignment="1">
      <alignment horizontal="right" vertical="center"/>
    </xf>
    <xf numFmtId="173" fontId="35" fillId="12" borderId="0" xfId="0" applyNumberFormat="1" applyFont="1" applyFill="1" applyAlignment="1">
      <alignment horizontal="center" vertical="center"/>
    </xf>
    <xf numFmtId="0" fontId="41" fillId="0" borderId="0" xfId="30" applyFont="1" applyAlignment="1">
      <alignment horizontal="center" vertical="center"/>
    </xf>
    <xf numFmtId="0" fontId="42" fillId="13" borderId="9" xfId="0" applyFont="1" applyFill="1" applyBorder="1" applyAlignment="1">
      <alignment horizontal="center" vertical="center"/>
    </xf>
    <xf numFmtId="0" fontId="42" fillId="13" borderId="9" xfId="0" applyFont="1" applyFill="1" applyBorder="1" applyAlignment="1">
      <alignment vertical="center"/>
    </xf>
    <xf numFmtId="180" fontId="42" fillId="13" borderId="9" xfId="0" applyNumberFormat="1" applyFont="1" applyFill="1" applyBorder="1" applyAlignment="1">
      <alignment vertical="center"/>
    </xf>
    <xf numFmtId="181" fontId="42" fillId="13" borderId="9" xfId="0" applyNumberFormat="1" applyFont="1" applyFill="1" applyBorder="1" applyAlignment="1">
      <alignment vertical="center"/>
    </xf>
    <xf numFmtId="173" fontId="42" fillId="13" borderId="9" xfId="0" applyNumberFormat="1" applyFont="1" applyFill="1" applyBorder="1" applyAlignment="1">
      <alignment vertical="center"/>
    </xf>
    <xf numFmtId="0" fontId="35" fillId="0" borderId="18" xfId="3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vertical="center"/>
    </xf>
    <xf numFmtId="3" fontId="35" fillId="0" borderId="9" xfId="0" applyNumberFormat="1" applyFont="1" applyBorder="1" applyAlignment="1">
      <alignment vertical="center"/>
    </xf>
    <xf numFmtId="179" fontId="35" fillId="0" borderId="9" xfId="0" applyNumberFormat="1" applyFont="1" applyBorder="1" applyAlignment="1">
      <alignment vertical="center"/>
    </xf>
    <xf numFmtId="173" fontId="35" fillId="0" borderId="9" xfId="0" applyNumberFormat="1" applyFont="1" applyBorder="1" applyAlignment="1">
      <alignment vertical="center"/>
    </xf>
    <xf numFmtId="173" fontId="0" fillId="0" borderId="9" xfId="0" applyNumberFormat="1" applyBorder="1" applyAlignment="1">
      <alignment vertical="center"/>
    </xf>
    <xf numFmtId="0" fontId="35" fillId="0" borderId="0" xfId="0" applyFont="1" applyAlignment="1">
      <alignment horizontal="center"/>
    </xf>
    <xf numFmtId="2" fontId="24" fillId="16" borderId="0" xfId="0" applyNumberFormat="1" applyFont="1" applyFill="1" applyAlignment="1" applyProtection="1">
      <alignment vertical="center"/>
      <protection hidden="1"/>
    </xf>
    <xf numFmtId="0" fontId="24" fillId="16" borderId="0" xfId="0" applyFont="1" applyFill="1" applyAlignment="1">
      <alignment vertical="center"/>
    </xf>
    <xf numFmtId="0" fontId="24" fillId="6" borderId="5" xfId="30" applyFont="1" applyFill="1" applyBorder="1" applyAlignment="1">
      <alignment vertical="center"/>
    </xf>
    <xf numFmtId="0" fontId="24" fillId="0" borderId="0" xfId="0" applyFont="1" applyFill="1" applyAlignment="1">
      <alignment horizontal="center" vertical="center"/>
    </xf>
    <xf numFmtId="178" fontId="24" fillId="0" borderId="0" xfId="0" applyNumberFormat="1" applyFont="1" applyFill="1" applyAlignment="1">
      <alignment vertical="center"/>
    </xf>
    <xf numFmtId="178" fontId="35" fillId="0" borderId="0" xfId="0" applyNumberFormat="1" applyFont="1" applyFill="1" applyAlignment="1">
      <alignment horizontal="center" vertical="center"/>
    </xf>
    <xf numFmtId="0" fontId="4" fillId="0" borderId="0" xfId="42" applyAlignment="1">
      <alignment wrapText="1"/>
    </xf>
    <xf numFmtId="0" fontId="4" fillId="0" borderId="9" xfId="55" applyFont="1" applyBorder="1" applyAlignment="1">
      <alignment horizontal="left" vertical="center" wrapText="1"/>
    </xf>
    <xf numFmtId="49" fontId="47" fillId="0" borderId="9" xfId="55" applyNumberFormat="1" applyFont="1" applyBorder="1" applyAlignment="1" applyProtection="1">
      <alignment horizontal="left" vertical="center" wrapText="1"/>
      <protection hidden="1"/>
    </xf>
    <xf numFmtId="0" fontId="4" fillId="6" borderId="9" xfId="55" applyFont="1" applyFill="1" applyBorder="1" applyAlignment="1">
      <alignment horizontal="left" vertical="center" wrapText="1"/>
    </xf>
    <xf numFmtId="49" fontId="47" fillId="6" borderId="9" xfId="55" applyNumberFormat="1" applyFont="1" applyFill="1" applyBorder="1" applyAlignment="1" applyProtection="1">
      <alignment horizontal="left" vertical="center" wrapText="1"/>
      <protection hidden="1"/>
    </xf>
    <xf numFmtId="0" fontId="47" fillId="0" borderId="9" xfId="55" applyFont="1" applyBorder="1" applyAlignment="1">
      <alignment horizontal="left" vertical="center" wrapText="1"/>
    </xf>
    <xf numFmtId="0" fontId="4" fillId="0" borderId="0" xfId="42" applyAlignment="1">
      <alignment horizontal="left" vertical="center" wrapText="1"/>
    </xf>
    <xf numFmtId="0" fontId="48" fillId="0" borderId="0" xfId="0" applyFont="1" applyFill="1" applyAlignment="1">
      <alignment horizontal="center" vertical="center"/>
    </xf>
    <xf numFmtId="0" fontId="48" fillId="0" borderId="0" xfId="0" applyFont="1" applyFill="1" applyAlignment="1">
      <alignment vertical="center"/>
    </xf>
    <xf numFmtId="0" fontId="48" fillId="0" borderId="0" xfId="0" applyNumberFormat="1" applyFont="1" applyFill="1" applyAlignment="1">
      <alignment vertical="center"/>
    </xf>
    <xf numFmtId="178" fontId="35" fillId="0" borderId="0" xfId="0" applyNumberFormat="1" applyFont="1" applyFill="1" applyAlignment="1">
      <alignment vertical="center"/>
    </xf>
    <xf numFmtId="49" fontId="24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24" fillId="0" borderId="9" xfId="0" applyFont="1" applyBorder="1" applyAlignment="1">
      <alignment vertical="center"/>
    </xf>
    <xf numFmtId="170" fontId="24" fillId="5" borderId="9" xfId="0" applyNumberFormat="1" applyFont="1" applyFill="1" applyBorder="1" applyAlignment="1">
      <alignment horizontal="center" vertical="center"/>
    </xf>
    <xf numFmtId="0" fontId="24" fillId="0" borderId="9" xfId="0" applyFont="1" applyBorder="1" applyAlignment="1">
      <alignment horizontal="left" vertical="center"/>
    </xf>
    <xf numFmtId="10" fontId="34" fillId="10" borderId="9" xfId="0" applyNumberFormat="1" applyFont="1" applyFill="1" applyBorder="1" applyAlignment="1">
      <alignment horizontal="center" vertical="center" wrapText="1"/>
    </xf>
    <xf numFmtId="182" fontId="24" fillId="0" borderId="9" xfId="0" applyNumberFormat="1" applyFont="1" applyBorder="1" applyAlignment="1">
      <alignment vertical="center"/>
    </xf>
    <xf numFmtId="9" fontId="24" fillId="0" borderId="9" xfId="44" applyFont="1" applyBorder="1" applyAlignment="1">
      <alignment vertical="center"/>
    </xf>
    <xf numFmtId="171" fontId="24" fillId="0" borderId="9" xfId="0" applyNumberFormat="1" applyFont="1" applyBorder="1" applyAlignment="1">
      <alignment vertical="center"/>
    </xf>
    <xf numFmtId="44" fontId="24" fillId="5" borderId="9" xfId="48" applyFont="1" applyFill="1" applyBorder="1" applyAlignment="1">
      <alignment horizontal="center" vertical="center"/>
    </xf>
    <xf numFmtId="170" fontId="24" fillId="0" borderId="9" xfId="44" applyNumberFormat="1" applyFont="1" applyFill="1" applyBorder="1" applyAlignment="1">
      <alignment horizontal="center" vertical="center"/>
    </xf>
    <xf numFmtId="9" fontId="24" fillId="0" borderId="9" xfId="0" applyNumberFormat="1" applyFont="1" applyBorder="1" applyAlignment="1">
      <alignment vertical="center"/>
    </xf>
    <xf numFmtId="170" fontId="24" fillId="0" borderId="9" xfId="0" applyNumberFormat="1" applyFont="1" applyBorder="1" applyAlignment="1">
      <alignment horizontal="center" vertical="center"/>
    </xf>
    <xf numFmtId="0" fontId="33" fillId="10" borderId="9" xfId="0" applyFont="1" applyFill="1" applyBorder="1" applyAlignment="1">
      <alignment vertical="center" wrapText="1"/>
    </xf>
    <xf numFmtId="44" fontId="35" fillId="8" borderId="20" xfId="54" applyFont="1" applyFill="1" applyBorder="1" applyAlignment="1">
      <alignment horizontal="left" vertical="center"/>
    </xf>
    <xf numFmtId="44" fontId="35" fillId="7" borderId="20" xfId="54" applyFont="1" applyFill="1" applyBorder="1" applyAlignment="1">
      <alignment horizontal="left" vertical="center"/>
    </xf>
    <xf numFmtId="44" fontId="35" fillId="7" borderId="23" xfId="54" applyFont="1" applyFill="1" applyBorder="1" applyAlignment="1">
      <alignment horizontal="left" vertical="center"/>
    </xf>
    <xf numFmtId="44" fontId="35" fillId="8" borderId="20" xfId="0" applyNumberFormat="1" applyFont="1" applyFill="1" applyBorder="1" applyAlignment="1">
      <alignment horizontal="left" vertical="center"/>
    </xf>
    <xf numFmtId="0" fontId="38" fillId="13" borderId="24" xfId="0" applyFont="1" applyFill="1" applyBorder="1" applyAlignment="1">
      <alignment horizontal="left" vertical="center" wrapText="1"/>
    </xf>
    <xf numFmtId="173" fontId="35" fillId="8" borderId="19" xfId="0" applyNumberFormat="1" applyFont="1" applyFill="1" applyBorder="1" applyAlignment="1">
      <alignment horizontal="left" vertical="center" wrapText="1"/>
    </xf>
    <xf numFmtId="44" fontId="35" fillId="7" borderId="19" xfId="54" applyFont="1" applyFill="1" applyBorder="1" applyAlignment="1">
      <alignment horizontal="left" vertical="center" wrapText="1"/>
    </xf>
    <xf numFmtId="44" fontId="35" fillId="8" borderId="19" xfId="54" applyFont="1" applyFill="1" applyBorder="1" applyAlignment="1">
      <alignment horizontal="left" vertical="center" wrapText="1"/>
    </xf>
    <xf numFmtId="0" fontId="24" fillId="0" borderId="9" xfId="0" applyFont="1" applyBorder="1" applyAlignment="1">
      <alignment vertical="center"/>
    </xf>
    <xf numFmtId="168" fontId="24" fillId="6" borderId="0" xfId="19" applyFont="1" applyFill="1" applyAlignment="1">
      <alignment vertical="center"/>
    </xf>
    <xf numFmtId="168" fontId="24" fillId="0" borderId="0" xfId="19" applyFont="1" applyAlignment="1" applyProtection="1">
      <alignment vertical="center"/>
      <protection hidden="1"/>
    </xf>
    <xf numFmtId="44" fontId="24" fillId="6" borderId="0" xfId="54" applyFont="1" applyFill="1" applyAlignment="1">
      <alignment vertical="center"/>
    </xf>
    <xf numFmtId="44" fontId="24" fillId="0" borderId="0" xfId="54" applyFont="1" applyAlignment="1">
      <alignment horizontal="center" vertical="center" wrapText="1"/>
    </xf>
    <xf numFmtId="44" fontId="26" fillId="0" borderId="0" xfId="54" applyFont="1" applyAlignment="1">
      <alignment horizontal="center" vertical="center"/>
    </xf>
    <xf numFmtId="0" fontId="35" fillId="5" borderId="0" xfId="0" applyNumberFormat="1" applyFont="1" applyFill="1" applyAlignment="1">
      <alignment horizontal="center" vertical="center"/>
    </xf>
    <xf numFmtId="0" fontId="24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173" fontId="0" fillId="0" borderId="9" xfId="0" applyNumberFormat="1" applyFont="1" applyBorder="1" applyAlignment="1">
      <alignment vertical="center"/>
    </xf>
    <xf numFmtId="0" fontId="0" fillId="12" borderId="0" xfId="0" applyFill="1"/>
    <xf numFmtId="14" fontId="35" fillId="0" borderId="9" xfId="0" applyNumberFormat="1" applyFont="1" applyBorder="1" applyAlignment="1">
      <alignment vertical="center"/>
    </xf>
    <xf numFmtId="0" fontId="35" fillId="0" borderId="9" xfId="0" applyFont="1" applyBorder="1" applyAlignment="1">
      <alignment vertical="center"/>
    </xf>
    <xf numFmtId="44" fontId="35" fillId="0" borderId="9" xfId="57" applyFont="1" applyBorder="1" applyAlignment="1">
      <alignment horizontal="center" vertical="center"/>
    </xf>
    <xf numFmtId="0" fontId="35" fillId="0" borderId="9" xfId="0" applyFont="1" applyBorder="1" applyAlignment="1">
      <alignment horizontal="left" vertical="center"/>
    </xf>
    <xf numFmtId="173" fontId="34" fillId="9" borderId="14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168" fontId="24" fillId="0" borderId="0" xfId="19" applyFont="1" applyFill="1" applyAlignment="1">
      <alignment horizontal="center" vertical="center" wrapText="1"/>
    </xf>
    <xf numFmtId="44" fontId="24" fillId="0" borderId="0" xfId="54" applyFont="1" applyFill="1" applyAlignment="1">
      <alignment horizontal="center" vertical="center" wrapText="1"/>
    </xf>
    <xf numFmtId="0" fontId="44" fillId="0" borderId="0" xfId="0" applyFont="1" applyFill="1" applyAlignment="1">
      <alignment horizontal="center" vertical="center"/>
    </xf>
    <xf numFmtId="0" fontId="24" fillId="0" borderId="0" xfId="0" applyNumberFormat="1" applyFont="1" applyFill="1" applyAlignment="1">
      <alignment horizontal="left" vertical="center"/>
    </xf>
    <xf numFmtId="0" fontId="24" fillId="0" borderId="0" xfId="0" applyNumberFormat="1" applyFont="1" applyFill="1" applyAlignment="1">
      <alignment horizontal="center" vertical="center" wrapText="1"/>
    </xf>
    <xf numFmtId="0" fontId="24" fillId="0" borderId="0" xfId="0" applyNumberFormat="1" applyFont="1" applyFill="1" applyAlignment="1">
      <alignment horizontal="left" vertical="center" wrapText="1"/>
    </xf>
    <xf numFmtId="0" fontId="35" fillId="6" borderId="9" xfId="0" applyFont="1" applyFill="1" applyBorder="1" applyAlignment="1">
      <alignment vertical="center"/>
    </xf>
    <xf numFmtId="0" fontId="35" fillId="6" borderId="9" xfId="0" applyFont="1" applyFill="1" applyBorder="1" applyAlignment="1">
      <alignment horizontal="center" vertical="center"/>
    </xf>
    <xf numFmtId="44" fontId="35" fillId="6" borderId="9" xfId="57" applyFont="1" applyFill="1" applyBorder="1" applyAlignment="1">
      <alignment horizontal="center" vertical="center"/>
    </xf>
    <xf numFmtId="14" fontId="35" fillId="6" borderId="9" xfId="0" applyNumberFormat="1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left" vertical="center"/>
    </xf>
    <xf numFmtId="4" fontId="35" fillId="0" borderId="0" xfId="0" applyNumberFormat="1" applyFont="1" applyFill="1" applyAlignment="1">
      <alignment vertical="center"/>
    </xf>
    <xf numFmtId="4" fontId="35" fillId="0" borderId="0" xfId="0" applyNumberFormat="1" applyFont="1" applyFill="1" applyAlignment="1">
      <alignment horizontal="center" vertical="center"/>
    </xf>
    <xf numFmtId="173" fontId="35" fillId="0" borderId="0" xfId="0" applyNumberFormat="1" applyFont="1" applyFill="1" applyAlignment="1">
      <alignment horizontal="center" vertical="center"/>
    </xf>
    <xf numFmtId="164" fontId="24" fillId="0" borderId="0" xfId="40" applyFont="1" applyAlignment="1">
      <alignment horizontal="right" vertical="center"/>
    </xf>
    <xf numFmtId="164" fontId="24" fillId="0" borderId="0" xfId="40" applyFont="1" applyAlignment="1">
      <alignment vertical="center"/>
    </xf>
    <xf numFmtId="164" fontId="34" fillId="9" borderId="0" xfId="40" applyFont="1" applyFill="1" applyAlignment="1">
      <alignment horizontal="center" vertical="center" wrapText="1"/>
    </xf>
    <xf numFmtId="3" fontId="24" fillId="0" borderId="0" xfId="40" applyNumberFormat="1" applyFont="1" applyAlignment="1">
      <alignment vertical="center"/>
    </xf>
    <xf numFmtId="44" fontId="35" fillId="0" borderId="20" xfId="48" applyFont="1" applyFill="1" applyBorder="1" applyAlignment="1">
      <alignment horizontal="left" vertical="center"/>
    </xf>
    <xf numFmtId="44" fontId="35" fillId="0" borderId="20" xfId="0" applyNumberFormat="1" applyFont="1" applyFill="1" applyBorder="1" applyAlignment="1">
      <alignment horizontal="left" vertical="center"/>
    </xf>
    <xf numFmtId="0" fontId="35" fillId="0" borderId="0" xfId="0" applyFont="1" applyFill="1" applyAlignment="1">
      <alignment vertical="center" wrapText="1"/>
    </xf>
    <xf numFmtId="4" fontId="35" fillId="0" borderId="0" xfId="0" applyNumberFormat="1" applyFont="1" applyFill="1" applyAlignment="1">
      <alignment vertical="center" wrapText="1"/>
    </xf>
    <xf numFmtId="3" fontId="35" fillId="0" borderId="0" xfId="0" applyNumberFormat="1" applyFont="1" applyFill="1" applyAlignment="1">
      <alignment horizontal="center" vertical="center"/>
    </xf>
    <xf numFmtId="44" fontId="35" fillId="0" borderId="0" xfId="54" applyFont="1" applyFill="1" applyAlignment="1">
      <alignment vertical="center"/>
    </xf>
    <xf numFmtId="0" fontId="49" fillId="15" borderId="9" xfId="0" applyFont="1" applyFill="1" applyBorder="1" applyAlignment="1">
      <alignment horizontal="center" vertical="center" wrapText="1"/>
    </xf>
    <xf numFmtId="0" fontId="33" fillId="10" borderId="9" xfId="0" applyFont="1" applyFill="1" applyBorder="1" applyAlignment="1">
      <alignment horizontal="center" vertical="center" wrapText="1"/>
    </xf>
    <xf numFmtId="0" fontId="49" fillId="15" borderId="9" xfId="0" applyFont="1" applyFill="1" applyBorder="1" applyAlignment="1">
      <alignment horizontal="left" vertical="center" wrapText="1"/>
    </xf>
    <xf numFmtId="0" fontId="35" fillId="8" borderId="20" xfId="54" applyNumberFormat="1" applyFont="1" applyFill="1" applyBorder="1" applyAlignment="1">
      <alignment horizontal="left" vertical="center"/>
    </xf>
    <xf numFmtId="0" fontId="26" fillId="0" borderId="9" xfId="30" applyFont="1" applyBorder="1" applyAlignment="1">
      <alignment horizontal="center" vertical="center" wrapText="1"/>
    </xf>
    <xf numFmtId="1" fontId="24" fillId="0" borderId="0" xfId="0" applyNumberFormat="1" applyFont="1" applyFill="1" applyAlignment="1">
      <alignment horizontal="center" vertical="center" wrapText="1"/>
    </xf>
    <xf numFmtId="1" fontId="26" fillId="0" borderId="0" xfId="0" applyNumberFormat="1" applyFont="1" applyFill="1" applyAlignment="1">
      <alignment horizontal="center" vertical="center" wrapText="1"/>
    </xf>
    <xf numFmtId="169" fontId="24" fillId="0" borderId="0" xfId="0" applyNumberFormat="1" applyFont="1" applyFill="1" applyAlignment="1" applyProtection="1">
      <alignment horizontal="center" vertical="center" wrapText="1"/>
      <protection hidden="1"/>
    </xf>
    <xf numFmtId="168" fontId="24" fillId="0" borderId="0" xfId="19" applyFont="1" applyFill="1" applyAlignment="1" applyProtection="1">
      <alignment horizontal="center" vertical="center" wrapText="1"/>
      <protection hidden="1"/>
    </xf>
    <xf numFmtId="44" fontId="24" fillId="0" borderId="0" xfId="54" applyFont="1" applyFill="1" applyAlignment="1" applyProtection="1">
      <alignment horizontal="center" vertical="center" wrapText="1"/>
      <protection hidden="1"/>
    </xf>
    <xf numFmtId="0" fontId="26" fillId="0" borderId="0" xfId="0" applyFont="1" applyFill="1" applyAlignment="1">
      <alignment horizontal="center" vertical="center" wrapText="1"/>
    </xf>
    <xf numFmtId="169" fontId="24" fillId="0" borderId="0" xfId="0" applyNumberFormat="1" applyFont="1" applyFill="1" applyAlignment="1">
      <alignment horizontal="center" vertical="center" wrapText="1"/>
    </xf>
    <xf numFmtId="2" fontId="24" fillId="0" borderId="0" xfId="0" applyNumberFormat="1" applyFont="1" applyFill="1" applyAlignment="1" applyProtection="1">
      <alignment horizontal="center" vertical="center" wrapText="1"/>
      <protection hidden="1"/>
    </xf>
    <xf numFmtId="0" fontId="24" fillId="0" borderId="0" xfId="0" applyFont="1" applyFill="1" applyAlignment="1" applyProtection="1">
      <alignment horizontal="center" vertical="center" wrapText="1"/>
      <protection hidden="1"/>
    </xf>
    <xf numFmtId="173" fontId="24" fillId="0" borderId="0" xfId="0" applyNumberFormat="1" applyFont="1" applyFill="1" applyAlignment="1">
      <alignment horizontal="center" vertical="center" wrapText="1"/>
    </xf>
    <xf numFmtId="4" fontId="35" fillId="8" borderId="19" xfId="0" applyNumberFormat="1" applyFont="1" applyFill="1" applyBorder="1" applyAlignment="1">
      <alignment horizontal="center" vertical="center"/>
    </xf>
    <xf numFmtId="178" fontId="50" fillId="0" borderId="0" xfId="0" applyNumberFormat="1" applyFont="1" applyFill="1" applyAlignment="1">
      <alignment vertical="center"/>
    </xf>
    <xf numFmtId="0" fontId="35" fillId="0" borderId="9" xfId="0" applyFont="1" applyBorder="1" applyAlignment="1">
      <alignment horizontal="right" vertical="center"/>
    </xf>
    <xf numFmtId="168" fontId="35" fillId="0" borderId="9" xfId="20" applyFont="1" applyBorder="1" applyAlignment="1">
      <alignment horizontal="right" vertical="center"/>
    </xf>
    <xf numFmtId="183" fontId="35" fillId="0" borderId="9" xfId="48" applyNumberFormat="1" applyFont="1" applyBorder="1" applyAlignment="1">
      <alignment horizontal="center" vertical="center"/>
    </xf>
    <xf numFmtId="4" fontId="35" fillId="0" borderId="0" xfId="0" applyNumberFormat="1" applyFont="1" applyFill="1" applyAlignment="1">
      <alignment horizontal="right" vertical="center"/>
    </xf>
    <xf numFmtId="0" fontId="33" fillId="10" borderId="7" xfId="0" applyFont="1" applyFill="1" applyBorder="1" applyAlignment="1">
      <alignment horizontal="center" vertical="center" wrapText="1"/>
    </xf>
    <xf numFmtId="0" fontId="33" fillId="10" borderId="4" xfId="0" applyFont="1" applyFill="1" applyBorder="1" applyAlignment="1">
      <alignment horizontal="center" vertical="center" wrapText="1"/>
    </xf>
    <xf numFmtId="0" fontId="33" fillId="10" borderId="14" xfId="0" applyFont="1" applyFill="1" applyBorder="1" applyAlignment="1">
      <alignment horizontal="center" vertical="center" wrapText="1"/>
    </xf>
    <xf numFmtId="0" fontId="37" fillId="10" borderId="8" xfId="30" applyFont="1" applyFill="1" applyBorder="1" applyAlignment="1">
      <alignment horizontal="center" vertical="center" wrapText="1"/>
    </xf>
    <xf numFmtId="0" fontId="37" fillId="10" borderId="11" xfId="30" applyFont="1" applyFill="1" applyBorder="1" applyAlignment="1">
      <alignment horizontal="center" vertical="center" wrapText="1"/>
    </xf>
    <xf numFmtId="0" fontId="32" fillId="0" borderId="0" xfId="30" applyFont="1" applyAlignment="1">
      <alignment horizontal="center" vertical="center"/>
    </xf>
    <xf numFmtId="0" fontId="38" fillId="13" borderId="9" xfId="0" applyFont="1" applyFill="1" applyBorder="1" applyAlignment="1">
      <alignment horizontal="center" vertical="center"/>
    </xf>
    <xf numFmtId="170" fontId="24" fillId="5" borderId="9" xfId="0" applyNumberFormat="1" applyFont="1" applyFill="1" applyBorder="1" applyAlignment="1">
      <alignment horizontal="center" vertical="center"/>
    </xf>
    <xf numFmtId="0" fontId="33" fillId="10" borderId="7" xfId="0" applyFont="1" applyFill="1" applyBorder="1" applyAlignment="1">
      <alignment horizontal="left" vertical="center" wrapText="1"/>
    </xf>
    <xf numFmtId="0" fontId="33" fillId="10" borderId="14" xfId="0" applyFont="1" applyFill="1" applyBorder="1" applyAlignment="1">
      <alignment horizontal="left" vertical="center" wrapText="1"/>
    </xf>
    <xf numFmtId="0" fontId="33" fillId="10" borderId="4" xfId="0" applyFont="1" applyFill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/>
    </xf>
    <xf numFmtId="0" fontId="24" fillId="0" borderId="9" xfId="0" applyFont="1" applyBorder="1" applyAlignment="1">
      <alignment vertical="center"/>
    </xf>
    <xf numFmtId="9" fontId="24" fillId="0" borderId="7" xfId="0" applyNumberFormat="1" applyFont="1" applyBorder="1" applyAlignment="1">
      <alignment horizontal="left" vertical="center" wrapText="1"/>
    </xf>
    <xf numFmtId="9" fontId="24" fillId="0" borderId="14" xfId="0" applyNumberFormat="1" applyFont="1" applyBorder="1" applyAlignment="1">
      <alignment horizontal="left" vertical="center" wrapText="1"/>
    </xf>
    <xf numFmtId="9" fontId="24" fillId="0" borderId="7" xfId="0" applyNumberFormat="1" applyFont="1" applyBorder="1" applyAlignment="1">
      <alignment horizontal="left" vertical="center"/>
    </xf>
    <xf numFmtId="9" fontId="24" fillId="0" borderId="4" xfId="0" applyNumberFormat="1" applyFont="1" applyBorder="1" applyAlignment="1">
      <alignment horizontal="left" vertical="center"/>
    </xf>
    <xf numFmtId="9" fontId="24" fillId="0" borderId="14" xfId="0" applyNumberFormat="1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6" fillId="0" borderId="9" xfId="30" applyFont="1" applyBorder="1" applyAlignment="1">
      <alignment horizontal="center" vertical="center"/>
    </xf>
    <xf numFmtId="0" fontId="33" fillId="10" borderId="12" xfId="0" applyFont="1" applyFill="1" applyBorder="1" applyAlignment="1">
      <alignment horizontal="center" vertical="center" wrapText="1"/>
    </xf>
    <xf numFmtId="0" fontId="33" fillId="10" borderId="13" xfId="0" applyFont="1" applyFill="1" applyBorder="1" applyAlignment="1">
      <alignment horizontal="center" vertical="center" wrapText="1"/>
    </xf>
    <xf numFmtId="0" fontId="33" fillId="10" borderId="10" xfId="0" applyFont="1" applyFill="1" applyBorder="1" applyAlignment="1">
      <alignment horizontal="center" vertical="center" wrapText="1"/>
    </xf>
    <xf numFmtId="0" fontId="38" fillId="13" borderId="7" xfId="0" applyFont="1" applyFill="1" applyBorder="1" applyAlignment="1">
      <alignment horizontal="left" vertical="center"/>
    </xf>
    <xf numFmtId="0" fontId="38" fillId="13" borderId="4" xfId="0" applyFont="1" applyFill="1" applyBorder="1" applyAlignment="1">
      <alignment horizontal="left" vertical="center"/>
    </xf>
    <xf numFmtId="0" fontId="38" fillId="13" borderId="14" xfId="0" applyFont="1" applyFill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10" fontId="24" fillId="5" borderId="7" xfId="0" applyNumberFormat="1" applyFont="1" applyFill="1" applyBorder="1" applyAlignment="1">
      <alignment horizontal="left" vertical="center"/>
    </xf>
    <xf numFmtId="10" fontId="24" fillId="5" borderId="4" xfId="0" applyNumberFormat="1" applyFont="1" applyFill="1" applyBorder="1" applyAlignment="1">
      <alignment horizontal="left" vertical="center"/>
    </xf>
    <xf numFmtId="10" fontId="24" fillId="5" borderId="14" xfId="0" applyNumberFormat="1" applyFont="1" applyFill="1" applyBorder="1" applyAlignment="1">
      <alignment horizontal="left" vertical="center"/>
    </xf>
    <xf numFmtId="170" fontId="26" fillId="5" borderId="7" xfId="0" applyNumberFormat="1" applyFont="1" applyFill="1" applyBorder="1" applyAlignment="1">
      <alignment horizontal="center" vertical="center"/>
    </xf>
    <xf numFmtId="170" fontId="24" fillId="5" borderId="4" xfId="0" applyNumberFormat="1" applyFont="1" applyFill="1" applyBorder="1" applyAlignment="1">
      <alignment horizontal="center" vertical="center"/>
    </xf>
    <xf numFmtId="0" fontId="32" fillId="0" borderId="6" xfId="30" applyFont="1" applyBorder="1" applyAlignment="1">
      <alignment horizontal="center" vertical="center"/>
    </xf>
    <xf numFmtId="0" fontId="32" fillId="0" borderId="0" xfId="30" applyFont="1" applyAlignment="1">
      <alignment horizontal="left" vertical="center"/>
    </xf>
    <xf numFmtId="0" fontId="26" fillId="13" borderId="7" xfId="0" applyFont="1" applyFill="1" applyBorder="1" applyAlignment="1">
      <alignment horizontal="center" vertical="center"/>
    </xf>
    <xf numFmtId="0" fontId="26" fillId="13" borderId="4" xfId="0" applyFont="1" applyFill="1" applyBorder="1" applyAlignment="1">
      <alignment horizontal="center" vertical="center"/>
    </xf>
    <xf numFmtId="0" fontId="26" fillId="13" borderId="14" xfId="0" applyFont="1" applyFill="1" applyBorder="1" applyAlignment="1">
      <alignment horizontal="center" vertical="center"/>
    </xf>
    <xf numFmtId="0" fontId="26" fillId="14" borderId="8" xfId="0" applyFont="1" applyFill="1" applyBorder="1" applyAlignment="1">
      <alignment horizontal="center" vertical="center"/>
    </xf>
    <xf numFmtId="0" fontId="26" fillId="14" borderId="21" xfId="0" applyFont="1" applyFill="1" applyBorder="1" applyAlignment="1">
      <alignment horizontal="center" vertical="center"/>
    </xf>
    <xf numFmtId="0" fontId="26" fillId="14" borderId="22" xfId="0" applyFont="1" applyFill="1" applyBorder="1" applyAlignment="1">
      <alignment horizontal="center" vertical="center"/>
    </xf>
    <xf numFmtId="0" fontId="26" fillId="13" borderId="8" xfId="0" applyFont="1" applyFill="1" applyBorder="1" applyAlignment="1">
      <alignment horizontal="center" vertical="center"/>
    </xf>
    <xf numFmtId="0" fontId="26" fillId="13" borderId="21" xfId="0" applyFont="1" applyFill="1" applyBorder="1" applyAlignment="1">
      <alignment horizontal="center" vertical="center"/>
    </xf>
    <xf numFmtId="0" fontId="26" fillId="13" borderId="22" xfId="0" applyFont="1" applyFill="1" applyBorder="1" applyAlignment="1">
      <alignment horizontal="center" vertical="center"/>
    </xf>
    <xf numFmtId="170" fontId="26" fillId="5" borderId="9" xfId="0" applyNumberFormat="1" applyFont="1" applyFill="1" applyBorder="1" applyAlignment="1">
      <alignment horizontal="center" vertical="center"/>
    </xf>
    <xf numFmtId="4" fontId="24" fillId="0" borderId="9" xfId="0" applyNumberFormat="1" applyFont="1" applyBorder="1" applyAlignment="1">
      <alignment horizontal="center" vertical="center"/>
    </xf>
    <xf numFmtId="0" fontId="32" fillId="0" borderId="0" xfId="30" applyFont="1" applyBorder="1" applyAlignment="1">
      <alignment horizontal="center" vertical="center"/>
    </xf>
    <xf numFmtId="170" fontId="24" fillId="5" borderId="7" xfId="0" applyNumberFormat="1" applyFont="1" applyFill="1" applyBorder="1" applyAlignment="1">
      <alignment horizontal="center" vertical="center"/>
    </xf>
    <xf numFmtId="170" fontId="24" fillId="5" borderId="14" xfId="0" applyNumberFormat="1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 textRotation="90"/>
    </xf>
    <xf numFmtId="0" fontId="24" fillId="0" borderId="11" xfId="0" applyFont="1" applyBorder="1" applyAlignment="1">
      <alignment horizontal="center" vertical="center" textRotation="90"/>
    </xf>
    <xf numFmtId="0" fontId="24" fillId="0" borderId="12" xfId="0" applyFont="1" applyBorder="1" applyAlignment="1">
      <alignment horizontal="center" vertical="center" textRotation="90"/>
    </xf>
    <xf numFmtId="0" fontId="24" fillId="0" borderId="8" xfId="0" applyFont="1" applyBorder="1" applyAlignment="1">
      <alignment horizontal="center" vertical="center" textRotation="90" wrapText="1"/>
    </xf>
    <xf numFmtId="0" fontId="24" fillId="0" borderId="11" xfId="0" applyFont="1" applyBorder="1" applyAlignment="1">
      <alignment horizontal="center" vertical="center" textRotation="90" wrapText="1"/>
    </xf>
    <xf numFmtId="0" fontId="24" fillId="0" borderId="12" xfId="0" applyFont="1" applyBorder="1" applyAlignment="1">
      <alignment horizontal="center" vertical="center" textRotation="90" wrapText="1"/>
    </xf>
    <xf numFmtId="0" fontId="24" fillId="8" borderId="7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/>
    </xf>
    <xf numFmtId="0" fontId="24" fillId="8" borderId="14" xfId="0" applyFont="1" applyFill="1" applyBorder="1" applyAlignment="1">
      <alignment horizontal="center" vertical="center"/>
    </xf>
    <xf numFmtId="2" fontId="33" fillId="10" borderId="7" xfId="0" applyNumberFormat="1" applyFont="1" applyFill="1" applyBorder="1" applyAlignment="1">
      <alignment horizontal="left" vertical="center"/>
    </xf>
    <xf numFmtId="2" fontId="33" fillId="10" borderId="4" xfId="0" applyNumberFormat="1" applyFont="1" applyFill="1" applyBorder="1" applyAlignment="1">
      <alignment horizontal="left" vertical="center"/>
    </xf>
    <xf numFmtId="49" fontId="33" fillId="10" borderId="4" xfId="29" applyNumberFormat="1" applyFont="1" applyFill="1" applyBorder="1" applyAlignment="1">
      <alignment horizontal="left" vertical="center"/>
    </xf>
    <xf numFmtId="49" fontId="33" fillId="10" borderId="14" xfId="29" applyNumberFormat="1" applyFont="1" applyFill="1" applyBorder="1" applyAlignment="1">
      <alignment horizontal="left" vertical="center"/>
    </xf>
    <xf numFmtId="49" fontId="24" fillId="7" borderId="7" xfId="0" applyNumberFormat="1" applyFont="1" applyFill="1" applyBorder="1" applyAlignment="1">
      <alignment horizontal="center" vertical="center"/>
    </xf>
    <xf numFmtId="49" fontId="24" fillId="7" borderId="14" xfId="0" applyNumberFormat="1" applyFont="1" applyFill="1" applyBorder="1" applyAlignment="1">
      <alignment horizontal="center" vertical="center"/>
    </xf>
    <xf numFmtId="49" fontId="24" fillId="8" borderId="7" xfId="0" applyNumberFormat="1" applyFont="1" applyFill="1" applyBorder="1" applyAlignment="1">
      <alignment horizontal="center" vertical="center"/>
    </xf>
    <xf numFmtId="49" fontId="24" fillId="8" borderId="14" xfId="0" applyNumberFormat="1" applyFont="1" applyFill="1" applyBorder="1" applyAlignment="1">
      <alignment horizontal="center" vertical="center"/>
    </xf>
    <xf numFmtId="49" fontId="24" fillId="7" borderId="4" xfId="0" applyNumberFormat="1" applyFont="1" applyFill="1" applyBorder="1" applyAlignment="1">
      <alignment horizontal="center" vertical="center"/>
    </xf>
    <xf numFmtId="49" fontId="24" fillId="8" borderId="4" xfId="0" applyNumberFormat="1" applyFont="1" applyFill="1" applyBorder="1" applyAlignment="1">
      <alignment horizontal="center" vertical="center"/>
    </xf>
  </cellXfs>
  <cellStyles count="58">
    <cellStyle name="%" xfId="1" xr:uid="{00000000-0005-0000-0000-000000000000}"/>
    <cellStyle name="% 2" xfId="39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40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" xfId="19" builtinId="3"/>
    <cellStyle name="Komma 2" xfId="20" xr:uid="{00000000-0005-0000-0000-000015000000}"/>
    <cellStyle name="Komma 3" xfId="37" xr:uid="{00000000-0005-0000-0000-000016000000}"/>
    <cellStyle name="Komma 4" xfId="56" xr:uid="{919DEB51-BFC8-47F3-8C42-1E0AE3D3F518}"/>
    <cellStyle name="Koppen_rekenblad" xfId="21" xr:uid="{00000000-0005-0000-0000-000017000000}"/>
    <cellStyle name="koppenrekenblad2" xfId="22" xr:uid="{00000000-0005-0000-0000-000018000000}"/>
    <cellStyle name="koppenrekenblad2 2" xfId="41" xr:uid="{00000000-0005-0000-0000-000019000000}"/>
    <cellStyle name="m2" xfId="23" xr:uid="{00000000-0005-0000-0000-00001A000000}"/>
    <cellStyle name="NIBa standaard" xfId="24" xr:uid="{00000000-0005-0000-0000-00001B000000}"/>
    <cellStyle name="Ongedefinieerd" xfId="25" xr:uid="{00000000-0005-0000-0000-00001C000000}"/>
    <cellStyle name="prijslijst" xfId="26" xr:uid="{00000000-0005-0000-0000-00001D000000}"/>
    <cellStyle name="Procent" xfId="38" builtinId="5"/>
    <cellStyle name="Procent 2" xfId="35" xr:uid="{00000000-0005-0000-0000-00001F000000}"/>
    <cellStyle name="Procent 3" xfId="44" xr:uid="{00000000-0005-0000-0000-000020000000}"/>
    <cellStyle name="Ruimtestaat_Koppen" xfId="27" xr:uid="{00000000-0005-0000-0000-000021000000}"/>
    <cellStyle name="Standaard" xfId="0" builtinId="0"/>
    <cellStyle name="Standaard 2" xfId="28" xr:uid="{00000000-0005-0000-0000-000023000000}"/>
    <cellStyle name="Standaard 2 2" xfId="42" xr:uid="{00000000-0005-0000-0000-000024000000}"/>
    <cellStyle name="Standaard 3" xfId="29" xr:uid="{00000000-0005-0000-0000-000025000000}"/>
    <cellStyle name="Standaard 3 2" xfId="43" xr:uid="{00000000-0005-0000-0000-000026000000}"/>
    <cellStyle name="Standaard 3 2 2" xfId="51" xr:uid="{00000000-0005-0000-0000-000027000000}"/>
    <cellStyle name="Standaard 3 2 3" xfId="47" xr:uid="{00000000-0005-0000-0000-000028000000}"/>
    <cellStyle name="Standaard 3 3" xfId="49" xr:uid="{00000000-0005-0000-0000-000029000000}"/>
    <cellStyle name="Standaard 3 3 2" xfId="52" xr:uid="{00000000-0005-0000-0000-00002A000000}"/>
    <cellStyle name="Standaard 3 4" xfId="50" xr:uid="{00000000-0005-0000-0000-00002B000000}"/>
    <cellStyle name="Standaard 3 5" xfId="45" xr:uid="{00000000-0005-0000-0000-00002C000000}"/>
    <cellStyle name="Standaard 3 6" xfId="53" xr:uid="{00000000-0005-0000-0000-00002D000000}"/>
    <cellStyle name="Standaard 4" xfId="30" xr:uid="{00000000-0005-0000-0000-00002E000000}"/>
    <cellStyle name="Standaard 5" xfId="34" xr:uid="{00000000-0005-0000-0000-00002F000000}"/>
    <cellStyle name="Standaard 6" xfId="55" xr:uid="{E455430A-9DF4-46E1-A18E-520926441726}"/>
    <cellStyle name="Valuta" xfId="54" builtinId="4"/>
    <cellStyle name="Valuta 2" xfId="31" xr:uid="{00000000-0005-0000-0000-000031000000}"/>
    <cellStyle name="Valuta 3" xfId="36" xr:uid="{00000000-0005-0000-0000-000032000000}"/>
    <cellStyle name="Valuta 4" xfId="48" xr:uid="{00000000-0005-0000-0000-000033000000}"/>
    <cellStyle name="Valuta 5" xfId="46" xr:uid="{00000000-0005-0000-0000-000034000000}"/>
    <cellStyle name="Valuta 6" xfId="57" xr:uid="{2F6036FC-E1D4-4DD3-A240-4ECECFEECB7D}"/>
    <cellStyle name="Währung [0]_Aufmaß" xfId="32" xr:uid="{00000000-0005-0000-0000-000035000000}"/>
    <cellStyle name="Währung_Aufmaß" xfId="33" xr:uid="{00000000-0005-0000-0000-000036000000}"/>
  </cellStyles>
  <dxfs count="192"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_ [$€-413]\ * #,##0.00_ ;_ [$€-413]\ * \-#,##0.00_ ;_ [$€-413]\ * &quot;-&quot;??_ ;_ @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1" formatCode="#,##0.0_ ;\-#,##0.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9" formatCode="#,##0.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0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0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indexed="1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sz val="9"/>
        <color theme="1"/>
        <name val="Verdana"/>
        <family val="2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79998168889431442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9" formatCode="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9" formatCode="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9" formatCode="0.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8" formatCode="0.00\ &quot;m²&quot;"/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8" formatCode="0.00\ &quot;m²&quot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0E096B"/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Voor..van\meten%20glas\meten%20glas\meten%20glas\meten%20glas\meten%20glas\meten%20glas\meten%20glas\meten%20glas\ati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gevens\Excel\Calc\AZR\AZR%20psychiatr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Uitgangspunten"/>
      <sheetName val="Nummers"/>
      <sheetName val="Menu"/>
      <sheetName val="Tijdnormen"/>
      <sheetName val="Frekwenties"/>
      <sheetName val="Vloeren"/>
      <sheetName val="Blad3_(3)"/>
      <sheetName val="Blad3_(2)"/>
      <sheetName val="hiddenSheet"/>
      <sheetName val="dv_info"/>
      <sheetName val="Kalender"/>
      <sheetName val="AZR psychiatrie"/>
      <sheetName val="Normen"/>
      <sheetName val="Kalender (2)"/>
      <sheetName val="Opzoeklijst"/>
      <sheetName val="01.255"/>
      <sheetName val="02.255"/>
      <sheetName val="04.255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  <sheetName val="atir_xls"/>
      <sheetName val="3-Basis_ruimtestaa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Nummers"/>
      <sheetName val="Menu"/>
      <sheetName val="Tijdnormen"/>
      <sheetName val="Frekwenties"/>
      <sheetName val="Vloeren"/>
      <sheetName val="Uitgangspunten"/>
      <sheetName val="Blad3_(3)"/>
      <sheetName val="Blad3_(2)"/>
      <sheetName val="hiddenSheet"/>
      <sheetName val="dv_info"/>
      <sheetName val="Kalender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AZR psychiatrie"/>
      <sheetName val="Normen"/>
      <sheetName val="Kalender (2)"/>
      <sheetName val="Opzoeklijst"/>
      <sheetName val="01.255"/>
      <sheetName val="02.255"/>
      <sheetName val="04.255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Ruimtegroepen" displayName="Ruimtegroepen" ref="A10:D31" totalsRowShown="0" headerRowDxfId="191" dataDxfId="190" headerRowCellStyle="Standaard 4">
  <autoFilter ref="A10:D31" xr:uid="{00000000-0009-0000-0100-000006000000}"/>
  <tableColumns count="4">
    <tableColumn id="1" xr3:uid="{00000000-0010-0000-0000-000001000000}" name="Code" dataDxfId="189" dataCellStyle="Standaard 4"/>
    <tableColumn id="2" xr3:uid="{00000000-0010-0000-0000-000002000000}" name="Ruimte omschrijving" dataDxfId="188" dataCellStyle="Standaard 4"/>
    <tableColumn id="3" xr3:uid="{00000000-0010-0000-0000-000003000000}" name="Norm (5w)" dataDxfId="187"/>
    <tableColumn id="4" xr3:uid="{00000000-0010-0000-0000-000004000000}" name="Inspectiecategorie" dataDxfId="186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C086965-2FC3-4E1C-A98B-A5AB725918B5}" name="InvulExtraW" displayName="InvulExtraW" ref="A8:I13" totalsRowShown="0" headerRowDxfId="72">
  <autoFilter ref="A8:I13" xr:uid="{599340E2-C622-43D7-823A-8E9F50F36A05}"/>
  <tableColumns count="9">
    <tableColumn id="1" xr3:uid="{6E9BA7EF-1A99-41EC-A990-2D5B7009DAB3}" name="Code Taak" dataDxfId="71"/>
    <tableColumn id="2" xr3:uid="{0C17A39C-2493-46E3-8819-8BDC4EB9D05C}" name="Werkzaamheden" dataDxfId="70"/>
    <tableColumn id="3" xr3:uid="{D5799FE8-F593-4612-8E44-30E29ADA22A6}" name="Prijs" dataDxfId="69"/>
    <tableColumn id="4" xr3:uid="{3A2325AE-B398-4BDE-AFB7-DBCD94EA1A1B}" name="Omschrijving" dataDxfId="68"/>
    <tableColumn id="5" xr3:uid="{0BF87C77-C8A9-473E-9F86-825C3507A7B2}" name="2023" dataDxfId="67" dataCellStyle="Valuta">
      <calculatedColumnFormula>(InvulExtraW[[#This Row],[Prijs]]*Tariefsopbouw!$I$37)+InvulExtraW[[#This Row],[Prijs]]</calculatedColumnFormula>
    </tableColumn>
    <tableColumn id="6" xr3:uid="{6A1EDD8E-D8DA-4578-9BF3-E0BFCDA3A740}" name="2024" dataDxfId="66" dataCellStyle="Valuta">
      <calculatedColumnFormula>E9*Tariefsopbouw!$K$37+E9</calculatedColumnFormula>
    </tableColumn>
    <tableColumn id="7" xr3:uid="{C7892319-8797-4115-B8ED-2713BA7258FD}" name="2025" dataDxfId="65" dataCellStyle="Valuta">
      <calculatedColumnFormula>F9*Tariefsopbouw!$M$37+F9</calculatedColumnFormula>
    </tableColumn>
    <tableColumn id="8" xr3:uid="{928DE52A-6E77-4345-91E1-267B6B81379F}" name="2026" dataDxfId="64" dataCellStyle="Valuta">
      <calculatedColumnFormula>G9*Tariefsopbouw!$O$37+InvulExtraW[[#This Row],[2025]]</calculatedColumnFormula>
    </tableColumn>
    <tableColumn id="9" xr3:uid="{C36ACBFB-1F6A-45E5-B921-709FEBF1EA39}" name="2027" dataDxfId="63" dataCellStyle="Valuta">
      <calculatedColumnFormula>H9*Tariefsopbouw!$Q$37+InvulExtraW[[#This Row],[2026]]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464BE89-A4B0-4871-8E0F-AE8F5775992C}" name="OverzichtExtraW" displayName="OverzichtExtraW" ref="A15:H21" totalsRowCount="1" headerRowDxfId="62" dataDxfId="61" totalsRowDxfId="60">
  <autoFilter ref="A15:H20" xr:uid="{0A6D65ED-4BF1-4C22-92EC-B4BAE9E4FC64}"/>
  <tableColumns count="8">
    <tableColumn id="11" xr3:uid="{859F61E6-DC69-4199-AC60-43925381063A}" name="Code Locatie" dataDxfId="59" totalsRowDxfId="7"/>
    <tableColumn id="1" xr3:uid="{8939FC97-6F60-4694-8E6D-280BBAE3A71F}" name="Locatie" totalsRowLabel="Totaal" dataDxfId="58" totalsRowDxfId="6">
      <calculatedColumnFormula>VLOOKUP(OverzichtExtraW[[#This Row],[Code Locatie]],Locaties[[Code]:[Locatie]],2,0)</calculatedColumnFormula>
    </tableColumn>
    <tableColumn id="3" xr3:uid="{3A2A1425-1C8F-49B2-9AB9-64C169B317C8}" name="Code Taak" dataDxfId="57" totalsRowDxfId="5"/>
    <tableColumn id="4" xr3:uid="{1B8BFBAE-C92C-479F-A8F5-C26C91021403}" name="Toelichting" dataDxfId="56" totalsRowDxfId="4">
      <calculatedColumnFormula>IF(OverzichtExtraW[[#This Row],[Code Taak]],VLOOKUP(OverzichtExtraW[[#This Row],[Code Taak]],InvulExtraW[[#All],[Code Taak]:[Werkzaamheden]],2,FALSE),"")</calculatedColumnFormula>
    </tableColumn>
    <tableColumn id="5" xr3:uid="{085B05C5-087A-4EBD-A6DF-2BE02C3BB7D2}" name="aantal uur per keer/meter" dataDxfId="55" totalsRowDxfId="3"/>
    <tableColumn id="8" xr3:uid="{072DDB37-F4A0-42FC-95D3-4CF09C01375E}" name="Frequentie (uitv./jaar)" dataDxfId="54" totalsRowDxfId="2"/>
    <tableColumn id="9" xr3:uid="{C53DBF15-09CA-45E2-87DC-AA883F7D3A3D}" name="Kosten/jaar excl. BTW" totalsRowFunction="sum" dataDxfId="53" totalsRowDxfId="1"/>
    <tableColumn id="2" xr3:uid="{F83A5791-6C2B-418B-ACDF-19F201BF5A40}" name="Opmerking" dataDxfId="52" totalsRowDxfId="0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InvulRegie" displayName="InvulRegie" ref="B8:D37" totalsRowCount="1" headerRowDxfId="51" dataDxfId="50" totalsRowDxfId="49">
  <autoFilter ref="B8:D36" xr:uid="{00000000-0009-0000-0100-00000B000000}"/>
  <tableColumns count="3">
    <tableColumn id="1" xr3:uid="{00000000-0010-0000-0B00-000001000000}" name="Werkzaamheid" totalsRowLabel="Totaal" totalsRowDxfId="48"/>
    <tableColumn id="2" xr3:uid="{00000000-0010-0000-0B00-000002000000}" name="Eenheid" totalsRowDxfId="47"/>
    <tableColumn id="3" xr3:uid="{00000000-0010-0000-0B00-000003000000}" name="Prijs excl. BTW" dataDxfId="46" totalsRowDxfId="45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amenvattingschoonmaak" displayName="Samenvattingschoonmaak" ref="A6:F8" totalsRowCount="1" headerRowDxfId="44" dataDxfId="42" totalsRowDxfId="40" headerRowBorderDxfId="43" tableBorderDxfId="41">
  <autoFilter ref="A6:F7" xr:uid="{00000000-0009-0000-0100-00000E000000}"/>
  <tableColumns count="6">
    <tableColumn id="8" xr3:uid="{00000000-0010-0000-0C00-000008000000}" name="Code Locatie" dataDxfId="39" totalsRowDxfId="38"/>
    <tableColumn id="1" xr3:uid="{00000000-0010-0000-0C00-000001000000}" name="Locatie" totalsRowLabel="Totaal" dataDxfId="37" totalsRowDxfId="36"/>
    <tableColumn id="2" xr3:uid="{00000000-0010-0000-0C00-000002000000}" name="Oppervlakte i/o" totalsRowFunction="sum" dataDxfId="35" totalsRowDxfId="34"/>
    <tableColumn id="3" xr3:uid="{00000000-0010-0000-0C00-000003000000}" name="Prest. (m2 /jaar)" totalsRowFunction="sum" dataDxfId="33" totalsRowDxfId="32"/>
    <tableColumn id="4" xr3:uid="{00000000-0010-0000-0C00-000004000000}" name="Uren / jaar" totalsRowFunction="sum" dataDxfId="31" totalsRowDxfId="30"/>
    <tableColumn id="6" xr3:uid="{00000000-0010-0000-0C00-000006000000}" name="Kosten / jaar" totalsRowFunction="sum" dataDxfId="29" totalsRowDxfId="28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otalisatie" displayName="Totalisatie" ref="A11:G13" totalsRowCount="1" headerRowDxfId="27" dataDxfId="25" totalsRowDxfId="23" headerRowBorderDxfId="26" tableBorderDxfId="24">
  <autoFilter ref="A11:G12" xr:uid="{00000000-0009-0000-0100-00000F000000}"/>
  <tableColumns count="7">
    <tableColumn id="8" xr3:uid="{00000000-0010-0000-0D00-000008000000}" name="Code Locatie" dataDxfId="22" totalsRowDxfId="21"/>
    <tableColumn id="1" xr3:uid="{00000000-0010-0000-0D00-000001000000}" name="Locaties" totalsRowLabel="Totaal" dataDxfId="20" totalsRowDxfId="19">
      <calculatedColumnFormula>VLOOKUP(Totalisatie[[#This Row],[Code Locatie]],Locaties[],2,0)</calculatedColumnFormula>
    </tableColumn>
    <tableColumn id="4" xr3:uid="{00000000-0010-0000-0D00-000004000000}" name="Schoonmaakonderhoud_x000a_Kosten / jaar" totalsRowFunction="sum" dataDxfId="18" totalsRowDxfId="17">
      <calculatedColumnFormula>SUMIF('Ruimtestaat'!A:A,Totalisatie[[#This Row],[Code Locatie]],'Ruimtestaat'!AH:AH)</calculatedColumnFormula>
    </tableColumn>
    <tableColumn id="6" xr3:uid="{00000000-0010-0000-0D00-000006000000}" name="Glasbewassing_x000a_Kosten / jaar" totalsRowFunction="sum" dataDxfId="16" totalsRowDxfId="15">
      <calculatedColumnFormula>SUMIF(Glasbewassing!$A$21:$A$27,Totalisatie[[#This Row],[Code Locatie]],Glasbewassing!$G$21:$G$27)</calculatedColumnFormula>
    </tableColumn>
    <tableColumn id="2" xr3:uid="{00000000-0010-0000-0D00-000002000000}" name="Vloeronderhoud_x000a_Kosten / jaar" totalsRowFunction="sum" dataDxfId="14" totalsRowDxfId="13">
      <calculatedColumnFormula>SUMIF(Vloeronderhoud!$A$19:$A$25,Totalisatie[[#This Row],[Code Locatie]],Vloeronderhoud!$H$19:$H$25)</calculatedColumnFormula>
    </tableColumn>
    <tableColumn id="3" xr3:uid="{8FB851B9-D9F8-43D4-9890-F0A63473C934}" name="Extra werkzaamheden_x000a_Kosten / jaar" totalsRowFunction="sum" dataDxfId="12" totalsRowDxfId="11">
      <calculatedColumnFormula>SUMIF(OverzichtExtraW[],Totalisatie[[#This Row],[Code Locatie]],OverzichtExtraW[Kosten/jaar excl. BTW])</calculatedColumnFormula>
    </tableColumn>
    <tableColumn id="5" xr3:uid="{2A8C3CF1-513F-4CAD-A439-3F5FCA3E0363}" name="Totaalprijs_x000a_Kosten / jaar" totalsRowFunction="sum" dataDxfId="10" totalsRowDxfId="9">
      <calculatedColumnFormula>SUM(Totalisatie[[#This Row],[Schoonmaakonderhoud
Kosten / jaar]:[Extra werkzaamheden
Kosten / jaar]])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Vloersoorten" displayName="Vloersoorten" ref="A34:F39" totalsRowShown="0" headerRowDxfId="185" dataDxfId="184">
  <autoFilter ref="A34:F39" xr:uid="{00000000-0009-0000-0100-000007000000}"/>
  <tableColumns count="6">
    <tableColumn id="1" xr3:uid="{00000000-0010-0000-0100-000001000000}" name="Code" dataDxfId="183"/>
    <tableColumn id="4" xr3:uid="{00000000-0010-0000-0100-000004000000}" name="Naam" dataDxfId="182"/>
    <tableColumn id="5" xr3:uid="{00000000-0010-0000-0100-000005000000}" name="Aanpassing norm" dataDxfId="181" dataCellStyle="Procent"/>
    <tableColumn id="2" xr3:uid="{00000000-0010-0000-0100-000002000000}" name="Vloersoort omschrijving" dataDxfId="180" dataCellStyle="Standaard 4"/>
    <tableColumn id="7" xr3:uid="{00000000-0010-0000-0100-000007000000}" name="Kolom2" dataDxfId="179" dataCellStyle="Standaard 4"/>
    <tableColumn id="6" xr3:uid="{00000000-0010-0000-0100-000006000000}" name="Kolom1" dataDxfId="178" dataCellStyle="Standaard 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Frequenties" displayName="Frequenties" ref="A42:D52" totalsRowShown="0" headerRowDxfId="177" dataDxfId="176">
  <autoFilter ref="A42:D52" xr:uid="{00000000-0009-0000-0100-000008000000}"/>
  <tableColumns count="4">
    <tableColumn id="1" xr3:uid="{00000000-0010-0000-0200-000001000000}" name="Code" dataDxfId="175" dataCellStyle="Standaard 4"/>
    <tableColumn id="2" xr3:uid="{00000000-0010-0000-0200-000002000000}" name="Frequentie omschrijving" dataDxfId="174" dataCellStyle="Standaard 4"/>
    <tableColumn id="3" xr3:uid="{00000000-0010-0000-0200-000003000000}" name="Aanpassing norm" dataDxfId="173" dataCellStyle="Procent"/>
    <tableColumn id="4" xr3:uid="{00000000-0010-0000-0200-000004000000}" name="Uitvoeringen" dataDxfId="172" dataCellStyle="Procent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Locaties" displayName="Locaties" ref="A6:F7" totalsRowShown="0" dataDxfId="171">
  <autoFilter ref="A6:F7" xr:uid="{00000000-0009-0000-0100-00000D000000}"/>
  <tableColumns count="6">
    <tableColumn id="1" xr3:uid="{00000000-0010-0000-0300-000001000000}" name="Code" dataDxfId="170"/>
    <tableColumn id="2" xr3:uid="{00000000-0010-0000-0300-000002000000}" name="Locatie" dataDxfId="169"/>
    <tableColumn id="7" xr3:uid="{00000000-0010-0000-0300-000007000000}" name="Aanpassing norm" dataDxfId="168"/>
    <tableColumn id="3" xr3:uid="{00000000-0010-0000-0300-000003000000}" name="Adres" dataDxfId="167" dataCellStyle="Standaard 4"/>
    <tableColumn id="4" xr3:uid="{00000000-0010-0000-0300-000004000000}" name="Postcode" dataDxfId="166"/>
    <tableColumn id="5" xr3:uid="{00000000-0010-0000-0300-000005000000}" name="Plaats" dataDxfId="165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Ruimtestaat" displayName="Ruimtestaat" ref="A4:AH223" totalsRowShown="0" headerRowDxfId="164" dataDxfId="163">
  <autoFilter ref="A4:AH223" xr:uid="{B78C5E8C-24C7-4A23-AB0F-63FB43A90518}"/>
  <tableColumns count="34">
    <tableColumn id="32" xr3:uid="{00000000-0010-0000-0400-000020000000}" name="Code" dataDxfId="162"/>
    <tableColumn id="1" xr3:uid="{00000000-0010-0000-0400-000001000000}" name="Locatie" dataDxfId="161"/>
    <tableColumn id="3" xr3:uid="{00000000-0010-0000-0400-000003000000}" name="Adres" dataDxfId="160">
      <calculatedColumnFormula>VLOOKUP(Ruimtestaat[[#This Row],[Code]],Locaties[#All],4,FALSE)</calculatedColumnFormula>
    </tableColumn>
    <tableColumn id="4" xr3:uid="{00000000-0010-0000-0400-000004000000}" name="Postcode" dataDxfId="159">
      <calculatedColumnFormula>VLOOKUP(Ruimtestaat[[#This Row],[Code]],Locaties[#All],5,FALSE)</calculatedColumnFormula>
    </tableColumn>
    <tableColumn id="5" xr3:uid="{00000000-0010-0000-0400-000005000000}" name="Plaats" dataDxfId="158">
      <calculatedColumnFormula>VLOOKUP(Ruimtestaat[[#This Row],[Code]],Locaties[#All],6,FALSE)</calculatedColumnFormula>
    </tableColumn>
    <tableColumn id="2" xr3:uid="{00000000-0010-0000-0400-000002000000}" name="Gebouw gedeelte" dataDxfId="157"/>
    <tableColumn id="6" xr3:uid="{00000000-0010-0000-0400-000006000000}" name="Etage" dataDxfId="156"/>
    <tableColumn id="33" xr3:uid="{FF77F39E-BD37-4ACB-A3C8-4C504E330035}" name="ruimte-nummer plattegrond" dataDxfId="155"/>
    <tableColumn id="7" xr3:uid="{00000000-0010-0000-0400-000007000000}" name="Ruimte- _x000a_nummer" dataDxfId="154"/>
    <tableColumn id="8" xr3:uid="{00000000-0010-0000-0400-000008000000}" name="Ruimte omschrijving" dataDxfId="153"/>
    <tableColumn id="9" xr3:uid="{00000000-0010-0000-0400-000009000000}" name="Ruimte code" dataDxfId="152"/>
    <tableColumn id="10" xr3:uid="{00000000-0010-0000-0400-00000A000000}" name="Ruimtesoort" dataDxfId="151">
      <calculatedColumnFormula>VLOOKUP(Ruimtestaat[[#This Row],[Ruimte code]],Ruimtegroepen[#All],2,FALSE)</calculatedColumnFormula>
    </tableColumn>
    <tableColumn id="11" xr3:uid="{00000000-0010-0000-0400-00000B000000}" name="Vloer code" dataDxfId="150"/>
    <tableColumn id="12" xr3:uid="{00000000-0010-0000-0400-00000C000000}" name="Vloer afwerking" dataDxfId="149"/>
    <tableColumn id="13" xr3:uid="{00000000-0010-0000-0400-00000D000000}" name="Oppervlak (netto)" dataDxfId="148"/>
    <tableColumn id="14" xr3:uid="{00000000-0010-0000-0400-00000E000000}" name="Oppervlakte n.i.o." dataDxfId="147"/>
    <tableColumn id="15" xr3:uid="{00000000-0010-0000-0400-00000F000000}" name="Inspectie categorie" dataDxfId="146">
      <calculatedColumnFormula>VLOOKUP(Ruimtestaat[[#This Row],[Ruimte code]],Ruimtegroepen[#All],4,FALSE)</calculatedColumnFormula>
    </tableColumn>
    <tableColumn id="16" xr3:uid="{00000000-0010-0000-0400-000010000000}" name="Opmerking 1" dataDxfId="145"/>
    <tableColumn id="17" xr3:uid="{00000000-0010-0000-0400-000011000000}" name="Aantal weken/jr" dataDxfId="144"/>
    <tableColumn id="18" xr3:uid="{00000000-0010-0000-0400-000012000000}" name="Ruimte gebruiks-intentie" dataDxfId="143"/>
    <tableColumn id="19" xr3:uid="{00000000-0010-0000-0400-000013000000}" name="Uitvoeringen werkdagen" dataDxfId="142"/>
    <tableColumn id="20" xr3:uid="{00000000-0010-0000-0400-000014000000}" name="Norm (m2/uur) werkdagen" dataDxfId="141">
      <calculatedColumnFormula>IF(U5&gt;0,VLOOKUP($K5,Ruimtegroepen[],3,FALSE)*VLOOKUP($M5,Vloersoorten[],3,FALSE)*VLOOKUP($T5,Frequenties[],3,FALSE)*VLOOKUP($A5,Locaties[],3,FALSE),0)</calculatedColumnFormula>
    </tableColumn>
    <tableColumn id="21" xr3:uid="{00000000-0010-0000-0400-000015000000}" name="Prest. (m2 /jaar) werkdagen" dataDxfId="140">
      <calculatedColumnFormula>Ruimtestaat[[#This Row],[Uitvoeringen werkdagen]]*Ruimtestaat[[#This Row],[Oppervlak (netto)]]</calculatedColumnFormula>
    </tableColumn>
    <tableColumn id="22" xr3:uid="{00000000-0010-0000-0400-000016000000}" name="uren / jaar werkdagen" dataDxfId="139" dataCellStyle="Komma">
      <calculatedColumnFormula>IF(V5&gt;0,Ruimtestaat[[#This Row],[Prest. (m2 /jaar) werkdagen]]/Ruimtestaat[[#This Row],[Norm (m2/uur) werkdagen]],0)</calculatedColumnFormula>
    </tableColumn>
    <tableColumn id="23" xr3:uid="{00000000-0010-0000-0400-000017000000}" name="kosten / jaar werkdagen" dataDxfId="138" dataCellStyle="Valuta">
      <calculatedColumnFormula>Ruimtestaat[[#This Row],[uren / jaar werkdagen]]*Tariefsopbouw!$D$38</calculatedColumnFormula>
    </tableColumn>
    <tableColumn id="24" xr3:uid="{00000000-0010-0000-0400-000018000000}" name="Frequentie weekend" dataDxfId="137"/>
    <tableColumn id="38" xr3:uid="{00000000-0010-0000-0400-000026000000}" name="Uitvoeringen weekend" dataDxfId="136">
      <calculatedColumnFormula>IF(Ruimtestaat[[#This Row],[Frequentie weekend]]&gt;0,VALUE(LEFT(Z5,1))*S5,0)</calculatedColumnFormula>
    </tableColumn>
    <tableColumn id="25" xr3:uid="{00000000-0010-0000-0400-000019000000}" name="Norm (m2/uur) weekend" dataDxfId="135">
      <calculatedColumnFormula>IF($AA5&gt;0,VLOOKUP($K5,Ruimtegroepen[],3,FALSE)*VLOOKUP($M5,Vloersoorten[],3,FALSE)*VLOOKUP($Z5,Frequenties[],3,FALSE)*VLOOKUP(#REF!,Locaties[],3,FALSE),0)</calculatedColumnFormula>
    </tableColumn>
    <tableColumn id="26" xr3:uid="{00000000-0010-0000-0400-00001A000000}" name="Prest. (m2 /jaar) weekend" dataDxfId="134"/>
    <tableColumn id="27" xr3:uid="{00000000-0010-0000-0400-00001B000000}" name="uren / jaar weekend" dataDxfId="133"/>
    <tableColumn id="28" xr3:uid="{00000000-0010-0000-0400-00001C000000}" name="kosten / jaar weekend" dataDxfId="132">
      <calculatedColumnFormula>Ruimtestaat[[#This Row],[uren / jaar weekend]]*Tariefsopbouw!$D$40</calculatedColumnFormula>
    </tableColumn>
    <tableColumn id="29" xr3:uid="{00000000-0010-0000-0400-00001D000000}" name="Prest. (m2 /jaar)" dataDxfId="131" dataCellStyle="Komma">
      <calculatedColumnFormula>Ruimtestaat[[#This Row],[Prest. (m2 /jaar) weekend]]+Ruimtestaat[[#This Row],[Prest. (m2 /jaar) werkdagen]]</calculatedColumnFormula>
    </tableColumn>
    <tableColumn id="30" xr3:uid="{00000000-0010-0000-0400-00001E000000}" name="uren / jaar" dataDxfId="130" dataCellStyle="Komma">
      <calculatedColumnFormula>Ruimtestaat[[#This Row],[uren / jaar weekend]]+Ruimtestaat[[#This Row],[uren / jaar werkdagen]]</calculatedColumnFormula>
    </tableColumn>
    <tableColumn id="31" xr3:uid="{00000000-0010-0000-0400-00001F000000}" name="kosten / jaar" dataDxfId="129">
      <calculatedColumnFormula>Ruimtestaat[[#This Row],[kosten / jaar weekend]]+Ruimtestaat[[#This Row],[kosten / jaar werkdagen]]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InvulGlas" displayName="InvulGlas" ref="A8:I19" totalsRowShown="0" headerRowDxfId="128">
  <autoFilter ref="A8:I19" xr:uid="{00000000-0009-0000-0100-000003000000}"/>
  <tableColumns count="9">
    <tableColumn id="1" xr3:uid="{00000000-0010-0000-0500-000001000000}" name="Code taak" dataDxfId="127"/>
    <tableColumn id="2" xr3:uid="{00000000-0010-0000-0500-000002000000}" name="Glassoort/voorziening"/>
    <tableColumn id="3" xr3:uid="{00000000-0010-0000-0500-000003000000}" name="Prijs excl. BTW" dataDxfId="126"/>
    <tableColumn id="4" xr3:uid="{00000000-0010-0000-0500-000004000000}" name="Eenheid" dataDxfId="125"/>
    <tableColumn id="5" xr3:uid="{CC43D47B-51D1-48C7-9FBE-6228B4D72C08}" name="2023" dataDxfId="124" dataCellStyle="Valuta">
      <calculatedColumnFormula>(InvulGlas[[#This Row],[Prijs excl. BTW]]*Tariefsopbouw!$I$35)+InvulGlas[[#This Row],[Prijs excl. BTW]]</calculatedColumnFormula>
    </tableColumn>
    <tableColumn id="6" xr3:uid="{14AF2224-D978-4323-B50E-296D91A6AA97}" name="2024" dataDxfId="123" dataCellStyle="Valuta">
      <calculatedColumnFormula>E9*Tariefsopbouw!$K$35+Glasbewassing!E9</calculatedColumnFormula>
    </tableColumn>
    <tableColumn id="7" xr3:uid="{C18EB174-680A-4DCC-A57F-327D4F1C3675}" name="2025" dataDxfId="122" dataCellStyle="Valuta">
      <calculatedColumnFormula>F9*Tariefsopbouw!$M$35+Glasbewassing!F9</calculatedColumnFormula>
    </tableColumn>
    <tableColumn id="8" xr3:uid="{2002E41E-1578-4095-8CE5-943025AA110B}" name="2026" dataDxfId="121" dataCellStyle="Valuta">
      <calculatedColumnFormula>G10*Tariefsopbouw!$O$35+Glasbewassing!G10</calculatedColumnFormula>
    </tableColumn>
    <tableColumn id="9" xr3:uid="{95B9447D-2760-430F-8929-530FC65F506E}" name="2027" dataDxfId="120" dataCellStyle="Valuta">
      <calculatedColumnFormula>H9*Tariefsopbouw!$Q$35+Glasbewassing!H9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OverzichtGlas" displayName="OverzichtGlas" ref="A21:G28" totalsRowCount="1" headerRowDxfId="119" dataDxfId="118" totalsRowDxfId="117">
  <autoFilter ref="A21:G27" xr:uid="{00000000-0009-0000-0100-000004000000}"/>
  <tableColumns count="7">
    <tableColumn id="1" xr3:uid="{00000000-0010-0000-0600-000001000000}" name="Code Locatie" totalsRowLabel="Totaal" dataDxfId="116" totalsRowDxfId="115"/>
    <tableColumn id="2" xr3:uid="{00000000-0010-0000-0600-000002000000}" name="Locatie" dataDxfId="114" totalsRowDxfId="113">
      <calculatedColumnFormula>VLOOKUP(OverzichtGlas[[#This Row],[Code Locatie]],Locaties[],2,0)</calculatedColumnFormula>
    </tableColumn>
    <tableColumn id="3" xr3:uid="{00000000-0010-0000-0600-000003000000}" name="Code taak" dataDxfId="112" totalsRowDxfId="111"/>
    <tableColumn id="4" xr3:uid="{00000000-0010-0000-0600-000004000000}" name="Glassoort/voorziening" dataDxfId="110" totalsRowDxfId="109">
      <calculatedColumnFormula>IF(Glasbewassing!$C22&gt;0,VLOOKUP(Glasbewassing!$C22,$A$8:$B$19,2,FALSE),"Hier vult u de inzet van eventuele hoogwerkers in")</calculatedColumnFormula>
    </tableColumn>
    <tableColumn id="5" xr3:uid="{00000000-0010-0000-0600-000005000000}" name="Oppervlakte of dagen" dataDxfId="108" totalsRowDxfId="107"/>
    <tableColumn id="7" xr3:uid="{00000000-0010-0000-0600-000007000000}" name="Frequentie" dataDxfId="106" totalsRowDxfId="105"/>
    <tableColumn id="8" xr3:uid="{00000000-0010-0000-0600-000008000000}" name="Kosten/jaar excl. BTW" totalsRowFunction="sum" dataDxfId="104" totalsRowDxfId="103">
      <calculatedColumnFormula>IF(C22&gt;0,VLOOKUP(OverzichtGlas[[#This Row],[Code taak]],InvulGlas[],3,0)*E22*F22,0)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InvulVloer" displayName="InvulVloer" ref="A8:I16" totalsRowShown="0" headerRowDxfId="102">
  <autoFilter ref="A8:I16" xr:uid="{00000000-0009-0000-0100-000001000000}"/>
  <tableColumns count="9">
    <tableColumn id="1" xr3:uid="{00000000-0010-0000-0700-000001000000}" name="Code Taak" dataDxfId="101"/>
    <tableColumn id="2" xr3:uid="{00000000-0010-0000-0700-000002000000}" name="Werkzaamheden"/>
    <tableColumn id="3" xr3:uid="{00000000-0010-0000-0700-000003000000}" name="Prijs" dataDxfId="100"/>
    <tableColumn id="4" xr3:uid="{00000000-0010-0000-0700-000004000000}" name="Omschrijving2" dataDxfId="99"/>
    <tableColumn id="5" xr3:uid="{8DD3E179-6B7B-4CB1-A28F-5B8ADA215124}" name="2023" dataDxfId="98" dataCellStyle="Valuta"/>
    <tableColumn id="6" xr3:uid="{BB6E692A-46D1-42B6-A2AC-B4AAABCA88E4}" name="2024" dataDxfId="97" dataCellStyle="Valuta"/>
    <tableColumn id="7" xr3:uid="{6BFC02B3-9153-4384-A0A7-3FBFD6F25134}" name="2025" dataDxfId="96" dataCellStyle="Valuta"/>
    <tableColumn id="8" xr3:uid="{228E54AD-BFA8-4C70-8624-B963D0DBB212}" name="2026" dataDxfId="95" dataCellStyle="Valuta"/>
    <tableColumn id="9" xr3:uid="{2398F346-59C2-4DEF-820B-7FDF89228FD6}" name="2027" dataDxfId="94" dataCellStyle="Valuta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8000000}" name="OverzichtVloer" displayName="OverzichtVloer" ref="A18:I25" totalsRowCount="1" headerRowDxfId="93" dataDxfId="92" totalsRowDxfId="91">
  <autoFilter ref="A18:I24" xr:uid="{00000000-0009-0000-0100-000002000000}"/>
  <tableColumns count="9">
    <tableColumn id="11" xr3:uid="{00000000-0010-0000-0800-00000B000000}" name="Code Locatie" dataDxfId="90" totalsRowDxfId="89"/>
    <tableColumn id="1" xr3:uid="{00000000-0010-0000-0800-000001000000}" name="Locatie" totalsRowLabel="Totaal" dataDxfId="88" totalsRowDxfId="87"/>
    <tableColumn id="3" xr3:uid="{00000000-0010-0000-0800-000003000000}" name="Code Taak" dataDxfId="86" totalsRowDxfId="85"/>
    <tableColumn id="4" xr3:uid="{00000000-0010-0000-0800-000004000000}" name="Vloersoort / toelichting" dataDxfId="84" totalsRowDxfId="83">
      <calculatedColumnFormula>IF(Vloeronderhoud!$C19&gt;0,VLOOKUP(Vloeronderhoud!$C19,$A$8:$B$16,2,FALSE),"")</calculatedColumnFormula>
    </tableColumn>
    <tableColumn id="5" xr3:uid="{00000000-0010-0000-0800-000005000000}" name="Vloersoort" dataDxfId="82" totalsRowDxfId="81"/>
    <tableColumn id="6" xr3:uid="{00000000-0010-0000-0800-000006000000}" name="Oppervlakte" dataDxfId="80" totalsRowDxfId="79">
      <calculatedColumnFormula>SUMIFS('Ruimtestaat'!$O:$O,'Ruimtestaat'!M:M,Vloeronderhoud!E19,'Ruimtestaat'!A:A,Vloeronderhoud!A19)</calculatedColumnFormula>
    </tableColumn>
    <tableColumn id="8" xr3:uid="{00000000-0010-0000-0800-000008000000}" name="Frequentie (uitv./jaar)" dataDxfId="78" totalsRowDxfId="77"/>
    <tableColumn id="9" xr3:uid="{00000000-0010-0000-0800-000009000000}" name="Kosten/jaar excl. BTW" totalsRowFunction="sum" dataDxfId="76" totalsRowDxfId="75">
      <calculatedColumnFormula>G19*#REF!*F19</calculatedColumnFormula>
    </tableColumn>
    <tableColumn id="2" xr3:uid="{3D57AF76-12E7-4FE8-AC08-4DCCC94E1733}" name="Opmerking" dataDxfId="74" totalsRowDxfId="7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EE8A5-78E4-4C57-8430-12CDE2A20B61}">
  <sheetPr>
    <pageSetUpPr fitToPage="1"/>
  </sheetPr>
  <dimension ref="A1:D91"/>
  <sheetViews>
    <sheetView zoomScaleNormal="100" workbookViewId="0">
      <selection sqref="A1:D1"/>
    </sheetView>
  </sheetViews>
  <sheetFormatPr defaultColWidth="9" defaultRowHeight="12.75"/>
  <cols>
    <col min="1" max="1" width="29.5703125" style="189" customWidth="1"/>
    <col min="2" max="2" width="33.28515625" style="189" customWidth="1"/>
    <col min="3" max="3" width="45.42578125" style="189" bestFit="1" customWidth="1"/>
    <col min="4" max="4" width="54" style="189" customWidth="1"/>
    <col min="5" max="16384" width="9" style="183"/>
  </cols>
  <sheetData>
    <row r="1" spans="1:4" ht="14.25" customHeight="1">
      <c r="A1" s="279" t="s">
        <v>271</v>
      </c>
      <c r="B1" s="280"/>
      <c r="C1" s="280"/>
      <c r="D1" s="281"/>
    </row>
    <row r="2" spans="1:4">
      <c r="A2" s="207" t="s">
        <v>272</v>
      </c>
      <c r="B2" s="207" t="s">
        <v>273</v>
      </c>
      <c r="C2" s="207" t="s">
        <v>274</v>
      </c>
      <c r="D2" s="207" t="s">
        <v>275</v>
      </c>
    </row>
    <row r="3" spans="1:4">
      <c r="A3" s="207"/>
      <c r="B3" s="207"/>
      <c r="C3" s="207"/>
      <c r="D3" s="207" t="s">
        <v>276</v>
      </c>
    </row>
    <row r="4" spans="1:4">
      <c r="A4" s="207" t="s">
        <v>277</v>
      </c>
      <c r="B4" s="207"/>
      <c r="C4" s="207"/>
      <c r="D4" s="207"/>
    </row>
    <row r="5" spans="1:4" ht="25.5">
      <c r="A5" s="184" t="s">
        <v>278</v>
      </c>
      <c r="B5" s="184"/>
      <c r="C5" s="185" t="s">
        <v>279</v>
      </c>
      <c r="D5" s="185"/>
    </row>
    <row r="6" spans="1:4" ht="25.5">
      <c r="A6" s="184" t="s">
        <v>280</v>
      </c>
      <c r="B6" s="184" t="s">
        <v>281</v>
      </c>
      <c r="C6" s="185" t="s">
        <v>282</v>
      </c>
      <c r="D6" s="185" t="s">
        <v>283</v>
      </c>
    </row>
    <row r="7" spans="1:4">
      <c r="A7" s="184" t="s">
        <v>284</v>
      </c>
      <c r="B7" s="184" t="s">
        <v>281</v>
      </c>
      <c r="C7" s="185" t="s">
        <v>282</v>
      </c>
      <c r="D7" s="185" t="s">
        <v>285</v>
      </c>
    </row>
    <row r="8" spans="1:4" ht="25.5">
      <c r="A8" s="184" t="s">
        <v>286</v>
      </c>
      <c r="B8" s="184" t="s">
        <v>287</v>
      </c>
      <c r="C8" s="185" t="s">
        <v>288</v>
      </c>
      <c r="D8" s="185" t="s">
        <v>289</v>
      </c>
    </row>
    <row r="9" spans="1:4" ht="25.5">
      <c r="A9" s="184" t="s">
        <v>286</v>
      </c>
      <c r="B9" s="184" t="s">
        <v>290</v>
      </c>
      <c r="C9" s="185" t="s">
        <v>291</v>
      </c>
      <c r="D9" s="185" t="s">
        <v>289</v>
      </c>
    </row>
    <row r="10" spans="1:4">
      <c r="A10" s="184" t="s">
        <v>292</v>
      </c>
      <c r="B10" s="184" t="s">
        <v>290</v>
      </c>
      <c r="C10" s="185" t="s">
        <v>293</v>
      </c>
      <c r="D10" s="185"/>
    </row>
    <row r="11" spans="1:4" ht="30" customHeight="1">
      <c r="A11" s="184" t="s">
        <v>294</v>
      </c>
      <c r="B11" s="184" t="s">
        <v>281</v>
      </c>
      <c r="C11" s="185" t="s">
        <v>282</v>
      </c>
      <c r="D11" s="185" t="s">
        <v>295</v>
      </c>
    </row>
    <row r="12" spans="1:4">
      <c r="A12" s="184" t="s">
        <v>296</v>
      </c>
      <c r="B12" s="184" t="s">
        <v>281</v>
      </c>
      <c r="C12" s="185" t="s">
        <v>282</v>
      </c>
      <c r="D12" s="184" t="s">
        <v>297</v>
      </c>
    </row>
    <row r="13" spans="1:4" ht="25.5">
      <c r="A13" s="186" t="s">
        <v>298</v>
      </c>
      <c r="B13" s="186" t="s">
        <v>281</v>
      </c>
      <c r="C13" s="187" t="s">
        <v>282</v>
      </c>
      <c r="D13" s="187" t="s">
        <v>299</v>
      </c>
    </row>
    <row r="14" spans="1:4" ht="25.5">
      <c r="A14" s="184" t="s">
        <v>300</v>
      </c>
      <c r="B14" s="184" t="s">
        <v>281</v>
      </c>
      <c r="C14" s="185" t="s">
        <v>282</v>
      </c>
      <c r="D14" s="185" t="s">
        <v>301</v>
      </c>
    </row>
    <row r="15" spans="1:4">
      <c r="A15" s="184" t="s">
        <v>292</v>
      </c>
      <c r="B15" s="184" t="s">
        <v>290</v>
      </c>
      <c r="C15" s="185" t="s">
        <v>293</v>
      </c>
      <c r="D15" s="188"/>
    </row>
    <row r="16" spans="1:4" ht="25.5">
      <c r="A16" s="184" t="s">
        <v>302</v>
      </c>
      <c r="B16" s="184" t="s">
        <v>290</v>
      </c>
      <c r="C16" s="185" t="s">
        <v>282</v>
      </c>
      <c r="D16" s="185" t="s">
        <v>303</v>
      </c>
    </row>
    <row r="17" spans="1:4" ht="25.5">
      <c r="A17" s="184" t="s">
        <v>304</v>
      </c>
      <c r="B17" s="184" t="s">
        <v>281</v>
      </c>
      <c r="C17" s="185" t="s">
        <v>282</v>
      </c>
      <c r="D17" s="188" t="s">
        <v>305</v>
      </c>
    </row>
    <row r="18" spans="1:4" ht="25.5">
      <c r="A18" s="184" t="s">
        <v>306</v>
      </c>
      <c r="B18" s="184" t="s">
        <v>281</v>
      </c>
      <c r="C18" s="185" t="s">
        <v>282</v>
      </c>
      <c r="D18" s="188" t="s">
        <v>307</v>
      </c>
    </row>
    <row r="19" spans="1:4" ht="25.5">
      <c r="A19" s="184" t="s">
        <v>308</v>
      </c>
      <c r="B19" s="184" t="s">
        <v>290</v>
      </c>
      <c r="C19" s="185" t="s">
        <v>282</v>
      </c>
      <c r="D19" s="188" t="s">
        <v>301</v>
      </c>
    </row>
    <row r="20" spans="1:4" ht="25.5">
      <c r="A20" s="184" t="s">
        <v>309</v>
      </c>
      <c r="B20" s="184" t="s">
        <v>281</v>
      </c>
      <c r="C20" s="185" t="s">
        <v>282</v>
      </c>
      <c r="D20" s="188" t="s">
        <v>307</v>
      </c>
    </row>
    <row r="21" spans="1:4">
      <c r="A21" s="184" t="s">
        <v>310</v>
      </c>
      <c r="B21" s="184" t="s">
        <v>311</v>
      </c>
      <c r="C21" s="185" t="s">
        <v>312</v>
      </c>
      <c r="D21" s="188"/>
    </row>
    <row r="22" spans="1:4" ht="25.5">
      <c r="A22" s="184" t="s">
        <v>310</v>
      </c>
      <c r="B22" s="184" t="s">
        <v>290</v>
      </c>
      <c r="C22" s="185" t="s">
        <v>282</v>
      </c>
      <c r="D22" s="188" t="s">
        <v>305</v>
      </c>
    </row>
    <row r="23" spans="1:4" ht="25.5">
      <c r="A23" s="184" t="s">
        <v>313</v>
      </c>
      <c r="B23" s="184" t="s">
        <v>281</v>
      </c>
      <c r="C23" s="185" t="s">
        <v>282</v>
      </c>
      <c r="D23" s="188" t="s">
        <v>314</v>
      </c>
    </row>
    <row r="24" spans="1:4" ht="25.5">
      <c r="A24" s="184" t="s">
        <v>315</v>
      </c>
      <c r="B24" s="184" t="s">
        <v>281</v>
      </c>
      <c r="C24" s="185" t="s">
        <v>282</v>
      </c>
      <c r="D24" s="188" t="s">
        <v>316</v>
      </c>
    </row>
    <row r="25" spans="1:4" ht="38.25">
      <c r="A25" s="184" t="s">
        <v>317</v>
      </c>
      <c r="B25" s="184" t="s">
        <v>281</v>
      </c>
      <c r="C25" s="185" t="s">
        <v>282</v>
      </c>
      <c r="D25" s="188" t="s">
        <v>318</v>
      </c>
    </row>
    <row r="26" spans="1:4" ht="25.5">
      <c r="A26" s="184" t="s">
        <v>319</v>
      </c>
      <c r="B26" s="184" t="s">
        <v>281</v>
      </c>
      <c r="C26" s="185" t="s">
        <v>282</v>
      </c>
      <c r="D26" s="188" t="s">
        <v>314</v>
      </c>
    </row>
    <row r="27" spans="1:4" ht="25.5">
      <c r="A27" s="184" t="s">
        <v>320</v>
      </c>
      <c r="B27" s="184" t="s">
        <v>290</v>
      </c>
      <c r="C27" s="185" t="s">
        <v>282</v>
      </c>
      <c r="D27" s="188" t="s">
        <v>321</v>
      </c>
    </row>
    <row r="28" spans="1:4" ht="25.5">
      <c r="A28" s="184" t="s">
        <v>322</v>
      </c>
      <c r="B28" s="184" t="s">
        <v>290</v>
      </c>
      <c r="C28" s="185" t="s">
        <v>282</v>
      </c>
      <c r="D28" s="188" t="s">
        <v>305</v>
      </c>
    </row>
    <row r="29" spans="1:4" ht="25.5">
      <c r="A29" s="184" t="s">
        <v>323</v>
      </c>
      <c r="B29" s="184" t="s">
        <v>281</v>
      </c>
      <c r="C29" s="185" t="s">
        <v>282</v>
      </c>
      <c r="D29" s="188" t="s">
        <v>305</v>
      </c>
    </row>
    <row r="30" spans="1:4" ht="25.5">
      <c r="A30" s="184" t="s">
        <v>324</v>
      </c>
      <c r="B30" s="184" t="s">
        <v>290</v>
      </c>
      <c r="C30" s="185" t="s">
        <v>282</v>
      </c>
      <c r="D30" s="188" t="s">
        <v>305</v>
      </c>
    </row>
    <row r="31" spans="1:4">
      <c r="A31" s="207" t="s">
        <v>272</v>
      </c>
      <c r="B31" s="207" t="s">
        <v>273</v>
      </c>
      <c r="C31" s="207" t="s">
        <v>274</v>
      </c>
      <c r="D31" s="207" t="s">
        <v>275</v>
      </c>
    </row>
    <row r="32" spans="1:4">
      <c r="A32" s="207"/>
      <c r="B32" s="207"/>
      <c r="C32" s="207"/>
      <c r="D32" s="207" t="s">
        <v>276</v>
      </c>
    </row>
    <row r="33" spans="1:4">
      <c r="A33" s="207" t="s">
        <v>325</v>
      </c>
      <c r="B33" s="207"/>
      <c r="C33" s="207"/>
      <c r="D33" s="207"/>
    </row>
    <row r="34" spans="1:4" ht="25.5">
      <c r="A34" s="184" t="s">
        <v>278</v>
      </c>
      <c r="B34" s="184"/>
      <c r="C34" s="185" t="s">
        <v>326</v>
      </c>
      <c r="D34" s="188"/>
    </row>
    <row r="35" spans="1:4" ht="25.5">
      <c r="A35" s="184" t="s">
        <v>327</v>
      </c>
      <c r="B35" s="184" t="s">
        <v>290</v>
      </c>
      <c r="C35" s="185" t="s">
        <v>282</v>
      </c>
      <c r="D35" s="188" t="s">
        <v>328</v>
      </c>
    </row>
    <row r="36" spans="1:4" ht="25.5">
      <c r="A36" s="184" t="s">
        <v>329</v>
      </c>
      <c r="B36" s="184" t="s">
        <v>290</v>
      </c>
      <c r="C36" s="185" t="s">
        <v>282</v>
      </c>
      <c r="D36" s="188" t="s">
        <v>330</v>
      </c>
    </row>
    <row r="37" spans="1:4" ht="38.25">
      <c r="A37" s="184" t="s">
        <v>331</v>
      </c>
      <c r="B37" s="184" t="s">
        <v>281</v>
      </c>
      <c r="C37" s="185" t="s">
        <v>282</v>
      </c>
      <c r="D37" s="188" t="s">
        <v>332</v>
      </c>
    </row>
    <row r="38" spans="1:4" ht="25.5">
      <c r="A38" s="184" t="s">
        <v>302</v>
      </c>
      <c r="B38" s="184" t="s">
        <v>290</v>
      </c>
      <c r="C38" s="185" t="s">
        <v>282</v>
      </c>
      <c r="D38" s="185" t="s">
        <v>303</v>
      </c>
    </row>
    <row r="39" spans="1:4" ht="25.5">
      <c r="A39" s="184" t="s">
        <v>269</v>
      </c>
      <c r="B39" s="184" t="s">
        <v>290</v>
      </c>
      <c r="C39" s="185" t="s">
        <v>282</v>
      </c>
      <c r="D39" s="185" t="s">
        <v>328</v>
      </c>
    </row>
    <row r="40" spans="1:4" ht="25.5">
      <c r="A40" s="184" t="s">
        <v>333</v>
      </c>
      <c r="B40" s="184" t="s">
        <v>290</v>
      </c>
      <c r="C40" s="185" t="s">
        <v>282</v>
      </c>
      <c r="D40" s="185" t="s">
        <v>334</v>
      </c>
    </row>
    <row r="41" spans="1:4" ht="25.5">
      <c r="A41" s="184" t="s">
        <v>335</v>
      </c>
      <c r="B41" s="184" t="s">
        <v>290</v>
      </c>
      <c r="C41" s="185" t="s">
        <v>282</v>
      </c>
      <c r="D41" s="185" t="s">
        <v>336</v>
      </c>
    </row>
    <row r="42" spans="1:4">
      <c r="A42" s="184" t="s">
        <v>337</v>
      </c>
      <c r="B42" s="184" t="s">
        <v>281</v>
      </c>
      <c r="C42" s="185" t="s">
        <v>282</v>
      </c>
      <c r="D42" s="188" t="s">
        <v>297</v>
      </c>
    </row>
    <row r="43" spans="1:4" ht="25.5">
      <c r="A43" s="184" t="s">
        <v>338</v>
      </c>
      <c r="B43" s="184" t="s">
        <v>281</v>
      </c>
      <c r="C43" s="185" t="s">
        <v>282</v>
      </c>
      <c r="D43" s="188" t="s">
        <v>305</v>
      </c>
    </row>
    <row r="44" spans="1:4" ht="25.5">
      <c r="A44" s="184" t="s">
        <v>339</v>
      </c>
      <c r="B44" s="184" t="s">
        <v>290</v>
      </c>
      <c r="C44" s="185" t="s">
        <v>282</v>
      </c>
      <c r="D44" s="188" t="s">
        <v>340</v>
      </c>
    </row>
    <row r="45" spans="1:4" ht="25.5">
      <c r="A45" s="184" t="s">
        <v>341</v>
      </c>
      <c r="B45" s="184" t="s">
        <v>290</v>
      </c>
      <c r="C45" s="185" t="s">
        <v>282</v>
      </c>
      <c r="D45" s="188" t="s">
        <v>342</v>
      </c>
    </row>
    <row r="46" spans="1:4" ht="25.5">
      <c r="A46" s="184" t="s">
        <v>343</v>
      </c>
      <c r="B46" s="184" t="s">
        <v>290</v>
      </c>
      <c r="C46" s="185" t="s">
        <v>282</v>
      </c>
      <c r="D46" s="185" t="s">
        <v>344</v>
      </c>
    </row>
    <row r="47" spans="1:4" ht="25.5">
      <c r="A47" s="184" t="s">
        <v>345</v>
      </c>
      <c r="B47" s="184" t="s">
        <v>290</v>
      </c>
      <c r="C47" s="185" t="s">
        <v>282</v>
      </c>
      <c r="D47" s="188" t="s">
        <v>305</v>
      </c>
    </row>
    <row r="48" spans="1:4">
      <c r="A48" s="184" t="s">
        <v>346</v>
      </c>
      <c r="B48" s="184" t="s">
        <v>281</v>
      </c>
      <c r="C48" s="185" t="s">
        <v>282</v>
      </c>
      <c r="D48" s="188" t="s">
        <v>297</v>
      </c>
    </row>
    <row r="49" spans="1:4" ht="25.5">
      <c r="A49" s="184" t="s">
        <v>347</v>
      </c>
      <c r="B49" s="184" t="s">
        <v>281</v>
      </c>
      <c r="C49" s="185" t="s">
        <v>282</v>
      </c>
      <c r="D49" s="188" t="s">
        <v>303</v>
      </c>
    </row>
    <row r="50" spans="1:4" ht="38.25">
      <c r="A50" s="184" t="s">
        <v>348</v>
      </c>
      <c r="B50" s="184" t="s">
        <v>290</v>
      </c>
      <c r="C50" s="185" t="s">
        <v>282</v>
      </c>
      <c r="D50" s="188" t="s">
        <v>349</v>
      </c>
    </row>
    <row r="51" spans="1:4">
      <c r="A51" s="207" t="s">
        <v>272</v>
      </c>
      <c r="B51" s="207" t="s">
        <v>273</v>
      </c>
      <c r="C51" s="207" t="s">
        <v>274</v>
      </c>
      <c r="D51" s="207" t="s">
        <v>275</v>
      </c>
    </row>
    <row r="52" spans="1:4">
      <c r="A52" s="207"/>
      <c r="B52" s="207"/>
      <c r="C52" s="207"/>
      <c r="D52" s="207" t="s">
        <v>276</v>
      </c>
    </row>
    <row r="53" spans="1:4">
      <c r="A53" s="207" t="s">
        <v>350</v>
      </c>
      <c r="B53" s="207"/>
      <c r="C53" s="207"/>
      <c r="D53" s="207"/>
    </row>
    <row r="54" spans="1:4" ht="38.25">
      <c r="A54" s="184" t="s">
        <v>278</v>
      </c>
      <c r="B54" s="184"/>
      <c r="C54" s="185" t="s">
        <v>351</v>
      </c>
      <c r="D54" s="185"/>
    </row>
    <row r="55" spans="1:4" ht="25.5">
      <c r="A55" s="184" t="s">
        <v>352</v>
      </c>
      <c r="B55" s="184" t="s">
        <v>290</v>
      </c>
      <c r="C55" s="185" t="s">
        <v>353</v>
      </c>
      <c r="D55" s="188" t="s">
        <v>354</v>
      </c>
    </row>
    <row r="56" spans="1:4" ht="25.5">
      <c r="A56" s="184" t="s">
        <v>355</v>
      </c>
      <c r="B56" s="184" t="s">
        <v>290</v>
      </c>
      <c r="C56" s="185" t="s">
        <v>282</v>
      </c>
      <c r="D56" s="188" t="s">
        <v>356</v>
      </c>
    </row>
    <row r="57" spans="1:4">
      <c r="A57" s="184" t="s">
        <v>357</v>
      </c>
      <c r="B57" s="184" t="s">
        <v>290</v>
      </c>
      <c r="C57" s="185" t="s">
        <v>282</v>
      </c>
      <c r="D57" s="188" t="s">
        <v>358</v>
      </c>
    </row>
    <row r="58" spans="1:4">
      <c r="A58" s="184" t="s">
        <v>357</v>
      </c>
      <c r="B58" s="184" t="s">
        <v>290</v>
      </c>
      <c r="C58" s="185" t="s">
        <v>359</v>
      </c>
      <c r="D58" s="188"/>
    </row>
    <row r="59" spans="1:4">
      <c r="A59" s="184" t="s">
        <v>360</v>
      </c>
      <c r="B59" s="184" t="s">
        <v>290</v>
      </c>
      <c r="C59" s="185" t="s">
        <v>282</v>
      </c>
      <c r="D59" s="188" t="s">
        <v>358</v>
      </c>
    </row>
    <row r="60" spans="1:4" ht="25.5">
      <c r="A60" s="184" t="s">
        <v>361</v>
      </c>
      <c r="B60" s="184" t="s">
        <v>290</v>
      </c>
      <c r="C60" s="185" t="s">
        <v>282</v>
      </c>
      <c r="D60" s="188" t="s">
        <v>305</v>
      </c>
    </row>
    <row r="61" spans="1:4">
      <c r="A61" s="184" t="s">
        <v>362</v>
      </c>
      <c r="B61" s="184" t="s">
        <v>290</v>
      </c>
      <c r="C61" s="185" t="s">
        <v>282</v>
      </c>
      <c r="D61" s="188" t="s">
        <v>358</v>
      </c>
    </row>
    <row r="62" spans="1:4">
      <c r="A62" s="184" t="s">
        <v>362</v>
      </c>
      <c r="B62" s="184" t="s">
        <v>290</v>
      </c>
      <c r="C62" s="185" t="s">
        <v>359</v>
      </c>
      <c r="D62" s="188"/>
    </row>
    <row r="63" spans="1:4" ht="25.5">
      <c r="A63" s="184" t="s">
        <v>363</v>
      </c>
      <c r="B63" s="184" t="s">
        <v>290</v>
      </c>
      <c r="C63" s="185" t="s">
        <v>282</v>
      </c>
      <c r="D63" s="188" t="s">
        <v>364</v>
      </c>
    </row>
    <row r="64" spans="1:4">
      <c r="A64" s="184" t="s">
        <v>363</v>
      </c>
      <c r="B64" s="184" t="s">
        <v>290</v>
      </c>
      <c r="C64" s="185" t="s">
        <v>359</v>
      </c>
      <c r="D64" s="188"/>
    </row>
    <row r="65" spans="1:4" ht="25.5">
      <c r="A65" s="184" t="s">
        <v>365</v>
      </c>
      <c r="B65" s="184" t="s">
        <v>290</v>
      </c>
      <c r="C65" s="185" t="s">
        <v>282</v>
      </c>
      <c r="D65" s="188" t="s">
        <v>366</v>
      </c>
    </row>
    <row r="66" spans="1:4" ht="25.5">
      <c r="A66" s="184" t="s">
        <v>365</v>
      </c>
      <c r="B66" s="184" t="s">
        <v>290</v>
      </c>
      <c r="C66" s="185" t="s">
        <v>359</v>
      </c>
      <c r="D66" s="188"/>
    </row>
    <row r="67" spans="1:4" ht="25.5">
      <c r="A67" s="184" t="s">
        <v>367</v>
      </c>
      <c r="B67" s="184" t="s">
        <v>290</v>
      </c>
      <c r="C67" s="185" t="s">
        <v>282</v>
      </c>
      <c r="D67" s="188" t="s">
        <v>368</v>
      </c>
    </row>
    <row r="68" spans="1:4" ht="25.5">
      <c r="A68" s="184" t="s">
        <v>369</v>
      </c>
      <c r="B68" s="184" t="s">
        <v>290</v>
      </c>
      <c r="C68" s="185" t="s">
        <v>282</v>
      </c>
      <c r="D68" s="188" t="s">
        <v>316</v>
      </c>
    </row>
    <row r="69" spans="1:4">
      <c r="A69" s="184" t="s">
        <v>369</v>
      </c>
      <c r="B69" s="184" t="s">
        <v>290</v>
      </c>
      <c r="C69" s="185" t="s">
        <v>359</v>
      </c>
      <c r="D69" s="188"/>
    </row>
    <row r="70" spans="1:4" ht="25.5">
      <c r="A70" s="184" t="s">
        <v>370</v>
      </c>
      <c r="B70" s="184" t="s">
        <v>290</v>
      </c>
      <c r="C70" s="185" t="s">
        <v>371</v>
      </c>
      <c r="D70" s="188" t="s">
        <v>330</v>
      </c>
    </row>
    <row r="71" spans="1:4">
      <c r="A71" s="184" t="s">
        <v>370</v>
      </c>
      <c r="B71" s="184" t="s">
        <v>290</v>
      </c>
      <c r="C71" s="185" t="s">
        <v>359</v>
      </c>
      <c r="D71" s="188"/>
    </row>
    <row r="72" spans="1:4">
      <c r="A72" s="207" t="s">
        <v>272</v>
      </c>
      <c r="B72" s="207" t="s">
        <v>273</v>
      </c>
      <c r="C72" s="207" t="s">
        <v>274</v>
      </c>
      <c r="D72" s="207" t="s">
        <v>275</v>
      </c>
    </row>
    <row r="73" spans="1:4">
      <c r="A73" s="207"/>
      <c r="B73" s="207"/>
      <c r="C73" s="207"/>
      <c r="D73" s="207" t="s">
        <v>276</v>
      </c>
    </row>
    <row r="74" spans="1:4">
      <c r="A74" s="207" t="s">
        <v>372</v>
      </c>
      <c r="B74" s="207"/>
      <c r="C74" s="207"/>
      <c r="D74" s="207"/>
    </row>
    <row r="75" spans="1:4" ht="25.5">
      <c r="A75" s="184" t="s">
        <v>278</v>
      </c>
      <c r="B75" s="184"/>
      <c r="C75" s="185" t="s">
        <v>373</v>
      </c>
      <c r="D75" s="185"/>
    </row>
    <row r="76" spans="1:4">
      <c r="A76" s="207" t="s">
        <v>374</v>
      </c>
      <c r="B76" s="207"/>
      <c r="C76" s="207"/>
      <c r="D76" s="207"/>
    </row>
    <row r="77" spans="1:4" ht="25.5">
      <c r="A77" s="184" t="s">
        <v>375</v>
      </c>
      <c r="B77" s="184" t="s">
        <v>290</v>
      </c>
      <c r="C77" s="185" t="s">
        <v>376</v>
      </c>
      <c r="D77" s="188" t="s">
        <v>377</v>
      </c>
    </row>
    <row r="78" spans="1:4" ht="25.5">
      <c r="A78" s="184" t="s">
        <v>378</v>
      </c>
      <c r="B78" s="184" t="s">
        <v>290</v>
      </c>
      <c r="C78" s="185" t="s">
        <v>376</v>
      </c>
      <c r="D78" s="188" t="s">
        <v>377</v>
      </c>
    </row>
    <row r="79" spans="1:4" ht="25.5">
      <c r="A79" s="184" t="s">
        <v>379</v>
      </c>
      <c r="B79" s="184" t="s">
        <v>290</v>
      </c>
      <c r="C79" s="185" t="s">
        <v>376</v>
      </c>
      <c r="D79" s="188" t="s">
        <v>380</v>
      </c>
    </row>
    <row r="80" spans="1:4" ht="25.5">
      <c r="A80" s="184" t="s">
        <v>381</v>
      </c>
      <c r="B80" s="184" t="s">
        <v>290</v>
      </c>
      <c r="C80" s="185" t="s">
        <v>376</v>
      </c>
      <c r="D80" s="188" t="s">
        <v>382</v>
      </c>
    </row>
    <row r="81" spans="1:4" ht="25.5">
      <c r="A81" s="184" t="s">
        <v>421</v>
      </c>
      <c r="B81" s="184" t="s">
        <v>290</v>
      </c>
      <c r="C81" s="185" t="s">
        <v>376</v>
      </c>
      <c r="D81" s="188" t="s">
        <v>382</v>
      </c>
    </row>
    <row r="82" spans="1:4">
      <c r="A82" s="207" t="s">
        <v>270</v>
      </c>
      <c r="B82" s="207"/>
      <c r="C82" s="207"/>
      <c r="D82" s="207"/>
    </row>
    <row r="83" spans="1:4" ht="25.5">
      <c r="A83" s="184" t="s">
        <v>375</v>
      </c>
      <c r="B83" s="184" t="s">
        <v>290</v>
      </c>
      <c r="C83" s="185" t="s">
        <v>376</v>
      </c>
      <c r="D83" s="188" t="s">
        <v>377</v>
      </c>
    </row>
    <row r="84" spans="1:4" ht="25.5">
      <c r="A84" s="184" t="s">
        <v>378</v>
      </c>
      <c r="B84" s="184" t="s">
        <v>290</v>
      </c>
      <c r="C84" s="185" t="s">
        <v>376</v>
      </c>
      <c r="D84" s="188" t="s">
        <v>377</v>
      </c>
    </row>
    <row r="85" spans="1:4" ht="25.5">
      <c r="A85" s="184" t="s">
        <v>379</v>
      </c>
      <c r="B85" s="184" t="s">
        <v>290</v>
      </c>
      <c r="C85" s="185" t="s">
        <v>376</v>
      </c>
      <c r="D85" s="188" t="s">
        <v>380</v>
      </c>
    </row>
    <row r="86" spans="1:4" ht="25.5">
      <c r="A86" s="184" t="s">
        <v>381</v>
      </c>
      <c r="B86" s="184" t="s">
        <v>290</v>
      </c>
      <c r="C86" s="185" t="s">
        <v>376</v>
      </c>
      <c r="D86" s="188" t="s">
        <v>382</v>
      </c>
    </row>
    <row r="87" spans="1:4" ht="25.5">
      <c r="A87" s="184" t="s">
        <v>421</v>
      </c>
      <c r="B87" s="184" t="s">
        <v>290</v>
      </c>
      <c r="C87" s="185" t="s">
        <v>376</v>
      </c>
      <c r="D87" s="188" t="s">
        <v>382</v>
      </c>
    </row>
    <row r="88" spans="1:4">
      <c r="A88" s="207" t="s">
        <v>38</v>
      </c>
      <c r="B88" s="207"/>
      <c r="C88" s="207"/>
      <c r="D88" s="207"/>
    </row>
    <row r="89" spans="1:4" ht="25.5">
      <c r="A89" s="184" t="s">
        <v>375</v>
      </c>
      <c r="B89" s="184" t="s">
        <v>290</v>
      </c>
      <c r="C89" s="185" t="s">
        <v>383</v>
      </c>
      <c r="D89" s="188" t="s">
        <v>377</v>
      </c>
    </row>
    <row r="90" spans="1:4" ht="25.5">
      <c r="A90" s="184" t="s">
        <v>378</v>
      </c>
      <c r="B90" s="184" t="s">
        <v>290</v>
      </c>
      <c r="C90" s="185" t="s">
        <v>383</v>
      </c>
      <c r="D90" s="188" t="s">
        <v>377</v>
      </c>
    </row>
    <row r="91" spans="1:4" ht="25.5">
      <c r="A91" s="184" t="s">
        <v>379</v>
      </c>
      <c r="B91" s="184" t="s">
        <v>290</v>
      </c>
      <c r="C91" s="185" t="s">
        <v>383</v>
      </c>
      <c r="D91" s="188" t="s">
        <v>380</v>
      </c>
    </row>
  </sheetData>
  <mergeCells count="1">
    <mergeCell ref="A1:D1"/>
  </mergeCells>
  <pageMargins left="0.7" right="0.7" top="0.75" bottom="0.75" header="0.3" footer="0.3"/>
  <pageSetup paperSize="9" scale="5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A5A14-0FAA-4265-9ED6-C97F3E9736F4}">
  <sheetPr>
    <tabColor theme="0" tint="-0.14999847407452621"/>
    <pageSetUpPr fitToPage="1"/>
  </sheetPr>
  <dimension ref="A1:I50"/>
  <sheetViews>
    <sheetView view="pageBreakPreview" zoomScaleNormal="100" zoomScaleSheetLayoutView="100" workbookViewId="0">
      <selection sqref="A1:H1"/>
    </sheetView>
  </sheetViews>
  <sheetFormatPr defaultColWidth="9.140625" defaultRowHeight="11.25"/>
  <cols>
    <col min="1" max="1" width="9.7109375" style="4" customWidth="1"/>
    <col min="2" max="2" width="42.42578125" style="4" customWidth="1"/>
    <col min="3" max="3" width="14.85546875" style="21" customWidth="1"/>
    <col min="4" max="4" width="41.5703125" style="4" bestFit="1" customWidth="1"/>
    <col min="5" max="5" width="18.140625" style="4" bestFit="1" customWidth="1"/>
    <col min="6" max="6" width="18.28515625" style="146" customWidth="1"/>
    <col min="7" max="7" width="17.7109375" style="4" bestFit="1" customWidth="1"/>
    <col min="8" max="8" width="19.85546875" style="4" customWidth="1"/>
    <col min="9" max="9" width="19.7109375" style="4" customWidth="1"/>
    <col min="10" max="10" width="13.85546875" style="4" customWidth="1"/>
    <col min="11" max="16384" width="9.140625" style="4"/>
  </cols>
  <sheetData>
    <row r="1" spans="1:9" s="9" customFormat="1" ht="26.25" customHeight="1">
      <c r="A1" s="284" t="s">
        <v>436</v>
      </c>
      <c r="B1" s="284"/>
      <c r="C1" s="284"/>
      <c r="D1" s="284"/>
      <c r="E1" s="284"/>
      <c r="F1" s="284"/>
      <c r="G1" s="284"/>
      <c r="H1" s="284"/>
    </row>
    <row r="2" spans="1:9" s="9" customFormat="1" ht="15" customHeight="1">
      <c r="A2" s="323" t="s">
        <v>428</v>
      </c>
      <c r="B2" s="286"/>
      <c r="C2" s="286"/>
      <c r="D2" s="286"/>
      <c r="E2" s="286"/>
      <c r="F2" s="286"/>
      <c r="G2" s="286"/>
      <c r="H2" s="286"/>
    </row>
    <row r="3" spans="1:9" ht="15" customHeight="1">
      <c r="B3" s="21"/>
      <c r="C3" s="4"/>
    </row>
    <row r="4" spans="1:9" ht="15" customHeight="1">
      <c r="A4" s="4" t="s">
        <v>180</v>
      </c>
      <c r="B4" s="35"/>
      <c r="C4" s="35"/>
      <c r="D4" s="35"/>
      <c r="E4" s="35"/>
      <c r="F4" s="248"/>
      <c r="G4" s="249"/>
    </row>
    <row r="5" spans="1:9" ht="15" customHeight="1">
      <c r="A5" s="4" t="s">
        <v>245</v>
      </c>
      <c r="B5" s="35"/>
      <c r="C5" s="35"/>
      <c r="D5" s="35"/>
      <c r="E5" s="35"/>
      <c r="F5" s="248"/>
      <c r="G5" s="249"/>
    </row>
    <row r="6" spans="1:9" ht="15" customHeight="1">
      <c r="A6" s="4" t="s">
        <v>238</v>
      </c>
      <c r="B6" s="38"/>
      <c r="C6" s="39"/>
      <c r="D6" s="39"/>
      <c r="E6" s="39"/>
      <c r="F6" s="148"/>
    </row>
    <row r="7" spans="1:9" ht="15" customHeight="1">
      <c r="B7" s="38"/>
      <c r="C7" s="38"/>
      <c r="D7" s="34"/>
      <c r="E7" s="324" t="s">
        <v>400</v>
      </c>
      <c r="F7" s="324"/>
      <c r="G7" s="324"/>
      <c r="H7" s="324"/>
      <c r="I7" s="324"/>
    </row>
    <row r="8" spans="1:9" s="8" customFormat="1" ht="26.25" customHeight="1">
      <c r="A8" s="50" t="s">
        <v>211</v>
      </c>
      <c r="B8" s="51" t="s">
        <v>160</v>
      </c>
      <c r="C8" s="52" t="s">
        <v>152</v>
      </c>
      <c r="D8" s="50" t="s">
        <v>439</v>
      </c>
      <c r="E8" s="50" t="s">
        <v>429</v>
      </c>
      <c r="F8" s="50" t="s">
        <v>430</v>
      </c>
      <c r="G8" s="50" t="s">
        <v>431</v>
      </c>
      <c r="H8" s="50" t="s">
        <v>432</v>
      </c>
      <c r="I8" s="50" t="s">
        <v>435</v>
      </c>
    </row>
    <row r="9" spans="1:9" ht="15" customHeight="1">
      <c r="A9" s="243">
        <v>1</v>
      </c>
      <c r="B9" s="254" t="s">
        <v>913</v>
      </c>
      <c r="C9" s="55">
        <v>0</v>
      </c>
      <c r="D9" s="244" t="s">
        <v>184</v>
      </c>
      <c r="E9" s="252" t="e">
        <f>(InvulExtraW[[#This Row],[Prijs]]*Tariefsopbouw!$I$37)+InvulExtraW[[#This Row],[Prijs]]</f>
        <v>#DIV/0!</v>
      </c>
      <c r="F9" s="253" t="e">
        <f>E9*Tariefsopbouw!$K$37+E9</f>
        <v>#DIV/0!</v>
      </c>
      <c r="G9" s="253" t="e">
        <f>F9*Tariefsopbouw!$M$37+F9</f>
        <v>#DIV/0!</v>
      </c>
      <c r="H9" s="253" t="e">
        <f>G9*Tariefsopbouw!$O$37+InvulExtraW[[#This Row],[2025]]</f>
        <v>#DIV/0!</v>
      </c>
      <c r="I9" s="253" t="e">
        <f>H9*Tariefsopbouw!$Q$37+InvulExtraW[[#This Row],[2026]]</f>
        <v>#DIV/0!</v>
      </c>
    </row>
    <row r="10" spans="1:9" ht="15" customHeight="1">
      <c r="A10" s="243">
        <v>2</v>
      </c>
      <c r="B10" s="254" t="s">
        <v>914</v>
      </c>
      <c r="C10" s="55">
        <v>0</v>
      </c>
      <c r="D10" s="244" t="s">
        <v>184</v>
      </c>
      <c r="E10" s="252" t="e">
        <f>(InvulExtraW[[#This Row],[Prijs]]*Tariefsopbouw!$I$37)+InvulExtraW[[#This Row],[Prijs]]</f>
        <v>#DIV/0!</v>
      </c>
      <c r="F10" s="252" t="e">
        <f>E10*Tariefsopbouw!$K$37+E10</f>
        <v>#DIV/0!</v>
      </c>
      <c r="G10" s="252" t="e">
        <f>F10*Tariefsopbouw!$M$37+F10</f>
        <v>#DIV/0!</v>
      </c>
      <c r="H10" s="252" t="e">
        <f>G10*Tariefsopbouw!$O$37+InvulExtraW[[#This Row],[2025]]</f>
        <v>#DIV/0!</v>
      </c>
      <c r="I10" s="252" t="e">
        <f>H10*Tariefsopbouw!$Q$37+InvulExtraW[[#This Row],[2026]]</f>
        <v>#DIV/0!</v>
      </c>
    </row>
    <row r="11" spans="1:9" ht="15" customHeight="1">
      <c r="A11" s="243">
        <v>3</v>
      </c>
      <c r="B11" s="254" t="s">
        <v>916</v>
      </c>
      <c r="C11" s="55">
        <v>0</v>
      </c>
      <c r="D11" s="244" t="s">
        <v>184</v>
      </c>
      <c r="E11" s="252" t="e">
        <f>(InvulExtraW[[#This Row],[Prijs]]*Tariefsopbouw!$I$37)+InvulExtraW[[#This Row],[Prijs]]</f>
        <v>#DIV/0!</v>
      </c>
      <c r="F11" s="253" t="e">
        <f>E11*Tariefsopbouw!$K$37+E11</f>
        <v>#DIV/0!</v>
      </c>
      <c r="G11" s="253" t="e">
        <f>F11*Tariefsopbouw!$M$37+F11</f>
        <v>#DIV/0!</v>
      </c>
      <c r="H11" s="253" t="e">
        <f>G11*Tariefsopbouw!$O$37+InvulExtraW[[#This Row],[2025]]</f>
        <v>#DIV/0!</v>
      </c>
      <c r="I11" s="253" t="e">
        <f>H11*Tariefsopbouw!$Q$37+InvulExtraW[[#This Row],[2026]]</f>
        <v>#DIV/0!</v>
      </c>
    </row>
    <row r="12" spans="1:9" ht="15" customHeight="1">
      <c r="A12" s="243">
        <v>4</v>
      </c>
      <c r="B12" s="254" t="s">
        <v>917</v>
      </c>
      <c r="C12" s="55">
        <v>0</v>
      </c>
      <c r="D12" s="244" t="s">
        <v>915</v>
      </c>
      <c r="E12" s="252" t="e">
        <f>(InvulExtraW[[#This Row],[Prijs]]*Tariefsopbouw!$I$37)+InvulExtraW[[#This Row],[Prijs]]</f>
        <v>#DIV/0!</v>
      </c>
      <c r="F12" s="252" t="e">
        <f>E12*Tariefsopbouw!$K$37+E12</f>
        <v>#DIV/0!</v>
      </c>
      <c r="G12" s="252" t="e">
        <f>F12*Tariefsopbouw!$M$37+F12</f>
        <v>#DIV/0!</v>
      </c>
      <c r="H12" s="252" t="e">
        <f>G12*Tariefsopbouw!$O$37+InvulExtraW[[#This Row],[2025]]</f>
        <v>#DIV/0!</v>
      </c>
      <c r="I12" s="252" t="e">
        <f>H12*Tariefsopbouw!$Q$37+InvulExtraW[[#This Row],[2026]]</f>
        <v>#DIV/0!</v>
      </c>
    </row>
    <row r="13" spans="1:9" ht="15" customHeight="1">
      <c r="A13" s="243">
        <v>5</v>
      </c>
      <c r="B13" s="254" t="s">
        <v>918</v>
      </c>
      <c r="C13" s="55">
        <v>0</v>
      </c>
      <c r="D13" s="244" t="s">
        <v>919</v>
      </c>
      <c r="E13" s="252" t="e">
        <f>(InvulExtraW[[#This Row],[Prijs]]*Tariefsopbouw!$I$37)+InvulExtraW[[#This Row],[Prijs]]</f>
        <v>#DIV/0!</v>
      </c>
      <c r="F13" s="252" t="e">
        <f>E13*Tariefsopbouw!$K$37+E13</f>
        <v>#DIV/0!</v>
      </c>
      <c r="G13" s="252" t="e">
        <f>F13*Tariefsopbouw!$M$37+F13</f>
        <v>#DIV/0!</v>
      </c>
      <c r="H13" s="252" t="e">
        <f>G13*Tariefsopbouw!$O$37+InvulExtraW[[#This Row],[2025]]</f>
        <v>#DIV/0!</v>
      </c>
      <c r="I13" s="252" t="e">
        <f>H13*Tariefsopbouw!$Q$37+InvulExtraW[[#This Row],[2026]]</f>
        <v>#DIV/0!</v>
      </c>
    </row>
    <row r="14" spans="1:9" ht="15" customHeight="1">
      <c r="B14" s="21"/>
      <c r="E14" s="40"/>
      <c r="F14" s="149"/>
      <c r="G14" s="40"/>
      <c r="H14" s="40"/>
    </row>
    <row r="15" spans="1:9" s="33" customFormat="1" ht="26.25" customHeight="1">
      <c r="A15" s="50" t="s">
        <v>210</v>
      </c>
      <c r="B15" s="51" t="s">
        <v>145</v>
      </c>
      <c r="C15" s="50" t="s">
        <v>211</v>
      </c>
      <c r="D15" s="61" t="s">
        <v>440</v>
      </c>
      <c r="E15" s="61" t="s">
        <v>442</v>
      </c>
      <c r="F15" s="61" t="s">
        <v>167</v>
      </c>
      <c r="G15" s="250" t="s">
        <v>147</v>
      </c>
      <c r="H15" s="61" t="s">
        <v>422</v>
      </c>
    </row>
    <row r="16" spans="1:9" ht="15" customHeight="1">
      <c r="A16" s="243">
        <v>1</v>
      </c>
      <c r="B16" s="244" t="str">
        <f>VLOOKUP(OverzichtExtraW[[#This Row],[Code Locatie]],Locaties[[Code]:[Locatie]],2,0)</f>
        <v>IJburg College</v>
      </c>
      <c r="C16" s="243">
        <v>1</v>
      </c>
      <c r="D16" s="255" t="str">
        <f>IF(OverzichtExtraW[[#This Row],[Code Taak]],VLOOKUP(OverzichtExtraW[[#This Row],[Code Taak]],InvulExtraW[[#All],[Code Taak]:[Werkzaamheden]],2,FALSE),"")</f>
        <v>Fietsenkelder vegen</v>
      </c>
      <c r="E16" s="55"/>
      <c r="F16" s="256">
        <v>10</v>
      </c>
      <c r="G16" s="247">
        <f>$C$9*OverzichtExtraW[[#This Row],[aantal uur per keer/meter]]*OverzichtExtraW[[#This Row],[Frequentie (uitv./jaar)]]</f>
        <v>0</v>
      </c>
      <c r="H16" s="243"/>
    </row>
    <row r="17" spans="1:8" ht="15" customHeight="1">
      <c r="A17" s="243">
        <v>1</v>
      </c>
      <c r="B17" s="244" t="str">
        <f>VLOOKUP(OverzichtExtraW[[#This Row],[Code Locatie]],Locaties[[Code]:[Locatie]],2,0)</f>
        <v>IJburg College</v>
      </c>
      <c r="C17" s="243">
        <v>2</v>
      </c>
      <c r="D17" s="255" t="str">
        <f>IF(OverzichtExtraW[[#This Row],[Code Taak]],VLOOKUP(OverzichtExtraW[[#This Row],[Code Taak]],InvulExtraW[[#All],[Code Taak]:[Werkzaamheden]],2,FALSE),"")</f>
        <v>Fietsenkelder ragen</v>
      </c>
      <c r="E17" s="55"/>
      <c r="F17" s="256">
        <v>2</v>
      </c>
      <c r="G17" s="247">
        <f>$C$10*OverzichtExtraW[[#This Row],[aantal uur per keer/meter]]*OverzichtExtraW[[#This Row],[Frequentie (uitv./jaar)]]</f>
        <v>0</v>
      </c>
      <c r="H17" s="243"/>
    </row>
    <row r="18" spans="1:8" ht="15" customHeight="1">
      <c r="A18" s="243">
        <v>1</v>
      </c>
      <c r="B18" s="244" t="str">
        <f>VLOOKUP(OverzichtExtraW[[#This Row],[Code Locatie]],Locaties[[Code]:[Locatie]],2,0)</f>
        <v>IJburg College</v>
      </c>
      <c r="C18" s="243">
        <v>3</v>
      </c>
      <c r="D18" s="255" t="str">
        <f>IF(OverzichtExtraW[[#This Row],[Code Taak]],VLOOKUP(OverzichtExtraW[[#This Row],[Code Taak]],InvulExtraW[[#All],[Code Taak]:[Werkzaamheden]],2,FALSE),"")</f>
        <v>Binnen en buiten zetten van de containers</v>
      </c>
      <c r="E18" s="55"/>
      <c r="F18" s="256">
        <v>40</v>
      </c>
      <c r="G18" s="257">
        <f>$C$11*OverzichtExtraW[[#This Row],[aantal uur per keer/meter]]*OverzichtExtraW[[#This Row],[Frequentie (uitv./jaar)]]</f>
        <v>0</v>
      </c>
      <c r="H18" s="245"/>
    </row>
    <row r="19" spans="1:8" ht="15" customHeight="1">
      <c r="A19" s="243">
        <v>1</v>
      </c>
      <c r="B19" s="244" t="str">
        <f>VLOOKUP(OverzichtExtraW[[#This Row],[Code Locatie]],Locaties[[Code]:[Locatie]],2,0)</f>
        <v>IJburg College</v>
      </c>
      <c r="C19" s="243">
        <v>4</v>
      </c>
      <c r="D19" s="255" t="str">
        <f>IF(OverzichtExtraW[[#This Row],[Code Taak]],VLOOKUP(OverzichtExtraW[[#This Row],[Code Taak]],InvulExtraW[[#All],[Code Taak]:[Werkzaamheden]],2,FALSE),"")</f>
        <v>Reinigen binnenzijde kasten</v>
      </c>
      <c r="E19" s="55"/>
      <c r="F19" s="256">
        <v>25</v>
      </c>
      <c r="G19" s="257">
        <f>C12*OverzichtExtraW[[#This Row],[aantal uur per keer/meter]]*OverzichtExtraW[[#This Row],[Frequentie (uitv./jaar)]]</f>
        <v>0</v>
      </c>
      <c r="H19" s="245"/>
    </row>
    <row r="20" spans="1:8" ht="15" customHeight="1">
      <c r="A20" s="243">
        <v>1</v>
      </c>
      <c r="B20" s="244" t="str">
        <f>VLOOKUP(OverzichtExtraW[[#This Row],[Code Locatie]],Locaties[[Code]:[Locatie]],2,0)</f>
        <v>IJburg College</v>
      </c>
      <c r="C20" s="243">
        <v>5</v>
      </c>
      <c r="D20" s="255" t="str">
        <f>IF(OverzichtExtraW[[#This Row],[Code Taak]],VLOOKUP(OverzichtExtraW[[#This Row],[Code Taak]],InvulExtraW[[#All],[Code Taak]:[Werkzaamheden]],2,FALSE),"")</f>
        <v>Dieptereiniging afzuigkappen binnenzijde</v>
      </c>
      <c r="E20" s="55"/>
      <c r="F20" s="256">
        <v>3</v>
      </c>
      <c r="G20" s="257">
        <f>C13*OverzichtExtraW[[#This Row],[aantal uur per keer/meter]]*OverzichtExtraW[[#This Row],[Frequentie (uitv./jaar)]]</f>
        <v>0</v>
      </c>
      <c r="H20" s="245"/>
    </row>
    <row r="21" spans="1:8" ht="15" customHeight="1">
      <c r="A21" s="158"/>
      <c r="B21" s="159" t="s">
        <v>33</v>
      </c>
      <c r="C21" s="158"/>
      <c r="D21" s="160"/>
      <c r="E21" s="158"/>
      <c r="F21" s="158"/>
      <c r="G21" s="162">
        <f>SUBTOTAL(109,OverzichtExtraW[Kosten/jaar excl. BTW])</f>
        <v>0</v>
      </c>
      <c r="H21" s="226"/>
    </row>
    <row r="22" spans="1:8" ht="15" customHeight="1">
      <c r="A22" s="37"/>
      <c r="C22" s="35"/>
      <c r="D22" s="35"/>
      <c r="E22" s="35"/>
      <c r="F22" s="149"/>
      <c r="G22" s="251"/>
      <c r="H22" s="249"/>
    </row>
    <row r="23" spans="1:8" ht="15" customHeight="1"/>
    <row r="24" spans="1:8" ht="15" customHeight="1"/>
    <row r="25" spans="1:8" ht="15" customHeight="1"/>
    <row r="26" spans="1:8" ht="15" customHeight="1"/>
    <row r="27" spans="1:8" ht="15" customHeight="1"/>
    <row r="28" spans="1:8" ht="15" customHeight="1"/>
    <row r="29" spans="1:8" ht="15" customHeight="1"/>
    <row r="30" spans="1:8" ht="15" customHeight="1"/>
    <row r="31" spans="1:8" ht="15" customHeight="1"/>
    <row r="32" spans="1: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3.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</sheetData>
  <mergeCells count="3">
    <mergeCell ref="A1:H1"/>
    <mergeCell ref="A2:H2"/>
    <mergeCell ref="E7:I7"/>
  </mergeCells>
  <pageMargins left="0.7" right="0.7" top="0.75" bottom="0.75" header="0.3" footer="0.3"/>
  <pageSetup paperSize="9" scale="66" orientation="landscape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A1:I84"/>
  <sheetViews>
    <sheetView view="pageBreakPreview" zoomScaleNormal="100" zoomScaleSheetLayoutView="100" workbookViewId="0">
      <selection sqref="A1:I1"/>
    </sheetView>
  </sheetViews>
  <sheetFormatPr defaultColWidth="9.140625" defaultRowHeight="18.75" customHeight="1"/>
  <cols>
    <col min="1" max="1" width="9.140625" style="70"/>
    <col min="2" max="2" width="80.42578125" style="2" customWidth="1"/>
    <col min="3" max="3" width="23.42578125" style="2" customWidth="1"/>
    <col min="4" max="4" width="15.140625" style="2" customWidth="1"/>
    <col min="5" max="9" width="17.7109375" style="2" bestFit="1" customWidth="1"/>
    <col min="10" max="16384" width="9.140625" style="2"/>
  </cols>
  <sheetData>
    <row r="1" spans="1:9" s="9" customFormat="1" ht="18.75" customHeight="1">
      <c r="A1" s="325" t="s">
        <v>181</v>
      </c>
      <c r="B1" s="325"/>
      <c r="C1" s="325"/>
      <c r="D1" s="325"/>
      <c r="E1" s="325"/>
      <c r="F1" s="325"/>
      <c r="G1" s="325"/>
      <c r="H1" s="325"/>
      <c r="I1" s="325"/>
    </row>
    <row r="2" spans="1:9" s="9" customFormat="1" ht="13.5" customHeight="1">
      <c r="A2" s="326" t="s">
        <v>215</v>
      </c>
      <c r="B2" s="311"/>
      <c r="C2" s="311"/>
      <c r="D2" s="311"/>
      <c r="E2" s="311"/>
      <c r="F2" s="311"/>
      <c r="G2" s="311"/>
      <c r="H2" s="311"/>
      <c r="I2" s="327"/>
    </row>
    <row r="3" spans="1:9" s="78" customFormat="1" ht="8.25" customHeight="1">
      <c r="A3" s="77"/>
    </row>
    <row r="4" spans="1:9" s="78" customFormat="1" ht="15" customHeight="1">
      <c r="A4" s="78" t="s">
        <v>180</v>
      </c>
    </row>
    <row r="5" spans="1:9" s="78" customFormat="1" ht="15" customHeight="1">
      <c r="A5" s="78" t="s">
        <v>182</v>
      </c>
    </row>
    <row r="6" spans="1:9" s="78" customFormat="1" ht="15" customHeight="1">
      <c r="A6" s="78" t="s">
        <v>228</v>
      </c>
    </row>
    <row r="7" spans="1:9" s="78" customFormat="1" ht="18.75" customHeight="1">
      <c r="A7" s="77"/>
      <c r="E7" s="324" t="s">
        <v>400</v>
      </c>
      <c r="F7" s="324"/>
      <c r="G7" s="324"/>
      <c r="H7" s="324"/>
      <c r="I7" s="324"/>
    </row>
    <row r="8" spans="1:9" s="31" customFormat="1" ht="26.25" customHeight="1">
      <c r="A8" s="75"/>
      <c r="B8" s="74" t="s">
        <v>183</v>
      </c>
      <c r="C8" s="74" t="s">
        <v>151</v>
      </c>
      <c r="D8" s="33" t="s">
        <v>179</v>
      </c>
      <c r="E8" s="67">
        <v>2023</v>
      </c>
      <c r="F8" s="67">
        <v>2024</v>
      </c>
      <c r="G8" s="67">
        <v>2025</v>
      </c>
      <c r="H8" s="67">
        <v>2026</v>
      </c>
      <c r="I8" s="67">
        <v>2027</v>
      </c>
    </row>
    <row r="9" spans="1:9" ht="18.75" customHeight="1">
      <c r="A9" s="328" t="s">
        <v>197</v>
      </c>
      <c r="B9" s="74" t="s">
        <v>185</v>
      </c>
      <c r="C9" s="74" t="s">
        <v>184</v>
      </c>
      <c r="D9" s="76">
        <v>0</v>
      </c>
      <c r="E9" s="213" t="e">
        <f>InvulRegie[[#This Row],[Prijs excl. BTW]]*Tariefsopbouw!$I$37+InvulRegie[[#This Row],[Prijs excl. BTW]]</f>
        <v>#DIV/0!</v>
      </c>
      <c r="F9" s="213" t="e">
        <f>E9*Tariefsopbouw!$K$37+'Regie en afroep'!E9</f>
        <v>#DIV/0!</v>
      </c>
      <c r="G9" s="213" t="e">
        <f>F9*Tariefsopbouw!$M$37+'Regie en afroep'!F9</f>
        <v>#DIV/0!</v>
      </c>
      <c r="H9" s="213" t="e">
        <f>G9*Tariefsopbouw!$O$37+'Regie en afroep'!G9</f>
        <v>#DIV/0!</v>
      </c>
      <c r="I9" s="213" t="e">
        <f>H9*Tariefsopbouw!$Q$37+H9</f>
        <v>#DIV/0!</v>
      </c>
    </row>
    <row r="10" spans="1:9" ht="18.75" customHeight="1">
      <c r="A10" s="329"/>
      <c r="B10" s="74" t="s">
        <v>186</v>
      </c>
      <c r="C10" s="74" t="s">
        <v>184</v>
      </c>
      <c r="D10" s="76">
        <v>0</v>
      </c>
      <c r="E10" s="214" t="e">
        <f>InvulRegie[[#This Row],[Prijs excl. BTW]]*Tariefsopbouw!$I$37+InvulRegie[[#This Row],[Prijs excl. BTW]]</f>
        <v>#DIV/0!</v>
      </c>
      <c r="F10" s="214" t="e">
        <f>E10*Tariefsopbouw!$K$37+'Regie en afroep'!E10</f>
        <v>#DIV/0!</v>
      </c>
      <c r="G10" s="214" t="e">
        <f>F10*Tariefsopbouw!$M$37+'Regie en afroep'!F10</f>
        <v>#DIV/0!</v>
      </c>
      <c r="H10" s="214" t="e">
        <f>G10*Tariefsopbouw!$O$37+'Regie en afroep'!G10</f>
        <v>#DIV/0!</v>
      </c>
      <c r="I10" s="214" t="e">
        <f>H10*Tariefsopbouw!$Q$37+H10</f>
        <v>#DIV/0!</v>
      </c>
    </row>
    <row r="11" spans="1:9" ht="18.75" customHeight="1">
      <c r="A11" s="329"/>
      <c r="B11" s="73" t="s">
        <v>187</v>
      </c>
      <c r="C11" s="74" t="s">
        <v>184</v>
      </c>
      <c r="D11" s="76">
        <v>0</v>
      </c>
      <c r="E11" s="214" t="e">
        <f>InvulRegie[[#This Row],[Prijs excl. BTW]]*Tariefsopbouw!$I$37+InvulRegie[[#This Row],[Prijs excl. BTW]]</f>
        <v>#DIV/0!</v>
      </c>
      <c r="F11" s="214" t="e">
        <f>E11*Tariefsopbouw!$K$37+'Regie en afroep'!E11</f>
        <v>#DIV/0!</v>
      </c>
      <c r="G11" s="214" t="e">
        <f>F11*Tariefsopbouw!$M$37+'Regie en afroep'!F11</f>
        <v>#DIV/0!</v>
      </c>
      <c r="H11" s="214" t="e">
        <f>G11*Tariefsopbouw!$O$37+'Regie en afroep'!G11</f>
        <v>#DIV/0!</v>
      </c>
      <c r="I11" s="214" t="e">
        <f>H11*Tariefsopbouw!$Q$37+H11</f>
        <v>#DIV/0!</v>
      </c>
    </row>
    <row r="12" spans="1:9" ht="18.75" customHeight="1">
      <c r="A12" s="329"/>
      <c r="B12" s="73" t="s">
        <v>204</v>
      </c>
      <c r="C12" s="74" t="s">
        <v>184</v>
      </c>
      <c r="D12" s="76">
        <v>0</v>
      </c>
      <c r="E12" s="215" t="e">
        <f>InvulRegie[[#This Row],[Prijs excl. BTW]]*Tariefsopbouw!$I$37+InvulRegie[[#This Row],[Prijs excl. BTW]]</f>
        <v>#DIV/0!</v>
      </c>
      <c r="F12" s="215" t="e">
        <f>E12*Tariefsopbouw!$K$37+'Regie en afroep'!E12</f>
        <v>#DIV/0!</v>
      </c>
      <c r="G12" s="215" t="e">
        <f>F12*Tariefsopbouw!$M$37+'Regie en afroep'!F12</f>
        <v>#DIV/0!</v>
      </c>
      <c r="H12" s="215" t="e">
        <f>G12*Tariefsopbouw!$O$37+'Regie en afroep'!G12</f>
        <v>#DIV/0!</v>
      </c>
      <c r="I12" s="215" t="e">
        <f>H12*Tariefsopbouw!$Q$37+H12</f>
        <v>#DIV/0!</v>
      </c>
    </row>
    <row r="13" spans="1:9" ht="18.75" customHeight="1">
      <c r="A13" s="330"/>
      <c r="B13" s="74" t="s">
        <v>193</v>
      </c>
      <c r="C13" s="74" t="s">
        <v>184</v>
      </c>
      <c r="D13" s="76">
        <v>0</v>
      </c>
      <c r="E13" s="214" t="e">
        <f>InvulRegie[[#This Row],[Prijs excl. BTW]]*Tariefsopbouw!$I$37+InvulRegie[[#This Row],[Prijs excl. BTW]]</f>
        <v>#DIV/0!</v>
      </c>
      <c r="F13" s="214" t="e">
        <f>E13*Tariefsopbouw!$K$37+'Regie en afroep'!E13</f>
        <v>#DIV/0!</v>
      </c>
      <c r="G13" s="214" t="e">
        <f>F13*Tariefsopbouw!$M$37+'Regie en afroep'!F13</f>
        <v>#DIV/0!</v>
      </c>
      <c r="H13" s="214" t="e">
        <f>G13*Tariefsopbouw!$O$37+'Regie en afroep'!G13</f>
        <v>#DIV/0!</v>
      </c>
      <c r="I13" s="214" t="e">
        <f>H13*Tariefsopbouw!$Q$37+H13</f>
        <v>#DIV/0!</v>
      </c>
    </row>
    <row r="14" spans="1:9" ht="18.75" customHeight="1">
      <c r="A14" s="328" t="s">
        <v>130</v>
      </c>
      <c r="B14" s="74" t="s">
        <v>42</v>
      </c>
      <c r="C14" s="74" t="s">
        <v>43</v>
      </c>
      <c r="D14" s="76">
        <v>0</v>
      </c>
      <c r="E14" s="215" t="e">
        <f>InvulRegie[[#This Row],[Prijs excl. BTW]]*Tariefsopbouw!$I$37+InvulRegie[[#This Row],[Prijs excl. BTW]]</f>
        <v>#DIV/0!</v>
      </c>
      <c r="F14" s="215" t="e">
        <f>E14*Tariefsopbouw!$K$37+'Regie en afroep'!E14</f>
        <v>#DIV/0!</v>
      </c>
      <c r="G14" s="215" t="e">
        <f>F14*Tariefsopbouw!$M$37+'Regie en afroep'!F14</f>
        <v>#DIV/0!</v>
      </c>
      <c r="H14" s="215" t="e">
        <f>G14*Tariefsopbouw!$O$37+'Regie en afroep'!G14</f>
        <v>#DIV/0!</v>
      </c>
      <c r="I14" s="215" t="e">
        <f>H14*Tariefsopbouw!$Q$37+H14</f>
        <v>#DIV/0!</v>
      </c>
    </row>
    <row r="15" spans="1:9" ht="18.75" customHeight="1">
      <c r="A15" s="329"/>
      <c r="B15" s="74" t="s">
        <v>44</v>
      </c>
      <c r="C15" s="74" t="s">
        <v>188</v>
      </c>
      <c r="D15" s="76">
        <v>0</v>
      </c>
      <c r="E15" s="214" t="e">
        <f>InvulRegie[[#This Row],[Prijs excl. BTW]]*Tariefsopbouw!$I$37+InvulRegie[[#This Row],[Prijs excl. BTW]]</f>
        <v>#DIV/0!</v>
      </c>
      <c r="F15" s="214" t="e">
        <f>E15*Tariefsopbouw!$K$37+'Regie en afroep'!E15</f>
        <v>#DIV/0!</v>
      </c>
      <c r="G15" s="214" t="e">
        <f>F15*Tariefsopbouw!$M$37+'Regie en afroep'!F15</f>
        <v>#DIV/0!</v>
      </c>
      <c r="H15" s="214" t="e">
        <f>G15*Tariefsopbouw!$O$37+'Regie en afroep'!G15</f>
        <v>#DIV/0!</v>
      </c>
      <c r="I15" s="214" t="e">
        <f>H15*Tariefsopbouw!$Q$37+H15</f>
        <v>#DIV/0!</v>
      </c>
    </row>
    <row r="16" spans="1:9" ht="18.75" customHeight="1">
      <c r="A16" s="329"/>
      <c r="B16" s="74" t="s">
        <v>189</v>
      </c>
      <c r="C16" s="74" t="s">
        <v>188</v>
      </c>
      <c r="D16" s="76">
        <v>0</v>
      </c>
      <c r="E16" s="215" t="e">
        <f>InvulRegie[[#This Row],[Prijs excl. BTW]]*Tariefsopbouw!$I$37+InvulRegie[[#This Row],[Prijs excl. BTW]]</f>
        <v>#DIV/0!</v>
      </c>
      <c r="F16" s="215" t="e">
        <f>E16*Tariefsopbouw!$K$37+'Regie en afroep'!E16</f>
        <v>#DIV/0!</v>
      </c>
      <c r="G16" s="215" t="e">
        <f>F16*Tariefsopbouw!$M$37+'Regie en afroep'!F16</f>
        <v>#DIV/0!</v>
      </c>
      <c r="H16" s="215" t="e">
        <f>G16*Tariefsopbouw!$O$37+'Regie en afroep'!G16</f>
        <v>#DIV/0!</v>
      </c>
      <c r="I16" s="215" t="e">
        <f>H16*Tariefsopbouw!$Q$37+H16</f>
        <v>#DIV/0!</v>
      </c>
    </row>
    <row r="17" spans="1:9" ht="18.75" customHeight="1">
      <c r="A17" s="329"/>
      <c r="B17" s="74" t="s">
        <v>190</v>
      </c>
      <c r="C17" s="74" t="s">
        <v>45</v>
      </c>
      <c r="D17" s="76">
        <v>0</v>
      </c>
      <c r="E17" s="214" t="e">
        <f>InvulRegie[[#This Row],[Prijs excl. BTW]]*Tariefsopbouw!$I$37+InvulRegie[[#This Row],[Prijs excl. BTW]]</f>
        <v>#DIV/0!</v>
      </c>
      <c r="F17" s="214" t="e">
        <f>E17*Tariefsopbouw!$K$37+'Regie en afroep'!E17</f>
        <v>#DIV/0!</v>
      </c>
      <c r="G17" s="214" t="e">
        <f>F17*Tariefsopbouw!$M$37+'Regie en afroep'!F17</f>
        <v>#DIV/0!</v>
      </c>
      <c r="H17" s="214" t="e">
        <f>G17*Tariefsopbouw!$O$37+'Regie en afroep'!G17</f>
        <v>#DIV/0!</v>
      </c>
      <c r="I17" s="214" t="e">
        <f>H17*Tariefsopbouw!$Q$37+H17</f>
        <v>#DIV/0!</v>
      </c>
    </row>
    <row r="18" spans="1:9" ht="18.75" customHeight="1">
      <c r="A18" s="329"/>
      <c r="B18" s="74" t="s">
        <v>249</v>
      </c>
      <c r="C18" s="74" t="s">
        <v>45</v>
      </c>
      <c r="D18" s="76">
        <v>0</v>
      </c>
      <c r="E18" s="215" t="e">
        <f>InvulRegie[[#This Row],[Prijs excl. BTW]]*Tariefsopbouw!$I$37+InvulRegie[[#This Row],[Prijs excl. BTW]]</f>
        <v>#DIV/0!</v>
      </c>
      <c r="F18" s="215" t="e">
        <f>E18*Tariefsopbouw!$K$37+'Regie en afroep'!E18</f>
        <v>#DIV/0!</v>
      </c>
      <c r="G18" s="215" t="e">
        <f>F18*Tariefsopbouw!$M$37+'Regie en afroep'!F18</f>
        <v>#DIV/0!</v>
      </c>
      <c r="H18" s="215" t="e">
        <f>G18*Tariefsopbouw!$O$37+'Regie en afroep'!G18</f>
        <v>#DIV/0!</v>
      </c>
      <c r="I18" s="215" t="e">
        <f>H18*Tariefsopbouw!$Q$37+H18</f>
        <v>#DIV/0!</v>
      </c>
    </row>
    <row r="19" spans="1:9" ht="18.75" customHeight="1">
      <c r="A19" s="329"/>
      <c r="B19" s="74" t="s">
        <v>191</v>
      </c>
      <c r="C19" s="74" t="s">
        <v>45</v>
      </c>
      <c r="D19" s="76">
        <v>0</v>
      </c>
      <c r="E19" s="214" t="e">
        <f>InvulRegie[[#This Row],[Prijs excl. BTW]]*Tariefsopbouw!$I$37+InvulRegie[[#This Row],[Prijs excl. BTW]]</f>
        <v>#DIV/0!</v>
      </c>
      <c r="F19" s="214" t="e">
        <f>E19*Tariefsopbouw!$K$37+'Regie en afroep'!E19</f>
        <v>#DIV/0!</v>
      </c>
      <c r="G19" s="214" t="e">
        <f>F19*Tariefsopbouw!$M$37+'Regie en afroep'!F19</f>
        <v>#DIV/0!</v>
      </c>
      <c r="H19" s="214" t="e">
        <f>G19*Tariefsopbouw!$O$37+'Regie en afroep'!G19</f>
        <v>#DIV/0!</v>
      </c>
      <c r="I19" s="214" t="e">
        <f>H19*Tariefsopbouw!$Q$37+H19</f>
        <v>#DIV/0!</v>
      </c>
    </row>
    <row r="20" spans="1:9" ht="18.75" customHeight="1">
      <c r="A20" s="330"/>
      <c r="B20" s="74" t="s">
        <v>192</v>
      </c>
      <c r="C20" s="74" t="s">
        <v>45</v>
      </c>
      <c r="D20" s="76">
        <v>0</v>
      </c>
      <c r="E20" s="215" t="e">
        <f>InvulRegie[[#This Row],[Prijs excl. BTW]]*Tariefsopbouw!$I$37+InvulRegie[[#This Row],[Prijs excl. BTW]]</f>
        <v>#DIV/0!</v>
      </c>
      <c r="F20" s="215" t="e">
        <f>E20*Tariefsopbouw!$K$37+'Regie en afroep'!E20</f>
        <v>#DIV/0!</v>
      </c>
      <c r="G20" s="215" t="e">
        <f>F20*Tariefsopbouw!$M$37+'Regie en afroep'!F20</f>
        <v>#DIV/0!</v>
      </c>
      <c r="H20" s="215" t="e">
        <f>G20*Tariefsopbouw!$O$37+'Regie en afroep'!G20</f>
        <v>#DIV/0!</v>
      </c>
      <c r="I20" s="215" t="e">
        <f>H20*Tariefsopbouw!$Q$37+H20</f>
        <v>#DIV/0!</v>
      </c>
    </row>
    <row r="21" spans="1:9" ht="18.75" customHeight="1">
      <c r="A21" s="328" t="s">
        <v>194</v>
      </c>
      <c r="B21" s="74" t="s">
        <v>58</v>
      </c>
      <c r="C21" s="74" t="s">
        <v>50</v>
      </c>
      <c r="D21" s="76">
        <v>0</v>
      </c>
      <c r="E21" s="214" t="e">
        <f>InvulRegie[[#This Row],[Prijs excl. BTW]]*Tariefsopbouw!$I$37+InvulRegie[[#This Row],[Prijs excl. BTW]]</f>
        <v>#DIV/0!</v>
      </c>
      <c r="F21" s="214" t="e">
        <f>E21*Tariefsopbouw!$K$37+'Regie en afroep'!E21</f>
        <v>#DIV/0!</v>
      </c>
      <c r="G21" s="214" t="e">
        <f>F21*Tariefsopbouw!$M$37+'Regie en afroep'!F21</f>
        <v>#DIV/0!</v>
      </c>
      <c r="H21" s="214" t="e">
        <f>G21*Tariefsopbouw!$O$37+'Regie en afroep'!G21</f>
        <v>#DIV/0!</v>
      </c>
      <c r="I21" s="214" t="e">
        <f>H21*Tariefsopbouw!$Q$37+H21</f>
        <v>#DIV/0!</v>
      </c>
    </row>
    <row r="22" spans="1:9" ht="18.75" customHeight="1">
      <c r="A22" s="330"/>
      <c r="B22" s="74" t="s">
        <v>46</v>
      </c>
      <c r="C22" s="74" t="s">
        <v>74</v>
      </c>
      <c r="D22" s="76">
        <v>0</v>
      </c>
      <c r="E22" s="215" t="e">
        <f>InvulRegie[[#This Row],[Prijs excl. BTW]]*Tariefsopbouw!$I$37+InvulRegie[[#This Row],[Prijs excl. BTW]]</f>
        <v>#DIV/0!</v>
      </c>
      <c r="F22" s="215" t="e">
        <f>E22*Tariefsopbouw!$K$37+'Regie en afroep'!E22</f>
        <v>#DIV/0!</v>
      </c>
      <c r="G22" s="215" t="e">
        <f>F22*Tariefsopbouw!$M$37+'Regie en afroep'!F22</f>
        <v>#DIV/0!</v>
      </c>
      <c r="H22" s="215" t="e">
        <f>G22*Tariefsopbouw!$O$37+'Regie en afroep'!G22</f>
        <v>#DIV/0!</v>
      </c>
      <c r="I22" s="215" t="e">
        <f>H22*Tariefsopbouw!$Q$37+H22</f>
        <v>#DIV/0!</v>
      </c>
    </row>
    <row r="23" spans="1:9" ht="18.75" customHeight="1">
      <c r="A23" s="331" t="s">
        <v>205</v>
      </c>
      <c r="B23" s="74" t="s">
        <v>195</v>
      </c>
      <c r="C23" s="74" t="s">
        <v>196</v>
      </c>
      <c r="D23" s="76">
        <v>0</v>
      </c>
      <c r="E23" s="214" t="e">
        <f>InvulRegie[[#This Row],[Prijs excl. BTW]]*Tariefsopbouw!$I$37+InvulRegie[[#This Row],[Prijs excl. BTW]]</f>
        <v>#DIV/0!</v>
      </c>
      <c r="F23" s="214" t="e">
        <f>E23*Tariefsopbouw!$K$37+'Regie en afroep'!E23</f>
        <v>#DIV/0!</v>
      </c>
      <c r="G23" s="214" t="e">
        <f>F23*Tariefsopbouw!$M$37+'Regie en afroep'!F23</f>
        <v>#DIV/0!</v>
      </c>
      <c r="H23" s="214" t="e">
        <f>G23*Tariefsopbouw!$O$37+'Regie en afroep'!G23</f>
        <v>#DIV/0!</v>
      </c>
      <c r="I23" s="214" t="e">
        <f>H23*Tariefsopbouw!$Q$37+H23</f>
        <v>#DIV/0!</v>
      </c>
    </row>
    <row r="24" spans="1:9" ht="18.75" customHeight="1">
      <c r="A24" s="332"/>
      <c r="B24" s="74" t="s">
        <v>242</v>
      </c>
      <c r="C24" s="74" t="s">
        <v>196</v>
      </c>
      <c r="D24" s="76">
        <v>0</v>
      </c>
      <c r="E24" s="215" t="e">
        <f>InvulRegie[[#This Row],[Prijs excl. BTW]]*Tariefsopbouw!$I$37+InvulRegie[[#This Row],[Prijs excl. BTW]]</f>
        <v>#DIV/0!</v>
      </c>
      <c r="F24" s="215" t="e">
        <f>E24*Tariefsopbouw!$K$37+'Regie en afroep'!E24</f>
        <v>#DIV/0!</v>
      </c>
      <c r="G24" s="215" t="e">
        <f>F24*Tariefsopbouw!$M$37+'Regie en afroep'!F24</f>
        <v>#DIV/0!</v>
      </c>
      <c r="H24" s="215" t="e">
        <f>G24*Tariefsopbouw!$O$37+'Regie en afroep'!G24</f>
        <v>#DIV/0!</v>
      </c>
      <c r="I24" s="215" t="e">
        <f>H24*Tariefsopbouw!$Q$37+H24</f>
        <v>#DIV/0!</v>
      </c>
    </row>
    <row r="25" spans="1:9" ht="18.75" customHeight="1">
      <c r="A25" s="332"/>
      <c r="B25" s="74" t="s">
        <v>244</v>
      </c>
      <c r="C25" s="74" t="s">
        <v>196</v>
      </c>
      <c r="D25" s="76">
        <v>0</v>
      </c>
      <c r="E25" s="214" t="e">
        <f>InvulRegie[[#This Row],[Prijs excl. BTW]]*Tariefsopbouw!$I$37+InvulRegie[[#This Row],[Prijs excl. BTW]]</f>
        <v>#DIV/0!</v>
      </c>
      <c r="F25" s="214" t="e">
        <f>E25*Tariefsopbouw!$K$37+'Regie en afroep'!E25</f>
        <v>#DIV/0!</v>
      </c>
      <c r="G25" s="214" t="e">
        <f>F25*Tariefsopbouw!$M$37+'Regie en afroep'!F25</f>
        <v>#DIV/0!</v>
      </c>
      <c r="H25" s="214" t="e">
        <f>G25*Tariefsopbouw!$O$37+'Regie en afroep'!G25</f>
        <v>#DIV/0!</v>
      </c>
      <c r="I25" s="214" t="e">
        <f>H25*Tariefsopbouw!$Q$37+H25</f>
        <v>#DIV/0!</v>
      </c>
    </row>
    <row r="26" spans="1:9" ht="18.75" customHeight="1">
      <c r="A26" s="332"/>
      <c r="B26" s="74" t="s">
        <v>243</v>
      </c>
      <c r="C26" s="74" t="s">
        <v>196</v>
      </c>
      <c r="D26" s="76">
        <v>0</v>
      </c>
      <c r="E26" s="215" t="e">
        <f>InvulRegie[[#This Row],[Prijs excl. BTW]]*Tariefsopbouw!$I$37+InvulRegie[[#This Row],[Prijs excl. BTW]]</f>
        <v>#DIV/0!</v>
      </c>
      <c r="F26" s="215" t="e">
        <f>E26*Tariefsopbouw!$K$37+'Regie en afroep'!E26</f>
        <v>#DIV/0!</v>
      </c>
      <c r="G26" s="215" t="e">
        <f>F26*Tariefsopbouw!$M$37+'Regie en afroep'!F26</f>
        <v>#DIV/0!</v>
      </c>
      <c r="H26" s="215" t="e">
        <f>G26*Tariefsopbouw!$O$37+'Regie en afroep'!G26</f>
        <v>#DIV/0!</v>
      </c>
      <c r="I26" s="215" t="e">
        <f>H26*Tariefsopbouw!$Q$37+H26</f>
        <v>#DIV/0!</v>
      </c>
    </row>
    <row r="27" spans="1:9" ht="18.75" customHeight="1">
      <c r="A27" s="333"/>
      <c r="B27" s="74" t="s">
        <v>49</v>
      </c>
      <c r="C27" s="74" t="s">
        <v>196</v>
      </c>
      <c r="D27" s="76">
        <v>0</v>
      </c>
      <c r="E27" s="214" t="e">
        <f>InvulRegie[[#This Row],[Prijs excl. BTW]]*Tariefsopbouw!$I$37+InvulRegie[[#This Row],[Prijs excl. BTW]]</f>
        <v>#DIV/0!</v>
      </c>
      <c r="F27" s="214" t="e">
        <f>E27*Tariefsopbouw!$K$37+'Regie en afroep'!E27</f>
        <v>#DIV/0!</v>
      </c>
      <c r="G27" s="214" t="e">
        <f>F27*Tariefsopbouw!$M$37+'Regie en afroep'!F27</f>
        <v>#DIV/0!</v>
      </c>
      <c r="H27" s="214" t="e">
        <f>G27*Tariefsopbouw!$O$37+'Regie en afroep'!G27</f>
        <v>#DIV/0!</v>
      </c>
      <c r="I27" s="214" t="e">
        <f>H27*Tariefsopbouw!$Q$37+H27</f>
        <v>#DIV/0!</v>
      </c>
    </row>
    <row r="28" spans="1:9" ht="18.75" customHeight="1">
      <c r="A28" s="328" t="s">
        <v>200</v>
      </c>
      <c r="B28" s="74" t="s">
        <v>51</v>
      </c>
      <c r="C28" s="74" t="s">
        <v>50</v>
      </c>
      <c r="D28" s="76">
        <v>0</v>
      </c>
      <c r="E28" s="215" t="e">
        <f>InvulRegie[[#This Row],[Prijs excl. BTW]]*Tariefsopbouw!$I$37+InvulRegie[[#This Row],[Prijs excl. BTW]]</f>
        <v>#DIV/0!</v>
      </c>
      <c r="F28" s="215" t="e">
        <f>E28*Tariefsopbouw!$K$37+'Regie en afroep'!E28</f>
        <v>#DIV/0!</v>
      </c>
      <c r="G28" s="215" t="e">
        <f>F28*Tariefsopbouw!$M$37+'Regie en afroep'!F28</f>
        <v>#DIV/0!</v>
      </c>
      <c r="H28" s="215" t="e">
        <f>G28*Tariefsopbouw!$O$37+'Regie en afroep'!G28</f>
        <v>#DIV/0!</v>
      </c>
      <c r="I28" s="215" t="e">
        <f>H28*Tariefsopbouw!$Q$37+H28</f>
        <v>#DIV/0!</v>
      </c>
    </row>
    <row r="29" spans="1:9" ht="18.75" customHeight="1">
      <c r="A29" s="329"/>
      <c r="B29" s="74" t="s">
        <v>52</v>
      </c>
      <c r="C29" s="74" t="s">
        <v>50</v>
      </c>
      <c r="D29" s="76">
        <v>0</v>
      </c>
      <c r="E29" s="214" t="e">
        <f>InvulRegie[[#This Row],[Prijs excl. BTW]]*Tariefsopbouw!$I$37+InvulRegie[[#This Row],[Prijs excl. BTW]]</f>
        <v>#DIV/0!</v>
      </c>
      <c r="F29" s="214" t="e">
        <f>E29*Tariefsopbouw!$K$37+'Regie en afroep'!E29</f>
        <v>#DIV/0!</v>
      </c>
      <c r="G29" s="214" t="e">
        <f>F29*Tariefsopbouw!$M$37+'Regie en afroep'!F29</f>
        <v>#DIV/0!</v>
      </c>
      <c r="H29" s="214" t="e">
        <f>G29*Tariefsopbouw!$O$37+'Regie en afroep'!G29</f>
        <v>#DIV/0!</v>
      </c>
      <c r="I29" s="214" t="e">
        <f>H29*Tariefsopbouw!$Q$37+H29</f>
        <v>#DIV/0!</v>
      </c>
    </row>
    <row r="30" spans="1:9" ht="18.75" customHeight="1">
      <c r="A30" s="329"/>
      <c r="B30" s="74" t="s">
        <v>53</v>
      </c>
      <c r="C30" s="74" t="s">
        <v>50</v>
      </c>
      <c r="D30" s="76">
        <v>0</v>
      </c>
      <c r="E30" s="215" t="e">
        <f>InvulRegie[[#This Row],[Prijs excl. BTW]]*Tariefsopbouw!$I$37+InvulRegie[[#This Row],[Prijs excl. BTW]]</f>
        <v>#DIV/0!</v>
      </c>
      <c r="F30" s="215" t="e">
        <f>E30*Tariefsopbouw!$K$37+'Regie en afroep'!E30</f>
        <v>#DIV/0!</v>
      </c>
      <c r="G30" s="215" t="e">
        <f>F30*Tariefsopbouw!$M$37+'Regie en afroep'!F30</f>
        <v>#DIV/0!</v>
      </c>
      <c r="H30" s="215" t="e">
        <f>G30*Tariefsopbouw!$O$37+'Regie en afroep'!G30</f>
        <v>#DIV/0!</v>
      </c>
      <c r="I30" s="215" t="e">
        <f>H30*Tariefsopbouw!$Q$37+H30</f>
        <v>#DIV/0!</v>
      </c>
    </row>
    <row r="31" spans="1:9" ht="18.75" customHeight="1">
      <c r="A31" s="329"/>
      <c r="B31" s="74" t="s">
        <v>54</v>
      </c>
      <c r="C31" s="74" t="s">
        <v>50</v>
      </c>
      <c r="D31" s="76">
        <v>0</v>
      </c>
      <c r="E31" s="214" t="e">
        <f>InvulRegie[[#This Row],[Prijs excl. BTW]]*Tariefsopbouw!$I$37+InvulRegie[[#This Row],[Prijs excl. BTW]]</f>
        <v>#DIV/0!</v>
      </c>
      <c r="F31" s="214" t="e">
        <f>E31*Tariefsopbouw!$K$37+'Regie en afroep'!E31</f>
        <v>#DIV/0!</v>
      </c>
      <c r="G31" s="214" t="e">
        <f>F31*Tariefsopbouw!$M$37+'Regie en afroep'!F31</f>
        <v>#DIV/0!</v>
      </c>
      <c r="H31" s="214" t="e">
        <f>G31*Tariefsopbouw!$O$37+'Regie en afroep'!G31</f>
        <v>#DIV/0!</v>
      </c>
      <c r="I31" s="214" t="e">
        <f>H31*Tariefsopbouw!$Q$37+H31</f>
        <v>#DIV/0!</v>
      </c>
    </row>
    <row r="32" spans="1:9" ht="18.75" customHeight="1">
      <c r="A32" s="330"/>
      <c r="B32" s="74" t="s">
        <v>47</v>
      </c>
      <c r="C32" s="74" t="s">
        <v>48</v>
      </c>
      <c r="D32" s="76">
        <v>0</v>
      </c>
      <c r="E32" s="215" t="e">
        <f>InvulRegie[[#This Row],[Prijs excl. BTW]]*Tariefsopbouw!$I$37+InvulRegie[[#This Row],[Prijs excl. BTW]]</f>
        <v>#DIV/0!</v>
      </c>
      <c r="F32" s="215" t="e">
        <f>E32*Tariefsopbouw!$K$37+'Regie en afroep'!E32</f>
        <v>#DIV/0!</v>
      </c>
      <c r="G32" s="215" t="e">
        <f>F32*Tariefsopbouw!$M$37+'Regie en afroep'!F32</f>
        <v>#DIV/0!</v>
      </c>
      <c r="H32" s="215" t="e">
        <f>G32*Tariefsopbouw!$O$37+'Regie en afroep'!G32</f>
        <v>#DIV/0!</v>
      </c>
      <c r="I32" s="215" t="e">
        <f>H32*Tariefsopbouw!$Q$37+H32</f>
        <v>#DIV/0!</v>
      </c>
    </row>
    <row r="33" spans="1:9" ht="18.75" customHeight="1">
      <c r="A33" s="331" t="s">
        <v>201</v>
      </c>
      <c r="B33" s="74" t="s">
        <v>55</v>
      </c>
      <c r="C33" s="74" t="s">
        <v>227</v>
      </c>
      <c r="D33" s="76">
        <v>0</v>
      </c>
      <c r="E33" s="214" t="e">
        <f>InvulRegie[[#This Row],[Prijs excl. BTW]]*Tariefsopbouw!$I$37+InvulRegie[[#This Row],[Prijs excl. BTW]]</f>
        <v>#DIV/0!</v>
      </c>
      <c r="F33" s="214" t="e">
        <f>E33*Tariefsopbouw!$K$37+'Regie en afroep'!E33</f>
        <v>#DIV/0!</v>
      </c>
      <c r="G33" s="214" t="e">
        <f>F33*Tariefsopbouw!$M$37+'Regie en afroep'!F33</f>
        <v>#DIV/0!</v>
      </c>
      <c r="H33" s="214" t="e">
        <f>G33*Tariefsopbouw!$O$37+'Regie en afroep'!G33</f>
        <v>#DIV/0!</v>
      </c>
      <c r="I33" s="214" t="e">
        <f>H33*Tariefsopbouw!$Q$37+H33</f>
        <v>#DIV/0!</v>
      </c>
    </row>
    <row r="34" spans="1:9" ht="18.75" customHeight="1">
      <c r="A34" s="332"/>
      <c r="B34" s="74" t="s">
        <v>56</v>
      </c>
      <c r="C34" s="74" t="s">
        <v>57</v>
      </c>
      <c r="D34" s="76">
        <v>0</v>
      </c>
      <c r="E34" s="215" t="e">
        <f>InvulRegie[[#This Row],[Prijs excl. BTW]]*Tariefsopbouw!$I$37+InvulRegie[[#This Row],[Prijs excl. BTW]]</f>
        <v>#DIV/0!</v>
      </c>
      <c r="F34" s="215" t="e">
        <f>E34*Tariefsopbouw!$K$37+'Regie en afroep'!E34</f>
        <v>#DIV/0!</v>
      </c>
      <c r="G34" s="215" t="e">
        <f>F34*Tariefsopbouw!$M$37+'Regie en afroep'!F34</f>
        <v>#DIV/0!</v>
      </c>
      <c r="H34" s="215" t="e">
        <f>G34*Tariefsopbouw!$O$37+'Regie en afroep'!G34</f>
        <v>#DIV/0!</v>
      </c>
      <c r="I34" s="215" t="e">
        <f>H34*Tariefsopbouw!$Q$37+H34</f>
        <v>#DIV/0!</v>
      </c>
    </row>
    <row r="35" spans="1:9" ht="18.75" customHeight="1">
      <c r="A35" s="332"/>
      <c r="B35" s="74" t="s">
        <v>202</v>
      </c>
      <c r="C35" s="74" t="s">
        <v>57</v>
      </c>
      <c r="D35" s="76">
        <v>0</v>
      </c>
      <c r="E35" s="214" t="e">
        <f>InvulRegie[[#This Row],[Prijs excl. BTW]]*Tariefsopbouw!$I$37+InvulRegie[[#This Row],[Prijs excl. BTW]]</f>
        <v>#DIV/0!</v>
      </c>
      <c r="F35" s="214" t="e">
        <f>E35*Tariefsopbouw!$K$37+'Regie en afroep'!E35</f>
        <v>#DIV/0!</v>
      </c>
      <c r="G35" s="214" t="e">
        <f>F35*Tariefsopbouw!$M$37+'Regie en afroep'!F35</f>
        <v>#DIV/0!</v>
      </c>
      <c r="H35" s="214" t="e">
        <f>G35*Tariefsopbouw!$O$37+'Regie en afroep'!G35</f>
        <v>#DIV/0!</v>
      </c>
      <c r="I35" s="214" t="e">
        <f>H35*Tariefsopbouw!$Q$37+H35</f>
        <v>#DIV/0!</v>
      </c>
    </row>
    <row r="36" spans="1:9" ht="18.75" customHeight="1" thickBot="1">
      <c r="A36" s="333"/>
      <c r="B36" s="74" t="s">
        <v>203</v>
      </c>
      <c r="C36" s="74" t="s">
        <v>57</v>
      </c>
      <c r="D36" s="76">
        <v>0</v>
      </c>
      <c r="E36" s="215" t="e">
        <f>InvulRegie[[#This Row],[Prijs excl. BTW]]*Tariefsopbouw!$I$37+InvulRegie[[#This Row],[Prijs excl. BTW]]</f>
        <v>#DIV/0!</v>
      </c>
      <c r="F36" s="215" t="e">
        <f>E36*Tariefsopbouw!$K$37+'Regie en afroep'!E36</f>
        <v>#DIV/0!</v>
      </c>
      <c r="G36" s="215" t="e">
        <f>F36*Tariefsopbouw!$M$37+'Regie en afroep'!F36</f>
        <v>#DIV/0!</v>
      </c>
      <c r="H36" s="215" t="e">
        <f>G36*Tariefsopbouw!$O$37+'Regie en afroep'!G36</f>
        <v>#DIV/0!</v>
      </c>
      <c r="I36" s="215" t="e">
        <f>H36*Tariefsopbouw!$Q$37+H36</f>
        <v>#DIV/0!</v>
      </c>
    </row>
    <row r="37" spans="1:9" s="136" customFormat="1" ht="26.25" customHeight="1" thickTop="1">
      <c r="A37" s="134"/>
      <c r="B37" s="135" t="s">
        <v>33</v>
      </c>
      <c r="C37" s="135"/>
      <c r="D37" s="135"/>
      <c r="E37" s="212"/>
      <c r="F37" s="212"/>
      <c r="G37" s="212"/>
      <c r="H37" s="212"/>
      <c r="I37" s="212"/>
    </row>
    <row r="72" spans="1:1" ht="18.75" customHeight="1">
      <c r="A72" s="71"/>
    </row>
    <row r="73" spans="1:1" ht="18.75" customHeight="1">
      <c r="A73" s="71"/>
    </row>
    <row r="74" spans="1:1" ht="18.75" customHeight="1">
      <c r="A74" s="71"/>
    </row>
    <row r="75" spans="1:1" ht="18.75" customHeight="1">
      <c r="A75" s="71"/>
    </row>
    <row r="76" spans="1:1" ht="18.75" customHeight="1">
      <c r="A76" s="71"/>
    </row>
    <row r="77" spans="1:1" ht="18.75" customHeight="1">
      <c r="A77" s="71"/>
    </row>
    <row r="78" spans="1:1" ht="18.75" customHeight="1">
      <c r="A78" s="71"/>
    </row>
    <row r="79" spans="1:1" ht="18.75" customHeight="1">
      <c r="A79" s="71"/>
    </row>
    <row r="80" spans="1:1" ht="18.75" customHeight="1">
      <c r="A80" s="71"/>
    </row>
    <row r="81" spans="1:1" ht="18.75" customHeight="1">
      <c r="A81" s="71"/>
    </row>
    <row r="82" spans="1:1" ht="18.75" customHeight="1">
      <c r="A82" s="71"/>
    </row>
    <row r="83" spans="1:1" ht="18.75" customHeight="1">
      <c r="A83" s="71"/>
    </row>
    <row r="84" spans="1:1" ht="18.75" customHeight="1">
      <c r="A84" s="71"/>
    </row>
  </sheetData>
  <mergeCells count="9">
    <mergeCell ref="A1:I1"/>
    <mergeCell ref="A2:I2"/>
    <mergeCell ref="A28:A32"/>
    <mergeCell ref="A33:A36"/>
    <mergeCell ref="A23:A27"/>
    <mergeCell ref="A14:A20"/>
    <mergeCell ref="A21:A22"/>
    <mergeCell ref="E7:I7"/>
    <mergeCell ref="A9:A13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 alignWithMargins="0">
    <oddFooter>&amp;L&amp;F&amp;C&amp;D&amp;R&amp;A</oddFooter>
  </headerFooter>
  <rowBreaks count="1" manualBreakCount="1">
    <brk id="86" max="16383" man="1"/>
  </row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61">
    <tabColor theme="0" tint="-0.14999847407452621"/>
    <pageSetUpPr fitToPage="1"/>
  </sheetPr>
  <dimension ref="A1:H21"/>
  <sheetViews>
    <sheetView showGridLines="0" view="pageBreakPreview" zoomScaleNormal="100" zoomScaleSheetLayoutView="100" workbookViewId="0">
      <selection activeCell="G12" sqref="G12"/>
    </sheetView>
  </sheetViews>
  <sheetFormatPr defaultColWidth="9.140625" defaultRowHeight="18.75" customHeight="1"/>
  <cols>
    <col min="1" max="1" width="13.7109375" style="3" customWidth="1"/>
    <col min="2" max="2" width="32.85546875" style="131" customWidth="1"/>
    <col min="3" max="5" width="23.28515625" style="3" customWidth="1"/>
    <col min="6" max="6" width="28.140625" style="3" bestFit="1" customWidth="1"/>
    <col min="7" max="8" width="23.28515625" style="3" customWidth="1"/>
    <col min="9" max="11" width="15.85546875" style="3" customWidth="1"/>
    <col min="12" max="16384" width="9.140625" style="3"/>
  </cols>
  <sheetData>
    <row r="1" spans="1:8" s="9" customFormat="1" ht="17.25" customHeight="1">
      <c r="A1" s="284" t="s">
        <v>217</v>
      </c>
      <c r="B1" s="284"/>
      <c r="C1" s="284"/>
      <c r="D1" s="284"/>
      <c r="E1" s="284"/>
      <c r="F1" s="284"/>
      <c r="G1" s="284"/>
      <c r="H1" s="284"/>
    </row>
    <row r="2" spans="1:8" s="9" customFormat="1" ht="15" customHeight="1">
      <c r="A2" s="323" t="s">
        <v>229</v>
      </c>
      <c r="B2" s="286"/>
      <c r="C2" s="286"/>
      <c r="D2" s="286"/>
      <c r="E2" s="286"/>
      <c r="F2" s="286"/>
      <c r="G2" s="286"/>
      <c r="H2" s="286"/>
    </row>
    <row r="3" spans="1:8" s="4" customFormat="1" ht="11.25">
      <c r="B3" s="21"/>
    </row>
    <row r="4" spans="1:8" ht="11.25">
      <c r="A4" s="131"/>
      <c r="B4" s="3"/>
    </row>
    <row r="5" spans="1:8" ht="11.25">
      <c r="A5" s="86" t="s">
        <v>226</v>
      </c>
      <c r="B5" s="3"/>
    </row>
    <row r="6" spans="1:8" s="45" customFormat="1" ht="25.5" customHeight="1">
      <c r="A6" s="127" t="s">
        <v>210</v>
      </c>
      <c r="B6" s="128" t="s">
        <v>145</v>
      </c>
      <c r="C6" s="127" t="s">
        <v>171</v>
      </c>
      <c r="D6" s="129" t="s">
        <v>127</v>
      </c>
      <c r="E6" s="129" t="s">
        <v>172</v>
      </c>
      <c r="F6" s="130" t="s">
        <v>173</v>
      </c>
    </row>
    <row r="7" spans="1:8" ht="18.75" customHeight="1">
      <c r="A7" s="170">
        <v>1</v>
      </c>
      <c r="B7" s="171" t="str">
        <f>VLOOKUP(Samenvattingschoonmaak[[#This Row],[Code Locatie]],Locaties[],2,0)</f>
        <v>IJburg College</v>
      </c>
      <c r="C7" s="172">
        <f>SUMIF('Ruimtestaat'!$A:$A,Totalisatie!$A7,'Ruimtestaat'!$O:$O)</f>
        <v>10788.379999999996</v>
      </c>
      <c r="D7" s="172">
        <f>SUMIF('Ruimtestaat'!$A:$A,Totalisatie!$A7,'Ruimtestaat'!$AF:$AF)</f>
        <v>2098898.7999999998</v>
      </c>
      <c r="E7" s="173">
        <f>SUMIF('Ruimtestaat'!$A:$A,Totalisatie!$A7,'Ruimtestaat'!$AG:$AG)</f>
        <v>0</v>
      </c>
      <c r="F7" s="174">
        <f>SUMIF('Ruimtestaat'!$A:$A,Totalisatie!$A7,'Ruimtestaat'!$AH:$AH)</f>
        <v>0</v>
      </c>
    </row>
    <row r="8" spans="1:8" s="45" customFormat="1" ht="25.5" customHeight="1">
      <c r="A8" s="164"/>
      <c r="B8" s="165" t="s">
        <v>33</v>
      </c>
      <c r="C8" s="166">
        <f>SUBTOTAL(109,Samenvattingschoonmaak[Oppervlakte i/o])</f>
        <v>10788.379999999996</v>
      </c>
      <c r="D8" s="166">
        <f>SUBTOTAL(109,Samenvattingschoonmaak[Prest. (m2 /jaar)])</f>
        <v>2098898.7999999998</v>
      </c>
      <c r="E8" s="167">
        <f>SUBTOTAL(109,Samenvattingschoonmaak[Uren / jaar])</f>
        <v>0</v>
      </c>
      <c r="F8" s="168">
        <f>SUBTOTAL(109,Samenvattingschoonmaak[Kosten / jaar])</f>
        <v>0</v>
      </c>
    </row>
    <row r="9" spans="1:8" ht="18.75" customHeight="1">
      <c r="A9" s="131"/>
      <c r="B9" s="3"/>
    </row>
    <row r="10" spans="1:8" ht="18.75" customHeight="1">
      <c r="A10" s="86" t="s">
        <v>176</v>
      </c>
      <c r="B10" s="44"/>
      <c r="C10" s="44"/>
      <c r="D10" s="44"/>
      <c r="E10" s="44"/>
      <c r="F10" s="44"/>
      <c r="H10" s="44"/>
    </row>
    <row r="11" spans="1:8" ht="37.5" customHeight="1">
      <c r="A11" s="127" t="s">
        <v>210</v>
      </c>
      <c r="B11" s="128" t="s">
        <v>219</v>
      </c>
      <c r="C11" s="127" t="s">
        <v>178</v>
      </c>
      <c r="D11" s="130" t="s">
        <v>174</v>
      </c>
      <c r="E11" s="130" t="s">
        <v>175</v>
      </c>
      <c r="F11" s="130" t="s">
        <v>437</v>
      </c>
      <c r="G11" s="231" t="s">
        <v>218</v>
      </c>
    </row>
    <row r="12" spans="1:8" ht="18.75" customHeight="1">
      <c r="A12" s="170">
        <v>1</v>
      </c>
      <c r="B12" s="171" t="str">
        <f>VLOOKUP(Totalisatie[[#This Row],[Code Locatie]],Locaties[],2,0)</f>
        <v>IJburg College</v>
      </c>
      <c r="C12" s="174">
        <f>SUMIF('Ruimtestaat'!A:A,Totalisatie[[#This Row],[Code Locatie]],'Ruimtestaat'!AH:AH)</f>
        <v>0</v>
      </c>
      <c r="D12" s="175">
        <f>SUMIF(Glasbewassing!$A$21:$A$27,Totalisatie[[#This Row],[Code Locatie]],Glasbewassing!$G$21:$G$27)</f>
        <v>0</v>
      </c>
      <c r="E12" s="225">
        <f>SUMIF(Vloeronderhoud!$A$19:$A$25,Totalisatie[[#This Row],[Code Locatie]],Vloeronderhoud!$H$19:$H$25)</f>
        <v>0</v>
      </c>
      <c r="F12" s="225">
        <f ca="1">SUMIF(OverzichtExtraW[],Totalisatie[[#This Row],[Code Locatie]],OverzichtExtraW[Kosten/jaar excl. BTW])</f>
        <v>0</v>
      </c>
      <c r="G12" s="174">
        <f ca="1">SUM(Totalisatie[[#This Row],[Schoonmaakonderhoud
Kosten / jaar]:[Extra werkzaamheden
Kosten / jaar]])</f>
        <v>0</v>
      </c>
    </row>
    <row r="13" spans="1:8" ht="18.75" customHeight="1">
      <c r="A13" s="164"/>
      <c r="B13" s="165" t="s">
        <v>33</v>
      </c>
      <c r="C13" s="168">
        <f>SUBTOTAL(109,Totalisatie[Schoonmaakonderhoud
Kosten / jaar])</f>
        <v>0</v>
      </c>
      <c r="D13" s="168">
        <f>SUBTOTAL(109,Totalisatie[Glasbewassing
Kosten / jaar])</f>
        <v>0</v>
      </c>
      <c r="E13" s="168">
        <f>SUBTOTAL(109,Totalisatie[Vloeronderhoud
Kosten / jaar])</f>
        <v>0</v>
      </c>
      <c r="F13" s="168">
        <f ca="1">SUBTOTAL(109,Totalisatie[Extra werkzaamheden
Kosten / jaar])</f>
        <v>0</v>
      </c>
      <c r="G13" s="168">
        <f ca="1">SUBTOTAL(109,Totalisatie[Totaalprijs
Kosten / jaar])</f>
        <v>0</v>
      </c>
    </row>
    <row r="14" spans="1:8" ht="18.75" customHeight="1">
      <c r="A14" s="131"/>
      <c r="B14" s="3"/>
    </row>
    <row r="15" spans="1:8" ht="18.75" customHeight="1">
      <c r="A15" s="131"/>
      <c r="B15" s="3"/>
    </row>
    <row r="16" spans="1:8" ht="12.75">
      <c r="A16" s="86" t="s">
        <v>220</v>
      </c>
      <c r="B16" s="3"/>
      <c r="H16" s="143"/>
    </row>
    <row r="17" spans="1:7" ht="18.75" customHeight="1">
      <c r="A17" s="337" t="s">
        <v>224</v>
      </c>
      <c r="B17" s="338"/>
      <c r="C17" s="339" t="s">
        <v>425</v>
      </c>
      <c r="D17" s="339"/>
      <c r="E17" s="339"/>
      <c r="F17" s="339"/>
      <c r="G17" s="340"/>
    </row>
    <row r="18" spans="1:7" ht="18.75" customHeight="1">
      <c r="A18" s="132" t="s">
        <v>131</v>
      </c>
      <c r="B18" s="341" t="s">
        <v>230</v>
      </c>
      <c r="C18" s="342"/>
      <c r="D18" s="132" t="s">
        <v>131</v>
      </c>
      <c r="E18" s="341" t="s">
        <v>230</v>
      </c>
      <c r="F18" s="345"/>
      <c r="G18" s="342"/>
    </row>
    <row r="19" spans="1:7" ht="18.75" customHeight="1">
      <c r="A19" s="133" t="s">
        <v>221</v>
      </c>
      <c r="B19" s="343" t="s">
        <v>230</v>
      </c>
      <c r="C19" s="344"/>
      <c r="D19" s="133" t="s">
        <v>221</v>
      </c>
      <c r="E19" s="343" t="s">
        <v>230</v>
      </c>
      <c r="F19" s="346"/>
      <c r="G19" s="344"/>
    </row>
    <row r="20" spans="1:7" ht="18.75" customHeight="1">
      <c r="A20" s="132" t="s">
        <v>222</v>
      </c>
      <c r="B20" s="341" t="s">
        <v>230</v>
      </c>
      <c r="C20" s="342"/>
      <c r="D20" s="132" t="s">
        <v>222</v>
      </c>
      <c r="E20" s="341" t="s">
        <v>230</v>
      </c>
      <c r="F20" s="345"/>
      <c r="G20" s="342"/>
    </row>
    <row r="21" spans="1:7" ht="37.5" customHeight="1">
      <c r="A21" s="133" t="s">
        <v>223</v>
      </c>
      <c r="B21" s="343" t="s">
        <v>230</v>
      </c>
      <c r="C21" s="344"/>
      <c r="D21" s="133" t="s">
        <v>223</v>
      </c>
      <c r="E21" s="334" t="s">
        <v>230</v>
      </c>
      <c r="F21" s="335"/>
      <c r="G21" s="336"/>
    </row>
  </sheetData>
  <mergeCells count="12">
    <mergeCell ref="A1:H1"/>
    <mergeCell ref="A2:H2"/>
    <mergeCell ref="E21:G21"/>
    <mergeCell ref="A17:B17"/>
    <mergeCell ref="C17:G17"/>
    <mergeCell ref="B18:C18"/>
    <mergeCell ref="B19:C19"/>
    <mergeCell ref="B20:C20"/>
    <mergeCell ref="B21:C21"/>
    <mergeCell ref="E18:G18"/>
    <mergeCell ref="E19:G19"/>
    <mergeCell ref="E20:G20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  <headerFooter>
    <oddFooter>&amp;L&amp;F&amp;C&amp;D&amp;R&amp;A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A2CE-E853-43DD-BE77-77E79055D275}">
  <sheetPr>
    <pageSetUpPr fitToPage="1"/>
  </sheetPr>
  <dimension ref="A1:C42"/>
  <sheetViews>
    <sheetView zoomScaleNormal="100" workbookViewId="0"/>
  </sheetViews>
  <sheetFormatPr defaultColWidth="9" defaultRowHeight="12.75"/>
  <cols>
    <col min="1" max="1" width="52" style="189" customWidth="1"/>
    <col min="2" max="2" width="19.5703125" style="189" customWidth="1"/>
    <col min="3" max="3" width="37.42578125" style="189" bestFit="1" customWidth="1"/>
    <col min="4" max="16384" width="9" style="183"/>
  </cols>
  <sheetData>
    <row r="1" spans="1:3" ht="22.5">
      <c r="A1" s="207" t="s">
        <v>424</v>
      </c>
      <c r="B1" s="207"/>
      <c r="C1" s="207"/>
    </row>
    <row r="2" spans="1:3">
      <c r="A2" s="207" t="s">
        <v>272</v>
      </c>
      <c r="B2" s="207" t="s">
        <v>273</v>
      </c>
      <c r="C2" s="207" t="s">
        <v>384</v>
      </c>
    </row>
    <row r="3" spans="1:3">
      <c r="A3" s="207" t="s">
        <v>277</v>
      </c>
      <c r="B3" s="207"/>
      <c r="C3" s="207"/>
    </row>
    <row r="4" spans="1:3">
      <c r="A4" s="184" t="s">
        <v>280</v>
      </c>
      <c r="B4" s="184" t="s">
        <v>281</v>
      </c>
      <c r="C4" s="185" t="s">
        <v>385</v>
      </c>
    </row>
    <row r="5" spans="1:3">
      <c r="A5" s="184" t="s">
        <v>286</v>
      </c>
      <c r="B5" s="184" t="s">
        <v>281</v>
      </c>
      <c r="C5" s="185" t="s">
        <v>385</v>
      </c>
    </row>
    <row r="6" spans="1:3" ht="15.75" customHeight="1">
      <c r="A6" s="184" t="s">
        <v>294</v>
      </c>
      <c r="B6" s="184" t="s">
        <v>281</v>
      </c>
      <c r="C6" s="185" t="s">
        <v>385</v>
      </c>
    </row>
    <row r="7" spans="1:3">
      <c r="A7" s="184" t="s">
        <v>296</v>
      </c>
      <c r="B7" s="184" t="s">
        <v>281</v>
      </c>
      <c r="C7" s="185" t="s">
        <v>385</v>
      </c>
    </row>
    <row r="8" spans="1:3">
      <c r="A8" s="186" t="s">
        <v>298</v>
      </c>
      <c r="B8" s="186" t="s">
        <v>281</v>
      </c>
      <c r="C8" s="187" t="s">
        <v>385</v>
      </c>
    </row>
    <row r="9" spans="1:3">
      <c r="A9" s="184" t="s">
        <v>300</v>
      </c>
      <c r="B9" s="184" t="s">
        <v>281</v>
      </c>
      <c r="C9" s="185" t="s">
        <v>385</v>
      </c>
    </row>
    <row r="10" spans="1:3">
      <c r="A10" s="184" t="s">
        <v>302</v>
      </c>
      <c r="B10" s="184" t="s">
        <v>290</v>
      </c>
      <c r="C10" s="185" t="s">
        <v>385</v>
      </c>
    </row>
    <row r="11" spans="1:3">
      <c r="A11" s="184" t="s">
        <v>304</v>
      </c>
      <c r="B11" s="184" t="s">
        <v>281</v>
      </c>
      <c r="C11" s="185" t="s">
        <v>385</v>
      </c>
    </row>
    <row r="12" spans="1:3">
      <c r="A12" s="184" t="s">
        <v>306</v>
      </c>
      <c r="B12" s="184" t="s">
        <v>281</v>
      </c>
      <c r="C12" s="185" t="s">
        <v>385</v>
      </c>
    </row>
    <row r="13" spans="1:3">
      <c r="A13" s="184" t="s">
        <v>308</v>
      </c>
      <c r="B13" s="184" t="s">
        <v>290</v>
      </c>
      <c r="C13" s="185" t="s">
        <v>385</v>
      </c>
    </row>
    <row r="14" spans="1:3">
      <c r="A14" s="184" t="s">
        <v>309</v>
      </c>
      <c r="B14" s="184" t="s">
        <v>281</v>
      </c>
      <c r="C14" s="185" t="s">
        <v>385</v>
      </c>
    </row>
    <row r="15" spans="1:3">
      <c r="A15" s="184" t="s">
        <v>310</v>
      </c>
      <c r="B15" s="184" t="s">
        <v>281</v>
      </c>
      <c r="C15" s="185" t="s">
        <v>385</v>
      </c>
    </row>
    <row r="16" spans="1:3">
      <c r="A16" s="184" t="s">
        <v>315</v>
      </c>
      <c r="B16" s="184" t="s">
        <v>281</v>
      </c>
      <c r="C16" s="185" t="s">
        <v>385</v>
      </c>
    </row>
    <row r="17" spans="1:3">
      <c r="A17" s="184" t="s">
        <v>317</v>
      </c>
      <c r="B17" s="184" t="s">
        <v>290</v>
      </c>
      <c r="C17" s="185" t="s">
        <v>385</v>
      </c>
    </row>
    <row r="18" spans="1:3">
      <c r="A18" s="184" t="s">
        <v>320</v>
      </c>
      <c r="B18" s="184" t="s">
        <v>290</v>
      </c>
      <c r="C18" s="185" t="s">
        <v>385</v>
      </c>
    </row>
    <row r="19" spans="1:3">
      <c r="A19" s="184" t="s">
        <v>322</v>
      </c>
      <c r="B19" s="184" t="s">
        <v>290</v>
      </c>
      <c r="C19" s="185" t="s">
        <v>385</v>
      </c>
    </row>
    <row r="20" spans="1:3">
      <c r="A20" s="184" t="s">
        <v>323</v>
      </c>
      <c r="B20" s="184" t="s">
        <v>281</v>
      </c>
      <c r="C20" s="185" t="s">
        <v>385</v>
      </c>
    </row>
    <row r="21" spans="1:3">
      <c r="A21" s="184" t="s">
        <v>324</v>
      </c>
      <c r="B21" s="184" t="s">
        <v>290</v>
      </c>
      <c r="C21" s="185" t="s">
        <v>385</v>
      </c>
    </row>
    <row r="22" spans="1:3">
      <c r="A22" s="184" t="s">
        <v>333</v>
      </c>
      <c r="B22" s="184" t="s">
        <v>290</v>
      </c>
      <c r="C22" s="185" t="s">
        <v>385</v>
      </c>
    </row>
    <row r="23" spans="1:3">
      <c r="A23" s="184" t="s">
        <v>337</v>
      </c>
      <c r="B23" s="184" t="s">
        <v>281</v>
      </c>
      <c r="C23" s="185" t="s">
        <v>385</v>
      </c>
    </row>
    <row r="24" spans="1:3">
      <c r="A24" s="184" t="s">
        <v>339</v>
      </c>
      <c r="B24" s="184" t="s">
        <v>290</v>
      </c>
      <c r="C24" s="185" t="s">
        <v>385</v>
      </c>
    </row>
    <row r="25" spans="1:3">
      <c r="A25" s="184" t="s">
        <v>348</v>
      </c>
      <c r="B25" s="184" t="s">
        <v>290</v>
      </c>
      <c r="C25" s="185" t="s">
        <v>385</v>
      </c>
    </row>
    <row r="26" spans="1:3">
      <c r="A26" s="184" t="s">
        <v>341</v>
      </c>
      <c r="B26" s="184" t="s">
        <v>290</v>
      </c>
      <c r="C26" s="185" t="s">
        <v>385</v>
      </c>
    </row>
    <row r="27" spans="1:3">
      <c r="A27" s="184" t="s">
        <v>386</v>
      </c>
      <c r="B27" s="184" t="s">
        <v>281</v>
      </c>
      <c r="C27" s="185" t="s">
        <v>385</v>
      </c>
    </row>
    <row r="28" spans="1:3">
      <c r="A28" s="207" t="s">
        <v>350</v>
      </c>
      <c r="B28" s="207"/>
      <c r="C28" s="207"/>
    </row>
    <row r="29" spans="1:3">
      <c r="A29" s="184" t="s">
        <v>357</v>
      </c>
      <c r="B29" s="184" t="s">
        <v>290</v>
      </c>
      <c r="C29" s="185" t="s">
        <v>385</v>
      </c>
    </row>
    <row r="30" spans="1:3">
      <c r="A30" s="184" t="s">
        <v>360</v>
      </c>
      <c r="B30" s="184" t="s">
        <v>290</v>
      </c>
      <c r="C30" s="185" t="s">
        <v>385</v>
      </c>
    </row>
    <row r="31" spans="1:3">
      <c r="A31" s="184" t="s">
        <v>362</v>
      </c>
      <c r="B31" s="184" t="s">
        <v>290</v>
      </c>
      <c r="C31" s="185" t="s">
        <v>385</v>
      </c>
    </row>
    <row r="32" spans="1:3">
      <c r="A32" s="184" t="s">
        <v>363</v>
      </c>
      <c r="B32" s="184" t="s">
        <v>290</v>
      </c>
      <c r="C32" s="185" t="s">
        <v>385</v>
      </c>
    </row>
    <row r="33" spans="1:3">
      <c r="A33" s="184" t="s">
        <v>365</v>
      </c>
      <c r="B33" s="184" t="s">
        <v>290</v>
      </c>
      <c r="C33" s="185" t="s">
        <v>385</v>
      </c>
    </row>
    <row r="34" spans="1:3">
      <c r="A34" s="184" t="s">
        <v>367</v>
      </c>
      <c r="B34" s="184" t="s">
        <v>290</v>
      </c>
      <c r="C34" s="185" t="s">
        <v>385</v>
      </c>
    </row>
    <row r="35" spans="1:3">
      <c r="A35" s="184" t="s">
        <v>369</v>
      </c>
      <c r="B35" s="184" t="s">
        <v>290</v>
      </c>
      <c r="C35" s="185" t="s">
        <v>385</v>
      </c>
    </row>
    <row r="36" spans="1:3">
      <c r="A36" s="184" t="s">
        <v>370</v>
      </c>
      <c r="B36" s="184" t="s">
        <v>290</v>
      </c>
      <c r="C36" s="185" t="s">
        <v>385</v>
      </c>
    </row>
    <row r="37" spans="1:3">
      <c r="A37" s="184" t="s">
        <v>416</v>
      </c>
      <c r="B37" s="184" t="s">
        <v>290</v>
      </c>
      <c r="C37" s="185" t="s">
        <v>415</v>
      </c>
    </row>
    <row r="38" spans="1:3">
      <c r="A38" s="207" t="s">
        <v>372</v>
      </c>
      <c r="B38" s="207"/>
      <c r="C38" s="207"/>
    </row>
    <row r="39" spans="1:3">
      <c r="A39" s="184" t="s">
        <v>374</v>
      </c>
      <c r="B39" s="184" t="s">
        <v>290</v>
      </c>
      <c r="C39" s="185" t="s">
        <v>387</v>
      </c>
    </row>
    <row r="40" spans="1:3">
      <c r="A40" s="184" t="s">
        <v>270</v>
      </c>
      <c r="B40" s="184" t="s">
        <v>290</v>
      </c>
      <c r="C40" s="185" t="s">
        <v>387</v>
      </c>
    </row>
    <row r="41" spans="1:3">
      <c r="A41" s="184" t="s">
        <v>38</v>
      </c>
      <c r="B41" s="184" t="s">
        <v>290</v>
      </c>
      <c r="C41" s="185" t="s">
        <v>387</v>
      </c>
    </row>
    <row r="42" spans="1:3">
      <c r="A42" s="184"/>
      <c r="B42" s="184"/>
      <c r="C42" s="185"/>
    </row>
  </sheetData>
  <pageMargins left="0.7" right="0.7" top="0.75" bottom="0.75" header="0.3" footer="0.3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9">
    <tabColor theme="0" tint="-0.14999847407452621"/>
  </sheetPr>
  <dimension ref="A1:A17"/>
  <sheetViews>
    <sheetView showGridLines="0" view="pageBreakPreview" zoomScaleNormal="100" zoomScaleSheetLayoutView="100" workbookViewId="0">
      <selection activeCell="A3" sqref="A3"/>
    </sheetView>
  </sheetViews>
  <sheetFormatPr defaultColWidth="9.140625" defaultRowHeight="15" customHeight="1"/>
  <cols>
    <col min="1" max="1" width="133.7109375" style="9" bestFit="1" customWidth="1"/>
    <col min="2" max="2" width="125.42578125" style="9" customWidth="1"/>
    <col min="3" max="3" width="7.5703125" style="9" customWidth="1"/>
    <col min="4" max="4" width="29" style="9" bestFit="1" customWidth="1"/>
    <col min="5" max="5" width="5.7109375" style="9" customWidth="1"/>
    <col min="6" max="6" width="9.140625" style="9"/>
    <col min="7" max="7" width="17.85546875" style="9" bestFit="1" customWidth="1"/>
    <col min="8" max="10" width="9.140625" style="9"/>
    <col min="11" max="11" width="19.7109375" style="9" customWidth="1"/>
    <col min="12" max="16384" width="9.140625" style="9"/>
  </cols>
  <sheetData>
    <row r="1" spans="1:1" ht="15" customHeight="1">
      <c r="A1" s="282" t="s">
        <v>423</v>
      </c>
    </row>
    <row r="2" spans="1:1" ht="15" customHeight="1">
      <c r="A2" s="283"/>
    </row>
    <row r="3" spans="1:1" ht="15.75" customHeight="1">
      <c r="A3" s="262" t="s">
        <v>447</v>
      </c>
    </row>
    <row r="4" spans="1:1" ht="15" customHeight="1">
      <c r="A4" s="42" t="s">
        <v>404</v>
      </c>
    </row>
    <row r="5" spans="1:1" ht="15" customHeight="1">
      <c r="A5" s="42" t="s">
        <v>405</v>
      </c>
    </row>
    <row r="6" spans="1:1" ht="15" customHeight="1">
      <c r="A6" s="42" t="s">
        <v>406</v>
      </c>
    </row>
    <row r="7" spans="1:1" ht="15" customHeight="1">
      <c r="A7" s="42" t="s">
        <v>407</v>
      </c>
    </row>
    <row r="8" spans="1:1" ht="15" customHeight="1">
      <c r="A8" s="42" t="s">
        <v>206</v>
      </c>
    </row>
    <row r="9" spans="1:1" ht="15" customHeight="1">
      <c r="A9" s="179" t="s">
        <v>408</v>
      </c>
    </row>
    <row r="10" spans="1:1" ht="15" customHeight="1">
      <c r="A10" s="179" t="s">
        <v>409</v>
      </c>
    </row>
    <row r="11" spans="1:1" ht="15" customHeight="1">
      <c r="A11" s="179" t="s">
        <v>410</v>
      </c>
    </row>
    <row r="12" spans="1:1" ht="15" customHeight="1">
      <c r="A12" s="179" t="s">
        <v>411</v>
      </c>
    </row>
    <row r="13" spans="1:1" ht="15" customHeight="1">
      <c r="A13" s="179" t="s">
        <v>412</v>
      </c>
    </row>
    <row r="14" spans="1:1" ht="15" customHeight="1">
      <c r="A14" s="179" t="s">
        <v>413</v>
      </c>
    </row>
    <row r="15" spans="1:1" ht="15" customHeight="1">
      <c r="A15" s="42" t="s">
        <v>414</v>
      </c>
    </row>
    <row r="16" spans="1:1" ht="15" customHeight="1">
      <c r="A16" s="43" t="s">
        <v>418</v>
      </c>
    </row>
    <row r="17" spans="1:1" ht="15" customHeight="1">
      <c r="A17" s="179"/>
    </row>
  </sheetData>
  <dataConsolidate/>
  <mergeCells count="1">
    <mergeCell ref="A1:A2"/>
  </mergeCells>
  <phoneticPr fontId="19" type="noConversion"/>
  <pageMargins left="0.2" right="0.21" top="0.57999999999999996" bottom="0.59" header="0.5" footer="0.5"/>
  <pageSetup paperSize="9" scale="81" fitToHeight="0" orientation="portrait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94FD-653F-4F1F-A1E1-EBE6C7CB2CB4}">
  <sheetPr>
    <tabColor theme="0" tint="-0.14999847407452621"/>
  </sheetPr>
  <dimension ref="A1:Q60"/>
  <sheetViews>
    <sheetView showGridLines="0" view="pageBreakPreview" zoomScaleNormal="100" zoomScaleSheetLayoutView="100" workbookViewId="0">
      <selection activeCell="I7" sqref="I7"/>
    </sheetView>
  </sheetViews>
  <sheetFormatPr defaultColWidth="7.85546875" defaultRowHeight="15" customHeight="1"/>
  <cols>
    <col min="1" max="1" width="15.140625" style="4" bestFit="1" customWidth="1"/>
    <col min="2" max="2" width="26" style="4" customWidth="1"/>
    <col min="3" max="3" width="18.28515625" style="4" customWidth="1"/>
    <col min="4" max="4" width="17.7109375" style="4" bestFit="1" customWidth="1"/>
    <col min="5" max="5" width="18.28515625" style="18" customWidth="1"/>
    <col min="6" max="6" width="2.85546875" style="4" customWidth="1"/>
    <col min="7" max="7" width="11" style="4" bestFit="1" customWidth="1"/>
    <col min="8" max="8" width="12" style="4" bestFit="1" customWidth="1"/>
    <col min="9" max="9" width="17.7109375" style="4" bestFit="1" customWidth="1"/>
    <col min="10" max="10" width="12" style="4" bestFit="1" customWidth="1"/>
    <col min="11" max="11" width="17.7109375" style="4" bestFit="1" customWidth="1"/>
    <col min="12" max="12" width="12" style="4" bestFit="1" customWidth="1"/>
    <col min="13" max="13" width="17.7109375" style="4" bestFit="1" customWidth="1"/>
    <col min="14" max="14" width="12" style="4" bestFit="1" customWidth="1"/>
    <col min="15" max="15" width="17.7109375" style="4" bestFit="1" customWidth="1"/>
    <col min="16" max="16" width="12" style="4" bestFit="1" customWidth="1"/>
    <col min="17" max="17" width="15.85546875" style="4" customWidth="1"/>
    <col min="18" max="16384" width="7.85546875" style="4"/>
  </cols>
  <sheetData>
    <row r="1" spans="1:17" s="9" customFormat="1" ht="26.25" customHeight="1">
      <c r="A1" s="284" t="s">
        <v>35</v>
      </c>
      <c r="B1" s="284"/>
      <c r="C1" s="284"/>
      <c r="D1" s="284"/>
      <c r="E1" s="284"/>
    </row>
    <row r="2" spans="1:17" s="9" customFormat="1" ht="15" customHeight="1">
      <c r="A2" s="286" t="s">
        <v>214</v>
      </c>
      <c r="B2" s="286"/>
      <c r="C2" s="286"/>
      <c r="D2" s="286"/>
      <c r="E2" s="286"/>
      <c r="G2" s="299" t="s">
        <v>400</v>
      </c>
      <c r="H2" s="299"/>
      <c r="I2" s="299"/>
      <c r="J2" s="299"/>
      <c r="K2" s="299"/>
      <c r="L2" s="299"/>
      <c r="M2" s="299"/>
      <c r="N2" s="299"/>
      <c r="O2" s="299"/>
      <c r="P2" s="299"/>
      <c r="Q2" s="299"/>
    </row>
    <row r="3" spans="1:17" ht="15" customHeight="1">
      <c r="E3" s="4"/>
      <c r="G3" s="207"/>
      <c r="H3" s="302">
        <v>2023</v>
      </c>
      <c r="I3" s="302"/>
      <c r="J3" s="300">
        <v>2024</v>
      </c>
      <c r="K3" s="301"/>
      <c r="L3" s="300">
        <v>2025</v>
      </c>
      <c r="M3" s="301"/>
      <c r="N3" s="300">
        <v>2026</v>
      </c>
      <c r="O3" s="301"/>
      <c r="P3" s="300">
        <v>2026</v>
      </c>
      <c r="Q3" s="301"/>
    </row>
    <row r="4" spans="1:17" s="8" customFormat="1" ht="26.25" customHeight="1">
      <c r="A4" s="287" t="s">
        <v>80</v>
      </c>
      <c r="B4" s="288"/>
      <c r="C4" s="90" t="s">
        <v>209</v>
      </c>
      <c r="D4" s="90" t="s">
        <v>225</v>
      </c>
      <c r="E4" s="90" t="s">
        <v>87</v>
      </c>
      <c r="G4" s="207" t="s">
        <v>399</v>
      </c>
      <c r="H4" s="207" t="s">
        <v>398</v>
      </c>
      <c r="I4" s="207" t="s">
        <v>397</v>
      </c>
      <c r="J4" s="207" t="s">
        <v>398</v>
      </c>
      <c r="K4" s="207" t="s">
        <v>397</v>
      </c>
      <c r="L4" s="207" t="s">
        <v>398</v>
      </c>
      <c r="M4" s="207" t="s">
        <v>397</v>
      </c>
      <c r="N4" s="207" t="s">
        <v>398</v>
      </c>
      <c r="O4" s="207" t="s">
        <v>397</v>
      </c>
      <c r="P4" s="207" t="s">
        <v>398</v>
      </c>
      <c r="Q4" s="207" t="s">
        <v>397</v>
      </c>
    </row>
    <row r="5" spans="1:17" ht="15" customHeight="1">
      <c r="A5" s="292" t="s">
        <v>103</v>
      </c>
      <c r="B5" s="293"/>
      <c r="C5" s="10">
        <v>0</v>
      </c>
      <c r="D5" s="11">
        <v>0</v>
      </c>
      <c r="E5" s="12">
        <f>C5*D5</f>
        <v>0</v>
      </c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</row>
    <row r="6" spans="1:17" ht="15" customHeight="1">
      <c r="A6" s="292" t="s">
        <v>70</v>
      </c>
      <c r="B6" s="293"/>
      <c r="C6" s="10">
        <v>0</v>
      </c>
      <c r="D6" s="11">
        <v>0</v>
      </c>
      <c r="E6" s="12">
        <f>C6*D6</f>
        <v>0</v>
      </c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</row>
    <row r="7" spans="1:17" ht="15" customHeight="1">
      <c r="A7" s="294" t="s">
        <v>71</v>
      </c>
      <c r="B7" s="296"/>
      <c r="C7" s="10">
        <v>0</v>
      </c>
      <c r="D7" s="11">
        <v>0</v>
      </c>
      <c r="E7" s="12">
        <f>C7*D7</f>
        <v>0</v>
      </c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</row>
    <row r="8" spans="1:17" ht="15" customHeight="1">
      <c r="A8" s="297" t="s">
        <v>72</v>
      </c>
      <c r="B8" s="298"/>
      <c r="C8" s="10">
        <v>0</v>
      </c>
      <c r="D8" s="11">
        <v>0</v>
      </c>
      <c r="E8" s="12">
        <f>C8*D8</f>
        <v>0</v>
      </c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</row>
    <row r="9" spans="1:17" ht="15" customHeight="1">
      <c r="A9" s="294" t="s">
        <v>104</v>
      </c>
      <c r="B9" s="295"/>
      <c r="C9" s="296"/>
      <c r="D9" s="13">
        <f>SUM(D5:D8)</f>
        <v>0</v>
      </c>
      <c r="E9" s="12" t="str">
        <f>IF(SUM($D$5:$D$8)=100%,SUM(E5:E8),"    GEEN 100%")</f>
        <v xml:space="preserve">    GEEN 100%</v>
      </c>
      <c r="G9" s="196"/>
      <c r="H9" s="205"/>
      <c r="I9" s="196"/>
      <c r="J9" s="196"/>
      <c r="K9" s="196"/>
      <c r="L9" s="196"/>
      <c r="M9" s="196"/>
      <c r="N9" s="196"/>
      <c r="O9" s="196"/>
      <c r="P9" s="196"/>
      <c r="Q9" s="196"/>
    </row>
    <row r="10" spans="1:17" ht="15" customHeight="1">
      <c r="A10" s="285" t="s">
        <v>73</v>
      </c>
      <c r="B10" s="285"/>
      <c r="C10" s="285"/>
      <c r="D10" s="138" t="s">
        <v>3</v>
      </c>
      <c r="E10" s="140">
        <f>SUM(E9:E9)</f>
        <v>0</v>
      </c>
      <c r="G10" s="196" t="s">
        <v>396</v>
      </c>
      <c r="H10" s="205"/>
      <c r="I10" s="140">
        <f>(E10*H10)+E10</f>
        <v>0</v>
      </c>
      <c r="J10" s="205">
        <v>0</v>
      </c>
      <c r="K10" s="140">
        <f>(I10*J10)+I10</f>
        <v>0</v>
      </c>
      <c r="L10" s="205">
        <v>0</v>
      </c>
      <c r="M10" s="140">
        <f>(K10*L10)+K10</f>
        <v>0</v>
      </c>
      <c r="N10" s="205">
        <v>0</v>
      </c>
      <c r="O10" s="140">
        <f>(M10*N10)+M10</f>
        <v>0</v>
      </c>
      <c r="P10" s="205">
        <v>0</v>
      </c>
      <c r="Q10" s="140">
        <f>(O10*P10)+O10</f>
        <v>0</v>
      </c>
    </row>
    <row r="11" spans="1:17" ht="15" customHeight="1">
      <c r="A11" s="16"/>
      <c r="B11" s="17"/>
      <c r="C11" s="17"/>
      <c r="D11" s="17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</row>
    <row r="12" spans="1:17" s="8" customFormat="1" ht="26.25" customHeight="1">
      <c r="A12" s="287" t="s">
        <v>75</v>
      </c>
      <c r="B12" s="289"/>
      <c r="C12" s="288"/>
      <c r="D12" s="91" t="s">
        <v>84</v>
      </c>
      <c r="E12" s="90" t="s">
        <v>87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</row>
    <row r="13" spans="1:17" ht="15" customHeight="1">
      <c r="A13" s="290" t="s">
        <v>4</v>
      </c>
      <c r="B13" s="291"/>
      <c r="C13" s="291"/>
      <c r="D13" s="197">
        <v>0</v>
      </c>
      <c r="E13" s="15">
        <f>SUM($E$10*D13)</f>
        <v>0</v>
      </c>
      <c r="G13" s="216" t="s">
        <v>395</v>
      </c>
      <c r="H13" s="205"/>
      <c r="I13" s="200">
        <f>(E13*H13)+E13</f>
        <v>0</v>
      </c>
      <c r="J13" s="201"/>
      <c r="K13" s="200">
        <f>(I13*J13)+I13</f>
        <v>0</v>
      </c>
      <c r="L13" s="201"/>
      <c r="M13" s="200">
        <f>(K13*L13)+K13</f>
        <v>0</v>
      </c>
      <c r="N13" s="201"/>
      <c r="O13" s="200">
        <f>(M13*N13)+M13</f>
        <v>0</v>
      </c>
      <c r="P13" s="201"/>
      <c r="Q13" s="200">
        <f>(O13*P13)+O13</f>
        <v>0</v>
      </c>
    </row>
    <row r="14" spans="1:17" ht="15" customHeight="1">
      <c r="A14" s="291" t="s">
        <v>89</v>
      </c>
      <c r="B14" s="291"/>
      <c r="C14" s="291"/>
      <c r="D14" s="197">
        <v>0</v>
      </c>
      <c r="E14" s="15">
        <f>SUM($E$10*D14)</f>
        <v>0</v>
      </c>
      <c r="G14" s="216" t="s">
        <v>395</v>
      </c>
      <c r="H14" s="205"/>
      <c r="I14" s="200">
        <f>(E14*H14)+E14</f>
        <v>0</v>
      </c>
      <c r="J14" s="201"/>
      <c r="K14" s="200">
        <f>(I14*J14)+I14</f>
        <v>0</v>
      </c>
      <c r="L14" s="201"/>
      <c r="M14" s="200">
        <f>(K14*L14)+K14</f>
        <v>0</v>
      </c>
      <c r="N14" s="201"/>
      <c r="O14" s="200">
        <f>(M14*N14)+M14</f>
        <v>0</v>
      </c>
      <c r="P14" s="201"/>
      <c r="Q14" s="200">
        <f>(O14*P14)+O14</f>
        <v>0</v>
      </c>
    </row>
    <row r="15" spans="1:17" ht="15" customHeight="1">
      <c r="A15" s="291" t="s">
        <v>5</v>
      </c>
      <c r="B15" s="291"/>
      <c r="C15" s="291"/>
      <c r="D15" s="197">
        <v>0</v>
      </c>
      <c r="E15" s="15">
        <f>SUM($E$10*D15)</f>
        <v>0</v>
      </c>
      <c r="G15" s="216" t="s">
        <v>395</v>
      </c>
      <c r="H15" s="205"/>
      <c r="I15" s="200">
        <f>(E15*H15)+E15</f>
        <v>0</v>
      </c>
      <c r="J15" s="201"/>
      <c r="K15" s="200">
        <f>(I15*J15)+I15</f>
        <v>0</v>
      </c>
      <c r="L15" s="201"/>
      <c r="M15" s="200">
        <f>(K15*L15)+K15</f>
        <v>0</v>
      </c>
      <c r="N15" s="201"/>
      <c r="O15" s="200">
        <f>(M15*N15)+M15</f>
        <v>0</v>
      </c>
      <c r="P15" s="201"/>
      <c r="Q15" s="200">
        <f>(O15*P15)+O15</f>
        <v>0</v>
      </c>
    </row>
    <row r="16" spans="1:17" ht="15" customHeight="1">
      <c r="A16" s="291" t="s">
        <v>6</v>
      </c>
      <c r="B16" s="291"/>
      <c r="C16" s="291"/>
      <c r="D16" s="197">
        <v>0</v>
      </c>
      <c r="E16" s="15">
        <f>SUM($E$10*D16)</f>
        <v>0</v>
      </c>
      <c r="G16" s="216" t="s">
        <v>395</v>
      </c>
      <c r="H16" s="205"/>
      <c r="I16" s="200">
        <f>(E16*H16)+E16</f>
        <v>0</v>
      </c>
      <c r="J16" s="201"/>
      <c r="K16" s="200">
        <f>(I16*J16)+I16</f>
        <v>0</v>
      </c>
      <c r="L16" s="201"/>
      <c r="M16" s="200">
        <f>(K16*L16)+K16</f>
        <v>0</v>
      </c>
      <c r="N16" s="201"/>
      <c r="O16" s="200">
        <f>(M16*N16)+M16</f>
        <v>0</v>
      </c>
      <c r="P16" s="201"/>
      <c r="Q16" s="200">
        <f>(O16*P16)+O16</f>
        <v>0</v>
      </c>
    </row>
    <row r="17" spans="1:17" ht="15" customHeight="1">
      <c r="A17" s="307" t="s">
        <v>92</v>
      </c>
      <c r="B17" s="308"/>
      <c r="C17" s="309"/>
      <c r="D17" s="197">
        <v>0</v>
      </c>
      <c r="E17" s="15">
        <f>SUM($E$10*D17)</f>
        <v>0</v>
      </c>
      <c r="G17" s="216" t="s">
        <v>395</v>
      </c>
      <c r="H17" s="205"/>
      <c r="I17" s="200">
        <f>(E17*H17)+E17</f>
        <v>0</v>
      </c>
      <c r="J17" s="201"/>
      <c r="K17" s="200">
        <f>(I17*J17)+I17</f>
        <v>0</v>
      </c>
      <c r="L17" s="201"/>
      <c r="M17" s="200">
        <f>(K17*L17)+K17</f>
        <v>0</v>
      </c>
      <c r="N17" s="201"/>
      <c r="O17" s="200">
        <f>(M17*N17)+M17</f>
        <v>0</v>
      </c>
      <c r="P17" s="201"/>
      <c r="Q17" s="200">
        <f>(O17*P17)+O17</f>
        <v>0</v>
      </c>
    </row>
    <row r="18" spans="1:17" ht="15" customHeight="1">
      <c r="A18" s="285" t="s">
        <v>81</v>
      </c>
      <c r="B18" s="285"/>
      <c r="C18" s="285"/>
      <c r="D18" s="141"/>
      <c r="E18" s="142">
        <f>SUM(E13:E17)</f>
        <v>0</v>
      </c>
      <c r="G18" s="196"/>
      <c r="H18" s="196"/>
      <c r="I18" s="142">
        <f>SUM(I13:I17)</f>
        <v>0</v>
      </c>
      <c r="J18" s="196"/>
      <c r="K18" s="142">
        <f>SUM(K13:K17)</f>
        <v>0</v>
      </c>
      <c r="L18" s="196"/>
      <c r="M18" s="142">
        <f>SUM(M13:M17)</f>
        <v>0</v>
      </c>
      <c r="N18" s="196"/>
      <c r="O18" s="142">
        <f>SUM(O13:O17)</f>
        <v>0</v>
      </c>
      <c r="P18" s="196"/>
      <c r="Q18" s="142">
        <f>SUM(Q13:Q17)</f>
        <v>0</v>
      </c>
    </row>
    <row r="19" spans="1:17" ht="15" customHeight="1">
      <c r="D19" s="19"/>
      <c r="E19" s="20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</row>
    <row r="20" spans="1:17" s="8" customFormat="1" ht="26.25" customHeight="1">
      <c r="A20" s="287" t="s">
        <v>76</v>
      </c>
      <c r="B20" s="289"/>
      <c r="C20" s="288"/>
      <c r="D20" s="91" t="s">
        <v>85</v>
      </c>
      <c r="E20" s="90" t="s">
        <v>87</v>
      </c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1" spans="1:17" ht="15" customHeight="1">
      <c r="A21" s="291" t="s">
        <v>7</v>
      </c>
      <c r="B21" s="291"/>
      <c r="C21" s="291"/>
      <c r="D21" s="206" t="e">
        <f>E21/$E$35</f>
        <v>#DIV/0!</v>
      </c>
      <c r="E21" s="203">
        <v>0</v>
      </c>
      <c r="G21" s="196" t="s">
        <v>395</v>
      </c>
      <c r="H21" s="205"/>
      <c r="I21" s="200">
        <f>(E21*H21)+E21</f>
        <v>0</v>
      </c>
      <c r="J21" s="201"/>
      <c r="K21" s="200">
        <f>(I21*J21)+I21</f>
        <v>0</v>
      </c>
      <c r="L21" s="201"/>
      <c r="M21" s="200">
        <f>(K21*L21)+K21</f>
        <v>0</v>
      </c>
      <c r="N21" s="201"/>
      <c r="O21" s="200">
        <f>(M21*N21)+M21</f>
        <v>0</v>
      </c>
      <c r="P21" s="201"/>
      <c r="Q21" s="200">
        <f>(O21*P21)+O21</f>
        <v>0</v>
      </c>
    </row>
    <row r="22" spans="1:17" ht="15" customHeight="1">
      <c r="A22" s="290" t="s">
        <v>8</v>
      </c>
      <c r="B22" s="291"/>
      <c r="C22" s="291"/>
      <c r="D22" s="206" t="e">
        <f>E22/$E$35</f>
        <v>#DIV/0!</v>
      </c>
      <c r="E22" s="203">
        <v>0</v>
      </c>
      <c r="G22" s="196" t="s">
        <v>395</v>
      </c>
      <c r="H22" s="205"/>
      <c r="I22" s="200">
        <f>(E22*H22)+E22</f>
        <v>0</v>
      </c>
      <c r="J22" s="201"/>
      <c r="K22" s="200">
        <f>(I22*J22)+I22</f>
        <v>0</v>
      </c>
      <c r="L22" s="201"/>
      <c r="M22" s="200">
        <f>(K22*L22)+K22</f>
        <v>0</v>
      </c>
      <c r="N22" s="201"/>
      <c r="O22" s="200">
        <f>(M22*N22)+M22</f>
        <v>0</v>
      </c>
      <c r="P22" s="201"/>
      <c r="Q22" s="200">
        <f>(O22*P22)+O22</f>
        <v>0</v>
      </c>
    </row>
    <row r="23" spans="1:17" ht="15" customHeight="1">
      <c r="A23" s="291" t="s">
        <v>9</v>
      </c>
      <c r="B23" s="291"/>
      <c r="C23" s="291"/>
      <c r="D23" s="206" t="e">
        <f>E23/$E$35</f>
        <v>#DIV/0!</v>
      </c>
      <c r="E23" s="203">
        <v>0</v>
      </c>
      <c r="G23" s="196" t="s">
        <v>395</v>
      </c>
      <c r="H23" s="205"/>
      <c r="I23" s="202">
        <f>(E23*H23)+E23</f>
        <v>0</v>
      </c>
      <c r="J23" s="201"/>
      <c r="K23" s="200">
        <f>(I23*J23)+I23</f>
        <v>0</v>
      </c>
      <c r="L23" s="201"/>
      <c r="M23" s="200">
        <f>(K23*L23)+K23</f>
        <v>0</v>
      </c>
      <c r="N23" s="201"/>
      <c r="O23" s="200">
        <f>(M23*N23)+M23</f>
        <v>0</v>
      </c>
      <c r="P23" s="201"/>
      <c r="Q23" s="200">
        <f>(O23*P23)+O23</f>
        <v>0</v>
      </c>
    </row>
    <row r="24" spans="1:17" ht="15" customHeight="1">
      <c r="A24" s="297" t="s">
        <v>10</v>
      </c>
      <c r="B24" s="306"/>
      <c r="C24" s="298"/>
      <c r="D24" s="197">
        <v>0</v>
      </c>
      <c r="E24" s="14">
        <f>D24*$E$10</f>
        <v>0</v>
      </c>
      <c r="G24" s="196" t="s">
        <v>396</v>
      </c>
      <c r="H24" s="205"/>
      <c r="I24" s="200">
        <f>(E24*H24)+E24</f>
        <v>0</v>
      </c>
      <c r="J24" s="201"/>
      <c r="K24" s="200">
        <f>(I24*J24)+I24</f>
        <v>0</v>
      </c>
      <c r="L24" s="201"/>
      <c r="M24" s="200">
        <f>(K24*L24)+K24</f>
        <v>0</v>
      </c>
      <c r="N24" s="201"/>
      <c r="O24" s="200">
        <f>(M24*N24)+M24</f>
        <v>0</v>
      </c>
      <c r="P24" s="201"/>
      <c r="Q24" s="200">
        <f>(O24*P24)+O24</f>
        <v>0</v>
      </c>
    </row>
    <row r="25" spans="1:17" ht="15" customHeight="1">
      <c r="A25" s="307" t="s">
        <v>90</v>
      </c>
      <c r="B25" s="308"/>
      <c r="C25" s="309"/>
      <c r="D25" s="206" t="e">
        <f>E25/$E$35</f>
        <v>#DIV/0!</v>
      </c>
      <c r="E25" s="203">
        <v>0</v>
      </c>
      <c r="G25" s="196" t="s">
        <v>395</v>
      </c>
      <c r="H25" s="205"/>
      <c r="I25" s="202">
        <f>(E25*H25)+E25</f>
        <v>0</v>
      </c>
      <c r="J25" s="201"/>
      <c r="K25" s="200">
        <f>(I25*J25)+I25</f>
        <v>0</v>
      </c>
      <c r="L25" s="201"/>
      <c r="M25" s="200">
        <f>(K25*L25)+K25</f>
        <v>0</v>
      </c>
      <c r="N25" s="201"/>
      <c r="O25" s="200">
        <f>(M25*N25)+M25</f>
        <v>0</v>
      </c>
      <c r="P25" s="201"/>
      <c r="Q25" s="200">
        <f>(O25*P25)+O25</f>
        <v>0</v>
      </c>
    </row>
    <row r="26" spans="1:17" ht="15" customHeight="1">
      <c r="A26" s="285" t="s">
        <v>82</v>
      </c>
      <c r="B26" s="285"/>
      <c r="C26" s="285"/>
      <c r="D26" s="138" t="s">
        <v>3</v>
      </c>
      <c r="E26" s="140">
        <f>SUM(E21:E25)</f>
        <v>0</v>
      </c>
      <c r="G26" s="196"/>
      <c r="H26" s="196"/>
      <c r="I26" s="140">
        <f>SUM(I21:I25)</f>
        <v>0</v>
      </c>
      <c r="J26" s="196"/>
      <c r="K26" s="140">
        <f>SUM(K21:K25)</f>
        <v>0</v>
      </c>
      <c r="L26" s="196"/>
      <c r="M26" s="140">
        <f>SUM(M21:M25)</f>
        <v>0</v>
      </c>
      <c r="N26" s="196"/>
      <c r="O26" s="140">
        <f>SUM(O21:O25)</f>
        <v>0</v>
      </c>
      <c r="P26" s="196"/>
      <c r="Q26" s="140">
        <f>SUM(Q21:Q25)</f>
        <v>0</v>
      </c>
    </row>
    <row r="27" spans="1:17" ht="15" customHeight="1">
      <c r="A27" s="21"/>
      <c r="B27" s="21"/>
      <c r="C27" s="21"/>
      <c r="D27" s="22"/>
      <c r="E27" s="23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</row>
    <row r="28" spans="1:17" s="8" customFormat="1" ht="26.25" customHeight="1">
      <c r="A28" s="287" t="s">
        <v>77</v>
      </c>
      <c r="B28" s="289"/>
      <c r="C28" s="288"/>
      <c r="D28" s="91" t="s">
        <v>85</v>
      </c>
      <c r="E28" s="90" t="s">
        <v>87</v>
      </c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</row>
    <row r="29" spans="1:17" ht="15" customHeight="1">
      <c r="A29" s="290" t="s">
        <v>11</v>
      </c>
      <c r="B29" s="291"/>
      <c r="C29" s="291"/>
      <c r="D29" s="197">
        <v>0</v>
      </c>
      <c r="E29" s="14">
        <f>D29*($E$18+$E$10)</f>
        <v>0</v>
      </c>
      <c r="G29" s="216" t="s">
        <v>395</v>
      </c>
      <c r="H29" s="205"/>
      <c r="I29" s="200">
        <f>(E29*H29)+E29</f>
        <v>0</v>
      </c>
      <c r="J29" s="201"/>
      <c r="K29" s="200">
        <f>(I29*J29)+I29</f>
        <v>0</v>
      </c>
      <c r="L29" s="201"/>
      <c r="M29" s="200">
        <f>(K29*L29)+K29</f>
        <v>0</v>
      </c>
      <c r="N29" s="201"/>
      <c r="O29" s="200">
        <f>(M29*N29)+M29</f>
        <v>0</v>
      </c>
      <c r="P29" s="201"/>
      <c r="Q29" s="200">
        <f>(O29*P29)+O29</f>
        <v>0</v>
      </c>
    </row>
    <row r="30" spans="1:17" ht="15" customHeight="1">
      <c r="A30" s="290" t="s">
        <v>78</v>
      </c>
      <c r="B30" s="291"/>
      <c r="C30" s="291"/>
      <c r="D30" s="204" t="e">
        <f>E30/$E$35</f>
        <v>#DIV/0!</v>
      </c>
      <c r="E30" s="203">
        <v>0</v>
      </c>
      <c r="G30" s="196" t="s">
        <v>395</v>
      </c>
      <c r="H30" s="205"/>
      <c r="I30" s="202">
        <f>(E30*H30)+E30</f>
        <v>0</v>
      </c>
      <c r="J30" s="201"/>
      <c r="K30" s="200">
        <f>(I30*J30)+I30</f>
        <v>0</v>
      </c>
      <c r="L30" s="201"/>
      <c r="M30" s="200">
        <f>(K30*L30)+K30</f>
        <v>0</v>
      </c>
      <c r="N30" s="201"/>
      <c r="O30" s="200">
        <f>(M30*N30)+M30</f>
        <v>0</v>
      </c>
      <c r="P30" s="201"/>
      <c r="Q30" s="200">
        <f>(O30*P30)+O30</f>
        <v>0</v>
      </c>
    </row>
    <row r="31" spans="1:17" ht="15" customHeight="1">
      <c r="A31" s="307" t="s">
        <v>91</v>
      </c>
      <c r="B31" s="308"/>
      <c r="C31" s="309"/>
      <c r="D31" s="206" t="e">
        <f>E31/$E$35</f>
        <v>#DIV/0!</v>
      </c>
      <c r="E31" s="203">
        <v>0</v>
      </c>
      <c r="G31" s="196" t="s">
        <v>395</v>
      </c>
      <c r="H31" s="205"/>
      <c r="I31" s="202">
        <f>(E31*H31)+E31</f>
        <v>0</v>
      </c>
      <c r="J31" s="201"/>
      <c r="K31" s="200">
        <f>(I31*J31)+I31</f>
        <v>0</v>
      </c>
      <c r="L31" s="201"/>
      <c r="M31" s="200">
        <f>(K31*L31)+K31</f>
        <v>0</v>
      </c>
      <c r="N31" s="201"/>
      <c r="O31" s="200">
        <f>(M31*N31)+M31</f>
        <v>0</v>
      </c>
      <c r="P31" s="201"/>
      <c r="Q31" s="200">
        <f>(O31*P31)+O31</f>
        <v>0</v>
      </c>
    </row>
    <row r="32" spans="1:17" ht="15" customHeight="1">
      <c r="A32" s="291" t="s">
        <v>79</v>
      </c>
      <c r="B32" s="291"/>
      <c r="C32" s="291"/>
      <c r="D32" s="204" t="e">
        <f>E32/$E$35</f>
        <v>#DIV/0!</v>
      </c>
      <c r="E32" s="203">
        <v>0</v>
      </c>
      <c r="G32" s="196"/>
      <c r="H32" s="196"/>
      <c r="I32" s="202">
        <f>(E32*H32)+E32</f>
        <v>0</v>
      </c>
      <c r="J32" s="201"/>
      <c r="K32" s="200">
        <f>(I32*J32)+I32</f>
        <v>0</v>
      </c>
      <c r="L32" s="201"/>
      <c r="M32" s="200">
        <f>(K32*L32)+K32</f>
        <v>0</v>
      </c>
      <c r="N32" s="201"/>
      <c r="O32" s="200">
        <f>(M32*N32)+M32</f>
        <v>0</v>
      </c>
      <c r="P32" s="201"/>
      <c r="Q32" s="200">
        <f>(O32*P32)+O32</f>
        <v>0</v>
      </c>
    </row>
    <row r="33" spans="1:17" ht="15" customHeight="1">
      <c r="A33" s="285" t="s">
        <v>83</v>
      </c>
      <c r="B33" s="285"/>
      <c r="C33" s="285"/>
      <c r="D33" s="138"/>
      <c r="E33" s="139">
        <f>SUM(E29:E32)</f>
        <v>0</v>
      </c>
      <c r="G33" s="196"/>
      <c r="H33" s="196"/>
      <c r="I33" s="139">
        <f>SUM(I29:I32)</f>
        <v>0</v>
      </c>
      <c r="J33" s="196"/>
      <c r="K33" s="139">
        <f>SUM(K29:K32)</f>
        <v>0</v>
      </c>
      <c r="L33" s="196"/>
      <c r="M33" s="139">
        <f>SUM(M29:M32)</f>
        <v>0</v>
      </c>
      <c r="N33" s="196"/>
      <c r="O33" s="139">
        <f>SUM(O29:O32)</f>
        <v>0</v>
      </c>
      <c r="P33" s="196"/>
      <c r="Q33" s="139">
        <f>SUM(Q29:Q32)</f>
        <v>0</v>
      </c>
    </row>
    <row r="34" spans="1:17" ht="15" customHeight="1">
      <c r="A34" s="21"/>
      <c r="B34" s="21"/>
      <c r="C34" s="21"/>
      <c r="D34" s="22"/>
      <c r="E34" s="24"/>
      <c r="H34" s="196"/>
      <c r="I34" s="196"/>
      <c r="J34" s="196"/>
      <c r="K34" s="196"/>
      <c r="L34" s="196"/>
      <c r="M34" s="196"/>
      <c r="N34" s="196"/>
      <c r="O34" s="196"/>
      <c r="P34" s="196"/>
      <c r="Q34" s="196"/>
    </row>
    <row r="35" spans="1:17" ht="26.25" customHeight="1">
      <c r="A35" s="303" t="s">
        <v>102</v>
      </c>
      <c r="B35" s="304"/>
      <c r="C35" s="304"/>
      <c r="D35" s="305"/>
      <c r="E35" s="137">
        <f>E33+E26+E18+E10</f>
        <v>0</v>
      </c>
      <c r="G35" s="28"/>
      <c r="H35" s="196"/>
      <c r="I35" s="137">
        <f>I33+I26+I18+I10</f>
        <v>0</v>
      </c>
      <c r="J35" s="196"/>
      <c r="K35" s="137">
        <f>K33+K26+K18+K10</f>
        <v>0</v>
      </c>
      <c r="L35" s="196"/>
      <c r="M35" s="137">
        <f>M33+M26+M18+M10</f>
        <v>0</v>
      </c>
      <c r="N35" s="196"/>
      <c r="O35" s="137">
        <f>O33+O26+O18+O10</f>
        <v>0</v>
      </c>
      <c r="P35" s="196"/>
      <c r="Q35" s="137">
        <f>Q33+Q26+Q18+Q10</f>
        <v>0</v>
      </c>
    </row>
    <row r="36" spans="1:17" ht="15" customHeight="1">
      <c r="D36" s="19"/>
      <c r="E36" s="20"/>
    </row>
    <row r="37" spans="1:17" ht="26.25" customHeight="1">
      <c r="A37" s="92" t="s">
        <v>86</v>
      </c>
      <c r="B37" s="93"/>
      <c r="C37" s="91" t="s">
        <v>101</v>
      </c>
      <c r="D37" s="91" t="s">
        <v>99</v>
      </c>
      <c r="E37" s="91" t="s">
        <v>100</v>
      </c>
      <c r="H37" s="91" t="s">
        <v>394</v>
      </c>
      <c r="I37" s="199" t="e">
        <f>(I35/E35)-100%</f>
        <v>#DIV/0!</v>
      </c>
      <c r="J37" s="91"/>
      <c r="K37" s="199" t="e">
        <f>(K35/I35)-100%</f>
        <v>#DIV/0!</v>
      </c>
      <c r="L37" s="91"/>
      <c r="M37" s="199" t="e">
        <f>(M35/K35)-100%</f>
        <v>#DIV/0!</v>
      </c>
      <c r="N37" s="91"/>
      <c r="O37" s="199" t="e">
        <f>(O35/M35)-100%</f>
        <v>#DIV/0!</v>
      </c>
      <c r="P37" s="91"/>
      <c r="Q37" s="199" t="e">
        <f>(Q35/O35)-100%</f>
        <v>#DIV/0!</v>
      </c>
    </row>
    <row r="38" spans="1:17" ht="15" customHeight="1">
      <c r="A38" s="196" t="s">
        <v>88</v>
      </c>
      <c r="B38" s="196" t="s">
        <v>94</v>
      </c>
      <c r="C38" s="25">
        <v>0</v>
      </c>
      <c r="D38" s="26">
        <f>SUM($E$10,$E$18,$E$26,$E$33)+(C38*($E$18+$E$10))</f>
        <v>0</v>
      </c>
      <c r="E38" s="27">
        <f>D38*121%</f>
        <v>0</v>
      </c>
      <c r="F38" s="28"/>
      <c r="H38" s="196"/>
      <c r="I38" s="12" t="e">
        <f>(D38*$I$37)+D38</f>
        <v>#DIV/0!</v>
      </c>
      <c r="J38" s="196"/>
      <c r="K38" s="12" t="e">
        <f>(I38*$K$37)+I38</f>
        <v>#DIV/0!</v>
      </c>
      <c r="L38" s="196"/>
      <c r="M38" s="12" t="e">
        <f>(K38*$M$37)+K38</f>
        <v>#DIV/0!</v>
      </c>
      <c r="N38" s="196"/>
      <c r="O38" s="12" t="e">
        <f>(M38*$O$37)+M38</f>
        <v>#DIV/0!</v>
      </c>
      <c r="P38" s="196"/>
      <c r="Q38" s="12" t="e">
        <f>(O38*$Q$37)+O38</f>
        <v>#DIV/0!</v>
      </c>
    </row>
    <row r="39" spans="1:17" ht="15" customHeight="1">
      <c r="A39" s="196" t="s">
        <v>93</v>
      </c>
      <c r="B39" s="196" t="s">
        <v>95</v>
      </c>
      <c r="C39" s="25">
        <v>0.3</v>
      </c>
      <c r="D39" s="26">
        <f>SUM($E$10,$E$18,$E$26,$E$33)+(C39*($E$18+$E$10))</f>
        <v>0</v>
      </c>
      <c r="E39" s="27">
        <f>D39*121%</f>
        <v>0</v>
      </c>
      <c r="F39" s="28"/>
      <c r="H39" s="12"/>
      <c r="I39" s="12" t="e">
        <f>(D39*$I$37)+D39</f>
        <v>#DIV/0!</v>
      </c>
      <c r="J39" s="196"/>
      <c r="K39" s="12" t="e">
        <f>(I39*$K$37)+I39</f>
        <v>#DIV/0!</v>
      </c>
      <c r="L39" s="196"/>
      <c r="M39" s="12" t="e">
        <f>(K39*$M$37)+K39</f>
        <v>#DIV/0!</v>
      </c>
      <c r="N39" s="196"/>
      <c r="O39" s="12" t="e">
        <f>(M39*$O$37)+M39</f>
        <v>#DIV/0!</v>
      </c>
      <c r="P39" s="196"/>
      <c r="Q39" s="12" t="e">
        <f>(O39*$Q$37)+O39</f>
        <v>#DIV/0!</v>
      </c>
    </row>
    <row r="40" spans="1:17" ht="15" customHeight="1">
      <c r="A40" s="196" t="s">
        <v>24</v>
      </c>
      <c r="B40" s="196" t="s">
        <v>96</v>
      </c>
      <c r="C40" s="25">
        <v>0.5</v>
      </c>
      <c r="D40" s="26">
        <f>SUM($E$10,$E$18,$E$26,$E$33)+(C40*($E$18+$E$10))</f>
        <v>0</v>
      </c>
      <c r="E40" s="27">
        <f>D40*121%</f>
        <v>0</v>
      </c>
      <c r="F40" s="28"/>
      <c r="H40" s="196"/>
      <c r="I40" s="12" t="e">
        <f>(D40*$I$37)+D40</f>
        <v>#DIV/0!</v>
      </c>
      <c r="J40" s="196"/>
      <c r="K40" s="12" t="e">
        <f>(I40*$K$37)+I40</f>
        <v>#DIV/0!</v>
      </c>
      <c r="L40" s="196"/>
      <c r="M40" s="12" t="e">
        <f>(K40*$M$37)+K40</f>
        <v>#DIV/0!</v>
      </c>
      <c r="N40" s="196"/>
      <c r="O40" s="12" t="e">
        <f>(M40*$O$37)+M40</f>
        <v>#DIV/0!</v>
      </c>
      <c r="P40" s="196"/>
      <c r="Q40" s="12" t="e">
        <f>(O40*$Q$37)+O40</f>
        <v>#DIV/0!</v>
      </c>
    </row>
    <row r="41" spans="1:17" ht="15" customHeight="1">
      <c r="A41" s="196" t="s">
        <v>97</v>
      </c>
      <c r="B41" s="198" t="s">
        <v>98</v>
      </c>
      <c r="C41" s="25">
        <v>1.5</v>
      </c>
      <c r="D41" s="26">
        <f>SUM($E$10,$E$18,$E$26,$E$33)+(C41*($E$18+$E$10))</f>
        <v>0</v>
      </c>
      <c r="E41" s="27">
        <f>D41*121%</f>
        <v>0</v>
      </c>
      <c r="F41" s="28"/>
      <c r="H41" s="196"/>
      <c r="I41" s="12" t="e">
        <f>(D41*$I$37)+D41</f>
        <v>#DIV/0!</v>
      </c>
      <c r="J41" s="196"/>
      <c r="K41" s="12" t="e">
        <f>(I41*$K$37)+I41</f>
        <v>#DIV/0!</v>
      </c>
      <c r="L41" s="196"/>
      <c r="M41" s="12" t="e">
        <f>(K41*$M$37)+K41</f>
        <v>#DIV/0!</v>
      </c>
      <c r="N41" s="196"/>
      <c r="O41" s="12" t="e">
        <f>(M41*$O$37)+M41</f>
        <v>#DIV/0!</v>
      </c>
      <c r="P41" s="196"/>
      <c r="Q41" s="12" t="e">
        <f>(O41*$Q$37)+O41</f>
        <v>#DIV/0!</v>
      </c>
    </row>
    <row r="42" spans="1:17" ht="15" customHeight="1">
      <c r="E42" s="4"/>
    </row>
    <row r="43" spans="1:17" ht="15" customHeight="1">
      <c r="E43" s="4"/>
    </row>
    <row r="44" spans="1:17" ht="15" customHeight="1">
      <c r="E44" s="4"/>
    </row>
    <row r="45" spans="1:17" ht="15" customHeight="1">
      <c r="E45" s="4"/>
    </row>
    <row r="46" spans="1:17" ht="15" customHeight="1">
      <c r="E46" s="4"/>
    </row>
    <row r="47" spans="1:17" ht="15" customHeight="1">
      <c r="E47" s="4"/>
    </row>
    <row r="48" spans="1:17" ht="15" customHeight="1">
      <c r="E48" s="4"/>
    </row>
    <row r="49" spans="5:5" ht="15" customHeight="1">
      <c r="E49" s="4"/>
    </row>
    <row r="50" spans="5:5" ht="15" customHeight="1">
      <c r="E50" s="4"/>
    </row>
    <row r="51" spans="5:5" ht="15" customHeight="1">
      <c r="E51" s="4"/>
    </row>
    <row r="52" spans="5:5" ht="15" customHeight="1">
      <c r="E52" s="4"/>
    </row>
    <row r="53" spans="5:5" ht="15" customHeight="1">
      <c r="E53" s="4"/>
    </row>
    <row r="54" spans="5:5" ht="15" customHeight="1">
      <c r="E54" s="4"/>
    </row>
    <row r="55" spans="5:5" ht="15" customHeight="1">
      <c r="E55" s="4"/>
    </row>
    <row r="56" spans="5:5" ht="15" customHeight="1">
      <c r="E56" s="4"/>
    </row>
    <row r="57" spans="5:5" ht="15" customHeight="1">
      <c r="E57" s="4"/>
    </row>
    <row r="58" spans="5:5" ht="15" customHeight="1">
      <c r="E58" s="4"/>
    </row>
    <row r="59" spans="5:5" ht="15" customHeight="1">
      <c r="E59" s="4"/>
    </row>
    <row r="60" spans="5:5" ht="15" customHeight="1">
      <c r="E60" s="4"/>
    </row>
  </sheetData>
  <mergeCells count="36">
    <mergeCell ref="A35:D35"/>
    <mergeCell ref="A14:C14"/>
    <mergeCell ref="A24:C24"/>
    <mergeCell ref="A31:C31"/>
    <mergeCell ref="A25:C25"/>
    <mergeCell ref="A28:C28"/>
    <mergeCell ref="A33:C33"/>
    <mergeCell ref="A26:C26"/>
    <mergeCell ref="A29:C29"/>
    <mergeCell ref="A30:C30"/>
    <mergeCell ref="A15:C15"/>
    <mergeCell ref="A16:C16"/>
    <mergeCell ref="A17:C17"/>
    <mergeCell ref="A32:C32"/>
    <mergeCell ref="A21:C21"/>
    <mergeCell ref="A23:C23"/>
    <mergeCell ref="A20:C20"/>
    <mergeCell ref="A7:B7"/>
    <mergeCell ref="A22:C22"/>
    <mergeCell ref="A10:C10"/>
    <mergeCell ref="G2:Q2"/>
    <mergeCell ref="J3:K3"/>
    <mergeCell ref="L3:M3"/>
    <mergeCell ref="N3:O3"/>
    <mergeCell ref="P3:Q3"/>
    <mergeCell ref="H3:I3"/>
    <mergeCell ref="A1:E1"/>
    <mergeCell ref="A18:C18"/>
    <mergeCell ref="A2:E2"/>
    <mergeCell ref="A4:B4"/>
    <mergeCell ref="A12:C12"/>
    <mergeCell ref="A13:C13"/>
    <mergeCell ref="A5:B5"/>
    <mergeCell ref="A9:C9"/>
    <mergeCell ref="A8:B8"/>
    <mergeCell ref="A6:B6"/>
  </mergeCells>
  <conditionalFormatting sqref="E9">
    <cfRule type="containsText" dxfId="8" priority="1" operator="containsText" text="geen">
      <formula>NOT(ISERROR(SEARCH("geen",E9)))</formula>
    </cfRule>
  </conditionalFormatting>
  <pageMargins left="0.27559055118110237" right="0.31496062992125984" top="1.5748031496062993" bottom="0.55118110236220474" header="0.51181102362204722" footer="0.51181102362204722"/>
  <pageSetup paperSize="9" scale="63" orientation="portrait" r:id="rId1"/>
  <headerFooter alignWithMargins="0">
    <oddFooter>&amp;L&amp;F&amp;C&amp;D&amp;R&amp;A</oddFooter>
  </headerFooter>
  <colBreaks count="1" manualBreakCount="1">
    <brk id="6" max="4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A1:S10"/>
  <sheetViews>
    <sheetView view="pageBreakPreview" zoomScaleNormal="100" zoomScaleSheetLayoutView="100" workbookViewId="0">
      <selection activeCell="B1" sqref="B1"/>
    </sheetView>
  </sheetViews>
  <sheetFormatPr defaultRowHeight="12.75"/>
  <cols>
    <col min="1" max="1" width="6" style="136" customWidth="1"/>
    <col min="2" max="2" width="11.5703125" style="136" customWidth="1"/>
    <col min="3" max="3" width="10.42578125" style="136" bestFit="1" customWidth="1"/>
    <col min="4" max="4" width="11.28515625" style="136" bestFit="1" customWidth="1"/>
    <col min="5" max="5" width="15.42578125" style="136" bestFit="1" customWidth="1"/>
    <col min="6" max="6" width="14" style="176" bestFit="1" customWidth="1"/>
    <col min="7" max="7" width="15.7109375" style="176" customWidth="1"/>
    <col min="8" max="8" width="19.5703125" style="136" bestFit="1" customWidth="1"/>
    <col min="9" max="9" width="12.5703125" style="176" bestFit="1" customWidth="1"/>
    <col min="10" max="10" width="11.28515625" style="176" bestFit="1" customWidth="1"/>
    <col min="11" max="11" width="9" style="136" bestFit="1" customWidth="1"/>
    <col min="12" max="12" width="12.28515625" style="136" hidden="1" customWidth="1"/>
    <col min="13" max="13" width="10.7109375" style="136" hidden="1" customWidth="1"/>
    <col min="14" max="14" width="11.7109375" style="136" hidden="1" customWidth="1"/>
    <col min="15" max="15" width="14.140625" style="136" bestFit="1" customWidth="1"/>
    <col min="16" max="16" width="17.7109375" style="136" hidden="1" customWidth="1"/>
    <col min="17" max="17" width="15.85546875" style="176" bestFit="1" customWidth="1"/>
    <col min="18" max="18" width="14" style="136" bestFit="1" customWidth="1"/>
    <col min="19" max="19" width="14.42578125" hidden="1" customWidth="1"/>
  </cols>
  <sheetData>
    <row r="1" spans="1:19" ht="45" customHeight="1">
      <c r="A1" s="260" t="s">
        <v>445</v>
      </c>
      <c r="B1" s="207" t="s">
        <v>257</v>
      </c>
      <c r="C1" s="207" t="s">
        <v>417</v>
      </c>
      <c r="D1" s="207" t="s">
        <v>258</v>
      </c>
      <c r="E1" s="207" t="s">
        <v>259</v>
      </c>
      <c r="F1" s="259" t="s">
        <v>260</v>
      </c>
      <c r="G1" s="258" t="s">
        <v>443</v>
      </c>
      <c r="H1" s="207" t="s">
        <v>221</v>
      </c>
      <c r="I1" s="207" t="s">
        <v>261</v>
      </c>
      <c r="J1" s="207" t="s">
        <v>262</v>
      </c>
      <c r="K1" s="207" t="s">
        <v>263</v>
      </c>
      <c r="L1" s="207" t="s">
        <v>264</v>
      </c>
      <c r="M1" s="207" t="s">
        <v>265</v>
      </c>
      <c r="N1" s="207" t="s">
        <v>266</v>
      </c>
      <c r="O1" s="258" t="s">
        <v>444</v>
      </c>
      <c r="P1" s="207" t="s">
        <v>267</v>
      </c>
      <c r="Q1" s="207" t="s">
        <v>268</v>
      </c>
      <c r="R1" s="207" t="s">
        <v>145</v>
      </c>
      <c r="S1" s="207" t="s">
        <v>427</v>
      </c>
    </row>
    <row r="2" spans="1:19">
      <c r="A2" s="275">
        <v>1</v>
      </c>
      <c r="B2" s="227">
        <v>28906</v>
      </c>
      <c r="C2" s="227">
        <v>44063</v>
      </c>
      <c r="D2" s="227"/>
      <c r="E2" s="228" t="s">
        <v>901</v>
      </c>
      <c r="F2" s="276">
        <v>12.5</v>
      </c>
      <c r="G2" s="227">
        <v>44063</v>
      </c>
      <c r="H2" s="228" t="s">
        <v>903</v>
      </c>
      <c r="I2" s="170" t="s">
        <v>904</v>
      </c>
      <c r="J2" s="170">
        <v>1</v>
      </c>
      <c r="K2" s="277">
        <v>12.87</v>
      </c>
      <c r="L2" s="229"/>
      <c r="M2" s="229"/>
      <c r="N2" s="239"/>
      <c r="O2" s="229"/>
      <c r="P2" s="241"/>
      <c r="Q2" s="170" t="s">
        <v>905</v>
      </c>
      <c r="R2" s="230" t="s">
        <v>449</v>
      </c>
      <c r="S2" s="242"/>
    </row>
    <row r="3" spans="1:19">
      <c r="A3" s="275">
        <v>2</v>
      </c>
      <c r="B3" s="227">
        <v>27865</v>
      </c>
      <c r="C3" s="227">
        <v>41023</v>
      </c>
      <c r="D3" s="227"/>
      <c r="E3" s="228" t="s">
        <v>902</v>
      </c>
      <c r="F3" s="276">
        <v>12.5</v>
      </c>
      <c r="G3" s="227">
        <v>41023</v>
      </c>
      <c r="H3" s="228" t="s">
        <v>903</v>
      </c>
      <c r="I3" s="170" t="s">
        <v>904</v>
      </c>
      <c r="J3" s="170">
        <v>1</v>
      </c>
      <c r="K3" s="277">
        <v>12.86</v>
      </c>
      <c r="L3" s="229"/>
      <c r="M3" s="229"/>
      <c r="N3" s="239"/>
      <c r="O3" s="229"/>
      <c r="P3" s="241"/>
      <c r="Q3" s="170" t="s">
        <v>906</v>
      </c>
      <c r="R3" s="230" t="s">
        <v>449</v>
      </c>
      <c r="S3" s="242"/>
    </row>
    <row r="4" spans="1:19">
      <c r="A4" s="275">
        <v>3</v>
      </c>
      <c r="B4" s="227">
        <v>27396</v>
      </c>
      <c r="C4" s="227">
        <v>41036</v>
      </c>
      <c r="D4" s="227"/>
      <c r="E4" s="228" t="s">
        <v>902</v>
      </c>
      <c r="F4" s="276">
        <v>12.5</v>
      </c>
      <c r="G4" s="227">
        <v>41036</v>
      </c>
      <c r="H4" s="228" t="s">
        <v>903</v>
      </c>
      <c r="I4" s="170" t="s">
        <v>904</v>
      </c>
      <c r="J4" s="170">
        <v>1</v>
      </c>
      <c r="K4" s="277">
        <v>12.86</v>
      </c>
      <c r="L4" s="229"/>
      <c r="M4" s="229"/>
      <c r="N4" s="239"/>
      <c r="O4" s="229"/>
      <c r="P4" s="241"/>
      <c r="Q4" s="170" t="s">
        <v>906</v>
      </c>
      <c r="R4" s="230" t="s">
        <v>449</v>
      </c>
      <c r="S4" s="242"/>
    </row>
    <row r="5" spans="1:19">
      <c r="A5" s="275">
        <v>4</v>
      </c>
      <c r="B5" s="227">
        <v>28380</v>
      </c>
      <c r="C5" s="227">
        <v>44063</v>
      </c>
      <c r="D5" s="227"/>
      <c r="E5" s="228" t="s">
        <v>901</v>
      </c>
      <c r="F5" s="276">
        <v>12.5</v>
      </c>
      <c r="G5" s="227">
        <v>44063</v>
      </c>
      <c r="H5" s="228" t="s">
        <v>903</v>
      </c>
      <c r="I5" s="170" t="s">
        <v>904</v>
      </c>
      <c r="J5" s="170">
        <v>1</v>
      </c>
      <c r="K5" s="277">
        <v>12.87</v>
      </c>
      <c r="L5" s="229"/>
      <c r="M5" s="229"/>
      <c r="N5" s="239"/>
      <c r="O5" s="229"/>
      <c r="P5" s="240"/>
      <c r="Q5" s="170" t="s">
        <v>906</v>
      </c>
      <c r="R5" s="230" t="s">
        <v>449</v>
      </c>
      <c r="S5" s="242"/>
    </row>
    <row r="6" spans="1:19">
      <c r="A6" s="275">
        <v>5</v>
      </c>
      <c r="B6" s="227">
        <v>30983</v>
      </c>
      <c r="C6" s="227">
        <v>40800</v>
      </c>
      <c r="D6" s="227"/>
      <c r="E6" s="228" t="s">
        <v>902</v>
      </c>
      <c r="F6" s="276">
        <v>12.5</v>
      </c>
      <c r="G6" s="227">
        <v>40800</v>
      </c>
      <c r="H6" s="228" t="s">
        <v>903</v>
      </c>
      <c r="I6" s="170" t="s">
        <v>904</v>
      </c>
      <c r="J6" s="170">
        <v>1</v>
      </c>
      <c r="K6" s="277">
        <v>12.86</v>
      </c>
      <c r="L6" s="229"/>
      <c r="M6" s="229"/>
      <c r="N6" s="239"/>
      <c r="O6" s="229"/>
      <c r="P6" s="240"/>
      <c r="Q6" s="170" t="s">
        <v>906</v>
      </c>
      <c r="R6" s="230" t="s">
        <v>449</v>
      </c>
      <c r="S6" s="242"/>
    </row>
    <row r="7" spans="1:19">
      <c r="A7" s="275">
        <v>6</v>
      </c>
      <c r="B7" s="227">
        <v>25478</v>
      </c>
      <c r="C7" s="227">
        <v>40851</v>
      </c>
      <c r="D7" s="227"/>
      <c r="E7" s="228" t="s">
        <v>902</v>
      </c>
      <c r="F7" s="276">
        <v>12.5</v>
      </c>
      <c r="G7" s="227">
        <v>40851</v>
      </c>
      <c r="H7" s="228" t="s">
        <v>903</v>
      </c>
      <c r="I7" s="170" t="s">
        <v>904</v>
      </c>
      <c r="J7" s="170">
        <v>1</v>
      </c>
      <c r="K7" s="277">
        <v>12.86</v>
      </c>
      <c r="L7" s="229"/>
      <c r="M7" s="229"/>
      <c r="N7" s="239"/>
      <c r="O7" s="229"/>
      <c r="P7" s="240"/>
      <c r="Q7" s="170" t="s">
        <v>906</v>
      </c>
      <c r="R7" s="230" t="s">
        <v>449</v>
      </c>
      <c r="S7" s="242"/>
    </row>
    <row r="8" spans="1:19">
      <c r="A8" s="275">
        <v>7</v>
      </c>
      <c r="B8" s="227">
        <v>26636</v>
      </c>
      <c r="C8" s="227">
        <v>40851</v>
      </c>
      <c r="D8" s="227"/>
      <c r="E8" s="228" t="s">
        <v>902</v>
      </c>
      <c r="F8" s="276">
        <v>12.5</v>
      </c>
      <c r="G8" s="227">
        <v>40851</v>
      </c>
      <c r="H8" s="228" t="s">
        <v>903</v>
      </c>
      <c r="I8" s="170" t="s">
        <v>904</v>
      </c>
      <c r="J8" s="170">
        <v>1</v>
      </c>
      <c r="K8" s="277">
        <v>12.86</v>
      </c>
      <c r="L8" s="229"/>
      <c r="M8" s="229"/>
      <c r="N8" s="239"/>
      <c r="O8" s="229"/>
      <c r="P8" s="240"/>
      <c r="Q8" s="170" t="s">
        <v>906</v>
      </c>
      <c r="R8" s="230" t="s">
        <v>449</v>
      </c>
      <c r="S8" s="242"/>
    </row>
    <row r="9" spans="1:19">
      <c r="A9" s="275">
        <v>8</v>
      </c>
      <c r="B9" s="227">
        <v>24641</v>
      </c>
      <c r="C9" s="227">
        <v>40878</v>
      </c>
      <c r="D9" s="227"/>
      <c r="E9" s="228" t="s">
        <v>902</v>
      </c>
      <c r="F9" s="276">
        <v>12.5</v>
      </c>
      <c r="G9" s="227">
        <v>40878</v>
      </c>
      <c r="H9" s="228" t="s">
        <v>903</v>
      </c>
      <c r="I9" s="170" t="s">
        <v>904</v>
      </c>
      <c r="J9" s="170">
        <v>1</v>
      </c>
      <c r="K9" s="277">
        <v>12.86</v>
      </c>
      <c r="L9" s="229"/>
      <c r="M9" s="229"/>
      <c r="N9" s="239"/>
      <c r="O9" s="229"/>
      <c r="P9" s="240"/>
      <c r="Q9" s="170" t="s">
        <v>906</v>
      </c>
      <c r="R9" s="230" t="s">
        <v>449</v>
      </c>
      <c r="S9" s="242"/>
    </row>
    <row r="10" spans="1:19">
      <c r="A10" s="275">
        <v>9</v>
      </c>
      <c r="B10" s="227">
        <v>21978</v>
      </c>
      <c r="C10" s="227">
        <v>41158</v>
      </c>
      <c r="D10" s="227"/>
      <c r="E10" s="228" t="s">
        <v>902</v>
      </c>
      <c r="F10" s="276">
        <v>12.5</v>
      </c>
      <c r="G10" s="227">
        <v>41158</v>
      </c>
      <c r="H10" s="228" t="s">
        <v>903</v>
      </c>
      <c r="I10" s="170" t="s">
        <v>904</v>
      </c>
      <c r="J10" s="170">
        <v>1</v>
      </c>
      <c r="K10" s="277">
        <v>12.86</v>
      </c>
      <c r="L10" s="229"/>
      <c r="M10" s="229"/>
      <c r="N10" s="239"/>
      <c r="O10" s="229"/>
      <c r="P10" s="240"/>
      <c r="Q10" s="170" t="s">
        <v>906</v>
      </c>
      <c r="R10" s="230" t="s">
        <v>449</v>
      </c>
      <c r="S10" s="242"/>
    </row>
  </sheetData>
  <autoFilter ref="A1:R1" xr:uid="{A5DEB281-D80A-47A4-985E-227C43A487FC}"/>
  <pageMargins left="0.7" right="0.7" top="0.75" bottom="0.75" header="0.3" footer="0.3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1">
    <tabColor theme="0" tint="-0.14999847407452621"/>
    <pageSetUpPr fitToPage="1"/>
  </sheetPr>
  <dimension ref="A1:T159"/>
  <sheetViews>
    <sheetView view="pageBreakPreview" zoomScaleNormal="100" zoomScaleSheetLayoutView="100" workbookViewId="0">
      <selection activeCell="C15" sqref="C15"/>
    </sheetView>
  </sheetViews>
  <sheetFormatPr defaultColWidth="14.140625" defaultRowHeight="15" customHeight="1"/>
  <cols>
    <col min="1" max="1" width="14.140625" style="5"/>
    <col min="2" max="2" width="44.85546875" style="2" customWidth="1"/>
    <col min="3" max="3" width="14.140625" style="2"/>
    <col min="4" max="4" width="32.5703125" style="7" customWidth="1"/>
    <col min="5" max="5" width="12.140625" style="2" bestFit="1" customWidth="1"/>
    <col min="6" max="6" width="30.28515625" style="2" customWidth="1"/>
    <col min="7" max="7" width="14.140625" style="2"/>
    <col min="8" max="8" width="14.140625" style="6"/>
    <col min="9" max="9" width="14.140625" style="2"/>
    <col min="10" max="10" width="14.140625" style="5"/>
    <col min="11" max="15" width="14.140625" style="1"/>
    <col min="16" max="16384" width="14.140625" style="2"/>
  </cols>
  <sheetData>
    <row r="1" spans="1:17" s="9" customFormat="1" ht="24" customHeight="1">
      <c r="A1" s="312" t="s">
        <v>120</v>
      </c>
      <c r="B1" s="312"/>
      <c r="C1" s="312"/>
      <c r="D1" s="312"/>
      <c r="E1" s="312"/>
      <c r="F1" s="312"/>
      <c r="G1" s="72"/>
      <c r="H1" s="72"/>
      <c r="I1" s="72"/>
      <c r="J1" s="72"/>
      <c r="K1" s="72"/>
      <c r="L1" s="72"/>
      <c r="M1" s="72"/>
    </row>
    <row r="2" spans="1:17" s="9" customFormat="1" ht="15" customHeight="1">
      <c r="A2" s="310" t="s">
        <v>216</v>
      </c>
      <c r="B2" s="311"/>
      <c r="C2" s="311"/>
      <c r="D2" s="311"/>
      <c r="E2" s="311"/>
      <c r="F2" s="311"/>
      <c r="G2" s="120"/>
      <c r="H2" s="120"/>
      <c r="I2" s="120"/>
      <c r="J2" s="120"/>
      <c r="K2" s="120"/>
      <c r="L2" s="120"/>
      <c r="M2" s="120"/>
      <c r="N2" s="120"/>
    </row>
    <row r="3" spans="1:17" s="63" customFormat="1" ht="15" customHeight="1">
      <c r="A3" s="64"/>
      <c r="E3" s="83"/>
      <c r="F3" s="83"/>
      <c r="I3" s="84"/>
      <c r="K3" s="85"/>
      <c r="L3" s="64"/>
      <c r="M3" s="64"/>
      <c r="N3" s="64"/>
      <c r="O3" s="64"/>
      <c r="P3" s="64"/>
    </row>
    <row r="4" spans="1:17" s="63" customFormat="1" ht="15" customHeight="1">
      <c r="A4" s="64"/>
      <c r="E4" s="83"/>
      <c r="F4" s="83"/>
      <c r="I4" s="84"/>
      <c r="K4" s="85"/>
      <c r="L4" s="64"/>
      <c r="M4" s="64"/>
      <c r="N4" s="64"/>
      <c r="O4" s="64"/>
      <c r="P4" s="64"/>
    </row>
    <row r="5" spans="1:17" s="63" customFormat="1" ht="26.25" customHeight="1">
      <c r="A5" s="86" t="s">
        <v>239</v>
      </c>
      <c r="B5" s="86"/>
      <c r="C5" s="86"/>
      <c r="D5" s="86"/>
      <c r="E5" s="78"/>
      <c r="F5" s="78"/>
      <c r="I5" s="84"/>
      <c r="K5" s="85"/>
      <c r="L5" s="64"/>
      <c r="M5" s="64"/>
      <c r="N5" s="64"/>
      <c r="O5" s="64"/>
      <c r="P5" s="64"/>
    </row>
    <row r="6" spans="1:17" s="63" customFormat="1" ht="26.25" customHeight="1" thickBot="1">
      <c r="A6" s="113" t="s">
        <v>34</v>
      </c>
      <c r="B6" s="114" t="s">
        <v>145</v>
      </c>
      <c r="C6" s="111" t="s">
        <v>108</v>
      </c>
      <c r="D6" s="115" t="s">
        <v>68</v>
      </c>
      <c r="E6" s="116" t="s">
        <v>67</v>
      </c>
      <c r="F6" s="4" t="s">
        <v>30</v>
      </c>
      <c r="I6" s="84"/>
      <c r="K6" s="85"/>
      <c r="L6" s="64"/>
      <c r="M6" s="64"/>
      <c r="N6" s="64"/>
      <c r="O6" s="64"/>
      <c r="P6" s="64"/>
    </row>
    <row r="7" spans="1:17" s="63" customFormat="1" ht="15" customHeight="1" thickTop="1">
      <c r="A7" s="169">
        <v>1</v>
      </c>
      <c r="B7" s="117" t="s">
        <v>449</v>
      </c>
      <c r="C7" s="112">
        <v>1</v>
      </c>
      <c r="D7" s="117" t="s">
        <v>448</v>
      </c>
      <c r="E7" s="117" t="s">
        <v>450</v>
      </c>
      <c r="F7" s="117" t="s">
        <v>451</v>
      </c>
      <c r="I7" s="84"/>
      <c r="K7" s="85"/>
      <c r="L7" s="64"/>
      <c r="M7" s="64"/>
      <c r="N7" s="64"/>
      <c r="O7" s="64"/>
      <c r="P7" s="64"/>
    </row>
    <row r="8" spans="1:17" s="63" customFormat="1" ht="15" customHeight="1">
      <c r="A8" s="190"/>
      <c r="B8" s="191"/>
      <c r="C8" s="191"/>
      <c r="D8" s="191"/>
      <c r="E8" s="192"/>
      <c r="F8" s="192"/>
      <c r="I8" s="84"/>
      <c r="K8" s="85"/>
      <c r="L8" s="64"/>
      <c r="M8" s="64"/>
      <c r="N8" s="64"/>
      <c r="O8" s="64"/>
      <c r="P8" s="64"/>
    </row>
    <row r="9" spans="1:17" s="63" customFormat="1" ht="15" customHeight="1">
      <c r="A9" s="95" t="s">
        <v>240</v>
      </c>
      <c r="B9" s="78"/>
      <c r="C9" s="78"/>
      <c r="D9" s="78"/>
      <c r="E9" s="83"/>
      <c r="F9" s="83"/>
      <c r="I9" s="84"/>
      <c r="K9" s="85"/>
      <c r="L9" s="64"/>
      <c r="M9" s="64"/>
      <c r="N9" s="64"/>
      <c r="O9" s="64"/>
      <c r="P9" s="64"/>
    </row>
    <row r="10" spans="1:17" s="63" customFormat="1" ht="15" customHeight="1">
      <c r="A10" s="94" t="s">
        <v>34</v>
      </c>
      <c r="B10" s="29" t="s">
        <v>106</v>
      </c>
      <c r="C10" s="8" t="s">
        <v>105</v>
      </c>
      <c r="D10" s="94" t="s">
        <v>208</v>
      </c>
      <c r="E10" s="83"/>
      <c r="F10" s="83"/>
      <c r="I10" s="84"/>
      <c r="K10" s="85"/>
      <c r="L10" s="64"/>
      <c r="M10" s="64"/>
      <c r="N10" s="64"/>
      <c r="O10" s="64"/>
      <c r="P10" s="64"/>
    </row>
    <row r="11" spans="1:17" s="63" customFormat="1" ht="15" customHeight="1">
      <c r="A11" s="30">
        <v>1</v>
      </c>
      <c r="B11" s="9" t="s">
        <v>59</v>
      </c>
      <c r="C11" s="96">
        <v>0</v>
      </c>
      <c r="D11" s="144" t="s">
        <v>233</v>
      </c>
      <c r="E11" s="83"/>
      <c r="F11" s="83"/>
      <c r="I11" s="84"/>
      <c r="K11" s="85"/>
      <c r="L11" s="64"/>
      <c r="M11" s="64"/>
      <c r="N11" s="64"/>
      <c r="O11" s="64"/>
      <c r="P11" s="64"/>
    </row>
    <row r="12" spans="1:17" s="63" customFormat="1" ht="15" customHeight="1">
      <c r="A12" s="30">
        <v>2</v>
      </c>
      <c r="B12" s="9" t="s">
        <v>60</v>
      </c>
      <c r="C12" s="96">
        <v>0</v>
      </c>
      <c r="D12" s="144" t="s">
        <v>236</v>
      </c>
      <c r="E12" s="83"/>
      <c r="F12" s="78"/>
      <c r="I12" s="84"/>
      <c r="K12" s="85"/>
      <c r="L12" s="64"/>
      <c r="M12" s="64"/>
      <c r="N12" s="64"/>
      <c r="O12" s="64"/>
      <c r="P12" s="64"/>
    </row>
    <row r="13" spans="1:17" s="63" customFormat="1" ht="11.25">
      <c r="A13" s="30">
        <v>3</v>
      </c>
      <c r="B13" s="9" t="s">
        <v>61</v>
      </c>
      <c r="C13" s="96">
        <v>0</v>
      </c>
      <c r="D13" s="144" t="s">
        <v>233</v>
      </c>
      <c r="E13" s="83"/>
      <c r="F13" s="65"/>
      <c r="I13" s="84"/>
      <c r="K13" s="85"/>
      <c r="L13" s="64"/>
      <c r="M13" s="64"/>
      <c r="N13" s="64"/>
      <c r="O13" s="64"/>
      <c r="P13" s="64"/>
    </row>
    <row r="14" spans="1:17" s="63" customFormat="1" ht="14.25" customHeight="1">
      <c r="A14" s="30">
        <v>4</v>
      </c>
      <c r="B14" s="9" t="s">
        <v>389</v>
      </c>
      <c r="C14" s="96">
        <v>0</v>
      </c>
      <c r="D14" s="144" t="s">
        <v>236</v>
      </c>
      <c r="E14" s="83"/>
      <c r="F14" s="78"/>
      <c r="I14" s="84"/>
      <c r="K14" s="85"/>
      <c r="L14" s="64"/>
      <c r="M14" s="64"/>
      <c r="N14" s="64"/>
      <c r="O14" s="64"/>
      <c r="P14" s="64"/>
    </row>
    <row r="15" spans="1:17" s="63" customFormat="1" ht="15" customHeight="1">
      <c r="A15" s="30">
        <v>5</v>
      </c>
      <c r="B15" s="9" t="s">
        <v>22</v>
      </c>
      <c r="C15" s="96">
        <v>0</v>
      </c>
      <c r="D15" s="144" t="s">
        <v>234</v>
      </c>
      <c r="E15" s="83"/>
      <c r="F15" s="78"/>
      <c r="I15" s="84"/>
      <c r="K15" s="85"/>
      <c r="L15" s="64"/>
      <c r="M15" s="64"/>
      <c r="N15" s="64"/>
      <c r="O15" s="64"/>
      <c r="P15" s="64"/>
    </row>
    <row r="16" spans="1:17" s="78" customFormat="1" ht="15" customHeight="1">
      <c r="A16" s="30">
        <v>6</v>
      </c>
      <c r="B16" s="9" t="s">
        <v>62</v>
      </c>
      <c r="C16" s="96">
        <v>0</v>
      </c>
      <c r="D16" s="144" t="s">
        <v>233</v>
      </c>
      <c r="E16" s="83"/>
      <c r="J16" s="87"/>
      <c r="O16" s="88"/>
      <c r="P16" s="88"/>
      <c r="Q16" s="88"/>
    </row>
    <row r="17" spans="1:18" s="31" customFormat="1" ht="15" customHeight="1">
      <c r="A17" s="30">
        <v>7</v>
      </c>
      <c r="B17" s="9" t="s">
        <v>40</v>
      </c>
      <c r="C17" s="96">
        <v>0</v>
      </c>
      <c r="D17" s="144" t="s">
        <v>233</v>
      </c>
      <c r="E17" s="83"/>
      <c r="F17" s="78"/>
      <c r="G17" s="65"/>
      <c r="H17" s="65"/>
      <c r="I17" s="65"/>
      <c r="J17" s="89"/>
      <c r="K17" s="65"/>
      <c r="L17" s="65"/>
      <c r="M17" s="65"/>
      <c r="N17" s="65"/>
      <c r="O17" s="122"/>
      <c r="P17" s="122"/>
      <c r="Q17" s="122"/>
      <c r="R17" s="122"/>
    </row>
    <row r="18" spans="1:18" s="4" customFormat="1" ht="15" customHeight="1">
      <c r="A18" s="30">
        <v>8</v>
      </c>
      <c r="B18" s="9" t="s">
        <v>420</v>
      </c>
      <c r="C18" s="96">
        <v>0</v>
      </c>
      <c r="D18" s="144" t="s">
        <v>235</v>
      </c>
      <c r="E18" s="83"/>
      <c r="F18" s="100"/>
      <c r="G18" s="78"/>
      <c r="H18" s="78"/>
      <c r="I18" s="78"/>
      <c r="J18" s="87"/>
      <c r="K18" s="78"/>
      <c r="L18" s="78"/>
      <c r="M18" s="78"/>
      <c r="N18" s="78"/>
      <c r="O18" s="88"/>
      <c r="P18" s="88"/>
      <c r="Q18" s="88"/>
      <c r="R18" s="88"/>
    </row>
    <row r="19" spans="1:18" s="4" customFormat="1" ht="15" customHeight="1">
      <c r="A19" s="30">
        <v>9</v>
      </c>
      <c r="B19" s="9" t="s">
        <v>251</v>
      </c>
      <c r="C19" s="96">
        <v>0</v>
      </c>
      <c r="D19" s="144" t="s">
        <v>233</v>
      </c>
      <c r="E19" s="83"/>
      <c r="F19" s="100"/>
      <c r="G19" s="78"/>
      <c r="H19" s="78"/>
      <c r="I19" s="78"/>
      <c r="J19" s="87"/>
      <c r="K19" s="78"/>
      <c r="L19" s="78"/>
      <c r="M19" s="78"/>
      <c r="N19" s="78"/>
      <c r="O19" s="88"/>
      <c r="P19" s="88"/>
      <c r="Q19" s="88"/>
      <c r="R19" s="88"/>
    </row>
    <row r="20" spans="1:18" s="4" customFormat="1" ht="15" customHeight="1">
      <c r="A20" s="30">
        <v>10</v>
      </c>
      <c r="B20" s="9" t="s">
        <v>63</v>
      </c>
      <c r="C20" s="96">
        <v>0</v>
      </c>
      <c r="D20" s="144" t="s">
        <v>233</v>
      </c>
      <c r="E20" s="83"/>
      <c r="F20" s="78"/>
      <c r="G20" s="78"/>
      <c r="H20" s="78"/>
      <c r="I20" s="78"/>
      <c r="J20" s="87"/>
      <c r="K20" s="78"/>
      <c r="L20" s="78"/>
      <c r="M20" s="78"/>
      <c r="N20" s="78"/>
      <c r="O20" s="88"/>
      <c r="P20" s="88"/>
      <c r="Q20" s="88"/>
      <c r="R20" s="88"/>
    </row>
    <row r="21" spans="1:18" s="4" customFormat="1" ht="15" customHeight="1">
      <c r="A21" s="30">
        <v>11</v>
      </c>
      <c r="B21" s="9" t="s">
        <v>433</v>
      </c>
      <c r="C21" s="96">
        <v>0</v>
      </c>
      <c r="D21" s="144" t="s">
        <v>235</v>
      </c>
      <c r="E21" s="83"/>
      <c r="F21" s="78"/>
      <c r="G21" s="78"/>
      <c r="H21" s="78"/>
      <c r="I21" s="78"/>
      <c r="J21" s="87"/>
      <c r="K21" s="78"/>
      <c r="L21" s="78"/>
      <c r="M21" s="78"/>
      <c r="N21" s="78"/>
      <c r="O21" s="88"/>
      <c r="P21" s="88"/>
      <c r="Q21" s="88"/>
      <c r="R21" s="88"/>
    </row>
    <row r="22" spans="1:18" s="4" customFormat="1" ht="15" customHeight="1">
      <c r="A22" s="30">
        <v>12</v>
      </c>
      <c r="B22" s="9" t="s">
        <v>390</v>
      </c>
      <c r="C22" s="96">
        <v>0</v>
      </c>
      <c r="D22" s="144" t="s">
        <v>233</v>
      </c>
      <c r="E22" s="83"/>
      <c r="F22" s="78"/>
      <c r="G22" s="100"/>
      <c r="H22" s="78"/>
      <c r="I22" s="78"/>
      <c r="J22" s="87"/>
      <c r="K22" s="78"/>
      <c r="L22" s="78"/>
      <c r="M22" s="78"/>
      <c r="N22" s="78"/>
      <c r="O22" s="88"/>
      <c r="P22" s="88"/>
      <c r="Q22" s="88"/>
      <c r="R22" s="88"/>
    </row>
    <row r="23" spans="1:18" s="4" customFormat="1" ht="15" customHeight="1">
      <c r="A23" s="30">
        <v>13</v>
      </c>
      <c r="B23" s="9" t="s">
        <v>434</v>
      </c>
      <c r="C23" s="96">
        <v>0</v>
      </c>
      <c r="D23" s="144" t="s">
        <v>233</v>
      </c>
      <c r="E23" s="83"/>
      <c r="F23" s="78"/>
      <c r="G23" s="100"/>
      <c r="H23" s="78"/>
      <c r="I23" s="78"/>
      <c r="J23" s="87"/>
      <c r="K23" s="78"/>
      <c r="L23" s="78"/>
      <c r="M23" s="78"/>
      <c r="N23" s="78"/>
      <c r="O23" s="88"/>
      <c r="P23" s="88"/>
      <c r="Q23" s="88"/>
      <c r="R23" s="88"/>
    </row>
    <row r="24" spans="1:18" s="4" customFormat="1" ht="15" customHeight="1">
      <c r="A24" s="30">
        <v>14</v>
      </c>
      <c r="B24" s="9" t="s">
        <v>391</v>
      </c>
      <c r="C24" s="96">
        <v>0</v>
      </c>
      <c r="D24" s="144" t="s">
        <v>233</v>
      </c>
      <c r="E24" s="83"/>
      <c r="F24" s="78"/>
      <c r="G24" s="78"/>
      <c r="H24" s="78"/>
      <c r="I24" s="87"/>
      <c r="J24" s="78"/>
      <c r="K24" s="78"/>
      <c r="L24" s="78"/>
      <c r="M24" s="78"/>
      <c r="N24" s="78"/>
      <c r="O24" s="88"/>
      <c r="P24" s="88"/>
      <c r="Q24" s="88"/>
      <c r="R24" s="78"/>
    </row>
    <row r="25" spans="1:18" s="4" customFormat="1" ht="15" customHeight="1">
      <c r="A25" s="30">
        <v>15</v>
      </c>
      <c r="B25" s="9" t="s">
        <v>64</v>
      </c>
      <c r="C25" s="96">
        <v>0</v>
      </c>
      <c r="D25" s="144" t="s">
        <v>233</v>
      </c>
      <c r="E25" s="83"/>
      <c r="F25" s="78"/>
      <c r="G25" s="78"/>
      <c r="H25" s="78"/>
      <c r="I25" s="78"/>
      <c r="J25" s="78"/>
      <c r="K25" s="78"/>
      <c r="L25" s="78"/>
      <c r="M25" s="78"/>
      <c r="N25" s="78"/>
      <c r="O25" s="88"/>
      <c r="P25" s="88"/>
      <c r="Q25" s="88"/>
      <c r="R25" s="78"/>
    </row>
    <row r="26" spans="1:18" s="4" customFormat="1" ht="15" customHeight="1">
      <c r="A26" s="30">
        <v>16</v>
      </c>
      <c r="B26" s="9" t="s">
        <v>392</v>
      </c>
      <c r="C26" s="96">
        <v>0</v>
      </c>
      <c r="D26" s="144" t="s">
        <v>235</v>
      </c>
      <c r="E26" s="83"/>
      <c r="F26" s="78"/>
      <c r="G26" s="78"/>
      <c r="H26" s="78"/>
      <c r="I26" s="78"/>
      <c r="J26" s="78"/>
      <c r="K26" s="78"/>
      <c r="L26" s="78"/>
      <c r="M26" s="78"/>
      <c r="N26" s="78"/>
      <c r="O26" s="88"/>
      <c r="P26" s="88"/>
      <c r="Q26" s="88"/>
      <c r="R26" s="78"/>
    </row>
    <row r="27" spans="1:18" s="4" customFormat="1" ht="15" customHeight="1">
      <c r="A27" s="30">
        <v>17</v>
      </c>
      <c r="B27" s="9" t="s">
        <v>419</v>
      </c>
      <c r="C27" s="96">
        <v>0</v>
      </c>
      <c r="D27" s="144" t="s">
        <v>233</v>
      </c>
      <c r="E27" s="83"/>
      <c r="F27" s="78"/>
      <c r="G27" s="78"/>
      <c r="H27" s="78"/>
      <c r="I27" s="78"/>
      <c r="J27" s="78"/>
      <c r="K27" s="78"/>
      <c r="L27" s="78"/>
      <c r="M27" s="78"/>
      <c r="N27" s="78"/>
      <c r="O27" s="88"/>
      <c r="P27" s="88"/>
      <c r="Q27" s="88"/>
      <c r="R27" s="78"/>
    </row>
    <row r="28" spans="1:18" s="4" customFormat="1" ht="15" customHeight="1">
      <c r="A28" s="30">
        <v>18</v>
      </c>
      <c r="B28" s="9" t="s">
        <v>393</v>
      </c>
      <c r="C28" s="96">
        <v>0</v>
      </c>
      <c r="D28" s="144" t="s">
        <v>237</v>
      </c>
      <c r="E28" s="83"/>
      <c r="F28" s="78"/>
      <c r="G28" s="78"/>
      <c r="H28" s="78"/>
      <c r="I28" s="78"/>
      <c r="J28" s="78"/>
      <c r="K28" s="78"/>
      <c r="L28" s="78"/>
      <c r="M28" s="78"/>
      <c r="N28" s="78"/>
      <c r="O28" s="88"/>
      <c r="P28" s="88"/>
      <c r="Q28" s="78"/>
      <c r="R28" s="78"/>
    </row>
    <row r="29" spans="1:18" s="4" customFormat="1" ht="15" customHeight="1">
      <c r="A29" s="30">
        <v>19</v>
      </c>
      <c r="B29" s="9" t="s">
        <v>65</v>
      </c>
      <c r="C29" s="96">
        <v>0</v>
      </c>
      <c r="D29" s="144" t="s">
        <v>233</v>
      </c>
      <c r="E29" s="83"/>
      <c r="F29" s="78"/>
      <c r="G29" s="78"/>
      <c r="H29" s="78"/>
      <c r="I29" s="78"/>
      <c r="J29" s="78"/>
      <c r="K29" s="78"/>
      <c r="L29" s="88"/>
      <c r="M29" s="88"/>
      <c r="N29" s="88"/>
      <c r="O29" s="88"/>
      <c r="P29" s="88"/>
      <c r="Q29" s="78"/>
      <c r="R29" s="78"/>
    </row>
    <row r="30" spans="1:18" s="4" customFormat="1" ht="15" customHeight="1">
      <c r="A30" s="30">
        <v>20</v>
      </c>
      <c r="B30" s="9" t="s">
        <v>441</v>
      </c>
      <c r="C30" s="96">
        <v>0</v>
      </c>
      <c r="D30" s="144" t="s">
        <v>235</v>
      </c>
      <c r="E30" s="83"/>
      <c r="F30" s="78"/>
      <c r="G30" s="78"/>
      <c r="H30" s="78"/>
      <c r="I30" s="78"/>
      <c r="J30" s="78"/>
      <c r="K30" s="78"/>
      <c r="L30" s="88"/>
      <c r="M30" s="88"/>
      <c r="N30" s="88"/>
      <c r="O30" s="88"/>
      <c r="P30" s="88"/>
      <c r="Q30" s="78"/>
      <c r="R30" s="78"/>
    </row>
    <row r="31" spans="1:18" s="4" customFormat="1" ht="15" customHeight="1">
      <c r="A31" s="163">
        <v>21</v>
      </c>
      <c r="B31" s="9" t="s">
        <v>66</v>
      </c>
      <c r="C31" s="97"/>
      <c r="D31" s="144" t="s">
        <v>66</v>
      </c>
      <c r="E31" s="83"/>
      <c r="F31" s="78"/>
      <c r="G31" s="78"/>
      <c r="H31" s="78"/>
      <c r="I31" s="78"/>
      <c r="J31" s="78"/>
      <c r="K31" s="78"/>
      <c r="L31" s="88"/>
      <c r="M31" s="88"/>
      <c r="N31" s="88"/>
      <c r="O31" s="88"/>
      <c r="P31" s="88"/>
      <c r="Q31" s="78"/>
      <c r="R31" s="78"/>
    </row>
    <row r="32" spans="1:18" s="4" customFormat="1" ht="15" customHeight="1">
      <c r="A32" s="78"/>
      <c r="B32" s="78"/>
      <c r="C32" s="78"/>
      <c r="D32" s="78"/>
      <c r="E32" s="100"/>
      <c r="F32" s="78"/>
      <c r="G32" s="78"/>
      <c r="H32" s="78"/>
      <c r="I32" s="78"/>
      <c r="J32" s="78"/>
      <c r="K32" s="78"/>
      <c r="L32" s="88"/>
      <c r="M32" s="88"/>
      <c r="N32" s="88"/>
      <c r="O32" s="88"/>
      <c r="P32" s="88"/>
      <c r="Q32" s="78"/>
      <c r="R32" s="78"/>
    </row>
    <row r="33" spans="1:20" s="4" customFormat="1" ht="15" customHeight="1">
      <c r="A33" s="86" t="s">
        <v>241</v>
      </c>
      <c r="B33" s="86"/>
      <c r="C33" s="78"/>
      <c r="D33" s="78"/>
      <c r="E33" s="100"/>
      <c r="F33" s="78"/>
      <c r="G33" s="78"/>
      <c r="H33" s="78"/>
      <c r="I33" s="78"/>
      <c r="J33" s="78"/>
      <c r="K33" s="78"/>
      <c r="L33" s="88"/>
      <c r="M33" s="88"/>
      <c r="N33" s="88"/>
      <c r="O33" s="88"/>
      <c r="P33" s="88"/>
      <c r="Q33" s="78"/>
      <c r="R33" s="78"/>
    </row>
    <row r="34" spans="1:20" s="4" customFormat="1" ht="22.9" customHeight="1">
      <c r="A34" s="32" t="s">
        <v>34</v>
      </c>
      <c r="B34" s="118" t="s">
        <v>131</v>
      </c>
      <c r="C34" s="33" t="s">
        <v>108</v>
      </c>
      <c r="D34" s="8" t="s">
        <v>107</v>
      </c>
      <c r="E34" s="125" t="s">
        <v>207</v>
      </c>
      <c r="F34" s="126" t="s">
        <v>177</v>
      </c>
      <c r="G34" s="78"/>
      <c r="H34" s="78"/>
      <c r="I34" s="78"/>
      <c r="J34" s="78"/>
      <c r="K34" s="78"/>
      <c r="L34" s="88"/>
      <c r="M34" s="88"/>
      <c r="N34" s="88"/>
      <c r="O34" s="88"/>
      <c r="P34" s="88"/>
      <c r="Q34" s="78"/>
      <c r="R34" s="78"/>
    </row>
    <row r="35" spans="1:20" s="4" customFormat="1" ht="12.75" customHeight="1">
      <c r="A35" s="98" t="s">
        <v>110</v>
      </c>
      <c r="B35" s="30" t="s">
        <v>132</v>
      </c>
      <c r="C35" s="99">
        <v>1</v>
      </c>
      <c r="D35" s="9" t="s">
        <v>113</v>
      </c>
      <c r="E35" s="9"/>
      <c r="F35" s="9"/>
      <c r="G35" s="78"/>
      <c r="H35" s="78"/>
      <c r="I35" s="78"/>
      <c r="J35" s="78"/>
      <c r="K35" s="78"/>
      <c r="L35" s="88"/>
      <c r="M35" s="88"/>
      <c r="N35" s="88"/>
      <c r="O35" s="88"/>
      <c r="P35" s="88"/>
      <c r="Q35" s="78"/>
      <c r="R35" s="78"/>
    </row>
    <row r="36" spans="1:20" s="4" customFormat="1" ht="12.75" customHeight="1">
      <c r="A36" s="98" t="s">
        <v>109</v>
      </c>
      <c r="B36" s="30" t="s">
        <v>38</v>
      </c>
      <c r="C36" s="99">
        <v>1</v>
      </c>
      <c r="D36" s="9" t="s">
        <v>114</v>
      </c>
      <c r="E36" s="9"/>
      <c r="F36" s="9"/>
      <c r="G36" s="78"/>
      <c r="H36" s="78"/>
      <c r="I36" s="78"/>
      <c r="J36" s="78"/>
      <c r="K36" s="78"/>
      <c r="L36" s="88"/>
      <c r="M36" s="88"/>
      <c r="N36" s="88"/>
      <c r="O36" s="88"/>
      <c r="P36" s="88"/>
      <c r="Q36" s="78"/>
      <c r="R36" s="78"/>
    </row>
    <row r="37" spans="1:20" s="4" customFormat="1" ht="12.75" customHeight="1">
      <c r="A37" s="98" t="s">
        <v>111</v>
      </c>
      <c r="B37" s="30" t="s">
        <v>128</v>
      </c>
      <c r="C37" s="99">
        <v>1</v>
      </c>
      <c r="D37" s="9" t="s">
        <v>388</v>
      </c>
      <c r="E37" s="9"/>
      <c r="F37" s="9"/>
      <c r="G37" s="78"/>
      <c r="H37" s="78"/>
      <c r="I37" s="78"/>
      <c r="J37" s="78"/>
      <c r="K37" s="78"/>
      <c r="L37" s="88"/>
      <c r="M37" s="88"/>
      <c r="N37" s="88"/>
      <c r="O37" s="88"/>
      <c r="P37" s="88"/>
      <c r="Q37" s="78"/>
      <c r="R37" s="78"/>
    </row>
    <row r="38" spans="1:20" s="4" customFormat="1" ht="12.75" customHeight="1">
      <c r="A38" s="98" t="s">
        <v>112</v>
      </c>
      <c r="B38" s="30" t="s">
        <v>129</v>
      </c>
      <c r="C38" s="99">
        <v>1</v>
      </c>
      <c r="D38" s="9" t="s">
        <v>115</v>
      </c>
      <c r="E38" s="9"/>
      <c r="F38" s="9"/>
      <c r="G38" s="100"/>
      <c r="H38" s="78"/>
      <c r="I38" s="78"/>
      <c r="J38" s="78"/>
      <c r="K38" s="78"/>
      <c r="L38" s="78"/>
      <c r="M38" s="78"/>
      <c r="N38" s="88"/>
      <c r="O38" s="88"/>
      <c r="P38" s="88"/>
      <c r="Q38" s="88"/>
      <c r="R38" s="88"/>
      <c r="S38" s="78"/>
      <c r="T38" s="78"/>
    </row>
    <row r="39" spans="1:20" s="4" customFormat="1" ht="12.75" customHeight="1">
      <c r="A39" s="98" t="s">
        <v>909</v>
      </c>
      <c r="B39" s="30" t="s">
        <v>908</v>
      </c>
      <c r="C39" s="99">
        <v>1</v>
      </c>
      <c r="D39" s="9" t="s">
        <v>910</v>
      </c>
      <c r="E39" s="9"/>
      <c r="F39" s="9"/>
      <c r="G39" s="100"/>
      <c r="H39" s="78"/>
      <c r="I39" s="78"/>
      <c r="J39" s="78"/>
      <c r="K39" s="78"/>
      <c r="L39" s="78"/>
      <c r="M39" s="78"/>
      <c r="N39" s="88"/>
      <c r="O39" s="88"/>
      <c r="P39" s="88"/>
      <c r="Q39" s="88"/>
      <c r="R39" s="88"/>
      <c r="S39" s="78"/>
      <c r="T39" s="78"/>
    </row>
    <row r="40" spans="1:20" s="4" customFormat="1" ht="15" customHeight="1">
      <c r="A40" s="78"/>
      <c r="B40" s="78"/>
      <c r="C40" s="78"/>
      <c r="D40" s="78"/>
      <c r="E40" s="100"/>
      <c r="F40" s="78"/>
      <c r="G40" s="100"/>
      <c r="H40" s="78"/>
      <c r="I40" s="78"/>
      <c r="J40" s="78"/>
      <c r="K40" s="78"/>
      <c r="L40" s="78"/>
      <c r="M40" s="78"/>
      <c r="N40" s="88"/>
      <c r="O40" s="88"/>
      <c r="P40" s="88"/>
      <c r="Q40" s="88"/>
      <c r="R40" s="88"/>
      <c r="S40" s="78"/>
      <c r="T40" s="78"/>
    </row>
    <row r="41" spans="1:20" s="4" customFormat="1" ht="15" customHeight="1">
      <c r="A41" s="86" t="s">
        <v>116</v>
      </c>
      <c r="B41" s="78"/>
      <c r="C41" s="78"/>
      <c r="D41" s="88"/>
      <c r="E41" s="63"/>
      <c r="F41" s="63"/>
      <c r="G41" s="100"/>
      <c r="H41" s="78"/>
      <c r="I41" s="78"/>
      <c r="J41" s="78"/>
      <c r="K41" s="78"/>
      <c r="L41" s="78"/>
      <c r="M41" s="78"/>
      <c r="N41" s="88"/>
      <c r="O41" s="88"/>
      <c r="P41" s="88"/>
      <c r="Q41" s="88"/>
      <c r="R41" s="88"/>
      <c r="S41" s="78"/>
      <c r="T41" s="78"/>
    </row>
    <row r="42" spans="1:20" s="4" customFormat="1" ht="22.5">
      <c r="A42" s="32" t="s">
        <v>34</v>
      </c>
      <c r="B42" s="8" t="s">
        <v>117</v>
      </c>
      <c r="C42" s="33" t="s">
        <v>108</v>
      </c>
      <c r="D42" s="33" t="s">
        <v>134</v>
      </c>
      <c r="E42" s="63"/>
      <c r="F42" s="63"/>
      <c r="G42" s="100"/>
      <c r="H42" s="78"/>
      <c r="I42" s="78"/>
      <c r="J42" s="78"/>
      <c r="K42" s="78"/>
      <c r="L42" s="78"/>
      <c r="M42" s="78"/>
      <c r="N42" s="88"/>
      <c r="O42" s="88"/>
      <c r="P42" s="88"/>
      <c r="Q42" s="88"/>
      <c r="R42" s="88"/>
      <c r="S42" s="78"/>
      <c r="T42" s="78"/>
    </row>
    <row r="43" spans="1:20" s="4" customFormat="1" ht="15" customHeight="1">
      <c r="A43" s="46" t="s">
        <v>19</v>
      </c>
      <c r="B43" s="47" t="s">
        <v>29</v>
      </c>
      <c r="C43" s="99">
        <v>1</v>
      </c>
      <c r="D43" s="145">
        <v>400</v>
      </c>
      <c r="E43" s="63"/>
      <c r="F43" s="63"/>
      <c r="G43" s="100"/>
      <c r="H43" s="78"/>
      <c r="I43" s="78"/>
      <c r="J43" s="78"/>
      <c r="K43" s="78"/>
      <c r="L43" s="78"/>
      <c r="M43" s="78"/>
      <c r="N43" s="88"/>
      <c r="O43" s="88"/>
      <c r="P43" s="88"/>
      <c r="Q43" s="88"/>
      <c r="R43" s="88"/>
      <c r="S43" s="78"/>
      <c r="T43" s="78"/>
    </row>
    <row r="44" spans="1:20" s="4" customFormat="1" ht="15" customHeight="1">
      <c r="A44" s="48" t="s">
        <v>2</v>
      </c>
      <c r="B44" s="49" t="s">
        <v>1</v>
      </c>
      <c r="C44" s="99">
        <v>1</v>
      </c>
      <c r="D44" s="145">
        <v>200</v>
      </c>
      <c r="E44" s="63"/>
      <c r="F44" s="63"/>
      <c r="G44" s="78"/>
      <c r="H44" s="78"/>
      <c r="I44" s="78"/>
      <c r="J44" s="78"/>
      <c r="K44" s="78"/>
      <c r="L44" s="88"/>
      <c r="M44" s="88"/>
      <c r="N44" s="88"/>
      <c r="O44" s="88"/>
      <c r="P44" s="88"/>
      <c r="Q44" s="78"/>
      <c r="R44" s="78"/>
    </row>
    <row r="45" spans="1:20" s="63" customFormat="1" ht="11.25">
      <c r="A45" s="46" t="s">
        <v>20</v>
      </c>
      <c r="B45" s="47" t="s">
        <v>21</v>
      </c>
      <c r="C45" s="99">
        <v>1</v>
      </c>
      <c r="D45" s="145">
        <v>160</v>
      </c>
      <c r="H45" s="84"/>
      <c r="J45" s="123"/>
      <c r="K45" s="64"/>
      <c r="L45" s="64"/>
      <c r="M45" s="64"/>
      <c r="N45" s="64"/>
      <c r="O45" s="64"/>
    </row>
    <row r="46" spans="1:20" ht="11.25">
      <c r="A46" s="48" t="s">
        <v>18</v>
      </c>
      <c r="B46" s="49" t="s">
        <v>12</v>
      </c>
      <c r="C46" s="99">
        <v>1</v>
      </c>
      <c r="D46" s="145">
        <v>120</v>
      </c>
      <c r="E46" s="63"/>
      <c r="F46" s="63"/>
      <c r="G46" s="84"/>
      <c r="H46" s="63"/>
      <c r="I46" s="124"/>
      <c r="J46" s="64"/>
      <c r="K46" s="64"/>
      <c r="L46" s="64"/>
      <c r="M46" s="64"/>
      <c r="N46" s="64"/>
      <c r="O46" s="63"/>
      <c r="P46" s="63"/>
      <c r="Q46" s="63"/>
    </row>
    <row r="47" spans="1:20" ht="15" customHeight="1">
      <c r="A47" s="46" t="s">
        <v>118</v>
      </c>
      <c r="B47" s="47" t="s">
        <v>119</v>
      </c>
      <c r="C47" s="99">
        <v>1</v>
      </c>
      <c r="D47" s="145">
        <v>100</v>
      </c>
      <c r="E47" s="63"/>
      <c r="F47" s="63"/>
      <c r="G47" s="84"/>
      <c r="H47" s="63"/>
      <c r="I47" s="124"/>
      <c r="J47" s="64"/>
      <c r="K47" s="64"/>
      <c r="L47" s="64"/>
      <c r="M47" s="64"/>
      <c r="N47" s="64"/>
      <c r="O47" s="63"/>
      <c r="P47" s="63"/>
      <c r="Q47" s="63"/>
    </row>
    <row r="48" spans="1:20" ht="15" customHeight="1">
      <c r="A48" s="48" t="s">
        <v>17</v>
      </c>
      <c r="B48" s="49" t="s">
        <v>14</v>
      </c>
      <c r="C48" s="99">
        <v>1</v>
      </c>
      <c r="D48" s="145">
        <v>80</v>
      </c>
      <c r="E48" s="63"/>
      <c r="F48" s="63"/>
      <c r="G48" s="84"/>
      <c r="H48" s="63"/>
      <c r="I48" s="124"/>
      <c r="J48" s="64"/>
      <c r="K48" s="64"/>
      <c r="L48" s="64"/>
      <c r="M48" s="64"/>
      <c r="N48" s="64"/>
      <c r="O48" s="63"/>
      <c r="P48" s="63"/>
      <c r="Q48" s="63"/>
    </row>
    <row r="49" spans="1:18" ht="15" customHeight="1">
      <c r="A49" s="46" t="s">
        <v>15</v>
      </c>
      <c r="B49" s="47" t="s">
        <v>13</v>
      </c>
      <c r="C49" s="99">
        <v>1</v>
      </c>
      <c r="D49" s="145">
        <v>40</v>
      </c>
      <c r="E49" s="63"/>
      <c r="F49" s="63"/>
      <c r="G49" s="84"/>
      <c r="H49" s="63"/>
      <c r="I49" s="124"/>
      <c r="J49" s="64"/>
      <c r="K49" s="64"/>
      <c r="L49" s="64"/>
      <c r="M49" s="64"/>
      <c r="N49" s="64"/>
      <c r="O49" s="63"/>
      <c r="P49" s="63"/>
      <c r="Q49" s="63"/>
    </row>
    <row r="50" spans="1:18" ht="15" customHeight="1">
      <c r="A50" s="48" t="s">
        <v>25</v>
      </c>
      <c r="B50" s="49" t="s">
        <v>28</v>
      </c>
      <c r="C50" s="99">
        <v>1</v>
      </c>
      <c r="D50" s="145">
        <v>80</v>
      </c>
      <c r="E50" s="63"/>
      <c r="F50" s="63"/>
      <c r="G50" s="84"/>
      <c r="H50" s="63"/>
      <c r="I50" s="124"/>
      <c r="J50" s="64"/>
      <c r="K50" s="64"/>
      <c r="L50" s="64"/>
      <c r="M50" s="64"/>
      <c r="N50" s="64"/>
      <c r="O50" s="63"/>
      <c r="P50" s="63"/>
      <c r="Q50" s="63"/>
    </row>
    <row r="51" spans="1:18" ht="15" customHeight="1">
      <c r="A51" s="46" t="s">
        <v>26</v>
      </c>
      <c r="B51" s="47" t="s">
        <v>27</v>
      </c>
      <c r="C51" s="99">
        <v>1</v>
      </c>
      <c r="D51" s="145">
        <v>40</v>
      </c>
      <c r="E51" s="63"/>
      <c r="F51" s="63"/>
      <c r="G51" s="84"/>
      <c r="H51" s="63"/>
      <c r="I51" s="124"/>
      <c r="J51" s="64"/>
      <c r="K51" s="64"/>
      <c r="L51" s="64"/>
      <c r="M51" s="64"/>
      <c r="N51" s="64"/>
      <c r="O51" s="63"/>
      <c r="P51" s="63"/>
      <c r="Q51" s="63"/>
    </row>
    <row r="52" spans="1:18" ht="15" customHeight="1">
      <c r="A52" s="48" t="s">
        <v>16</v>
      </c>
      <c r="B52" s="49" t="s">
        <v>0</v>
      </c>
      <c r="C52" s="99">
        <v>1</v>
      </c>
      <c r="D52" s="145">
        <v>10</v>
      </c>
      <c r="E52" s="63"/>
      <c r="F52" s="63"/>
      <c r="G52" s="84"/>
      <c r="H52" s="63"/>
      <c r="I52" s="124"/>
      <c r="J52" s="64"/>
      <c r="K52" s="64"/>
      <c r="L52" s="64"/>
      <c r="M52" s="64"/>
      <c r="N52" s="64"/>
      <c r="O52" s="63"/>
      <c r="P52" s="63"/>
      <c r="Q52" s="63"/>
    </row>
    <row r="53" spans="1:18" ht="15" customHeight="1">
      <c r="A53" s="101"/>
      <c r="B53" s="88"/>
      <c r="C53" s="88"/>
      <c r="D53" s="88"/>
      <c r="E53" s="63"/>
      <c r="F53" s="63"/>
      <c r="G53" s="84"/>
      <c r="H53" s="63"/>
      <c r="I53" s="124"/>
      <c r="J53" s="64"/>
      <c r="K53" s="64"/>
      <c r="L53" s="64"/>
      <c r="M53" s="64"/>
      <c r="N53" s="64"/>
      <c r="O53" s="63"/>
      <c r="P53" s="63"/>
      <c r="Q53" s="63"/>
    </row>
    <row r="54" spans="1:18" ht="15" customHeight="1">
      <c r="A54" s="124"/>
      <c r="B54" s="63"/>
      <c r="C54" s="63"/>
      <c r="D54" s="83"/>
      <c r="E54" s="63"/>
      <c r="F54" s="63"/>
      <c r="G54" s="84"/>
      <c r="H54" s="63"/>
      <c r="I54" s="124"/>
      <c r="J54" s="64"/>
      <c r="K54" s="64"/>
      <c r="L54" s="64"/>
      <c r="M54" s="64"/>
      <c r="N54" s="64"/>
      <c r="O54" s="63"/>
      <c r="P54" s="63"/>
      <c r="Q54" s="63"/>
    </row>
    <row r="55" spans="1:18" ht="15" customHeight="1">
      <c r="A55" s="124"/>
      <c r="B55" s="63"/>
      <c r="C55" s="63"/>
      <c r="D55" s="83"/>
      <c r="E55" s="63"/>
      <c r="F55" s="63"/>
      <c r="G55" s="84"/>
      <c r="H55" s="63"/>
      <c r="I55" s="124"/>
      <c r="J55" s="64"/>
      <c r="K55" s="64"/>
      <c r="L55" s="64"/>
      <c r="M55" s="64"/>
      <c r="N55" s="64"/>
      <c r="O55" s="63"/>
      <c r="P55" s="63"/>
      <c r="Q55" s="63"/>
    </row>
    <row r="56" spans="1:18" ht="15" customHeight="1">
      <c r="A56" s="124"/>
      <c r="B56" s="63"/>
      <c r="C56" s="63"/>
      <c r="D56" s="83"/>
      <c r="E56" s="63"/>
      <c r="F56" s="63"/>
      <c r="G56" s="84"/>
      <c r="H56" s="63"/>
      <c r="I56" s="124"/>
      <c r="J56" s="64"/>
      <c r="K56" s="64"/>
      <c r="L56" s="64"/>
      <c r="M56" s="64"/>
      <c r="N56" s="64"/>
      <c r="O56" s="63"/>
      <c r="P56" s="63"/>
      <c r="Q56" s="63"/>
    </row>
    <row r="57" spans="1:18" ht="15" customHeight="1">
      <c r="A57" s="124"/>
      <c r="B57" s="63"/>
      <c r="C57" s="63"/>
      <c r="D57" s="83"/>
      <c r="E57" s="63"/>
      <c r="F57" s="63"/>
      <c r="G57" s="63"/>
      <c r="H57" s="84"/>
      <c r="I57" s="63"/>
      <c r="J57" s="124"/>
      <c r="K57" s="64"/>
      <c r="L57" s="64"/>
      <c r="M57" s="64"/>
      <c r="N57" s="64"/>
      <c r="O57" s="64"/>
      <c r="P57" s="63"/>
      <c r="Q57" s="63"/>
      <c r="R57" s="63"/>
    </row>
    <row r="58" spans="1:18" ht="15" customHeight="1">
      <c r="F58" s="63"/>
      <c r="G58" s="63"/>
      <c r="H58" s="84"/>
      <c r="I58" s="63"/>
      <c r="J58" s="124"/>
      <c r="K58" s="64"/>
      <c r="L58" s="64"/>
      <c r="M58" s="64"/>
      <c r="N58" s="64"/>
      <c r="O58" s="64"/>
      <c r="P58" s="63"/>
      <c r="Q58" s="63"/>
      <c r="R58" s="63"/>
    </row>
    <row r="59" spans="1:18" ht="15" customHeight="1">
      <c r="F59" s="63"/>
      <c r="G59" s="63"/>
      <c r="H59" s="84"/>
      <c r="I59" s="63"/>
      <c r="J59" s="124"/>
      <c r="K59" s="64"/>
      <c r="L59" s="64"/>
      <c r="M59" s="64"/>
      <c r="N59" s="64"/>
      <c r="O59" s="64"/>
      <c r="P59" s="63"/>
      <c r="Q59" s="63"/>
      <c r="R59" s="63"/>
    </row>
    <row r="60" spans="1:18" ht="15" customHeight="1">
      <c r="F60" s="63"/>
      <c r="G60" s="63"/>
      <c r="H60" s="84"/>
      <c r="I60" s="63"/>
      <c r="J60" s="124"/>
      <c r="K60" s="64"/>
      <c r="L60" s="64"/>
      <c r="M60" s="64"/>
      <c r="N60" s="64"/>
      <c r="O60" s="64"/>
      <c r="P60" s="63"/>
      <c r="Q60" s="63"/>
      <c r="R60" s="63"/>
    </row>
    <row r="61" spans="1:18" ht="15" customHeight="1">
      <c r="F61" s="63"/>
      <c r="G61" s="63"/>
      <c r="H61" s="84"/>
      <c r="I61" s="63"/>
      <c r="J61" s="124"/>
      <c r="K61" s="64"/>
      <c r="L61" s="64"/>
      <c r="M61" s="64"/>
      <c r="N61" s="64"/>
      <c r="O61" s="64"/>
      <c r="P61" s="63"/>
      <c r="Q61" s="63"/>
      <c r="R61" s="63"/>
    </row>
    <row r="62" spans="1:18" ht="15" customHeight="1">
      <c r="F62" s="63"/>
      <c r="G62" s="63"/>
      <c r="H62" s="84"/>
      <c r="I62" s="63"/>
      <c r="J62" s="124"/>
      <c r="K62" s="64"/>
      <c r="L62" s="64"/>
      <c r="M62" s="64"/>
      <c r="N62" s="64"/>
      <c r="O62" s="64"/>
      <c r="P62" s="63"/>
      <c r="Q62" s="63"/>
      <c r="R62" s="63"/>
    </row>
    <row r="63" spans="1:18" ht="15" customHeight="1">
      <c r="F63" s="63"/>
      <c r="G63" s="63"/>
      <c r="H63" s="84"/>
      <c r="I63" s="63"/>
      <c r="J63" s="124"/>
      <c r="K63" s="64"/>
      <c r="L63" s="64"/>
      <c r="M63" s="64"/>
      <c r="N63" s="64"/>
      <c r="O63" s="64"/>
      <c r="P63" s="63"/>
      <c r="Q63" s="63"/>
      <c r="R63" s="63"/>
    </row>
    <row r="64" spans="1:18" ht="15" customHeight="1">
      <c r="F64" s="63"/>
      <c r="G64" s="63"/>
      <c r="H64" s="84"/>
      <c r="I64" s="63"/>
      <c r="J64" s="124"/>
      <c r="K64" s="64"/>
      <c r="L64" s="64"/>
      <c r="M64" s="64"/>
      <c r="N64" s="64"/>
      <c r="O64" s="64"/>
      <c r="P64" s="63"/>
      <c r="Q64" s="63"/>
      <c r="R64" s="63"/>
    </row>
    <row r="65" spans="6:18" ht="15" customHeight="1">
      <c r="F65" s="63"/>
      <c r="G65" s="63"/>
      <c r="H65" s="84"/>
      <c r="I65" s="63"/>
      <c r="J65" s="124"/>
      <c r="K65" s="64"/>
      <c r="L65" s="64"/>
      <c r="M65" s="64"/>
      <c r="N65" s="64"/>
      <c r="O65" s="64"/>
      <c r="P65" s="63"/>
      <c r="Q65" s="63"/>
      <c r="R65" s="63"/>
    </row>
    <row r="66" spans="6:18" ht="15" customHeight="1">
      <c r="F66" s="63"/>
      <c r="G66" s="63"/>
      <c r="H66" s="84"/>
      <c r="I66" s="63"/>
      <c r="J66" s="124"/>
      <c r="K66" s="64"/>
      <c r="L66" s="64"/>
      <c r="M66" s="64"/>
      <c r="N66" s="64"/>
      <c r="O66" s="64"/>
      <c r="P66" s="63"/>
      <c r="Q66" s="63"/>
      <c r="R66" s="63"/>
    </row>
    <row r="67" spans="6:18" ht="15" customHeight="1">
      <c r="F67" s="63"/>
      <c r="G67" s="63"/>
      <c r="H67" s="84"/>
      <c r="I67" s="63"/>
      <c r="J67" s="124"/>
      <c r="K67" s="64"/>
      <c r="L67" s="64"/>
      <c r="M67" s="64"/>
      <c r="N67" s="64"/>
      <c r="O67" s="64"/>
      <c r="P67" s="63"/>
      <c r="Q67" s="63"/>
      <c r="R67" s="63"/>
    </row>
    <row r="68" spans="6:18" ht="15" customHeight="1">
      <c r="F68" s="63"/>
      <c r="G68" s="63"/>
      <c r="H68" s="84"/>
      <c r="I68" s="63"/>
      <c r="J68" s="124"/>
      <c r="K68" s="64"/>
      <c r="L68" s="64"/>
      <c r="M68" s="64"/>
      <c r="N68" s="64"/>
      <c r="O68" s="64"/>
      <c r="P68" s="63"/>
      <c r="Q68" s="63"/>
      <c r="R68" s="63"/>
    </row>
    <row r="69" spans="6:18" ht="15" customHeight="1">
      <c r="F69" s="63"/>
      <c r="G69" s="63"/>
      <c r="H69" s="84"/>
      <c r="I69" s="63"/>
      <c r="J69" s="124"/>
      <c r="K69" s="64"/>
      <c r="L69" s="64"/>
      <c r="M69" s="64"/>
      <c r="N69" s="64"/>
      <c r="O69" s="64"/>
      <c r="P69" s="63"/>
      <c r="Q69" s="63"/>
      <c r="R69" s="63"/>
    </row>
    <row r="70" spans="6:18" ht="15" customHeight="1">
      <c r="F70" s="63"/>
      <c r="G70" s="63"/>
      <c r="H70" s="84"/>
      <c r="I70" s="63"/>
      <c r="J70" s="124"/>
      <c r="K70" s="64"/>
      <c r="L70" s="64"/>
      <c r="M70" s="64"/>
      <c r="N70" s="64"/>
      <c r="O70" s="64"/>
      <c r="P70" s="63"/>
      <c r="Q70" s="63"/>
      <c r="R70" s="63"/>
    </row>
    <row r="71" spans="6:18" ht="15" customHeight="1">
      <c r="F71" s="63"/>
      <c r="G71" s="63"/>
      <c r="H71" s="84"/>
      <c r="I71" s="63"/>
      <c r="J71" s="124"/>
      <c r="K71" s="64"/>
      <c r="L71" s="64"/>
      <c r="M71" s="64"/>
      <c r="N71" s="64"/>
      <c r="O71" s="64"/>
      <c r="P71" s="63"/>
      <c r="Q71" s="63"/>
      <c r="R71" s="63"/>
    </row>
    <row r="72" spans="6:18" ht="15" customHeight="1">
      <c r="F72" s="63"/>
      <c r="G72" s="63"/>
      <c r="H72" s="84"/>
      <c r="I72" s="63"/>
      <c r="J72" s="124"/>
      <c r="K72" s="64"/>
      <c r="L72" s="64"/>
      <c r="M72" s="64"/>
      <c r="N72" s="64"/>
      <c r="O72" s="64"/>
      <c r="P72" s="63"/>
      <c r="Q72" s="63"/>
      <c r="R72" s="63"/>
    </row>
    <row r="73" spans="6:18" ht="15" customHeight="1">
      <c r="F73" s="63"/>
      <c r="G73" s="63"/>
      <c r="H73" s="84"/>
      <c r="I73" s="63"/>
      <c r="J73" s="124"/>
      <c r="K73" s="64"/>
      <c r="L73" s="64"/>
      <c r="M73" s="64"/>
      <c r="N73" s="64"/>
      <c r="O73" s="64"/>
      <c r="P73" s="63"/>
      <c r="Q73" s="63"/>
      <c r="R73" s="63"/>
    </row>
    <row r="74" spans="6:18" ht="15" customHeight="1">
      <c r="F74" s="63"/>
      <c r="G74" s="63"/>
      <c r="H74" s="84"/>
      <c r="I74" s="63"/>
      <c r="J74" s="124"/>
      <c r="K74" s="64"/>
      <c r="L74" s="64"/>
      <c r="M74" s="64"/>
      <c r="N74" s="64"/>
      <c r="O74" s="64"/>
      <c r="P74" s="63"/>
      <c r="Q74" s="63"/>
      <c r="R74" s="63"/>
    </row>
    <row r="75" spans="6:18" ht="15" customHeight="1">
      <c r="F75" s="63"/>
      <c r="G75" s="63"/>
      <c r="H75" s="84"/>
      <c r="I75" s="63"/>
      <c r="J75" s="124"/>
      <c r="K75" s="64"/>
      <c r="L75" s="64"/>
      <c r="M75" s="64"/>
      <c r="N75" s="64"/>
      <c r="O75" s="64"/>
      <c r="P75" s="63"/>
      <c r="Q75" s="63"/>
      <c r="R75" s="63"/>
    </row>
    <row r="76" spans="6:18" ht="15" customHeight="1">
      <c r="F76" s="63"/>
      <c r="G76" s="63"/>
      <c r="H76" s="84"/>
      <c r="I76" s="63"/>
      <c r="J76" s="124"/>
      <c r="K76" s="64"/>
      <c r="L76" s="64"/>
      <c r="M76" s="64"/>
      <c r="N76" s="64"/>
      <c r="O76" s="64"/>
      <c r="P76" s="63"/>
      <c r="Q76" s="63"/>
      <c r="R76" s="63"/>
    </row>
    <row r="77" spans="6:18" ht="15" customHeight="1">
      <c r="F77" s="63"/>
      <c r="G77" s="63"/>
      <c r="H77" s="84"/>
      <c r="I77" s="63"/>
      <c r="J77" s="124"/>
      <c r="K77" s="64"/>
      <c r="L77" s="64"/>
      <c r="M77" s="64"/>
      <c r="N77" s="64"/>
      <c r="O77" s="64"/>
      <c r="P77" s="63"/>
      <c r="Q77" s="63"/>
      <c r="R77" s="63"/>
    </row>
    <row r="78" spans="6:18" ht="15" customHeight="1">
      <c r="F78" s="63"/>
      <c r="G78" s="63"/>
      <c r="H78" s="84"/>
      <c r="I78" s="63"/>
      <c r="J78" s="124"/>
      <c r="K78" s="64"/>
      <c r="L78" s="64"/>
      <c r="M78" s="64"/>
      <c r="N78" s="64"/>
      <c r="O78" s="64"/>
      <c r="P78" s="63"/>
      <c r="Q78" s="63"/>
      <c r="R78" s="63"/>
    </row>
    <row r="79" spans="6:18" ht="15" customHeight="1">
      <c r="F79" s="63"/>
      <c r="G79" s="63"/>
      <c r="H79" s="84"/>
      <c r="I79" s="63"/>
      <c r="J79" s="124"/>
      <c r="K79" s="64"/>
      <c r="L79" s="64"/>
      <c r="M79" s="64"/>
      <c r="N79" s="64"/>
      <c r="O79" s="64"/>
      <c r="P79" s="63"/>
      <c r="Q79" s="63"/>
      <c r="R79" s="63"/>
    </row>
    <row r="80" spans="6:18" ht="15" customHeight="1">
      <c r="F80" s="63"/>
      <c r="G80" s="63"/>
      <c r="H80" s="84"/>
      <c r="I80" s="63"/>
      <c r="J80" s="124"/>
      <c r="K80" s="64"/>
      <c r="L80" s="64"/>
      <c r="M80" s="64"/>
      <c r="N80" s="64"/>
      <c r="O80" s="64"/>
      <c r="P80" s="63"/>
      <c r="Q80" s="63"/>
      <c r="R80" s="63"/>
    </row>
    <row r="81" spans="6:18" ht="15" customHeight="1">
      <c r="F81" s="63"/>
      <c r="G81" s="63"/>
      <c r="H81" s="84"/>
      <c r="I81" s="63"/>
      <c r="J81" s="124"/>
      <c r="K81" s="64"/>
      <c r="L81" s="64"/>
      <c r="M81" s="64"/>
      <c r="N81" s="64"/>
      <c r="O81" s="64"/>
      <c r="P81" s="63"/>
      <c r="Q81" s="63"/>
      <c r="R81" s="63"/>
    </row>
    <row r="82" spans="6:18" ht="15" customHeight="1">
      <c r="F82" s="63"/>
      <c r="G82" s="63"/>
      <c r="H82" s="84"/>
      <c r="I82" s="63"/>
      <c r="J82" s="124"/>
      <c r="K82" s="64"/>
      <c r="L82" s="64"/>
      <c r="M82" s="64"/>
      <c r="N82" s="64"/>
      <c r="O82" s="64"/>
      <c r="P82" s="63"/>
      <c r="Q82" s="63"/>
      <c r="R82" s="63"/>
    </row>
    <row r="83" spans="6:18" ht="15" customHeight="1">
      <c r="F83" s="63"/>
      <c r="G83" s="63"/>
      <c r="H83" s="84"/>
      <c r="I83" s="63"/>
      <c r="J83" s="124"/>
      <c r="K83" s="64"/>
      <c r="L83" s="64"/>
      <c r="M83" s="64"/>
      <c r="N83" s="64"/>
      <c r="O83" s="64"/>
      <c r="P83" s="63"/>
      <c r="Q83" s="63"/>
      <c r="R83" s="63"/>
    </row>
    <row r="84" spans="6:18" ht="15" customHeight="1">
      <c r="F84" s="63"/>
      <c r="G84" s="63"/>
      <c r="H84" s="84"/>
      <c r="I84" s="63"/>
      <c r="J84" s="124"/>
      <c r="K84" s="64"/>
      <c r="L84" s="64"/>
      <c r="M84" s="64"/>
      <c r="N84" s="64"/>
      <c r="O84" s="64"/>
      <c r="P84" s="63"/>
      <c r="Q84" s="63"/>
      <c r="R84" s="63"/>
    </row>
    <row r="85" spans="6:18" ht="15" customHeight="1">
      <c r="F85" s="63"/>
      <c r="G85" s="63"/>
      <c r="H85" s="84"/>
      <c r="I85" s="63"/>
      <c r="J85" s="124"/>
      <c r="K85" s="64"/>
      <c r="L85" s="64"/>
      <c r="M85" s="64"/>
      <c r="N85" s="64"/>
      <c r="O85" s="64"/>
      <c r="P85" s="63"/>
      <c r="Q85" s="63"/>
      <c r="R85" s="63"/>
    </row>
    <row r="86" spans="6:18" ht="15" customHeight="1">
      <c r="F86" s="63"/>
      <c r="G86" s="63"/>
      <c r="H86" s="84"/>
      <c r="I86" s="63"/>
      <c r="J86" s="124"/>
      <c r="K86" s="64"/>
      <c r="L86" s="64"/>
      <c r="M86" s="64"/>
      <c r="N86" s="64"/>
      <c r="O86" s="64"/>
      <c r="P86" s="63"/>
      <c r="Q86" s="63"/>
      <c r="R86" s="63"/>
    </row>
    <row r="87" spans="6:18" ht="15" customHeight="1">
      <c r="F87" s="63"/>
      <c r="G87" s="63"/>
      <c r="H87" s="84"/>
      <c r="I87" s="63"/>
      <c r="J87" s="124"/>
      <c r="K87" s="64"/>
      <c r="L87" s="64"/>
      <c r="M87" s="64"/>
      <c r="N87" s="64"/>
      <c r="O87" s="64"/>
      <c r="P87" s="63"/>
      <c r="Q87" s="63"/>
      <c r="R87" s="63"/>
    </row>
    <row r="88" spans="6:18" ht="15" customHeight="1">
      <c r="F88" s="63"/>
      <c r="G88" s="63"/>
      <c r="H88" s="84"/>
      <c r="I88" s="63"/>
      <c r="J88" s="124"/>
      <c r="K88" s="64"/>
      <c r="L88" s="64"/>
      <c r="M88" s="64"/>
      <c r="N88" s="64"/>
      <c r="O88" s="64"/>
      <c r="P88" s="63"/>
      <c r="Q88" s="63"/>
      <c r="R88" s="63"/>
    </row>
    <row r="89" spans="6:18" ht="15" customHeight="1">
      <c r="F89" s="63"/>
      <c r="G89" s="63"/>
      <c r="H89" s="84"/>
      <c r="I89" s="63"/>
      <c r="J89" s="124"/>
      <c r="K89" s="64"/>
      <c r="L89" s="64"/>
      <c r="M89" s="64"/>
      <c r="N89" s="64"/>
      <c r="O89" s="64"/>
      <c r="P89" s="63"/>
      <c r="Q89" s="63"/>
      <c r="R89" s="63"/>
    </row>
    <row r="90" spans="6:18" ht="15" customHeight="1">
      <c r="F90" s="63"/>
      <c r="G90" s="63"/>
      <c r="H90" s="84"/>
      <c r="I90" s="63"/>
      <c r="J90" s="124"/>
      <c r="K90" s="64"/>
      <c r="L90" s="64"/>
      <c r="M90" s="64"/>
      <c r="N90" s="64"/>
      <c r="O90" s="64"/>
      <c r="P90" s="63"/>
      <c r="Q90" s="63"/>
      <c r="R90" s="63"/>
    </row>
    <row r="91" spans="6:18" ht="15" customHeight="1">
      <c r="F91" s="63"/>
      <c r="G91" s="63"/>
      <c r="H91" s="84"/>
      <c r="I91" s="63"/>
      <c r="J91" s="124"/>
      <c r="K91" s="64"/>
      <c r="L91" s="64"/>
      <c r="M91" s="64"/>
      <c r="N91" s="64"/>
      <c r="O91" s="64"/>
      <c r="P91" s="63"/>
      <c r="Q91" s="63"/>
      <c r="R91" s="63"/>
    </row>
    <row r="92" spans="6:18" ht="15" customHeight="1">
      <c r="F92" s="63"/>
      <c r="G92" s="63"/>
      <c r="H92" s="84"/>
      <c r="I92" s="63"/>
      <c r="J92" s="124"/>
      <c r="K92" s="64"/>
      <c r="L92" s="64"/>
      <c r="M92" s="64"/>
      <c r="N92" s="64"/>
      <c r="O92" s="64"/>
      <c r="P92" s="63"/>
      <c r="Q92" s="63"/>
      <c r="R92" s="63"/>
    </row>
    <row r="93" spans="6:18" ht="15" customHeight="1">
      <c r="F93" s="63"/>
      <c r="G93" s="63"/>
      <c r="H93" s="84"/>
      <c r="I93" s="63"/>
      <c r="J93" s="124"/>
      <c r="K93" s="64"/>
      <c r="L93" s="64"/>
      <c r="M93" s="64"/>
      <c r="N93" s="64"/>
      <c r="O93" s="64"/>
      <c r="P93" s="63"/>
      <c r="Q93" s="63"/>
      <c r="R93" s="63"/>
    </row>
    <row r="94" spans="6:18" ht="15" customHeight="1">
      <c r="F94" s="63"/>
      <c r="G94" s="63"/>
      <c r="H94" s="84"/>
      <c r="I94" s="63"/>
      <c r="J94" s="124"/>
      <c r="K94" s="64"/>
      <c r="L94" s="64"/>
      <c r="M94" s="64"/>
      <c r="N94" s="64"/>
      <c r="O94" s="64"/>
      <c r="P94" s="63"/>
      <c r="Q94" s="63"/>
      <c r="R94" s="63"/>
    </row>
    <row r="95" spans="6:18" ht="15" customHeight="1">
      <c r="F95" s="63"/>
      <c r="G95" s="63"/>
      <c r="H95" s="84"/>
      <c r="I95" s="63"/>
      <c r="J95" s="124"/>
      <c r="K95" s="64"/>
      <c r="L95" s="64"/>
      <c r="M95" s="64"/>
      <c r="N95" s="64"/>
      <c r="O95" s="64"/>
      <c r="P95" s="63"/>
      <c r="Q95" s="63"/>
      <c r="R95" s="63"/>
    </row>
    <row r="96" spans="6:18" ht="15" customHeight="1">
      <c r="F96" s="63"/>
      <c r="G96" s="63"/>
      <c r="H96" s="84"/>
      <c r="I96" s="63"/>
      <c r="J96" s="124"/>
      <c r="K96" s="64"/>
      <c r="L96" s="64"/>
      <c r="M96" s="64"/>
      <c r="N96" s="64"/>
      <c r="O96" s="64"/>
      <c r="P96" s="63"/>
      <c r="Q96" s="63"/>
      <c r="R96" s="63"/>
    </row>
    <row r="97" spans="6:18" ht="15" customHeight="1">
      <c r="F97" s="63"/>
      <c r="G97" s="63"/>
      <c r="H97" s="84"/>
      <c r="I97" s="63"/>
      <c r="J97" s="124"/>
      <c r="K97" s="64"/>
      <c r="L97" s="64"/>
      <c r="M97" s="64"/>
      <c r="N97" s="64"/>
      <c r="O97" s="64"/>
      <c r="P97" s="63"/>
      <c r="Q97" s="63"/>
      <c r="R97" s="63"/>
    </row>
    <row r="98" spans="6:18" ht="15" customHeight="1">
      <c r="F98" s="63"/>
      <c r="G98" s="63"/>
      <c r="H98" s="84"/>
      <c r="I98" s="63"/>
      <c r="J98" s="124"/>
      <c r="K98" s="64"/>
      <c r="L98" s="64"/>
      <c r="M98" s="64"/>
      <c r="N98" s="64"/>
      <c r="O98" s="64"/>
      <c r="P98" s="63"/>
      <c r="Q98" s="63"/>
      <c r="R98" s="63"/>
    </row>
    <row r="99" spans="6:18" ht="15" customHeight="1">
      <c r="F99" s="63"/>
      <c r="G99" s="63"/>
      <c r="H99" s="84"/>
      <c r="I99" s="63"/>
      <c r="J99" s="124"/>
      <c r="K99" s="64"/>
      <c r="L99" s="64"/>
      <c r="M99" s="64"/>
      <c r="N99" s="64"/>
      <c r="O99" s="64"/>
      <c r="P99" s="63"/>
      <c r="Q99" s="63"/>
      <c r="R99" s="63"/>
    </row>
    <row r="100" spans="6:18" ht="15" customHeight="1">
      <c r="F100" s="63"/>
      <c r="G100" s="63"/>
      <c r="H100" s="84"/>
      <c r="I100" s="63"/>
      <c r="J100" s="124"/>
      <c r="K100" s="64"/>
      <c r="L100" s="64"/>
      <c r="M100" s="64"/>
      <c r="N100" s="64"/>
      <c r="O100" s="64"/>
      <c r="P100" s="63"/>
      <c r="Q100" s="63"/>
      <c r="R100" s="63"/>
    </row>
    <row r="101" spans="6:18" ht="15" customHeight="1">
      <c r="F101" s="63"/>
      <c r="G101" s="63"/>
      <c r="H101" s="84"/>
      <c r="I101" s="63"/>
      <c r="J101" s="124"/>
      <c r="K101" s="64"/>
      <c r="L101" s="64"/>
      <c r="M101" s="64"/>
      <c r="N101" s="64"/>
      <c r="O101" s="64"/>
      <c r="P101" s="63"/>
      <c r="Q101" s="63"/>
      <c r="R101" s="63"/>
    </row>
    <row r="102" spans="6:18" ht="15" customHeight="1">
      <c r="F102" s="63"/>
      <c r="G102" s="63"/>
      <c r="H102" s="84"/>
      <c r="I102" s="63"/>
      <c r="J102" s="124"/>
      <c r="K102" s="64"/>
      <c r="L102" s="64"/>
      <c r="M102" s="64"/>
      <c r="N102" s="64"/>
      <c r="O102" s="64"/>
      <c r="P102" s="63"/>
      <c r="Q102" s="63"/>
      <c r="R102" s="63"/>
    </row>
    <row r="103" spans="6:18" ht="15" customHeight="1">
      <c r="F103" s="63"/>
      <c r="G103" s="63"/>
      <c r="H103" s="84"/>
      <c r="I103" s="63"/>
      <c r="J103" s="124"/>
      <c r="K103" s="64"/>
      <c r="L103" s="64"/>
      <c r="M103" s="64"/>
      <c r="N103" s="64"/>
      <c r="O103" s="64"/>
      <c r="P103" s="63"/>
      <c r="Q103" s="63"/>
      <c r="R103" s="63"/>
    </row>
    <row r="104" spans="6:18" ht="15" customHeight="1">
      <c r="F104" s="63"/>
      <c r="G104" s="63"/>
      <c r="H104" s="84"/>
      <c r="I104" s="63"/>
      <c r="J104" s="124"/>
      <c r="K104" s="64"/>
      <c r="L104" s="64"/>
      <c r="M104" s="64"/>
      <c r="N104" s="64"/>
      <c r="O104" s="64"/>
      <c r="P104" s="63"/>
      <c r="Q104" s="63"/>
      <c r="R104" s="63"/>
    </row>
    <row r="105" spans="6:18" ht="15" customHeight="1">
      <c r="F105" s="63"/>
      <c r="G105" s="63"/>
      <c r="H105" s="84"/>
      <c r="I105" s="63"/>
      <c r="J105" s="124"/>
      <c r="K105" s="64"/>
      <c r="L105" s="64"/>
      <c r="M105" s="64"/>
      <c r="N105" s="64"/>
      <c r="O105" s="64"/>
      <c r="P105" s="63"/>
      <c r="Q105" s="63"/>
      <c r="R105" s="63"/>
    </row>
    <row r="106" spans="6:18" ht="15" customHeight="1">
      <c r="F106" s="63"/>
      <c r="G106" s="63"/>
      <c r="H106" s="84"/>
      <c r="I106" s="63"/>
      <c r="J106" s="124"/>
      <c r="K106" s="64"/>
      <c r="L106" s="64"/>
      <c r="M106" s="64"/>
      <c r="N106" s="64"/>
      <c r="O106" s="64"/>
      <c r="P106" s="63"/>
      <c r="Q106" s="63"/>
      <c r="R106" s="63"/>
    </row>
    <row r="107" spans="6:18" ht="15" customHeight="1">
      <c r="F107" s="63"/>
      <c r="G107" s="63"/>
      <c r="H107" s="84"/>
      <c r="I107" s="63"/>
      <c r="J107" s="124"/>
      <c r="K107" s="64"/>
      <c r="L107" s="64"/>
      <c r="M107" s="64"/>
      <c r="N107" s="64"/>
      <c r="O107" s="64"/>
      <c r="P107" s="63"/>
      <c r="Q107" s="63"/>
      <c r="R107" s="63"/>
    </row>
    <row r="108" spans="6:18" ht="15" customHeight="1">
      <c r="F108" s="63"/>
      <c r="G108" s="63"/>
      <c r="H108" s="84"/>
      <c r="I108" s="63"/>
      <c r="J108" s="124"/>
      <c r="K108" s="64"/>
      <c r="L108" s="64"/>
      <c r="M108" s="64"/>
      <c r="N108" s="64"/>
      <c r="O108" s="64"/>
      <c r="P108" s="63"/>
      <c r="Q108" s="63"/>
      <c r="R108" s="63"/>
    </row>
    <row r="109" spans="6:18" ht="15" customHeight="1">
      <c r="F109" s="63"/>
      <c r="G109" s="63"/>
      <c r="H109" s="84"/>
      <c r="I109" s="63"/>
      <c r="J109" s="124"/>
      <c r="K109" s="64"/>
      <c r="L109" s="64"/>
      <c r="M109" s="64"/>
      <c r="N109" s="64"/>
      <c r="O109" s="64"/>
      <c r="P109" s="63"/>
      <c r="Q109" s="63"/>
      <c r="R109" s="63"/>
    </row>
    <row r="110" spans="6:18" ht="15" customHeight="1">
      <c r="F110" s="63"/>
      <c r="G110" s="63"/>
      <c r="H110" s="84"/>
      <c r="I110" s="63"/>
      <c r="J110" s="124"/>
      <c r="K110" s="64"/>
      <c r="L110" s="64"/>
      <c r="M110" s="64"/>
      <c r="N110" s="64"/>
      <c r="O110" s="64"/>
      <c r="P110" s="63"/>
      <c r="Q110" s="63"/>
      <c r="R110" s="63"/>
    </row>
    <row r="111" spans="6:18" ht="15" customHeight="1">
      <c r="F111" s="63"/>
      <c r="G111" s="63"/>
      <c r="H111" s="84"/>
      <c r="I111" s="63"/>
      <c r="J111" s="124"/>
      <c r="K111" s="64"/>
      <c r="L111" s="64"/>
      <c r="M111" s="64"/>
      <c r="N111" s="64"/>
      <c r="O111" s="64"/>
      <c r="P111" s="63"/>
      <c r="Q111" s="63"/>
      <c r="R111" s="63"/>
    </row>
    <row r="112" spans="6:18" ht="15" customHeight="1">
      <c r="F112" s="63"/>
      <c r="G112" s="63"/>
      <c r="H112" s="84"/>
      <c r="I112" s="63"/>
      <c r="J112" s="124"/>
      <c r="K112" s="64"/>
      <c r="L112" s="64"/>
      <c r="M112" s="64"/>
      <c r="N112" s="64"/>
      <c r="O112" s="64"/>
      <c r="P112" s="63"/>
      <c r="Q112" s="63"/>
      <c r="R112" s="63"/>
    </row>
    <row r="113" spans="6:18" ht="15" customHeight="1">
      <c r="F113" s="63"/>
      <c r="G113" s="63"/>
      <c r="H113" s="84"/>
      <c r="I113" s="63"/>
      <c r="J113" s="124"/>
      <c r="K113" s="64"/>
      <c r="L113" s="64"/>
      <c r="M113" s="64"/>
      <c r="N113" s="64"/>
      <c r="O113" s="64"/>
      <c r="P113" s="63"/>
      <c r="Q113" s="63"/>
      <c r="R113" s="63"/>
    </row>
    <row r="114" spans="6:18" ht="15" customHeight="1">
      <c r="F114" s="63"/>
      <c r="G114" s="63"/>
      <c r="H114" s="84"/>
      <c r="I114" s="63"/>
      <c r="J114" s="124"/>
      <c r="K114" s="64"/>
      <c r="L114" s="64"/>
      <c r="M114" s="64"/>
      <c r="N114" s="64"/>
      <c r="O114" s="64"/>
      <c r="P114" s="63"/>
      <c r="Q114" s="63"/>
      <c r="R114" s="63"/>
    </row>
    <row r="115" spans="6:18" ht="15" customHeight="1">
      <c r="F115" s="63"/>
      <c r="G115" s="63"/>
      <c r="H115" s="84"/>
      <c r="I115" s="63"/>
      <c r="J115" s="124"/>
      <c r="K115" s="64"/>
      <c r="L115" s="64"/>
      <c r="M115" s="64"/>
      <c r="N115" s="64"/>
      <c r="O115" s="64"/>
      <c r="P115" s="63"/>
      <c r="Q115" s="63"/>
      <c r="R115" s="63"/>
    </row>
    <row r="116" spans="6:18" ht="15" customHeight="1">
      <c r="F116" s="63"/>
      <c r="G116" s="63"/>
      <c r="H116" s="84"/>
      <c r="I116" s="63"/>
      <c r="J116" s="124"/>
      <c r="K116" s="64"/>
      <c r="L116" s="64"/>
      <c r="M116" s="64"/>
      <c r="N116" s="64"/>
      <c r="O116" s="64"/>
      <c r="P116" s="63"/>
      <c r="Q116" s="63"/>
      <c r="R116" s="63"/>
    </row>
    <row r="117" spans="6:18" ht="15" customHeight="1">
      <c r="F117" s="63"/>
      <c r="G117" s="63"/>
      <c r="H117" s="84"/>
      <c r="I117" s="63"/>
      <c r="J117" s="124"/>
      <c r="K117" s="64"/>
      <c r="L117" s="64"/>
      <c r="M117" s="64"/>
      <c r="N117" s="64"/>
      <c r="O117" s="64"/>
      <c r="P117" s="63"/>
      <c r="Q117" s="63"/>
      <c r="R117" s="63"/>
    </row>
    <row r="118" spans="6:18" ht="15" customHeight="1">
      <c r="F118" s="63"/>
      <c r="G118" s="63"/>
      <c r="H118" s="84"/>
      <c r="I118" s="63"/>
      <c r="J118" s="124"/>
      <c r="K118" s="64"/>
      <c r="L118" s="64"/>
      <c r="M118" s="64"/>
      <c r="N118" s="64"/>
      <c r="O118" s="64"/>
      <c r="P118" s="63"/>
      <c r="Q118" s="63"/>
      <c r="R118" s="63"/>
    </row>
    <row r="119" spans="6:18" ht="15" customHeight="1">
      <c r="F119" s="63"/>
      <c r="G119" s="63"/>
      <c r="H119" s="84"/>
      <c r="I119" s="63"/>
      <c r="J119" s="124"/>
      <c r="K119" s="64"/>
      <c r="L119" s="64"/>
      <c r="M119" s="64"/>
      <c r="N119" s="64"/>
      <c r="O119" s="64"/>
      <c r="P119" s="63"/>
      <c r="Q119" s="63"/>
      <c r="R119" s="63"/>
    </row>
    <row r="120" spans="6:18" ht="15" customHeight="1">
      <c r="F120" s="63"/>
      <c r="G120" s="63"/>
      <c r="H120" s="84"/>
      <c r="I120" s="63"/>
      <c r="J120" s="124"/>
      <c r="K120" s="64"/>
      <c r="L120" s="64"/>
      <c r="M120" s="64"/>
      <c r="N120" s="64"/>
      <c r="O120" s="64"/>
      <c r="P120" s="63"/>
      <c r="Q120" s="63"/>
      <c r="R120" s="63"/>
    </row>
    <row r="121" spans="6:18" ht="15" customHeight="1">
      <c r="F121" s="63"/>
      <c r="G121" s="63"/>
      <c r="H121" s="84"/>
      <c r="I121" s="63"/>
      <c r="J121" s="124"/>
      <c r="K121" s="64"/>
      <c r="L121" s="64"/>
      <c r="M121" s="64"/>
      <c r="N121" s="64"/>
      <c r="O121" s="64"/>
      <c r="P121" s="63"/>
      <c r="Q121" s="63"/>
      <c r="R121" s="63"/>
    </row>
    <row r="122" spans="6:18" ht="15" customHeight="1">
      <c r="F122" s="63"/>
      <c r="G122" s="63"/>
      <c r="H122" s="84"/>
      <c r="I122" s="63"/>
      <c r="J122" s="124"/>
      <c r="K122" s="64"/>
      <c r="L122" s="64"/>
      <c r="M122" s="64"/>
      <c r="N122" s="64"/>
      <c r="O122" s="64"/>
      <c r="P122" s="63"/>
      <c r="Q122" s="63"/>
      <c r="R122" s="63"/>
    </row>
    <row r="123" spans="6:18" ht="15" customHeight="1">
      <c r="F123" s="63"/>
      <c r="G123" s="63"/>
      <c r="H123" s="84"/>
      <c r="I123" s="63"/>
      <c r="J123" s="124"/>
      <c r="K123" s="64"/>
      <c r="L123" s="64"/>
      <c r="M123" s="64"/>
      <c r="N123" s="64"/>
      <c r="O123" s="64"/>
      <c r="P123" s="63"/>
      <c r="Q123" s="63"/>
      <c r="R123" s="63"/>
    </row>
    <row r="124" spans="6:18" ht="15" customHeight="1">
      <c r="F124" s="63"/>
      <c r="G124" s="63"/>
      <c r="H124" s="84"/>
      <c r="I124" s="63"/>
      <c r="J124" s="124"/>
      <c r="K124" s="64"/>
      <c r="L124" s="64"/>
      <c r="M124" s="64"/>
      <c r="N124" s="64"/>
      <c r="O124" s="64"/>
      <c r="P124" s="63"/>
      <c r="Q124" s="63"/>
      <c r="R124" s="63"/>
    </row>
    <row r="125" spans="6:18" ht="15" customHeight="1">
      <c r="F125" s="63"/>
      <c r="G125" s="63"/>
      <c r="H125" s="84"/>
      <c r="I125" s="63"/>
      <c r="J125" s="124"/>
      <c r="K125" s="64"/>
      <c r="L125" s="64"/>
      <c r="M125" s="64"/>
      <c r="N125" s="64"/>
      <c r="O125" s="64"/>
      <c r="P125" s="63"/>
      <c r="Q125" s="63"/>
      <c r="R125" s="63"/>
    </row>
    <row r="126" spans="6:18" ht="15" customHeight="1">
      <c r="F126" s="63"/>
      <c r="G126" s="63"/>
      <c r="H126" s="84"/>
      <c r="I126" s="63"/>
      <c r="J126" s="124"/>
      <c r="K126" s="64"/>
      <c r="L126" s="64"/>
      <c r="M126" s="64"/>
      <c r="N126" s="64"/>
      <c r="O126" s="64"/>
      <c r="P126" s="63"/>
      <c r="Q126" s="63"/>
      <c r="R126" s="63"/>
    </row>
    <row r="127" spans="6:18" ht="15" customHeight="1">
      <c r="F127" s="63"/>
      <c r="G127" s="63"/>
      <c r="H127" s="84"/>
      <c r="I127" s="63"/>
      <c r="J127" s="124"/>
      <c r="K127" s="64"/>
      <c r="L127" s="64"/>
      <c r="M127" s="64"/>
      <c r="N127" s="64"/>
      <c r="O127" s="64"/>
      <c r="P127" s="63"/>
      <c r="Q127" s="63"/>
      <c r="R127" s="63"/>
    </row>
    <row r="128" spans="6:18" ht="15" customHeight="1">
      <c r="F128" s="63"/>
      <c r="G128" s="63"/>
      <c r="H128" s="84"/>
      <c r="I128" s="63"/>
      <c r="J128" s="124"/>
      <c r="K128" s="64"/>
      <c r="L128" s="64"/>
      <c r="M128" s="64"/>
      <c r="N128" s="64"/>
      <c r="O128" s="64"/>
      <c r="P128" s="63"/>
      <c r="Q128" s="63"/>
      <c r="R128" s="63"/>
    </row>
    <row r="129" spans="6:18" ht="15" customHeight="1">
      <c r="F129" s="63"/>
      <c r="G129" s="63"/>
      <c r="H129" s="84"/>
      <c r="I129" s="63"/>
      <c r="J129" s="124"/>
      <c r="K129" s="64"/>
      <c r="L129" s="64"/>
      <c r="M129" s="64"/>
      <c r="N129" s="64"/>
      <c r="O129" s="64"/>
      <c r="P129" s="63"/>
      <c r="Q129" s="63"/>
      <c r="R129" s="63"/>
    </row>
    <row r="130" spans="6:18" ht="15" customHeight="1">
      <c r="F130" s="63"/>
      <c r="G130" s="63"/>
      <c r="H130" s="84"/>
      <c r="I130" s="63"/>
      <c r="J130" s="124"/>
      <c r="K130" s="64"/>
      <c r="L130" s="64"/>
      <c r="M130" s="64"/>
      <c r="N130" s="64"/>
      <c r="O130" s="64"/>
      <c r="P130" s="63"/>
      <c r="Q130" s="63"/>
      <c r="R130" s="63"/>
    </row>
    <row r="131" spans="6:18" ht="15" customHeight="1">
      <c r="F131" s="63"/>
      <c r="G131" s="63"/>
      <c r="H131" s="84"/>
      <c r="I131" s="63"/>
      <c r="J131" s="124"/>
      <c r="K131" s="64"/>
      <c r="L131" s="64"/>
      <c r="M131" s="64"/>
      <c r="N131" s="64"/>
      <c r="O131" s="64"/>
      <c r="P131" s="63"/>
      <c r="Q131" s="63"/>
      <c r="R131" s="63"/>
    </row>
    <row r="132" spans="6:18" ht="15" customHeight="1">
      <c r="F132" s="63"/>
      <c r="G132" s="63"/>
      <c r="H132" s="84"/>
      <c r="I132" s="63"/>
      <c r="J132" s="124"/>
      <c r="K132" s="64"/>
      <c r="L132" s="64"/>
      <c r="M132" s="64"/>
      <c r="N132" s="64"/>
      <c r="O132" s="64"/>
      <c r="P132" s="63"/>
      <c r="Q132" s="63"/>
      <c r="R132" s="63"/>
    </row>
    <row r="133" spans="6:18" ht="15" customHeight="1">
      <c r="F133" s="63"/>
      <c r="G133" s="63"/>
      <c r="H133" s="84"/>
      <c r="I133" s="63"/>
      <c r="J133" s="124"/>
      <c r="K133" s="64"/>
      <c r="L133" s="64"/>
      <c r="M133" s="64"/>
      <c r="N133" s="64"/>
      <c r="O133" s="64"/>
      <c r="P133" s="63"/>
      <c r="Q133" s="63"/>
      <c r="R133" s="63"/>
    </row>
    <row r="134" spans="6:18" ht="15" customHeight="1">
      <c r="F134" s="63"/>
      <c r="G134" s="63"/>
      <c r="H134" s="84"/>
      <c r="I134" s="63"/>
      <c r="J134" s="124"/>
      <c r="K134" s="64"/>
      <c r="L134" s="64"/>
      <c r="M134" s="64"/>
      <c r="N134" s="64"/>
      <c r="O134" s="64"/>
      <c r="P134" s="63"/>
      <c r="Q134" s="63"/>
      <c r="R134" s="63"/>
    </row>
    <row r="135" spans="6:18" ht="15" customHeight="1">
      <c r="F135" s="63"/>
      <c r="G135" s="63"/>
      <c r="H135" s="84"/>
      <c r="I135" s="63"/>
      <c r="J135" s="124"/>
      <c r="K135" s="64"/>
      <c r="L135" s="64"/>
      <c r="M135" s="64"/>
      <c r="N135" s="64"/>
      <c r="O135" s="64"/>
      <c r="P135" s="63"/>
      <c r="Q135" s="63"/>
      <c r="R135" s="63"/>
    </row>
    <row r="136" spans="6:18" ht="15" customHeight="1">
      <c r="F136" s="63"/>
      <c r="G136" s="63"/>
      <c r="H136" s="84"/>
      <c r="I136" s="63"/>
      <c r="J136" s="124"/>
      <c r="K136" s="64"/>
      <c r="L136" s="64"/>
      <c r="M136" s="64"/>
      <c r="N136" s="64"/>
      <c r="O136" s="64"/>
      <c r="P136" s="63"/>
      <c r="Q136" s="63"/>
      <c r="R136" s="63"/>
    </row>
    <row r="137" spans="6:18" ht="15" customHeight="1">
      <c r="F137" s="63"/>
      <c r="G137" s="63"/>
      <c r="H137" s="84"/>
      <c r="I137" s="63"/>
      <c r="J137" s="124"/>
      <c r="K137" s="64"/>
      <c r="L137" s="64"/>
      <c r="M137" s="64"/>
      <c r="N137" s="64"/>
      <c r="O137" s="64"/>
      <c r="P137" s="63"/>
      <c r="Q137" s="63"/>
      <c r="R137" s="63"/>
    </row>
    <row r="138" spans="6:18" ht="15" customHeight="1">
      <c r="F138" s="63"/>
      <c r="G138" s="63"/>
      <c r="H138" s="84"/>
      <c r="I138" s="63"/>
      <c r="J138" s="124"/>
      <c r="K138" s="64"/>
      <c r="L138" s="64"/>
      <c r="M138" s="64"/>
      <c r="N138" s="64"/>
      <c r="O138" s="64"/>
      <c r="P138" s="63"/>
      <c r="Q138" s="63"/>
      <c r="R138" s="63"/>
    </row>
    <row r="139" spans="6:18" ht="15" customHeight="1">
      <c r="F139" s="63"/>
      <c r="G139" s="63"/>
      <c r="H139" s="84"/>
      <c r="I139" s="63"/>
      <c r="J139" s="124"/>
      <c r="K139" s="64"/>
      <c r="L139" s="64"/>
      <c r="M139" s="64"/>
      <c r="N139" s="64"/>
      <c r="O139" s="64"/>
      <c r="P139" s="63"/>
      <c r="Q139" s="63"/>
      <c r="R139" s="63"/>
    </row>
    <row r="140" spans="6:18" ht="15" customHeight="1">
      <c r="F140" s="63"/>
      <c r="G140" s="63"/>
      <c r="H140" s="84"/>
      <c r="I140" s="63"/>
      <c r="J140" s="124"/>
      <c r="K140" s="64"/>
      <c r="L140" s="64"/>
      <c r="M140" s="64"/>
      <c r="N140" s="64"/>
      <c r="O140" s="64"/>
      <c r="P140" s="63"/>
      <c r="Q140" s="63"/>
      <c r="R140" s="63"/>
    </row>
    <row r="141" spans="6:18" ht="15" customHeight="1">
      <c r="F141" s="63"/>
      <c r="G141" s="63"/>
      <c r="H141" s="84"/>
      <c r="I141" s="63"/>
      <c r="J141" s="124"/>
      <c r="K141" s="64"/>
      <c r="L141" s="64"/>
      <c r="M141" s="64"/>
      <c r="N141" s="64"/>
      <c r="O141" s="64"/>
      <c r="P141" s="63"/>
      <c r="Q141" s="63"/>
      <c r="R141" s="63"/>
    </row>
    <row r="142" spans="6:18" ht="15" customHeight="1">
      <c r="F142" s="63"/>
      <c r="G142" s="63"/>
      <c r="H142" s="84"/>
      <c r="I142" s="63"/>
      <c r="J142" s="124"/>
      <c r="K142" s="64"/>
      <c r="L142" s="64"/>
      <c r="M142" s="64"/>
      <c r="N142" s="64"/>
      <c r="O142" s="64"/>
      <c r="P142" s="63"/>
      <c r="Q142" s="63"/>
      <c r="R142" s="63"/>
    </row>
    <row r="143" spans="6:18" ht="15" customHeight="1">
      <c r="F143" s="63"/>
      <c r="G143" s="63"/>
      <c r="H143" s="84"/>
      <c r="I143" s="63"/>
      <c r="J143" s="124"/>
      <c r="K143" s="64"/>
      <c r="L143" s="64"/>
      <c r="M143" s="64"/>
      <c r="N143" s="64"/>
      <c r="O143" s="64"/>
      <c r="P143" s="63"/>
      <c r="Q143" s="63"/>
      <c r="R143" s="63"/>
    </row>
    <row r="144" spans="6:18" ht="15" customHeight="1">
      <c r="F144" s="63"/>
      <c r="G144" s="63"/>
      <c r="H144" s="84"/>
      <c r="I144" s="63"/>
      <c r="J144" s="124"/>
      <c r="K144" s="64"/>
      <c r="L144" s="64"/>
      <c r="M144" s="64"/>
      <c r="N144" s="64"/>
      <c r="O144" s="64"/>
      <c r="P144" s="63"/>
      <c r="Q144" s="63"/>
      <c r="R144" s="63"/>
    </row>
    <row r="145" spans="6:18" ht="15" customHeight="1">
      <c r="F145" s="63"/>
      <c r="G145" s="63"/>
      <c r="H145" s="84"/>
      <c r="I145" s="63"/>
      <c r="J145" s="124"/>
      <c r="K145" s="64"/>
      <c r="L145" s="64"/>
      <c r="M145" s="64"/>
      <c r="N145" s="64"/>
      <c r="O145" s="64"/>
      <c r="P145" s="63"/>
      <c r="Q145" s="63"/>
      <c r="R145" s="63"/>
    </row>
    <row r="146" spans="6:18" ht="15" customHeight="1">
      <c r="F146" s="63"/>
      <c r="G146" s="63"/>
      <c r="H146" s="84"/>
      <c r="I146" s="63"/>
      <c r="J146" s="124"/>
      <c r="K146" s="64"/>
      <c r="L146" s="64"/>
      <c r="M146" s="64"/>
      <c r="N146" s="64"/>
      <c r="O146" s="64"/>
      <c r="P146" s="63"/>
      <c r="Q146" s="63"/>
      <c r="R146" s="63"/>
    </row>
    <row r="147" spans="6:18" ht="15" customHeight="1">
      <c r="F147" s="63"/>
      <c r="G147" s="63"/>
      <c r="H147" s="84"/>
      <c r="I147" s="63"/>
      <c r="J147" s="124"/>
      <c r="K147" s="64"/>
      <c r="L147" s="64"/>
      <c r="M147" s="64"/>
      <c r="N147" s="64"/>
      <c r="O147" s="64"/>
      <c r="P147" s="63"/>
      <c r="Q147" s="63"/>
      <c r="R147" s="63"/>
    </row>
    <row r="148" spans="6:18" ht="15" customHeight="1">
      <c r="F148" s="63"/>
      <c r="G148" s="63"/>
      <c r="H148" s="84"/>
      <c r="I148" s="63"/>
      <c r="J148" s="124"/>
      <c r="K148" s="64"/>
      <c r="L148" s="64"/>
      <c r="M148" s="64"/>
      <c r="N148" s="64"/>
      <c r="O148" s="64"/>
      <c r="P148" s="63"/>
      <c r="Q148" s="63"/>
      <c r="R148" s="63"/>
    </row>
    <row r="149" spans="6:18" ht="15" customHeight="1">
      <c r="F149" s="63"/>
      <c r="G149" s="63"/>
      <c r="H149" s="84"/>
      <c r="I149" s="63"/>
      <c r="J149" s="124"/>
      <c r="K149" s="64"/>
      <c r="L149" s="64"/>
      <c r="M149" s="64"/>
      <c r="N149" s="64"/>
      <c r="O149" s="64"/>
      <c r="P149" s="63"/>
      <c r="Q149" s="63"/>
      <c r="R149" s="63"/>
    </row>
    <row r="150" spans="6:18" ht="15" customHeight="1">
      <c r="F150" s="63"/>
      <c r="G150" s="63"/>
      <c r="H150" s="84"/>
      <c r="I150" s="63"/>
      <c r="J150" s="124"/>
      <c r="K150" s="64"/>
      <c r="L150" s="64"/>
      <c r="M150" s="64"/>
      <c r="N150" s="64"/>
      <c r="O150" s="64"/>
      <c r="P150" s="63"/>
      <c r="Q150" s="63"/>
      <c r="R150" s="63"/>
    </row>
    <row r="151" spans="6:18" ht="15" customHeight="1">
      <c r="F151" s="63"/>
      <c r="G151" s="63"/>
      <c r="H151" s="84"/>
      <c r="I151" s="63"/>
      <c r="J151" s="124"/>
      <c r="K151" s="64"/>
      <c r="L151" s="64"/>
      <c r="M151" s="64"/>
      <c r="N151" s="64"/>
      <c r="O151" s="64"/>
      <c r="P151" s="63"/>
      <c r="Q151" s="63"/>
      <c r="R151" s="63"/>
    </row>
    <row r="152" spans="6:18" ht="15" customHeight="1">
      <c r="F152" s="63"/>
      <c r="G152" s="63"/>
      <c r="H152" s="84"/>
      <c r="I152" s="63"/>
      <c r="J152" s="124"/>
      <c r="K152" s="64"/>
      <c r="L152" s="64"/>
      <c r="M152" s="64"/>
      <c r="N152" s="64"/>
      <c r="O152" s="64"/>
      <c r="P152" s="63"/>
      <c r="Q152" s="63"/>
      <c r="R152" s="63"/>
    </row>
    <row r="153" spans="6:18" ht="15" customHeight="1">
      <c r="F153" s="63"/>
      <c r="G153" s="63"/>
      <c r="H153" s="84"/>
      <c r="I153" s="63"/>
      <c r="J153" s="124"/>
      <c r="K153" s="64"/>
      <c r="L153" s="64"/>
      <c r="M153" s="64"/>
      <c r="N153" s="64"/>
      <c r="O153" s="64"/>
      <c r="P153" s="63"/>
      <c r="Q153" s="63"/>
      <c r="R153" s="63"/>
    </row>
    <row r="154" spans="6:18" ht="15" customHeight="1">
      <c r="F154" s="63"/>
      <c r="G154" s="63"/>
      <c r="H154" s="84"/>
      <c r="I154" s="63"/>
      <c r="J154" s="124"/>
      <c r="K154" s="64"/>
      <c r="L154" s="64"/>
      <c r="M154" s="64"/>
      <c r="N154" s="64"/>
      <c r="O154" s="64"/>
      <c r="P154" s="63"/>
      <c r="Q154" s="63"/>
      <c r="R154" s="63"/>
    </row>
    <row r="155" spans="6:18" ht="15" customHeight="1">
      <c r="F155" s="63"/>
      <c r="G155" s="63"/>
      <c r="H155" s="84"/>
      <c r="I155" s="63"/>
      <c r="J155" s="124"/>
      <c r="K155" s="64"/>
      <c r="L155" s="64"/>
      <c r="M155" s="64"/>
      <c r="N155" s="64"/>
      <c r="O155" s="64"/>
      <c r="P155" s="63"/>
      <c r="Q155" s="63"/>
      <c r="R155" s="63"/>
    </row>
    <row r="156" spans="6:18" ht="15" customHeight="1">
      <c r="G156" s="63"/>
      <c r="H156" s="84"/>
      <c r="I156" s="63"/>
      <c r="J156" s="124"/>
      <c r="K156" s="64"/>
      <c r="L156" s="64"/>
      <c r="M156" s="64"/>
      <c r="N156" s="64"/>
      <c r="O156" s="64"/>
      <c r="P156" s="63"/>
      <c r="Q156" s="63"/>
      <c r="R156" s="63"/>
    </row>
    <row r="157" spans="6:18" ht="15" customHeight="1">
      <c r="G157" s="63"/>
      <c r="H157" s="84"/>
      <c r="I157" s="63"/>
      <c r="J157" s="124"/>
      <c r="K157" s="64"/>
      <c r="L157" s="64"/>
      <c r="M157" s="64"/>
      <c r="N157" s="64"/>
      <c r="O157" s="64"/>
      <c r="P157" s="63"/>
      <c r="Q157" s="63"/>
      <c r="R157" s="63"/>
    </row>
    <row r="158" spans="6:18" ht="15" customHeight="1">
      <c r="G158" s="63"/>
      <c r="H158" s="84"/>
      <c r="I158" s="63"/>
      <c r="J158" s="124"/>
      <c r="K158" s="64"/>
      <c r="L158" s="64"/>
      <c r="M158" s="64"/>
      <c r="N158" s="64"/>
      <c r="O158" s="64"/>
      <c r="P158" s="63"/>
      <c r="Q158" s="63"/>
      <c r="R158" s="63"/>
    </row>
    <row r="159" spans="6:18" ht="15" customHeight="1">
      <c r="G159" s="63"/>
      <c r="H159" s="84"/>
      <c r="I159" s="63"/>
      <c r="J159" s="124"/>
      <c r="K159" s="64"/>
      <c r="L159" s="64"/>
      <c r="M159" s="64"/>
      <c r="N159" s="64"/>
      <c r="O159" s="64"/>
      <c r="P159" s="63"/>
      <c r="Q159" s="63"/>
      <c r="R159" s="63"/>
    </row>
  </sheetData>
  <mergeCells count="2">
    <mergeCell ref="A2:F2"/>
    <mergeCell ref="A1:F1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59" orientation="portrait" r:id="rId1"/>
  <headerFooter alignWithMargins="0">
    <oddFooter>&amp;L&amp;F&amp;C&amp;D&amp;R&amp;A</oddFooter>
  </headerFooter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3">
    <tabColor theme="0" tint="-0.14999847407452621"/>
  </sheetPr>
  <dimension ref="A1:HM223"/>
  <sheetViews>
    <sheetView tabSelected="1" view="pageBreakPreview" zoomScale="90" zoomScaleNormal="40" zoomScaleSheetLayoutView="90" workbookViewId="0">
      <pane ySplit="4" topLeftCell="A5" activePane="bottomLeft" state="frozen"/>
      <selection pane="bottomLeft" sqref="A1:R1"/>
    </sheetView>
  </sheetViews>
  <sheetFormatPr defaultColWidth="10.28515625" defaultRowHeight="15" customHeight="1"/>
  <cols>
    <col min="1" max="1" width="10.5703125" style="4" bestFit="1" customWidth="1"/>
    <col min="2" max="2" width="19.7109375" style="4" bestFit="1" customWidth="1"/>
    <col min="3" max="3" width="24.5703125" style="4" customWidth="1"/>
    <col min="4" max="4" width="10.5703125" style="4" customWidth="1"/>
    <col min="5" max="5" width="11.7109375" style="4" bestFit="1" customWidth="1"/>
    <col min="6" max="6" width="14" style="21" customWidth="1"/>
    <col min="7" max="7" width="13.85546875" style="21" bestFit="1" customWidth="1"/>
    <col min="8" max="8" width="13.85546875" style="21" customWidth="1"/>
    <col min="9" max="9" width="14.28515625" style="21" bestFit="1" customWidth="1"/>
    <col min="10" max="10" width="25" style="73" customWidth="1"/>
    <col min="11" max="11" width="10" style="21" customWidth="1"/>
    <col min="12" max="12" width="23.140625" style="73" bestFit="1" customWidth="1"/>
    <col min="13" max="13" width="10" style="21" customWidth="1"/>
    <col min="14" max="14" width="19.140625" style="105" customWidth="1"/>
    <col min="15" max="15" width="10.42578125" style="105" customWidth="1"/>
    <col min="16" max="16" width="13.85546875" style="106" customWidth="1"/>
    <col min="17" max="17" width="18.7109375" style="157" bestFit="1" customWidth="1"/>
    <col min="18" max="18" width="19.28515625" style="157" bestFit="1" customWidth="1"/>
    <col min="19" max="19" width="10" style="4" customWidth="1"/>
    <col min="20" max="20" width="12.42578125" style="17" customWidth="1"/>
    <col min="21" max="21" width="16.42578125" style="17" customWidth="1"/>
    <col min="22" max="22" width="16.42578125" style="108" customWidth="1"/>
    <col min="23" max="23" width="18" style="109" customWidth="1"/>
    <col min="24" max="24" width="16.42578125" style="218" customWidth="1"/>
    <col min="25" max="25" width="16.42578125" style="221" customWidth="1"/>
    <col min="26" max="26" width="16.42578125" style="108" customWidth="1"/>
    <col min="27" max="27" width="16.42578125" style="109" customWidth="1"/>
    <col min="28" max="28" width="16.42578125" style="107" customWidth="1"/>
    <col min="29" max="30" width="16.42578125" style="4" customWidth="1"/>
    <col min="31" max="32" width="16.42578125" style="110" customWidth="1"/>
    <col min="33" max="33" width="16.42578125" style="28" customWidth="1"/>
    <col min="34" max="34" width="16.42578125" style="78" customWidth="1"/>
    <col min="35" max="220" width="10.28515625" style="78"/>
    <col min="221" max="16384" width="10.28515625" style="4"/>
  </cols>
  <sheetData>
    <row r="1" spans="1:221" ht="15" customHeight="1">
      <c r="A1" s="313" t="s">
        <v>170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</row>
    <row r="2" spans="1:221" ht="15" customHeight="1">
      <c r="A2" s="78"/>
      <c r="B2" s="78"/>
      <c r="C2" s="78"/>
      <c r="D2" s="78"/>
      <c r="E2" s="78"/>
      <c r="F2" s="88"/>
      <c r="G2" s="88"/>
      <c r="H2" s="88"/>
      <c r="I2" s="88"/>
      <c r="J2" s="121"/>
      <c r="K2" s="88"/>
      <c r="L2" s="121"/>
      <c r="M2" s="88"/>
      <c r="N2" s="102"/>
      <c r="O2" s="102"/>
      <c r="P2" s="103"/>
      <c r="Q2" s="155"/>
      <c r="R2" s="155"/>
      <c r="S2" s="78"/>
      <c r="T2" s="78"/>
      <c r="U2" s="78"/>
      <c r="V2" s="78"/>
      <c r="W2" s="78"/>
      <c r="X2" s="217"/>
      <c r="Y2" s="219"/>
      <c r="Z2" s="78"/>
      <c r="AA2" s="78"/>
      <c r="AB2" s="78"/>
      <c r="AC2" s="78"/>
      <c r="AD2" s="78"/>
      <c r="AE2" s="78"/>
      <c r="AF2" s="78"/>
      <c r="AG2" s="78"/>
    </row>
    <row r="3" spans="1:221" s="78" customFormat="1" ht="15" customHeight="1">
      <c r="F3" s="88"/>
      <c r="G3" s="88"/>
      <c r="H3" s="88"/>
      <c r="I3" s="88"/>
      <c r="J3" s="121"/>
      <c r="K3" s="88"/>
      <c r="L3" s="121"/>
      <c r="M3" s="88"/>
      <c r="N3" s="102"/>
      <c r="O3" s="102"/>
      <c r="P3" s="103"/>
      <c r="Q3" s="155"/>
      <c r="R3" s="155"/>
      <c r="T3" s="314" t="s">
        <v>246</v>
      </c>
      <c r="U3" s="315"/>
      <c r="V3" s="315"/>
      <c r="W3" s="315"/>
      <c r="X3" s="315"/>
      <c r="Y3" s="316"/>
      <c r="Z3" s="317" t="s">
        <v>247</v>
      </c>
      <c r="AA3" s="318"/>
      <c r="AB3" s="318"/>
      <c r="AC3" s="318"/>
      <c r="AD3" s="318"/>
      <c r="AE3" s="319"/>
      <c r="AF3" s="320" t="s">
        <v>248</v>
      </c>
      <c r="AG3" s="321"/>
      <c r="AH3" s="322"/>
    </row>
    <row r="4" spans="1:221" s="8" customFormat="1" ht="46.5" customHeight="1">
      <c r="A4" s="119" t="s">
        <v>34</v>
      </c>
      <c r="B4" s="33" t="s">
        <v>145</v>
      </c>
      <c r="C4" s="33" t="s">
        <v>68</v>
      </c>
      <c r="D4" s="33" t="s">
        <v>67</v>
      </c>
      <c r="E4" s="33" t="s">
        <v>30</v>
      </c>
      <c r="F4" s="33" t="s">
        <v>31</v>
      </c>
      <c r="G4" s="33" t="s">
        <v>121</v>
      </c>
      <c r="H4" s="33" t="s">
        <v>782</v>
      </c>
      <c r="I4" s="33" t="s">
        <v>426</v>
      </c>
      <c r="J4" s="74" t="s">
        <v>106</v>
      </c>
      <c r="K4" s="33" t="s">
        <v>23</v>
      </c>
      <c r="L4" s="74" t="s">
        <v>122</v>
      </c>
      <c r="M4" s="33" t="s">
        <v>123</v>
      </c>
      <c r="N4" s="33" t="s">
        <v>39</v>
      </c>
      <c r="O4" s="33" t="s">
        <v>32</v>
      </c>
      <c r="P4" s="33" t="s">
        <v>133</v>
      </c>
      <c r="Q4" s="156" t="s">
        <v>69</v>
      </c>
      <c r="R4" s="156" t="s">
        <v>255</v>
      </c>
      <c r="S4" s="33" t="s">
        <v>125</v>
      </c>
      <c r="T4" s="33" t="s">
        <v>446</v>
      </c>
      <c r="U4" s="33" t="s">
        <v>137</v>
      </c>
      <c r="V4" s="33" t="s">
        <v>138</v>
      </c>
      <c r="W4" s="33" t="s">
        <v>139</v>
      </c>
      <c r="X4" s="79" t="s">
        <v>135</v>
      </c>
      <c r="Y4" s="220" t="s">
        <v>136</v>
      </c>
      <c r="Z4" s="33" t="s">
        <v>124</v>
      </c>
      <c r="AA4" s="33" t="s">
        <v>144</v>
      </c>
      <c r="AB4" s="33" t="s">
        <v>140</v>
      </c>
      <c r="AC4" s="33" t="s">
        <v>141</v>
      </c>
      <c r="AD4" s="33" t="s">
        <v>142</v>
      </c>
      <c r="AE4" s="33" t="s">
        <v>143</v>
      </c>
      <c r="AF4" s="79" t="s">
        <v>127</v>
      </c>
      <c r="AG4" s="79" t="s">
        <v>37</v>
      </c>
      <c r="AH4" s="80" t="s">
        <v>36</v>
      </c>
      <c r="AI4" s="81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</row>
    <row r="5" spans="1:221" s="8" customFormat="1" ht="15" customHeight="1">
      <c r="A5" s="195">
        <v>1</v>
      </c>
      <c r="B5" s="21" t="str">
        <f>VLOOKUP(Ruimtestaat[[#This Row],[Code]],Locaties[#All],2,FALSE)</f>
        <v>IJburg College</v>
      </c>
      <c r="C5" s="223" t="str">
        <f>VLOOKUP(Ruimtestaat[[#This Row],[Code]],Locaties[#All],4,FALSE)</f>
        <v>Pampuslaan 1</v>
      </c>
      <c r="D5" s="223" t="str">
        <f>VLOOKUP(Ruimtestaat[[#This Row],[Code]],Locaties[#All],5,FALSE)</f>
        <v>1087 HP</v>
      </c>
      <c r="E5" s="223" t="str">
        <f>VLOOKUP(Ruimtestaat[[#This Row],[Code]],Locaties[#All],6,FALSE)</f>
        <v>Amsterdam</v>
      </c>
      <c r="F5" s="180"/>
      <c r="G5" s="195" t="s">
        <v>898</v>
      </c>
      <c r="H5" s="180"/>
      <c r="I5" s="195" t="s">
        <v>878</v>
      </c>
      <c r="J5" s="232" t="s">
        <v>888</v>
      </c>
      <c r="K5" s="237">
        <v>21</v>
      </c>
      <c r="L5" s="238" t="str">
        <f>VLOOKUP(Ruimtestaat[[#This Row],[Ruimte code]],Ruimtegroepen[#All],2,FALSE)</f>
        <v>Niet in onderhoud</v>
      </c>
      <c r="M5" s="223" t="s">
        <v>111</v>
      </c>
      <c r="N5" s="180" t="s">
        <v>897</v>
      </c>
      <c r="O5" s="181"/>
      <c r="P5" s="181">
        <v>633.25</v>
      </c>
      <c r="Q5" s="223" t="str">
        <f>VLOOKUP(Ruimtestaat[[#This Row],[Ruimte code]],Ruimtegroepen[#All],4,FALSE)</f>
        <v>Niet in onderhoud</v>
      </c>
      <c r="R5" s="194"/>
      <c r="S5" s="195"/>
      <c r="T5" s="195"/>
      <c r="U5" s="263"/>
      <c r="V5" s="264">
        <f>IF(U5&gt;0,VLOOKUP($K5,Ruimtegroepen[],3,FALSE)*VLOOKUP($M5,Vloersoorten[],3,FALSE)*VLOOKUP($T5,Frequenties[],3,FALSE)*VLOOKUP($A5,Locaties[],3,FALSE),0)</f>
        <v>0</v>
      </c>
      <c r="W5" s="265">
        <f>Ruimtestaat[[#This Row],[Uitvoeringen werkdagen]]*Ruimtestaat[[#This Row],[Oppervlak (netto)]]</f>
        <v>0</v>
      </c>
      <c r="X5" s="266">
        <f>IF(V5&gt;0,Ruimtestaat[[#This Row],[Prest. (m2 /jaar) werkdagen]]/Ruimtestaat[[#This Row],[Norm (m2/uur) werkdagen]],0)</f>
        <v>0</v>
      </c>
      <c r="Y5" s="267">
        <f>Ruimtestaat[[#This Row],[uren / jaar werkdagen]]*Tariefsopbouw!$D$38</f>
        <v>0</v>
      </c>
      <c r="Z5" s="268"/>
      <c r="AA5" s="269">
        <f>IF(Ruimtestaat[[#This Row],[Frequentie weekend]]&gt;0,VALUE(LEFT(Z5,1))*S5,0)</f>
        <v>0</v>
      </c>
      <c r="AB5" s="265">
        <f>IF($AA5&gt;0,VLOOKUP($K5,Ruimtegroepen[],3,FALSE)*VLOOKUP($M5,Vloersoorten[],3,FALSE)*VLOOKUP($Z5,Frequenties[],3,FALSE)*VLOOKUP(#REF!,Locaties[],3,FALSE),0)</f>
        <v>0</v>
      </c>
      <c r="AC5" s="270"/>
      <c r="AD5" s="271"/>
      <c r="AE5" s="237">
        <f>Ruimtestaat[[#This Row],[uren / jaar weekend]]*Tariefsopbouw!$D$40</f>
        <v>0</v>
      </c>
      <c r="AF5" s="233">
        <f>Ruimtestaat[[#This Row],[Prest. (m2 /jaar) weekend]]+Ruimtestaat[[#This Row],[Prest. (m2 /jaar) werkdagen]]</f>
        <v>0</v>
      </c>
      <c r="AG5" s="233">
        <f>Ruimtestaat[[#This Row],[uren / jaar weekend]]+Ruimtestaat[[#This Row],[uren / jaar werkdagen]]</f>
        <v>0</v>
      </c>
      <c r="AH5" s="272">
        <f>Ruimtestaat[[#This Row],[kosten / jaar weekend]]+Ruimtestaat[[#This Row],[kosten / jaar werkdagen]]</f>
        <v>0</v>
      </c>
      <c r="AI5" s="81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</row>
    <row r="6" spans="1:221" s="8" customFormat="1" ht="15" customHeight="1">
      <c r="A6" s="195">
        <v>1</v>
      </c>
      <c r="B6" s="21" t="str">
        <f>VLOOKUP(Ruimtestaat[[#This Row],[Code]],Locaties[#All],2,FALSE)</f>
        <v>IJburg College</v>
      </c>
      <c r="C6" s="223" t="str">
        <f>VLOOKUP(Ruimtestaat[[#This Row],[Code]],Locaties[#All],4,FALSE)</f>
        <v>Pampuslaan 1</v>
      </c>
      <c r="D6" s="223" t="str">
        <f>VLOOKUP(Ruimtestaat[[#This Row],[Code]],Locaties[#All],5,FALSE)</f>
        <v>1087 HP</v>
      </c>
      <c r="E6" s="223" t="str">
        <f>VLOOKUP(Ruimtestaat[[#This Row],[Code]],Locaties[#All],6,FALSE)</f>
        <v>Amsterdam</v>
      </c>
      <c r="F6" s="180"/>
      <c r="G6" s="195" t="s">
        <v>898</v>
      </c>
      <c r="H6" s="180"/>
      <c r="I6" s="195" t="s">
        <v>879</v>
      </c>
      <c r="J6" s="232" t="s">
        <v>889</v>
      </c>
      <c r="K6" s="237">
        <v>21</v>
      </c>
      <c r="L6" s="238" t="str">
        <f>VLOOKUP(Ruimtestaat[[#This Row],[Ruimte code]],Ruimtegroepen[#All],2,FALSE)</f>
        <v>Niet in onderhoud</v>
      </c>
      <c r="M6" s="223"/>
      <c r="N6" s="180"/>
      <c r="O6" s="181"/>
      <c r="P6" s="181">
        <v>502.37</v>
      </c>
      <c r="Q6" s="223" t="str">
        <f>VLOOKUP(Ruimtestaat[[#This Row],[Ruimte code]],Ruimtegroepen[#All],4,FALSE)</f>
        <v>Niet in onderhoud</v>
      </c>
      <c r="R6" s="194"/>
      <c r="S6" s="195"/>
      <c r="T6" s="195"/>
      <c r="U6" s="263"/>
      <c r="V6" s="264">
        <f>IF(U6&gt;0,VLOOKUP($K6,Ruimtegroepen[],3,FALSE)*VLOOKUP($M6,Vloersoorten[],3,FALSE)*VLOOKUP($T6,Frequenties[],3,FALSE)*VLOOKUP($A6,Locaties[],3,FALSE),0)</f>
        <v>0</v>
      </c>
      <c r="W6" s="265">
        <f>Ruimtestaat[[#This Row],[Uitvoeringen werkdagen]]*Ruimtestaat[[#This Row],[Oppervlak (netto)]]</f>
        <v>0</v>
      </c>
      <c r="X6" s="266">
        <f>IF(V6&gt;0,Ruimtestaat[[#This Row],[Prest. (m2 /jaar) werkdagen]]/Ruimtestaat[[#This Row],[Norm (m2/uur) werkdagen]],0)</f>
        <v>0</v>
      </c>
      <c r="Y6" s="267">
        <f>Ruimtestaat[[#This Row],[uren / jaar werkdagen]]*Tariefsopbouw!$D$38</f>
        <v>0</v>
      </c>
      <c r="Z6" s="268"/>
      <c r="AA6" s="269">
        <f>IF(Ruimtestaat[[#This Row],[Frequentie weekend]]&gt;0,VALUE(LEFT(Z6,1))*S6,0)</f>
        <v>0</v>
      </c>
      <c r="AB6" s="265">
        <f>IF($AA6&gt;0,VLOOKUP($K6,Ruimtegroepen[],3,FALSE)*VLOOKUP($M6,Vloersoorten[],3,FALSE)*VLOOKUP($Z6,Frequenties[],3,FALSE)*VLOOKUP(#REF!,Locaties[],3,FALSE),0)</f>
        <v>0</v>
      </c>
      <c r="AC6" s="270"/>
      <c r="AD6" s="271"/>
      <c r="AE6" s="237">
        <f>Ruimtestaat[[#This Row],[uren / jaar weekend]]*Tariefsopbouw!$D$40</f>
        <v>0</v>
      </c>
      <c r="AF6" s="233">
        <f>Ruimtestaat[[#This Row],[Prest. (m2 /jaar) weekend]]+Ruimtestaat[[#This Row],[Prest. (m2 /jaar) werkdagen]]</f>
        <v>0</v>
      </c>
      <c r="AG6" s="233">
        <f>Ruimtestaat[[#This Row],[uren / jaar weekend]]+Ruimtestaat[[#This Row],[uren / jaar werkdagen]]</f>
        <v>0</v>
      </c>
      <c r="AH6" s="272">
        <f>Ruimtestaat[[#This Row],[kosten / jaar weekend]]+Ruimtestaat[[#This Row],[kosten / jaar werkdagen]]</f>
        <v>0</v>
      </c>
      <c r="AI6" s="81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</row>
    <row r="7" spans="1:221" s="8" customFormat="1" ht="15" customHeight="1">
      <c r="A7" s="195">
        <v>1</v>
      </c>
      <c r="B7" s="21" t="str">
        <f>VLOOKUP(Ruimtestaat[[#This Row],[Code]],Locaties[#All],2,FALSE)</f>
        <v>IJburg College</v>
      </c>
      <c r="C7" s="223" t="str">
        <f>VLOOKUP(Ruimtestaat[[#This Row],[Code]],Locaties[#All],4,FALSE)</f>
        <v>Pampuslaan 1</v>
      </c>
      <c r="D7" s="223" t="str">
        <f>VLOOKUP(Ruimtestaat[[#This Row],[Code]],Locaties[#All],5,FALSE)</f>
        <v>1087 HP</v>
      </c>
      <c r="E7" s="223" t="str">
        <f>VLOOKUP(Ruimtestaat[[#This Row],[Code]],Locaties[#All],6,FALSE)</f>
        <v>Amsterdam</v>
      </c>
      <c r="F7" s="180"/>
      <c r="G7" s="195" t="s">
        <v>898</v>
      </c>
      <c r="H7" s="180"/>
      <c r="I7" s="195" t="s">
        <v>880</v>
      </c>
      <c r="J7" s="232" t="s">
        <v>890</v>
      </c>
      <c r="K7" s="237">
        <v>21</v>
      </c>
      <c r="L7" s="238" t="str">
        <f>VLOOKUP(Ruimtestaat[[#This Row],[Ruimte code]],Ruimtegroepen[#All],2,FALSE)</f>
        <v>Niet in onderhoud</v>
      </c>
      <c r="M7" s="223" t="s">
        <v>111</v>
      </c>
      <c r="N7" s="180" t="s">
        <v>897</v>
      </c>
      <c r="O7" s="181"/>
      <c r="P7" s="181">
        <v>16</v>
      </c>
      <c r="Q7" s="223" t="str">
        <f>VLOOKUP(Ruimtestaat[[#This Row],[Ruimte code]],Ruimtegroepen[#All],4,FALSE)</f>
        <v>Niet in onderhoud</v>
      </c>
      <c r="R7" s="194"/>
      <c r="S7" s="195"/>
      <c r="T7" s="195"/>
      <c r="U7" s="195">
        <f>IF(S7&gt;0,IF(RIGHT(Ruimtestaat[[#This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" s="264">
        <f>IF(U7&gt;0,VLOOKUP($K7,Ruimtegroepen[],3,FALSE)*VLOOKUP($M7,Vloersoorten[],3,FALSE)*VLOOKUP($T7,Frequenties[],3,FALSE)*VLOOKUP($A7,Locaties[],3,FALSE),0)</f>
        <v>0</v>
      </c>
      <c r="W7" s="265">
        <f>Ruimtestaat[[#This Row],[Uitvoeringen werkdagen]]*Ruimtestaat[[#This Row],[Oppervlak (netto)]]</f>
        <v>0</v>
      </c>
      <c r="X7" s="266">
        <f>IF(V7&gt;0,Ruimtestaat[[#This Row],[Prest. (m2 /jaar) werkdagen]]/Ruimtestaat[[#This Row],[Norm (m2/uur) werkdagen]],0)</f>
        <v>0</v>
      </c>
      <c r="Y7" s="267">
        <f>Ruimtestaat[[#This Row],[uren / jaar werkdagen]]*Tariefsopbouw!$D$38</f>
        <v>0</v>
      </c>
      <c r="Z7" s="268"/>
      <c r="AA7" s="269">
        <f>IF(Ruimtestaat[[#This Row],[Frequentie weekend]]&gt;0,VALUE(LEFT(Z7,1))*S7,0)</f>
        <v>0</v>
      </c>
      <c r="AB7" s="265">
        <f>IF($AA7&gt;0,VLOOKUP($K7,Ruimtegroepen[],3,FALSE)*VLOOKUP($M7,Vloersoorten[],3,FALSE)*VLOOKUP($Z7,Frequenties[],3,FALSE)*VLOOKUP(#REF!,Locaties[],3,FALSE),0)</f>
        <v>0</v>
      </c>
      <c r="AC7" s="270"/>
      <c r="AD7" s="271"/>
      <c r="AE7" s="237">
        <f>Ruimtestaat[[#This Row],[uren / jaar weekend]]*Tariefsopbouw!$D$40</f>
        <v>0</v>
      </c>
      <c r="AF7" s="233">
        <f>Ruimtestaat[[#This Row],[Prest. (m2 /jaar) weekend]]+Ruimtestaat[[#This Row],[Prest. (m2 /jaar) werkdagen]]</f>
        <v>0</v>
      </c>
      <c r="AG7" s="233">
        <f>Ruimtestaat[[#This Row],[uren / jaar weekend]]+Ruimtestaat[[#This Row],[uren / jaar werkdagen]]</f>
        <v>0</v>
      </c>
      <c r="AH7" s="272">
        <f>Ruimtestaat[[#This Row],[kosten / jaar weekend]]+Ruimtestaat[[#This Row],[kosten / jaar werkdagen]]</f>
        <v>0</v>
      </c>
      <c r="AI7" s="81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</row>
    <row r="8" spans="1:221" s="8" customFormat="1" ht="15" customHeight="1">
      <c r="A8" s="195">
        <v>1</v>
      </c>
      <c r="B8" s="21" t="str">
        <f>VLOOKUP(Ruimtestaat[[#This Row],[Code]],Locaties[#All],2,FALSE)</f>
        <v>IJburg College</v>
      </c>
      <c r="C8" s="223" t="str">
        <f>VLOOKUP(Ruimtestaat[[#This Row],[Code]],Locaties[#All],4,FALSE)</f>
        <v>Pampuslaan 1</v>
      </c>
      <c r="D8" s="223" t="str">
        <f>VLOOKUP(Ruimtestaat[[#This Row],[Code]],Locaties[#All],5,FALSE)</f>
        <v>1087 HP</v>
      </c>
      <c r="E8" s="223" t="str">
        <f>VLOOKUP(Ruimtestaat[[#This Row],[Code]],Locaties[#All],6,FALSE)</f>
        <v>Amsterdam</v>
      </c>
      <c r="F8" s="180"/>
      <c r="G8" s="195" t="s">
        <v>898</v>
      </c>
      <c r="H8" s="180"/>
      <c r="I8" s="195" t="s">
        <v>881</v>
      </c>
      <c r="J8" s="232" t="s">
        <v>891</v>
      </c>
      <c r="K8" s="237">
        <v>21</v>
      </c>
      <c r="L8" s="238" t="str">
        <f>VLOOKUP(Ruimtestaat[[#This Row],[Ruimte code]],Ruimtegroepen[#All],2,FALSE)</f>
        <v>Niet in onderhoud</v>
      </c>
      <c r="M8" s="223"/>
      <c r="N8" s="180"/>
      <c r="O8" s="181"/>
      <c r="P8" s="181"/>
      <c r="Q8" s="223" t="str">
        <f>VLOOKUP(Ruimtestaat[[#This Row],[Ruimte code]],Ruimtegroepen[#All],4,FALSE)</f>
        <v>Niet in onderhoud</v>
      </c>
      <c r="R8" s="194"/>
      <c r="S8" s="195"/>
      <c r="T8" s="195"/>
      <c r="U8" s="263"/>
      <c r="V8" s="264">
        <f>IF(U8&gt;0,VLOOKUP($K8,Ruimtegroepen[],3,FALSE)*VLOOKUP($M8,Vloersoorten[],3,FALSE)*VLOOKUP($T8,Frequenties[],3,FALSE)*VLOOKUP($A8,Locaties[],3,FALSE),0)</f>
        <v>0</v>
      </c>
      <c r="W8" s="265">
        <f>Ruimtestaat[[#This Row],[Uitvoeringen werkdagen]]*Ruimtestaat[[#This Row],[Oppervlak (netto)]]</f>
        <v>0</v>
      </c>
      <c r="X8" s="266">
        <f>IF(V8&gt;0,Ruimtestaat[[#This Row],[Prest. (m2 /jaar) werkdagen]]/Ruimtestaat[[#This Row],[Norm (m2/uur) werkdagen]],0)</f>
        <v>0</v>
      </c>
      <c r="Y8" s="267">
        <f>Ruimtestaat[[#This Row],[uren / jaar werkdagen]]*Tariefsopbouw!$D$38</f>
        <v>0</v>
      </c>
      <c r="Z8" s="268"/>
      <c r="AA8" s="269">
        <f>IF(Ruimtestaat[[#This Row],[Frequentie weekend]]&gt;0,VALUE(LEFT(Z8,1))*S8,0)</f>
        <v>0</v>
      </c>
      <c r="AB8" s="265">
        <f>IF($AA8&gt;0,VLOOKUP($K8,Ruimtegroepen[],3,FALSE)*VLOOKUP($M8,Vloersoorten[],3,FALSE)*VLOOKUP($Z8,Frequenties[],3,FALSE)*VLOOKUP(#REF!,Locaties[],3,FALSE),0)</f>
        <v>0</v>
      </c>
      <c r="AC8" s="270"/>
      <c r="AD8" s="271"/>
      <c r="AE8" s="237">
        <f>Ruimtestaat[[#This Row],[uren / jaar weekend]]*Tariefsopbouw!$D$40</f>
        <v>0</v>
      </c>
      <c r="AF8" s="233">
        <f>Ruimtestaat[[#This Row],[Prest. (m2 /jaar) weekend]]+Ruimtestaat[[#This Row],[Prest. (m2 /jaar) werkdagen]]</f>
        <v>0</v>
      </c>
      <c r="AG8" s="233">
        <f>Ruimtestaat[[#This Row],[uren / jaar weekend]]+Ruimtestaat[[#This Row],[uren / jaar werkdagen]]</f>
        <v>0</v>
      </c>
      <c r="AH8" s="272">
        <f>Ruimtestaat[[#This Row],[kosten / jaar weekend]]+Ruimtestaat[[#This Row],[kosten / jaar werkdagen]]</f>
        <v>0</v>
      </c>
      <c r="AI8" s="81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</row>
    <row r="9" spans="1:221" s="8" customFormat="1" ht="15" customHeight="1">
      <c r="A9" s="195">
        <v>1</v>
      </c>
      <c r="B9" s="21" t="str">
        <f>VLOOKUP(Ruimtestaat[[#This Row],[Code]],Locaties[#All],2,FALSE)</f>
        <v>IJburg College</v>
      </c>
      <c r="C9" s="223" t="str">
        <f>VLOOKUP(Ruimtestaat[[#This Row],[Code]],Locaties[#All],4,FALSE)</f>
        <v>Pampuslaan 1</v>
      </c>
      <c r="D9" s="223" t="str">
        <f>VLOOKUP(Ruimtestaat[[#This Row],[Code]],Locaties[#All],5,FALSE)</f>
        <v>1087 HP</v>
      </c>
      <c r="E9" s="223" t="str">
        <f>VLOOKUP(Ruimtestaat[[#This Row],[Code]],Locaties[#All],6,FALSE)</f>
        <v>Amsterdam</v>
      </c>
      <c r="F9" s="180"/>
      <c r="G9" s="195" t="s">
        <v>898</v>
      </c>
      <c r="H9" s="180"/>
      <c r="I9" s="195" t="s">
        <v>882</v>
      </c>
      <c r="J9" s="232" t="s">
        <v>548</v>
      </c>
      <c r="K9" s="237">
        <v>21</v>
      </c>
      <c r="L9" s="238" t="str">
        <f>VLOOKUP(Ruimtestaat[[#This Row],[Ruimte code]],Ruimtegroepen[#All],2,FALSE)</f>
        <v>Niet in onderhoud</v>
      </c>
      <c r="M9" s="223"/>
      <c r="N9" s="180"/>
      <c r="O9" s="181"/>
      <c r="P9" s="181"/>
      <c r="Q9" s="223" t="str">
        <f>VLOOKUP(Ruimtestaat[[#This Row],[Ruimte code]],Ruimtegroepen[#All],4,FALSE)</f>
        <v>Niet in onderhoud</v>
      </c>
      <c r="R9" s="194"/>
      <c r="S9" s="195"/>
      <c r="T9" s="195"/>
      <c r="U9" s="263"/>
      <c r="V9" s="264">
        <f>IF(U9&gt;0,VLOOKUP($K9,Ruimtegroepen[],3,FALSE)*VLOOKUP($M9,Vloersoorten[],3,FALSE)*VLOOKUP($T9,Frequenties[],3,FALSE)*VLOOKUP($A9,Locaties[],3,FALSE),0)</f>
        <v>0</v>
      </c>
      <c r="W9" s="265">
        <f>Ruimtestaat[[#This Row],[Uitvoeringen werkdagen]]*Ruimtestaat[[#This Row],[Oppervlak (netto)]]</f>
        <v>0</v>
      </c>
      <c r="X9" s="266">
        <f>IF(V9&gt;0,Ruimtestaat[[#This Row],[Prest. (m2 /jaar) werkdagen]]/Ruimtestaat[[#This Row],[Norm (m2/uur) werkdagen]],0)</f>
        <v>0</v>
      </c>
      <c r="Y9" s="267">
        <f>Ruimtestaat[[#This Row],[uren / jaar werkdagen]]*Tariefsopbouw!$D$38</f>
        <v>0</v>
      </c>
      <c r="Z9" s="268"/>
      <c r="AA9" s="269">
        <f>IF(Ruimtestaat[[#This Row],[Frequentie weekend]]&gt;0,VALUE(LEFT(Z9,1))*S9,0)</f>
        <v>0</v>
      </c>
      <c r="AB9" s="265">
        <f>IF($AA9&gt;0,VLOOKUP($K9,Ruimtegroepen[],3,FALSE)*VLOOKUP($M9,Vloersoorten[],3,FALSE)*VLOOKUP($Z9,Frequenties[],3,FALSE)*VLOOKUP(#REF!,Locaties[],3,FALSE),0)</f>
        <v>0</v>
      </c>
      <c r="AC9" s="270"/>
      <c r="AD9" s="271"/>
      <c r="AE9" s="237">
        <f>Ruimtestaat[[#This Row],[uren / jaar weekend]]*Tariefsopbouw!$D$40</f>
        <v>0</v>
      </c>
      <c r="AF9" s="233">
        <f>Ruimtestaat[[#This Row],[Prest. (m2 /jaar) weekend]]+Ruimtestaat[[#This Row],[Prest. (m2 /jaar) werkdagen]]</f>
        <v>0</v>
      </c>
      <c r="AG9" s="233">
        <f>Ruimtestaat[[#This Row],[uren / jaar weekend]]+Ruimtestaat[[#This Row],[uren / jaar werkdagen]]</f>
        <v>0</v>
      </c>
      <c r="AH9" s="272">
        <f>Ruimtestaat[[#This Row],[kosten / jaar weekend]]+Ruimtestaat[[#This Row],[kosten / jaar werkdagen]]</f>
        <v>0</v>
      </c>
      <c r="AI9" s="81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</row>
    <row r="10" spans="1:221" s="8" customFormat="1" ht="15" customHeight="1">
      <c r="A10" s="195">
        <v>1</v>
      </c>
      <c r="B10" s="21" t="str">
        <f>VLOOKUP(Ruimtestaat[[#This Row],[Code]],Locaties[#All],2,FALSE)</f>
        <v>IJburg College</v>
      </c>
      <c r="C10" s="223" t="str">
        <f>VLOOKUP(Ruimtestaat[[#This Row],[Code]],Locaties[#All],4,FALSE)</f>
        <v>Pampuslaan 1</v>
      </c>
      <c r="D10" s="223" t="str">
        <f>VLOOKUP(Ruimtestaat[[#This Row],[Code]],Locaties[#All],5,FALSE)</f>
        <v>1087 HP</v>
      </c>
      <c r="E10" s="223" t="str">
        <f>VLOOKUP(Ruimtestaat[[#This Row],[Code]],Locaties[#All],6,FALSE)</f>
        <v>Amsterdam</v>
      </c>
      <c r="F10" s="180"/>
      <c r="G10" s="195" t="s">
        <v>898</v>
      </c>
      <c r="H10" s="180"/>
      <c r="I10" s="195" t="s">
        <v>883</v>
      </c>
      <c r="J10" s="232" t="s">
        <v>892</v>
      </c>
      <c r="K10" s="237">
        <v>21</v>
      </c>
      <c r="L10" s="238" t="str">
        <f>VLOOKUP(Ruimtestaat[[#This Row],[Ruimte code]],Ruimtegroepen[#All],2,FALSE)</f>
        <v>Niet in onderhoud</v>
      </c>
      <c r="M10" s="223"/>
      <c r="N10" s="180"/>
      <c r="O10" s="181"/>
      <c r="P10" s="181"/>
      <c r="Q10" s="223" t="str">
        <f>VLOOKUP(Ruimtestaat[[#This Row],[Ruimte code]],Ruimtegroepen[#All],4,FALSE)</f>
        <v>Niet in onderhoud</v>
      </c>
      <c r="R10" s="194"/>
      <c r="S10" s="195"/>
      <c r="T10" s="195"/>
      <c r="U10" s="263"/>
      <c r="V10" s="264">
        <f>IF(U10&gt;0,VLOOKUP($K10,Ruimtegroepen[],3,FALSE)*VLOOKUP($M10,Vloersoorten[],3,FALSE)*VLOOKUP($T10,Frequenties[],3,FALSE)*VLOOKUP($A10,Locaties[],3,FALSE),0)</f>
        <v>0</v>
      </c>
      <c r="W10" s="265">
        <f>Ruimtestaat[[#This Row],[Uitvoeringen werkdagen]]*Ruimtestaat[[#This Row],[Oppervlak (netto)]]</f>
        <v>0</v>
      </c>
      <c r="X10" s="266">
        <f>IF(V10&gt;0,Ruimtestaat[[#This Row],[Prest. (m2 /jaar) werkdagen]]/Ruimtestaat[[#This Row],[Norm (m2/uur) werkdagen]],0)</f>
        <v>0</v>
      </c>
      <c r="Y10" s="267">
        <f>Ruimtestaat[[#This Row],[uren / jaar werkdagen]]*Tariefsopbouw!$D$38</f>
        <v>0</v>
      </c>
      <c r="Z10" s="268"/>
      <c r="AA10" s="269">
        <f>IF(Ruimtestaat[[#This Row],[Frequentie weekend]]&gt;0,VALUE(LEFT(Z10,1))*S10,0)</f>
        <v>0</v>
      </c>
      <c r="AB10" s="265">
        <f>IF($AA10&gt;0,VLOOKUP($K10,Ruimtegroepen[],3,FALSE)*VLOOKUP($M10,Vloersoorten[],3,FALSE)*VLOOKUP($Z10,Frequenties[],3,FALSE)*VLOOKUP(#REF!,Locaties[],3,FALSE),0)</f>
        <v>0</v>
      </c>
      <c r="AC10" s="270"/>
      <c r="AD10" s="271"/>
      <c r="AE10" s="237">
        <f>Ruimtestaat[[#This Row],[uren / jaar weekend]]*Tariefsopbouw!$D$40</f>
        <v>0</v>
      </c>
      <c r="AF10" s="233">
        <f>Ruimtestaat[[#This Row],[Prest. (m2 /jaar) weekend]]+Ruimtestaat[[#This Row],[Prest. (m2 /jaar) werkdagen]]</f>
        <v>0</v>
      </c>
      <c r="AG10" s="233">
        <f>Ruimtestaat[[#This Row],[uren / jaar weekend]]+Ruimtestaat[[#This Row],[uren / jaar werkdagen]]</f>
        <v>0</v>
      </c>
      <c r="AH10" s="272">
        <f>Ruimtestaat[[#This Row],[kosten / jaar weekend]]+Ruimtestaat[[#This Row],[kosten / jaar werkdagen]]</f>
        <v>0</v>
      </c>
      <c r="AI10" s="81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</row>
    <row r="11" spans="1:221" s="8" customFormat="1" ht="15" customHeight="1">
      <c r="A11" s="195">
        <v>1</v>
      </c>
      <c r="B11" s="21" t="str">
        <f>VLOOKUP(Ruimtestaat[[#This Row],[Code]],Locaties[#All],2,FALSE)</f>
        <v>IJburg College</v>
      </c>
      <c r="C11" s="223" t="str">
        <f>VLOOKUP(Ruimtestaat[[#This Row],[Code]],Locaties[#All],4,FALSE)</f>
        <v>Pampuslaan 1</v>
      </c>
      <c r="D11" s="223" t="str">
        <f>VLOOKUP(Ruimtestaat[[#This Row],[Code]],Locaties[#All],5,FALSE)</f>
        <v>1087 HP</v>
      </c>
      <c r="E11" s="223" t="str">
        <f>VLOOKUP(Ruimtestaat[[#This Row],[Code]],Locaties[#All],6,FALSE)</f>
        <v>Amsterdam</v>
      </c>
      <c r="F11" s="180"/>
      <c r="G11" s="195" t="s">
        <v>898</v>
      </c>
      <c r="H11" s="180"/>
      <c r="I11" s="195" t="s">
        <v>884</v>
      </c>
      <c r="J11" s="232" t="s">
        <v>893</v>
      </c>
      <c r="K11" s="237">
        <v>21</v>
      </c>
      <c r="L11" s="238" t="str">
        <f>VLOOKUP(Ruimtestaat[[#This Row],[Ruimte code]],Ruimtegroepen[#All],2,FALSE)</f>
        <v>Niet in onderhoud</v>
      </c>
      <c r="M11" s="223"/>
      <c r="N11" s="180"/>
      <c r="O11" s="181"/>
      <c r="P11" s="181"/>
      <c r="Q11" s="223" t="str">
        <f>VLOOKUP(Ruimtestaat[[#This Row],[Ruimte code]],Ruimtegroepen[#All],4,FALSE)</f>
        <v>Niet in onderhoud</v>
      </c>
      <c r="R11" s="194"/>
      <c r="S11" s="195"/>
      <c r="T11" s="195"/>
      <c r="U11" s="263"/>
      <c r="V11" s="264">
        <f>IF(U11&gt;0,VLOOKUP($K11,Ruimtegroepen[],3,FALSE)*VLOOKUP($M11,Vloersoorten[],3,FALSE)*VLOOKUP($T11,Frequenties[],3,FALSE)*VLOOKUP($A11,Locaties[],3,FALSE),0)</f>
        <v>0</v>
      </c>
      <c r="W11" s="265">
        <f>Ruimtestaat[[#This Row],[Uitvoeringen werkdagen]]*Ruimtestaat[[#This Row],[Oppervlak (netto)]]</f>
        <v>0</v>
      </c>
      <c r="X11" s="266">
        <f>IF(V11&gt;0,Ruimtestaat[[#This Row],[Prest. (m2 /jaar) werkdagen]]/Ruimtestaat[[#This Row],[Norm (m2/uur) werkdagen]],0)</f>
        <v>0</v>
      </c>
      <c r="Y11" s="267">
        <f>Ruimtestaat[[#This Row],[uren / jaar werkdagen]]*Tariefsopbouw!$D$38</f>
        <v>0</v>
      </c>
      <c r="Z11" s="268"/>
      <c r="AA11" s="269">
        <f>IF(Ruimtestaat[[#This Row],[Frequentie weekend]]&gt;0,VALUE(LEFT(Z11,1))*S11,0)</f>
        <v>0</v>
      </c>
      <c r="AB11" s="265">
        <f>IF($AA11&gt;0,VLOOKUP($K11,Ruimtegroepen[],3,FALSE)*VLOOKUP($M11,Vloersoorten[],3,FALSE)*VLOOKUP($Z11,Frequenties[],3,FALSE)*VLOOKUP(#REF!,Locaties[],3,FALSE),0)</f>
        <v>0</v>
      </c>
      <c r="AC11" s="270"/>
      <c r="AD11" s="271"/>
      <c r="AE11" s="237">
        <f>Ruimtestaat[[#This Row],[uren / jaar weekend]]*Tariefsopbouw!$D$40</f>
        <v>0</v>
      </c>
      <c r="AF11" s="233">
        <f>Ruimtestaat[[#This Row],[Prest. (m2 /jaar) weekend]]+Ruimtestaat[[#This Row],[Prest. (m2 /jaar) werkdagen]]</f>
        <v>0</v>
      </c>
      <c r="AG11" s="233">
        <f>Ruimtestaat[[#This Row],[uren / jaar weekend]]+Ruimtestaat[[#This Row],[uren / jaar werkdagen]]</f>
        <v>0</v>
      </c>
      <c r="AH11" s="272">
        <f>Ruimtestaat[[#This Row],[kosten / jaar weekend]]+Ruimtestaat[[#This Row],[kosten / jaar werkdagen]]</f>
        <v>0</v>
      </c>
      <c r="AI11" s="81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</row>
    <row r="12" spans="1:221" s="8" customFormat="1" ht="15" customHeight="1">
      <c r="A12" s="195">
        <v>1</v>
      </c>
      <c r="B12" s="21" t="str">
        <f>VLOOKUP(Ruimtestaat[[#This Row],[Code]],Locaties[#All],2,FALSE)</f>
        <v>IJburg College</v>
      </c>
      <c r="C12" s="223" t="str">
        <f>VLOOKUP(Ruimtestaat[[#This Row],[Code]],Locaties[#All],4,FALSE)</f>
        <v>Pampuslaan 1</v>
      </c>
      <c r="D12" s="223" t="str">
        <f>VLOOKUP(Ruimtestaat[[#This Row],[Code]],Locaties[#All],5,FALSE)</f>
        <v>1087 HP</v>
      </c>
      <c r="E12" s="223" t="str">
        <f>VLOOKUP(Ruimtestaat[[#This Row],[Code]],Locaties[#All],6,FALSE)</f>
        <v>Amsterdam</v>
      </c>
      <c r="F12" s="180"/>
      <c r="G12" s="195" t="s">
        <v>898</v>
      </c>
      <c r="H12" s="180"/>
      <c r="I12" s="195" t="s">
        <v>885</v>
      </c>
      <c r="J12" s="232" t="s">
        <v>894</v>
      </c>
      <c r="K12" s="237">
        <v>21</v>
      </c>
      <c r="L12" s="238" t="str">
        <f>VLOOKUP(Ruimtestaat[[#This Row],[Ruimte code]],Ruimtegroepen[#All],2,FALSE)</f>
        <v>Niet in onderhoud</v>
      </c>
      <c r="M12" s="223"/>
      <c r="N12" s="180"/>
      <c r="O12" s="181"/>
      <c r="P12" s="181"/>
      <c r="Q12" s="223" t="str">
        <f>VLOOKUP(Ruimtestaat[[#This Row],[Ruimte code]],Ruimtegroepen[#All],4,FALSE)</f>
        <v>Niet in onderhoud</v>
      </c>
      <c r="R12" s="194"/>
      <c r="S12" s="195"/>
      <c r="T12" s="195"/>
      <c r="U12" s="263"/>
      <c r="V12" s="264">
        <f>IF(U12&gt;0,VLOOKUP($K12,Ruimtegroepen[],3,FALSE)*VLOOKUP($M12,Vloersoorten[],3,FALSE)*VLOOKUP($T12,Frequenties[],3,FALSE)*VLOOKUP($A12,Locaties[],3,FALSE),0)</f>
        <v>0</v>
      </c>
      <c r="W12" s="265">
        <f>Ruimtestaat[[#This Row],[Uitvoeringen werkdagen]]*Ruimtestaat[[#This Row],[Oppervlak (netto)]]</f>
        <v>0</v>
      </c>
      <c r="X12" s="266">
        <f>IF(V12&gt;0,Ruimtestaat[[#This Row],[Prest. (m2 /jaar) werkdagen]]/Ruimtestaat[[#This Row],[Norm (m2/uur) werkdagen]],0)</f>
        <v>0</v>
      </c>
      <c r="Y12" s="267">
        <f>Ruimtestaat[[#This Row],[uren / jaar werkdagen]]*Tariefsopbouw!$D$38</f>
        <v>0</v>
      </c>
      <c r="Z12" s="268"/>
      <c r="AA12" s="269">
        <f>IF(Ruimtestaat[[#This Row],[Frequentie weekend]]&gt;0,VALUE(LEFT(Z12,1))*S12,0)</f>
        <v>0</v>
      </c>
      <c r="AB12" s="265">
        <f>IF($AA12&gt;0,VLOOKUP($K12,Ruimtegroepen[],3,FALSE)*VLOOKUP($M12,Vloersoorten[],3,FALSE)*VLOOKUP($Z12,Frequenties[],3,FALSE)*VLOOKUP(#REF!,Locaties[],3,FALSE),0)</f>
        <v>0</v>
      </c>
      <c r="AC12" s="270"/>
      <c r="AD12" s="271"/>
      <c r="AE12" s="237">
        <f>Ruimtestaat[[#This Row],[uren / jaar weekend]]*Tariefsopbouw!$D$40</f>
        <v>0</v>
      </c>
      <c r="AF12" s="233">
        <f>Ruimtestaat[[#This Row],[Prest. (m2 /jaar) weekend]]+Ruimtestaat[[#This Row],[Prest. (m2 /jaar) werkdagen]]</f>
        <v>0</v>
      </c>
      <c r="AG12" s="233">
        <f>Ruimtestaat[[#This Row],[uren / jaar weekend]]+Ruimtestaat[[#This Row],[uren / jaar werkdagen]]</f>
        <v>0</v>
      </c>
      <c r="AH12" s="272">
        <f>Ruimtestaat[[#This Row],[kosten / jaar weekend]]+Ruimtestaat[[#This Row],[kosten / jaar werkdagen]]</f>
        <v>0</v>
      </c>
      <c r="AI12" s="81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</row>
    <row r="13" spans="1:221" s="8" customFormat="1" ht="15" customHeight="1">
      <c r="A13" s="195">
        <v>1</v>
      </c>
      <c r="B13" s="21" t="str">
        <f>VLOOKUP(Ruimtestaat[[#This Row],[Code]],Locaties[#All],2,FALSE)</f>
        <v>IJburg College</v>
      </c>
      <c r="C13" s="223" t="str">
        <f>VLOOKUP(Ruimtestaat[[#This Row],[Code]],Locaties[#All],4,FALSE)</f>
        <v>Pampuslaan 1</v>
      </c>
      <c r="D13" s="223" t="str">
        <f>VLOOKUP(Ruimtestaat[[#This Row],[Code]],Locaties[#All],5,FALSE)</f>
        <v>1087 HP</v>
      </c>
      <c r="E13" s="223" t="str">
        <f>VLOOKUP(Ruimtestaat[[#This Row],[Code]],Locaties[#All],6,FALSE)</f>
        <v>Amsterdam</v>
      </c>
      <c r="F13" s="180"/>
      <c r="G13" s="195" t="s">
        <v>898</v>
      </c>
      <c r="H13" s="180"/>
      <c r="I13" s="195" t="s">
        <v>886</v>
      </c>
      <c r="J13" s="232" t="s">
        <v>895</v>
      </c>
      <c r="K13" s="237">
        <v>21</v>
      </c>
      <c r="L13" s="238" t="str">
        <f>VLOOKUP(Ruimtestaat[[#This Row],[Ruimte code]],Ruimtegroepen[#All],2,FALSE)</f>
        <v>Niet in onderhoud</v>
      </c>
      <c r="M13" s="223"/>
      <c r="N13" s="180"/>
      <c r="O13" s="181"/>
      <c r="P13" s="181"/>
      <c r="Q13" s="223" t="str">
        <f>VLOOKUP(Ruimtestaat[[#This Row],[Ruimte code]],Ruimtegroepen[#All],4,FALSE)</f>
        <v>Niet in onderhoud</v>
      </c>
      <c r="R13" s="194"/>
      <c r="S13" s="195"/>
      <c r="T13" s="195"/>
      <c r="U13" s="263"/>
      <c r="V13" s="264">
        <f>IF(U13&gt;0,VLOOKUP($K13,Ruimtegroepen[],3,FALSE)*VLOOKUP($M13,Vloersoorten[],3,FALSE)*VLOOKUP($T13,Frequenties[],3,FALSE)*VLOOKUP($A13,Locaties[],3,FALSE),0)</f>
        <v>0</v>
      </c>
      <c r="W13" s="265">
        <f>Ruimtestaat[[#This Row],[Uitvoeringen werkdagen]]*Ruimtestaat[[#This Row],[Oppervlak (netto)]]</f>
        <v>0</v>
      </c>
      <c r="X13" s="266">
        <f>IF(V13&gt;0,Ruimtestaat[[#This Row],[Prest. (m2 /jaar) werkdagen]]/Ruimtestaat[[#This Row],[Norm (m2/uur) werkdagen]],0)</f>
        <v>0</v>
      </c>
      <c r="Y13" s="267">
        <f>Ruimtestaat[[#This Row],[uren / jaar werkdagen]]*Tariefsopbouw!$D$38</f>
        <v>0</v>
      </c>
      <c r="Z13" s="268"/>
      <c r="AA13" s="269">
        <f>IF(Ruimtestaat[[#This Row],[Frequentie weekend]]&gt;0,VALUE(LEFT(Z13,1))*S13,0)</f>
        <v>0</v>
      </c>
      <c r="AB13" s="265">
        <f>IF($AA13&gt;0,VLOOKUP($K13,Ruimtegroepen[],3,FALSE)*VLOOKUP($M13,Vloersoorten[],3,FALSE)*VLOOKUP($Z13,Frequenties[],3,FALSE)*VLOOKUP(#REF!,Locaties[],3,FALSE),0)</f>
        <v>0</v>
      </c>
      <c r="AC13" s="270"/>
      <c r="AD13" s="271"/>
      <c r="AE13" s="237">
        <f>Ruimtestaat[[#This Row],[uren / jaar weekend]]*Tariefsopbouw!$D$40</f>
        <v>0</v>
      </c>
      <c r="AF13" s="233">
        <f>Ruimtestaat[[#This Row],[Prest. (m2 /jaar) weekend]]+Ruimtestaat[[#This Row],[Prest. (m2 /jaar) werkdagen]]</f>
        <v>0</v>
      </c>
      <c r="AG13" s="233">
        <f>Ruimtestaat[[#This Row],[uren / jaar weekend]]+Ruimtestaat[[#This Row],[uren / jaar werkdagen]]</f>
        <v>0</v>
      </c>
      <c r="AH13" s="272">
        <f>Ruimtestaat[[#This Row],[kosten / jaar weekend]]+Ruimtestaat[[#This Row],[kosten / jaar werkdagen]]</f>
        <v>0</v>
      </c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</row>
    <row r="14" spans="1:221" s="8" customFormat="1" ht="15" customHeight="1">
      <c r="A14" s="195">
        <v>1</v>
      </c>
      <c r="B14" s="21" t="str">
        <f>VLOOKUP(Ruimtestaat[[#This Row],[Code]],Locaties[#All],2,FALSE)</f>
        <v>IJburg College</v>
      </c>
      <c r="C14" s="223" t="str">
        <f>VLOOKUP(Ruimtestaat[[#This Row],[Code]],Locaties[#All],4,FALSE)</f>
        <v>Pampuslaan 1</v>
      </c>
      <c r="D14" s="223" t="str">
        <f>VLOOKUP(Ruimtestaat[[#This Row],[Code]],Locaties[#All],5,FALSE)</f>
        <v>1087 HP</v>
      </c>
      <c r="E14" s="223" t="str">
        <f>VLOOKUP(Ruimtestaat[[#This Row],[Code]],Locaties[#All],6,FALSE)</f>
        <v>Amsterdam</v>
      </c>
      <c r="F14" s="180"/>
      <c r="G14" s="195" t="s">
        <v>898</v>
      </c>
      <c r="H14" s="180"/>
      <c r="I14" s="195" t="s">
        <v>887</v>
      </c>
      <c r="J14" s="232" t="s">
        <v>896</v>
      </c>
      <c r="K14" s="237">
        <v>21</v>
      </c>
      <c r="L14" s="238" t="str">
        <f>VLOOKUP(Ruimtestaat[[#This Row],[Ruimte code]],Ruimtegroepen[#All],2,FALSE)</f>
        <v>Niet in onderhoud</v>
      </c>
      <c r="M14" s="223"/>
      <c r="N14" s="180"/>
      <c r="O14" s="181"/>
      <c r="P14" s="181"/>
      <c r="Q14" s="223" t="str">
        <f>VLOOKUP(Ruimtestaat[[#This Row],[Ruimte code]],Ruimtegroepen[#All],4,FALSE)</f>
        <v>Niet in onderhoud</v>
      </c>
      <c r="R14" s="194"/>
      <c r="S14" s="195"/>
      <c r="T14" s="195"/>
      <c r="U14" s="263"/>
      <c r="V14" s="264">
        <f>IF(U14&gt;0,VLOOKUP($K14,Ruimtegroepen[],3,FALSE)*VLOOKUP($M14,Vloersoorten[],3,FALSE)*VLOOKUP($T14,Frequenties[],3,FALSE)*VLOOKUP($A14,Locaties[],3,FALSE),0)</f>
        <v>0</v>
      </c>
      <c r="W14" s="265">
        <f>Ruimtestaat[[#This Row],[Uitvoeringen werkdagen]]*Ruimtestaat[[#This Row],[Oppervlak (netto)]]</f>
        <v>0</v>
      </c>
      <c r="X14" s="266">
        <f>IF(V14&gt;0,Ruimtestaat[[#This Row],[Prest. (m2 /jaar) werkdagen]]/Ruimtestaat[[#This Row],[Norm (m2/uur) werkdagen]],0)</f>
        <v>0</v>
      </c>
      <c r="Y14" s="267">
        <f>Ruimtestaat[[#This Row],[uren / jaar werkdagen]]*Tariefsopbouw!$D$38</f>
        <v>0</v>
      </c>
      <c r="Z14" s="268"/>
      <c r="AA14" s="269">
        <f>IF(Ruimtestaat[[#This Row],[Frequentie weekend]]&gt;0,VALUE(LEFT(Z14,1))*S14,0)</f>
        <v>0</v>
      </c>
      <c r="AB14" s="265">
        <f>IF($AA14&gt;0,VLOOKUP($K14,Ruimtegroepen[],3,FALSE)*VLOOKUP($M14,Vloersoorten[],3,FALSE)*VLOOKUP($Z14,Frequenties[],3,FALSE)*VLOOKUP(#REF!,Locaties[],3,FALSE),0)</f>
        <v>0</v>
      </c>
      <c r="AC14" s="270"/>
      <c r="AD14" s="271"/>
      <c r="AE14" s="237">
        <f>Ruimtestaat[[#This Row],[uren / jaar weekend]]*Tariefsopbouw!$D$40</f>
        <v>0</v>
      </c>
      <c r="AF14" s="233">
        <f>Ruimtestaat[[#This Row],[Prest. (m2 /jaar) weekend]]+Ruimtestaat[[#This Row],[Prest. (m2 /jaar) werkdagen]]</f>
        <v>0</v>
      </c>
      <c r="AG14" s="233">
        <f>Ruimtestaat[[#This Row],[uren / jaar weekend]]+Ruimtestaat[[#This Row],[uren / jaar werkdagen]]</f>
        <v>0</v>
      </c>
      <c r="AH14" s="272">
        <f>Ruimtestaat[[#This Row],[kosten / jaar weekend]]+Ruimtestaat[[#This Row],[kosten / jaar werkdagen]]</f>
        <v>0</v>
      </c>
      <c r="AI14" s="81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</row>
    <row r="15" spans="1:221" s="8" customFormat="1" ht="15" customHeight="1">
      <c r="A15" s="119">
        <v>1</v>
      </c>
      <c r="B15" s="21" t="str">
        <f>VLOOKUP(Ruimtestaat[[#This Row],[Code]],Locaties[#All],2,FALSE)</f>
        <v>IJburg College</v>
      </c>
      <c r="C15" s="21" t="str">
        <f>VLOOKUP(Ruimtestaat[[#This Row],[Code]],Locaties[#All],4,FALSE)</f>
        <v>Pampuslaan 1</v>
      </c>
      <c r="D15" s="21" t="str">
        <f>VLOOKUP(Ruimtestaat[[#This Row],[Code]],Locaties[#All],5,FALSE)</f>
        <v>1087 HP</v>
      </c>
      <c r="E15" s="180" t="str">
        <f>VLOOKUP(Ruimtestaat[[#This Row],[Code]],Locaties[#All],6,FALSE)</f>
        <v>Amsterdam</v>
      </c>
      <c r="F15" s="195"/>
      <c r="G15" s="195" t="s">
        <v>513</v>
      </c>
      <c r="H15" s="195"/>
      <c r="I15" s="195" t="s">
        <v>452</v>
      </c>
      <c r="J15" s="232" t="s">
        <v>514</v>
      </c>
      <c r="K15" s="195">
        <v>7</v>
      </c>
      <c r="L15" s="232" t="str">
        <f>VLOOKUP(Ruimtestaat[[#This Row],[Ruimte code]],Ruimtegroepen[#All],2,FALSE)</f>
        <v>Entree</v>
      </c>
      <c r="M15" s="195" t="s">
        <v>111</v>
      </c>
      <c r="N15" s="180" t="s">
        <v>554</v>
      </c>
      <c r="O15" s="181">
        <v>40</v>
      </c>
      <c r="P15" s="195"/>
      <c r="Q15" s="223" t="str">
        <f>VLOOKUP(Ruimtestaat[[#This Row],[Ruimte code]],Ruimtegroepen[#All],4,FALSE)</f>
        <v>V  (Verkeersruimte)</v>
      </c>
      <c r="R15" s="194"/>
      <c r="S15" s="195">
        <v>40</v>
      </c>
      <c r="T15" s="195" t="s">
        <v>2</v>
      </c>
      <c r="U15" s="195">
        <f>IF(S15&gt;0,IF(RIGHT(Ruimtestaat[[#This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" s="195">
        <f>IF(U15&gt;0,VLOOKUP($K15,Ruimtegroepen[],3,FALSE)*VLOOKUP($M15,Vloersoorten[],3,FALSE)*VLOOKUP($T15,Frequenties[],3,FALSE)*VLOOKUP($A15,Locaties[],3,FALSE),0)</f>
        <v>0</v>
      </c>
      <c r="W15" s="195">
        <f>Ruimtestaat[[#This Row],[Uitvoeringen werkdagen]]*Ruimtestaat[[#This Row],[Oppervlak (netto)]]</f>
        <v>8000</v>
      </c>
      <c r="X15" s="233">
        <f>IF(V15&gt;0,Ruimtestaat[[#This Row],[Prest. (m2 /jaar) werkdagen]]/Ruimtestaat[[#This Row],[Norm (m2/uur) werkdagen]],0)</f>
        <v>0</v>
      </c>
      <c r="Y15" s="234">
        <f>Ruimtestaat[[#This Row],[uren / jaar werkdagen]]*Tariefsopbouw!$D$38</f>
        <v>0</v>
      </c>
      <c r="Z15" s="33"/>
      <c r="AA15" s="33">
        <f>IF(Ruimtestaat[[#This Row],[Frequentie weekend]]&gt;0,VALUE(LEFT(Z15,1))*S15,0)</f>
        <v>0</v>
      </c>
      <c r="AB15" s="33">
        <f>IF($AA15&gt;0,VLOOKUP($K15,Ruimtegroepen[],3,FALSE)*VLOOKUP($M15,Vloersoorten[],3,FALSE)*VLOOKUP($Z15,Frequenties[],3,FALSE)*VLOOKUP(#REF!,Locaties[],3,FALSE),0)</f>
        <v>0</v>
      </c>
      <c r="AC15" s="33"/>
      <c r="AD15" s="33"/>
      <c r="AE15" s="33">
        <f>Ruimtestaat[[#This Row],[uren / jaar weekend]]*Tariefsopbouw!$D$40</f>
        <v>0</v>
      </c>
      <c r="AF15" s="79">
        <f>Ruimtestaat[[#This Row],[Prest. (m2 /jaar) weekend]]+Ruimtestaat[[#This Row],[Prest. (m2 /jaar) werkdagen]]</f>
        <v>8000</v>
      </c>
      <c r="AG15" s="79">
        <f>Ruimtestaat[[#This Row],[uren / jaar weekend]]+Ruimtestaat[[#This Row],[uren / jaar werkdagen]]</f>
        <v>0</v>
      </c>
      <c r="AH15" s="80">
        <f>Ruimtestaat[[#This Row],[kosten / jaar weekend]]+Ruimtestaat[[#This Row],[kosten / jaar werkdagen]]</f>
        <v>0</v>
      </c>
      <c r="AI15" s="81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</row>
    <row r="16" spans="1:221" s="8" customFormat="1" ht="15" customHeight="1">
      <c r="A16" s="119">
        <v>1</v>
      </c>
      <c r="B16" s="21" t="str">
        <f>VLOOKUP(Ruimtestaat[[#This Row],[Code]],Locaties[#All],2,FALSE)</f>
        <v>IJburg College</v>
      </c>
      <c r="C16" s="21" t="str">
        <f>VLOOKUP(Ruimtestaat[[#This Row],[Code]],Locaties[#All],4,FALSE)</f>
        <v>Pampuslaan 1</v>
      </c>
      <c r="D16" s="21" t="str">
        <f>VLOOKUP(Ruimtestaat[[#This Row],[Code]],Locaties[#All],5,FALSE)</f>
        <v>1087 HP</v>
      </c>
      <c r="E16" s="180" t="str">
        <f>VLOOKUP(Ruimtestaat[[#This Row],[Code]],Locaties[#All],6,FALSE)</f>
        <v>Amsterdam</v>
      </c>
      <c r="F16" s="195"/>
      <c r="G16" s="195" t="s">
        <v>513</v>
      </c>
      <c r="H16" s="195" t="s">
        <v>822</v>
      </c>
      <c r="I16" s="195" t="s">
        <v>453</v>
      </c>
      <c r="J16" s="232" t="s">
        <v>515</v>
      </c>
      <c r="K16" s="195">
        <v>7</v>
      </c>
      <c r="L16" s="232" t="str">
        <f>VLOOKUP(Ruimtestaat[[#This Row],[Ruimte code]],Ruimtegroepen[#All],2,FALSE)</f>
        <v>Entree</v>
      </c>
      <c r="M16" s="195" t="s">
        <v>109</v>
      </c>
      <c r="N16" s="180" t="s">
        <v>555</v>
      </c>
      <c r="O16" s="181">
        <v>129.99</v>
      </c>
      <c r="P16" s="193"/>
      <c r="Q16" s="223" t="str">
        <f>VLOOKUP(Ruimtestaat[[#This Row],[Ruimte code]],Ruimtegroepen[#All],4,FALSE)</f>
        <v>V  (Verkeersruimte)</v>
      </c>
      <c r="R16" s="194"/>
      <c r="S16" s="195">
        <v>40</v>
      </c>
      <c r="T16" s="195" t="s">
        <v>2</v>
      </c>
      <c r="U16" s="195">
        <f>IF(S16&gt;0,IF(RIGHT(Ruimtestaat[[#This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" s="195">
        <f>IF(U16&gt;0,VLOOKUP($K16,Ruimtegroepen[],3,FALSE)*VLOOKUP($M16,Vloersoorten[],3,FALSE)*VLOOKUP($T16,Frequenties[],3,FALSE)*VLOOKUP($A16,Locaties[],3,FALSE),0)</f>
        <v>0</v>
      </c>
      <c r="W16" s="195">
        <f>Ruimtestaat[[#This Row],[Uitvoeringen werkdagen]]*Ruimtestaat[[#This Row],[Oppervlak (netto)]]</f>
        <v>25998</v>
      </c>
      <c r="X16" s="233">
        <f>IF(V16&gt;0,Ruimtestaat[[#This Row],[Prest. (m2 /jaar) werkdagen]]/Ruimtestaat[[#This Row],[Norm (m2/uur) werkdagen]],0)</f>
        <v>0</v>
      </c>
      <c r="Y16" s="234">
        <f>Ruimtestaat[[#This Row],[uren / jaar werkdagen]]*Tariefsopbouw!$D$38</f>
        <v>0</v>
      </c>
      <c r="Z16" s="33"/>
      <c r="AA16" s="33">
        <f>IF(Ruimtestaat[[#This Row],[Frequentie weekend]]&gt;0,VALUE(LEFT(Z16,1))*S16,0)</f>
        <v>0</v>
      </c>
      <c r="AB16" s="33">
        <f>IF($AA16&gt;0,VLOOKUP($K16,Ruimtegroepen[],3,FALSE)*VLOOKUP($M16,Vloersoorten[],3,FALSE)*VLOOKUP($Z16,Frequenties[],3,FALSE)*VLOOKUP(#REF!,Locaties[],3,FALSE),0)</f>
        <v>0</v>
      </c>
      <c r="AC16" s="33"/>
      <c r="AD16" s="33"/>
      <c r="AE16" s="33">
        <f>Ruimtestaat[[#This Row],[uren / jaar weekend]]*Tariefsopbouw!$D$40</f>
        <v>0</v>
      </c>
      <c r="AF16" s="79">
        <f>Ruimtestaat[[#This Row],[Prest. (m2 /jaar) weekend]]+Ruimtestaat[[#This Row],[Prest. (m2 /jaar) werkdagen]]</f>
        <v>25998</v>
      </c>
      <c r="AG16" s="79">
        <f>Ruimtestaat[[#This Row],[uren / jaar weekend]]+Ruimtestaat[[#This Row],[uren / jaar werkdagen]]</f>
        <v>0</v>
      </c>
      <c r="AH16" s="80">
        <f>Ruimtestaat[[#This Row],[kosten / jaar weekend]]+Ruimtestaat[[#This Row],[kosten / jaar werkdagen]]</f>
        <v>0</v>
      </c>
      <c r="AI16" s="81" t="s">
        <v>3</v>
      </c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</row>
    <row r="17" spans="1:221" ht="15" customHeight="1">
      <c r="A17" s="119">
        <v>1</v>
      </c>
      <c r="B17" s="21" t="str">
        <f>VLOOKUP(Ruimtestaat[[#This Row],[Code]],Locaties[#All],2,FALSE)</f>
        <v>IJburg College</v>
      </c>
      <c r="C17" s="21" t="str">
        <f>VLOOKUP(Ruimtestaat[[#This Row],[Code]],Locaties[#All],4,FALSE)</f>
        <v>Pampuslaan 1</v>
      </c>
      <c r="D17" s="21" t="str">
        <f>VLOOKUP(Ruimtestaat[[#This Row],[Code]],Locaties[#All],5,FALSE)</f>
        <v>1087 HP</v>
      </c>
      <c r="E17" s="180" t="str">
        <f>VLOOKUP(Ruimtestaat[[#This Row],[Code]],Locaties[#All],6,FALSE)</f>
        <v>Amsterdam</v>
      </c>
      <c r="F17" s="180"/>
      <c r="G17" s="195" t="s">
        <v>513</v>
      </c>
      <c r="H17" s="195"/>
      <c r="I17" s="180" t="s">
        <v>454</v>
      </c>
      <c r="J17" s="224" t="s">
        <v>516</v>
      </c>
      <c r="K17" s="180">
        <v>10</v>
      </c>
      <c r="L17" s="224" t="str">
        <f>VLOOKUP(Ruimtestaat[[#This Row],[Ruimte code]],Ruimtegroepen[#All],2,FALSE)</f>
        <v>Trappenhuizen/lift</v>
      </c>
      <c r="M17" s="195" t="s">
        <v>110</v>
      </c>
      <c r="N17" s="180" t="s">
        <v>556</v>
      </c>
      <c r="O17" s="181">
        <v>2.5</v>
      </c>
      <c r="P17" s="193"/>
      <c r="Q17" s="223" t="str">
        <f>VLOOKUP(Ruimtestaat[[#This Row],[Ruimte code]],Ruimtegroepen[#All],4,FALSE)</f>
        <v>V  (Verkeersruimte)</v>
      </c>
      <c r="R17" s="194"/>
      <c r="S17" s="195">
        <v>40</v>
      </c>
      <c r="T17" s="195" t="s">
        <v>2</v>
      </c>
      <c r="U17" s="195">
        <f>IF(S17&gt;0,IF(RIGHT(Ruimtestaat[[#This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" s="195">
        <f>IF(U17&gt;0,VLOOKUP($K17,Ruimtegroepen[],3,FALSE)*VLOOKUP($M17,Vloersoorten[],3,FALSE)*VLOOKUP($T17,Frequenties[],3,FALSE)*VLOOKUP($A17,Locaties[],3,FALSE),0)</f>
        <v>0</v>
      </c>
      <c r="W17" s="195">
        <f>Ruimtestaat[[#This Row],[Uitvoeringen werkdagen]]*Ruimtestaat[[#This Row],[Oppervlak (netto)]]</f>
        <v>500</v>
      </c>
      <c r="X17" s="233">
        <f>IF(V17&gt;0,Ruimtestaat[[#This Row],[Prest. (m2 /jaar) werkdagen]]/Ruimtestaat[[#This Row],[Norm (m2/uur) werkdagen]],0)</f>
        <v>0</v>
      </c>
      <c r="Y17" s="234">
        <f>Ruimtestaat[[#This Row],[uren / jaar werkdagen]]*Tariefsopbouw!$D$38</f>
        <v>0</v>
      </c>
      <c r="Z17" s="33"/>
      <c r="AA17" s="33">
        <f>IF(Ruimtestaat[[#This Row],[Frequentie weekend]]&gt;0,VALUE(LEFT(Z17,1))*S17,0)</f>
        <v>0</v>
      </c>
      <c r="AB17" s="33">
        <f>IF($AA17&gt;0,VLOOKUP($K17,Ruimtegroepen[],3,FALSE)*VLOOKUP($M17,Vloersoorten[],3,FALSE)*VLOOKUP($Z17,Frequenties[],3,FALSE)*VLOOKUP(#REF!,Locaties[],3,FALSE),0)</f>
        <v>0</v>
      </c>
      <c r="AC17" s="33"/>
      <c r="AD17" s="33"/>
      <c r="AE17" s="33">
        <f>Ruimtestaat[[#This Row],[uren / jaar weekend]]*Tariefsopbouw!$D$40</f>
        <v>0</v>
      </c>
      <c r="AF17" s="79">
        <f>Ruimtestaat[[#This Row],[Prest. (m2 /jaar) weekend]]+Ruimtestaat[[#This Row],[Prest. (m2 /jaar) werkdagen]]</f>
        <v>500</v>
      </c>
      <c r="AG17" s="79">
        <f>Ruimtestaat[[#This Row],[uren / jaar weekend]]+Ruimtestaat[[#This Row],[uren / jaar werkdagen]]</f>
        <v>0</v>
      </c>
      <c r="AH17" s="80">
        <f>Ruimtestaat[[#This Row],[kosten / jaar weekend]]+Ruimtestaat[[#This Row],[kosten / jaar werkdagen]]</f>
        <v>0</v>
      </c>
      <c r="AI17" s="104"/>
      <c r="HM17" s="78"/>
    </row>
    <row r="18" spans="1:221" ht="15" customHeight="1">
      <c r="A18" s="119">
        <v>1</v>
      </c>
      <c r="B18" s="21" t="str">
        <f>VLOOKUP(Ruimtestaat[[#This Row],[Code]],Locaties[#All],2,FALSE)</f>
        <v>IJburg College</v>
      </c>
      <c r="C18" s="21" t="str">
        <f>VLOOKUP(Ruimtestaat[[#This Row],[Code]],Locaties[#All],4,FALSE)</f>
        <v>Pampuslaan 1</v>
      </c>
      <c r="D18" s="21" t="str">
        <f>VLOOKUP(Ruimtestaat[[#This Row],[Code]],Locaties[#All],5,FALSE)</f>
        <v>1087 HP</v>
      </c>
      <c r="E18" s="180" t="str">
        <f>VLOOKUP(Ruimtestaat[[#This Row],[Code]],Locaties[#All],6,FALSE)</f>
        <v>Amsterdam</v>
      </c>
      <c r="F18" s="180"/>
      <c r="G18" s="195" t="s">
        <v>513</v>
      </c>
      <c r="H18" s="195"/>
      <c r="I18" s="180" t="s">
        <v>455</v>
      </c>
      <c r="J18" s="224" t="s">
        <v>517</v>
      </c>
      <c r="K18" s="180">
        <v>10</v>
      </c>
      <c r="L18" s="224" t="str">
        <f>VLOOKUP(Ruimtestaat[[#This Row],[Ruimte code]],Ruimtegroepen[#All],2,FALSE)</f>
        <v>Trappenhuizen/lift</v>
      </c>
      <c r="M18" s="195" t="s">
        <v>110</v>
      </c>
      <c r="N18" s="180" t="s">
        <v>556</v>
      </c>
      <c r="O18" s="181">
        <v>2.5</v>
      </c>
      <c r="P18" s="193"/>
      <c r="Q18" s="223" t="str">
        <f>VLOOKUP(Ruimtestaat[[#This Row],[Ruimte code]],Ruimtegroepen[#All],4,FALSE)</f>
        <v>V  (Verkeersruimte)</v>
      </c>
      <c r="R18" s="194"/>
      <c r="S18" s="195">
        <v>40</v>
      </c>
      <c r="T18" s="195" t="s">
        <v>2</v>
      </c>
      <c r="U18" s="195">
        <f>IF(S18&gt;0,IF(RIGHT(Ruimtestaat[[#This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" s="195">
        <f>IF(U18&gt;0,VLOOKUP($K18,Ruimtegroepen[],3,FALSE)*VLOOKUP($M18,Vloersoorten[],3,FALSE)*VLOOKUP($T18,Frequenties[],3,FALSE)*VLOOKUP($A18,Locaties[],3,FALSE),0)</f>
        <v>0</v>
      </c>
      <c r="W18" s="195">
        <f>Ruimtestaat[[#This Row],[Uitvoeringen werkdagen]]*Ruimtestaat[[#This Row],[Oppervlak (netto)]]</f>
        <v>500</v>
      </c>
      <c r="X18" s="233">
        <f>IF(V18&gt;0,Ruimtestaat[[#This Row],[Prest. (m2 /jaar) werkdagen]]/Ruimtestaat[[#This Row],[Norm (m2/uur) werkdagen]],0)</f>
        <v>0</v>
      </c>
      <c r="Y18" s="234">
        <f>Ruimtestaat[[#This Row],[uren / jaar werkdagen]]*Tariefsopbouw!$D$38</f>
        <v>0</v>
      </c>
      <c r="Z18" s="33"/>
      <c r="AA18" s="33">
        <f>IF(Ruimtestaat[[#This Row],[Frequentie weekend]]&gt;0,VALUE(LEFT(Z18,1))*S18,0)</f>
        <v>0</v>
      </c>
      <c r="AB18" s="33">
        <f>IF($AA18&gt;0,VLOOKUP($K18,Ruimtegroepen[],3,FALSE)*VLOOKUP($M18,Vloersoorten[],3,FALSE)*VLOOKUP($Z18,Frequenties[],3,FALSE)*VLOOKUP(#REF!,Locaties[],3,FALSE),0)</f>
        <v>0</v>
      </c>
      <c r="AC18" s="33"/>
      <c r="AD18" s="33"/>
      <c r="AE18" s="33">
        <f>Ruimtestaat[[#This Row],[uren / jaar weekend]]*Tariefsopbouw!$D$40</f>
        <v>0</v>
      </c>
      <c r="AF18" s="79">
        <f>Ruimtestaat[[#This Row],[Prest. (m2 /jaar) weekend]]+Ruimtestaat[[#This Row],[Prest. (m2 /jaar) werkdagen]]</f>
        <v>500</v>
      </c>
      <c r="AG18" s="79">
        <f>Ruimtestaat[[#This Row],[uren / jaar weekend]]+Ruimtestaat[[#This Row],[uren / jaar werkdagen]]</f>
        <v>0</v>
      </c>
      <c r="AH18" s="80">
        <f>Ruimtestaat[[#This Row],[kosten / jaar weekend]]+Ruimtestaat[[#This Row],[kosten / jaar werkdagen]]</f>
        <v>0</v>
      </c>
      <c r="AI18" s="104"/>
      <c r="HM18" s="78"/>
    </row>
    <row r="19" spans="1:221" ht="15" customHeight="1">
      <c r="A19" s="119">
        <v>1</v>
      </c>
      <c r="B19" s="21" t="str">
        <f>VLOOKUP(Ruimtestaat[[#This Row],[Code]],Locaties[#All],2,FALSE)</f>
        <v>IJburg College</v>
      </c>
      <c r="C19" s="21" t="str">
        <f>VLOOKUP(Ruimtestaat[[#This Row],[Code]],Locaties[#All],4,FALSE)</f>
        <v>Pampuslaan 1</v>
      </c>
      <c r="D19" s="21" t="str">
        <f>VLOOKUP(Ruimtestaat[[#This Row],[Code]],Locaties[#All],5,FALSE)</f>
        <v>1087 HP</v>
      </c>
      <c r="E19" s="180" t="str">
        <f>VLOOKUP(Ruimtestaat[[#This Row],[Code]],Locaties[#All],6,FALSE)</f>
        <v>Amsterdam</v>
      </c>
      <c r="F19" s="180"/>
      <c r="G19" s="195" t="s">
        <v>513</v>
      </c>
      <c r="H19" s="195" t="s">
        <v>823</v>
      </c>
      <c r="I19" s="180" t="s">
        <v>456</v>
      </c>
      <c r="J19" s="224" t="s">
        <v>518</v>
      </c>
      <c r="K19" s="180">
        <v>10</v>
      </c>
      <c r="L19" s="224" t="str">
        <f>VLOOKUP(Ruimtestaat[[#This Row],[Ruimte code]],Ruimtegroepen[#All],2,FALSE)</f>
        <v>Trappenhuizen/lift</v>
      </c>
      <c r="M19" s="195" t="s">
        <v>111</v>
      </c>
      <c r="N19" s="180" t="s">
        <v>714</v>
      </c>
      <c r="O19" s="181">
        <v>32</v>
      </c>
      <c r="P19" s="193"/>
      <c r="Q19" s="223" t="str">
        <f>VLOOKUP(Ruimtestaat[[#This Row],[Ruimte code]],Ruimtegroepen[#All],4,FALSE)</f>
        <v>V  (Verkeersruimte)</v>
      </c>
      <c r="R19" s="194"/>
      <c r="S19" s="195">
        <v>40</v>
      </c>
      <c r="T19" s="195" t="s">
        <v>2</v>
      </c>
      <c r="U19" s="195">
        <f>IF(S19&gt;0,IF(RIGHT(Ruimtestaat[[#This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9" s="195">
        <f>IF(U19&gt;0,VLOOKUP($K19,Ruimtegroepen[],3,FALSE)*VLOOKUP($M19,Vloersoorten[],3,FALSE)*VLOOKUP($T19,Frequenties[],3,FALSE)*VLOOKUP($A19,Locaties[],3,FALSE),0)</f>
        <v>0</v>
      </c>
      <c r="W19" s="195">
        <f>Ruimtestaat[[#This Row],[Uitvoeringen werkdagen]]*Ruimtestaat[[#This Row],[Oppervlak (netto)]]</f>
        <v>6400</v>
      </c>
      <c r="X19" s="233">
        <f>IF(V19&gt;0,Ruimtestaat[[#This Row],[Prest. (m2 /jaar) werkdagen]]/Ruimtestaat[[#This Row],[Norm (m2/uur) werkdagen]],0)</f>
        <v>0</v>
      </c>
      <c r="Y19" s="234">
        <f>Ruimtestaat[[#This Row],[uren / jaar werkdagen]]*Tariefsopbouw!$D$38</f>
        <v>0</v>
      </c>
      <c r="Z19" s="33"/>
      <c r="AA19" s="33">
        <f>IF(Ruimtestaat[[#This Row],[Frequentie weekend]]&gt;0,VALUE(LEFT(Z19,1))*S19,0)</f>
        <v>0</v>
      </c>
      <c r="AB19" s="33">
        <f>IF($AA19&gt;0,VLOOKUP($K19,Ruimtegroepen[],3,FALSE)*VLOOKUP($M19,Vloersoorten[],3,FALSE)*VLOOKUP($Z19,Frequenties[],3,FALSE)*VLOOKUP(#REF!,Locaties[],3,FALSE),0)</f>
        <v>0</v>
      </c>
      <c r="AC19" s="33"/>
      <c r="AD19" s="33"/>
      <c r="AE19" s="33">
        <f>Ruimtestaat[[#This Row],[uren / jaar weekend]]*Tariefsopbouw!$D$40</f>
        <v>0</v>
      </c>
      <c r="AF19" s="79">
        <f>Ruimtestaat[[#This Row],[Prest. (m2 /jaar) weekend]]+Ruimtestaat[[#This Row],[Prest. (m2 /jaar) werkdagen]]</f>
        <v>6400</v>
      </c>
      <c r="AG19" s="79">
        <f>Ruimtestaat[[#This Row],[uren / jaar weekend]]+Ruimtestaat[[#This Row],[uren / jaar werkdagen]]</f>
        <v>0</v>
      </c>
      <c r="AH19" s="80">
        <f>Ruimtestaat[[#This Row],[kosten / jaar weekend]]+Ruimtestaat[[#This Row],[kosten / jaar werkdagen]]</f>
        <v>0</v>
      </c>
      <c r="AI19" s="104"/>
      <c r="HM19" s="78"/>
    </row>
    <row r="20" spans="1:221" ht="15" customHeight="1">
      <c r="A20" s="119">
        <v>1</v>
      </c>
      <c r="B20" s="21" t="str">
        <f>VLOOKUP(Ruimtestaat[[#This Row],[Code]],Locaties[#All],2,FALSE)</f>
        <v>IJburg College</v>
      </c>
      <c r="C20" s="21" t="str">
        <f>VLOOKUP(Ruimtestaat[[#This Row],[Code]],Locaties[#All],4,FALSE)</f>
        <v>Pampuslaan 1</v>
      </c>
      <c r="D20" s="21" t="str">
        <f>VLOOKUP(Ruimtestaat[[#This Row],[Code]],Locaties[#All],5,FALSE)</f>
        <v>1087 HP</v>
      </c>
      <c r="E20" s="180" t="str">
        <f>VLOOKUP(Ruimtestaat[[#This Row],[Code]],Locaties[#All],6,FALSE)</f>
        <v>Amsterdam</v>
      </c>
      <c r="F20" s="180"/>
      <c r="G20" s="195" t="s">
        <v>513</v>
      </c>
      <c r="H20" s="195" t="s">
        <v>824</v>
      </c>
      <c r="I20" s="180" t="s">
        <v>457</v>
      </c>
      <c r="J20" s="224" t="s">
        <v>519</v>
      </c>
      <c r="K20" s="180">
        <v>7</v>
      </c>
      <c r="L20" s="224" t="str">
        <f>VLOOKUP(Ruimtestaat[[#This Row],[Ruimte code]],Ruimtegroepen[#All],2,FALSE)</f>
        <v>Entree</v>
      </c>
      <c r="M20" s="195" t="s">
        <v>111</v>
      </c>
      <c r="N20" s="180" t="s">
        <v>557</v>
      </c>
      <c r="O20" s="181">
        <v>486.09</v>
      </c>
      <c r="P20" s="193"/>
      <c r="Q20" s="223" t="str">
        <f>VLOOKUP(Ruimtestaat[[#This Row],[Ruimte code]],Ruimtegroepen[#All],4,FALSE)</f>
        <v>V  (Verkeersruimte)</v>
      </c>
      <c r="R20" s="194"/>
      <c r="S20" s="195">
        <v>40</v>
      </c>
      <c r="T20" s="195" t="s">
        <v>2</v>
      </c>
      <c r="U20" s="195">
        <f>IF(S20&gt;0,IF(RIGHT(Ruimtestaat[[#This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0" s="195">
        <f>IF(U20&gt;0,VLOOKUP($K20,Ruimtegroepen[],3,FALSE)*VLOOKUP($M20,Vloersoorten[],3,FALSE)*VLOOKUP($T20,Frequenties[],3,FALSE)*VLOOKUP($A20,Locaties[],3,FALSE),0)</f>
        <v>0</v>
      </c>
      <c r="W20" s="195">
        <f>Ruimtestaat[[#This Row],[Uitvoeringen werkdagen]]*Ruimtestaat[[#This Row],[Oppervlak (netto)]]</f>
        <v>97218</v>
      </c>
      <c r="X20" s="233">
        <f>IF(V20&gt;0,Ruimtestaat[[#This Row],[Prest. (m2 /jaar) werkdagen]]/Ruimtestaat[[#This Row],[Norm (m2/uur) werkdagen]],0)</f>
        <v>0</v>
      </c>
      <c r="Y20" s="234">
        <f>Ruimtestaat[[#This Row],[uren / jaar werkdagen]]*Tariefsopbouw!$D$38</f>
        <v>0</v>
      </c>
      <c r="Z20" s="33"/>
      <c r="AA20" s="33">
        <f>IF(Ruimtestaat[[#This Row],[Frequentie weekend]]&gt;0,VALUE(LEFT(Z20,1))*S20,0)</f>
        <v>0</v>
      </c>
      <c r="AB20" s="33">
        <f>IF($AA20&gt;0,VLOOKUP($K20,Ruimtegroepen[],3,FALSE)*VLOOKUP($M20,Vloersoorten[],3,FALSE)*VLOOKUP($Z20,Frequenties[],3,FALSE)*VLOOKUP(#REF!,Locaties[],3,FALSE),0)</f>
        <v>0</v>
      </c>
      <c r="AC20" s="33"/>
      <c r="AD20" s="33"/>
      <c r="AE20" s="33">
        <f>Ruimtestaat[[#This Row],[uren / jaar weekend]]*Tariefsopbouw!$D$40</f>
        <v>0</v>
      </c>
      <c r="AF20" s="79">
        <f>Ruimtestaat[[#This Row],[Prest. (m2 /jaar) weekend]]+Ruimtestaat[[#This Row],[Prest. (m2 /jaar) werkdagen]]</f>
        <v>97218</v>
      </c>
      <c r="AG20" s="79">
        <f>Ruimtestaat[[#This Row],[uren / jaar weekend]]+Ruimtestaat[[#This Row],[uren / jaar werkdagen]]</f>
        <v>0</v>
      </c>
      <c r="AH20" s="80">
        <f>Ruimtestaat[[#This Row],[kosten / jaar weekend]]+Ruimtestaat[[#This Row],[kosten / jaar werkdagen]]</f>
        <v>0</v>
      </c>
      <c r="AI20" s="104"/>
      <c r="HM20" s="78"/>
    </row>
    <row r="21" spans="1:221" ht="15" customHeight="1">
      <c r="A21" s="119">
        <v>1</v>
      </c>
      <c r="B21" s="21" t="str">
        <f>VLOOKUP(Ruimtestaat[[#This Row],[Code]],Locaties[#All],2,FALSE)</f>
        <v>IJburg College</v>
      </c>
      <c r="C21" s="21" t="str">
        <f>VLOOKUP(Ruimtestaat[[#This Row],[Code]],Locaties[#All],4,FALSE)</f>
        <v>Pampuslaan 1</v>
      </c>
      <c r="D21" s="21" t="str">
        <f>VLOOKUP(Ruimtestaat[[#This Row],[Code]],Locaties[#All],5,FALSE)</f>
        <v>1087 HP</v>
      </c>
      <c r="E21" s="180" t="str">
        <f>VLOOKUP(Ruimtestaat[[#This Row],[Code]],Locaties[#All],6,FALSE)</f>
        <v>Amsterdam</v>
      </c>
      <c r="F21" s="180"/>
      <c r="G21" s="195" t="s">
        <v>513</v>
      </c>
      <c r="H21" s="195"/>
      <c r="I21" s="180" t="s">
        <v>458</v>
      </c>
      <c r="J21" s="224" t="s">
        <v>520</v>
      </c>
      <c r="K21" s="180">
        <v>10</v>
      </c>
      <c r="L21" s="224" t="str">
        <f>VLOOKUP(Ruimtestaat[[#This Row],[Ruimte code]],Ruimtegroepen[#All],2,FALSE)</f>
        <v>Trappenhuizen/lift</v>
      </c>
      <c r="M21" s="195" t="s">
        <v>111</v>
      </c>
      <c r="N21" s="180" t="s">
        <v>557</v>
      </c>
      <c r="O21" s="181">
        <v>100</v>
      </c>
      <c r="P21" s="193"/>
      <c r="Q21" s="223" t="str">
        <f>VLOOKUP(Ruimtestaat[[#This Row],[Ruimte code]],Ruimtegroepen[#All],4,FALSE)</f>
        <v>V  (Verkeersruimte)</v>
      </c>
      <c r="R21" s="194"/>
      <c r="S21" s="195">
        <v>40</v>
      </c>
      <c r="T21" s="195" t="s">
        <v>2</v>
      </c>
      <c r="U21" s="195">
        <f>IF(S21&gt;0,IF(RIGHT(Ruimtestaat[[#This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1" s="195">
        <f>IF(U21&gt;0,VLOOKUP($K21,Ruimtegroepen[],3,FALSE)*VLOOKUP($M21,Vloersoorten[],3,FALSE)*VLOOKUP($T21,Frequenties[],3,FALSE)*VLOOKUP($A21,Locaties[],3,FALSE),0)</f>
        <v>0</v>
      </c>
      <c r="W21" s="195">
        <f>Ruimtestaat[[#This Row],[Uitvoeringen werkdagen]]*Ruimtestaat[[#This Row],[Oppervlak (netto)]]</f>
        <v>20000</v>
      </c>
      <c r="X21" s="233">
        <f>IF(V21&gt;0,Ruimtestaat[[#This Row],[Prest. (m2 /jaar) werkdagen]]/Ruimtestaat[[#This Row],[Norm (m2/uur) werkdagen]],0)</f>
        <v>0</v>
      </c>
      <c r="Y21" s="234">
        <f>Ruimtestaat[[#This Row],[uren / jaar werkdagen]]*Tariefsopbouw!$D$38</f>
        <v>0</v>
      </c>
      <c r="Z21" s="33"/>
      <c r="AA21" s="33">
        <f>IF(Ruimtestaat[[#This Row],[Frequentie weekend]]&gt;0,VALUE(LEFT(Z21,1))*S21,0)</f>
        <v>0</v>
      </c>
      <c r="AB21" s="33">
        <f>IF($AA21&gt;0,VLOOKUP($K21,Ruimtegroepen[],3,FALSE)*VLOOKUP($M21,Vloersoorten[],3,FALSE)*VLOOKUP($Z21,Frequenties[],3,FALSE)*VLOOKUP(#REF!,Locaties[],3,FALSE),0)</f>
        <v>0</v>
      </c>
      <c r="AC21" s="33"/>
      <c r="AD21" s="33"/>
      <c r="AE21" s="33">
        <f>Ruimtestaat[[#This Row],[uren / jaar weekend]]*Tariefsopbouw!$D$40</f>
        <v>0</v>
      </c>
      <c r="AF21" s="79">
        <f>Ruimtestaat[[#This Row],[Prest. (m2 /jaar) weekend]]+Ruimtestaat[[#This Row],[Prest. (m2 /jaar) werkdagen]]</f>
        <v>20000</v>
      </c>
      <c r="AG21" s="79">
        <f>Ruimtestaat[[#This Row],[uren / jaar weekend]]+Ruimtestaat[[#This Row],[uren / jaar werkdagen]]</f>
        <v>0</v>
      </c>
      <c r="AH21" s="80">
        <f>Ruimtestaat[[#This Row],[kosten / jaar weekend]]+Ruimtestaat[[#This Row],[kosten / jaar werkdagen]]</f>
        <v>0</v>
      </c>
      <c r="AI21" s="104"/>
      <c r="HM21" s="78"/>
    </row>
    <row r="22" spans="1:221" ht="15" customHeight="1">
      <c r="A22" s="119">
        <v>1</v>
      </c>
      <c r="B22" s="21" t="str">
        <f>VLOOKUP(Ruimtestaat[[#This Row],[Code]],Locaties[#All],2,FALSE)</f>
        <v>IJburg College</v>
      </c>
      <c r="C22" s="21" t="str">
        <f>VLOOKUP(Ruimtestaat[[#This Row],[Code]],Locaties[#All],4,FALSE)</f>
        <v>Pampuslaan 1</v>
      </c>
      <c r="D22" s="21" t="str">
        <f>VLOOKUP(Ruimtestaat[[#This Row],[Code]],Locaties[#All],5,FALSE)</f>
        <v>1087 HP</v>
      </c>
      <c r="E22" s="180" t="str">
        <f>VLOOKUP(Ruimtestaat[[#This Row],[Code]],Locaties[#All],6,FALSE)</f>
        <v>Amsterdam</v>
      </c>
      <c r="F22" s="180"/>
      <c r="G22" s="195" t="s">
        <v>513</v>
      </c>
      <c r="H22" s="195" t="s">
        <v>825</v>
      </c>
      <c r="I22" s="180" t="s">
        <v>459</v>
      </c>
      <c r="J22" s="224" t="s">
        <v>521</v>
      </c>
      <c r="K22" s="180">
        <v>2</v>
      </c>
      <c r="L22" s="224" t="str">
        <f>VLOOKUP(Ruimtestaat[[#This Row],[Ruimte code]],Ruimtegroepen[#All],2,FALSE)</f>
        <v>Kantoren</v>
      </c>
      <c r="M22" s="195" t="s">
        <v>111</v>
      </c>
      <c r="N22" s="180" t="s">
        <v>557</v>
      </c>
      <c r="O22" s="181">
        <v>15</v>
      </c>
      <c r="P22" s="193"/>
      <c r="Q22" s="223" t="str">
        <f>VLOOKUP(Ruimtestaat[[#This Row],[Ruimte code]],Ruimtegroepen[#All],4,FALSE)</f>
        <v>B  (Bureauruimte)</v>
      </c>
      <c r="R22" s="194"/>
      <c r="S22" s="195">
        <v>40</v>
      </c>
      <c r="T22" s="195" t="s">
        <v>17</v>
      </c>
      <c r="U22" s="195">
        <f>IF(S22&gt;0,IF(RIGHT(Ruimtestaat[[#This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2" s="195">
        <f>IF(U22&gt;0,VLOOKUP($K22,Ruimtegroepen[],3,FALSE)*VLOOKUP($M22,Vloersoorten[],3,FALSE)*VLOOKUP($T22,Frequenties[],3,FALSE)*VLOOKUP($A22,Locaties[],3,FALSE),0)</f>
        <v>0</v>
      </c>
      <c r="W22" s="195">
        <f>Ruimtestaat[[#This Row],[Uitvoeringen werkdagen]]*Ruimtestaat[[#This Row],[Oppervlak (netto)]]</f>
        <v>1200</v>
      </c>
      <c r="X22" s="233">
        <f>IF(V22&gt;0,Ruimtestaat[[#This Row],[Prest. (m2 /jaar) werkdagen]]/Ruimtestaat[[#This Row],[Norm (m2/uur) werkdagen]],0)</f>
        <v>0</v>
      </c>
      <c r="Y22" s="234">
        <f>Ruimtestaat[[#This Row],[uren / jaar werkdagen]]*Tariefsopbouw!$D$38</f>
        <v>0</v>
      </c>
      <c r="Z22" s="33"/>
      <c r="AA22" s="33">
        <f>IF(Ruimtestaat[[#This Row],[Frequentie weekend]]&gt;0,VALUE(LEFT(Z22,1))*S22,0)</f>
        <v>0</v>
      </c>
      <c r="AB22" s="33">
        <f>IF($AA22&gt;0,VLOOKUP($K22,Ruimtegroepen[],3,FALSE)*VLOOKUP($M22,Vloersoorten[],3,FALSE)*VLOOKUP($Z22,Frequenties[],3,FALSE)*VLOOKUP(#REF!,Locaties[],3,FALSE),0)</f>
        <v>0</v>
      </c>
      <c r="AC22" s="33"/>
      <c r="AD22" s="33"/>
      <c r="AE22" s="33">
        <f>Ruimtestaat[[#This Row],[uren / jaar weekend]]*Tariefsopbouw!$D$40</f>
        <v>0</v>
      </c>
      <c r="AF22" s="79">
        <f>Ruimtestaat[[#This Row],[Prest. (m2 /jaar) weekend]]+Ruimtestaat[[#This Row],[Prest. (m2 /jaar) werkdagen]]</f>
        <v>1200</v>
      </c>
      <c r="AG22" s="79">
        <f>Ruimtestaat[[#This Row],[uren / jaar weekend]]+Ruimtestaat[[#This Row],[uren / jaar werkdagen]]</f>
        <v>0</v>
      </c>
      <c r="AH22" s="80">
        <f>Ruimtestaat[[#This Row],[kosten / jaar weekend]]+Ruimtestaat[[#This Row],[kosten / jaar werkdagen]]</f>
        <v>0</v>
      </c>
      <c r="AI22" s="104"/>
      <c r="HM22" s="78"/>
    </row>
    <row r="23" spans="1:221" ht="15" customHeight="1">
      <c r="A23" s="119">
        <v>1</v>
      </c>
      <c r="B23" s="21" t="str">
        <f>VLOOKUP(Ruimtestaat[[#This Row],[Code]],Locaties[#All],2,FALSE)</f>
        <v>IJburg College</v>
      </c>
      <c r="C23" s="21" t="str">
        <f>VLOOKUP(Ruimtestaat[[#This Row],[Code]],Locaties[#All],4,FALSE)</f>
        <v>Pampuslaan 1</v>
      </c>
      <c r="D23" s="21" t="str">
        <f>VLOOKUP(Ruimtestaat[[#This Row],[Code]],Locaties[#All],5,FALSE)</f>
        <v>1087 HP</v>
      </c>
      <c r="E23" s="180" t="str">
        <f>VLOOKUP(Ruimtestaat[[#This Row],[Code]],Locaties[#All],6,FALSE)</f>
        <v>Amsterdam</v>
      </c>
      <c r="F23" s="180"/>
      <c r="G23" s="195" t="s">
        <v>513</v>
      </c>
      <c r="H23" s="195" t="s">
        <v>826</v>
      </c>
      <c r="I23" s="180" t="s">
        <v>460</v>
      </c>
      <c r="J23" s="224" t="s">
        <v>522</v>
      </c>
      <c r="K23" s="180">
        <v>12</v>
      </c>
      <c r="L23" s="224" t="str">
        <f>VLOOKUP(Ruimtestaat[[#This Row],[Ruimte code]],Ruimtegroepen[#All],2,FALSE)</f>
        <v>Groepruimte / kantine</v>
      </c>
      <c r="M23" s="195" t="s">
        <v>111</v>
      </c>
      <c r="N23" s="180" t="s">
        <v>557</v>
      </c>
      <c r="O23" s="181">
        <v>314</v>
      </c>
      <c r="P23" s="193"/>
      <c r="Q23" s="223" t="str">
        <f>VLOOKUP(Ruimtestaat[[#This Row],[Ruimte code]],Ruimtegroepen[#All],4,FALSE)</f>
        <v>V  (Verkeersruimte)</v>
      </c>
      <c r="R23" s="194"/>
      <c r="S23" s="195">
        <v>40</v>
      </c>
      <c r="T23" s="195" t="s">
        <v>2</v>
      </c>
      <c r="U23" s="195">
        <f>IF(S23&gt;0,IF(RIGHT(Ruimtestaat[[#This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3" s="195">
        <f>IF(U23&gt;0,VLOOKUP($K23,Ruimtegroepen[],3,FALSE)*VLOOKUP($M23,Vloersoorten[],3,FALSE)*VLOOKUP($T23,Frequenties[],3,FALSE)*VLOOKUP($A23,Locaties[],3,FALSE),0)</f>
        <v>0</v>
      </c>
      <c r="W23" s="195">
        <f>Ruimtestaat[[#This Row],[Uitvoeringen werkdagen]]*Ruimtestaat[[#This Row],[Oppervlak (netto)]]</f>
        <v>62800</v>
      </c>
      <c r="X23" s="233">
        <f>IF(V23&gt;0,Ruimtestaat[[#This Row],[Prest. (m2 /jaar) werkdagen]]/Ruimtestaat[[#This Row],[Norm (m2/uur) werkdagen]],0)</f>
        <v>0</v>
      </c>
      <c r="Y23" s="234">
        <f>Ruimtestaat[[#This Row],[uren / jaar werkdagen]]*Tariefsopbouw!$D$38</f>
        <v>0</v>
      </c>
      <c r="Z23" s="33"/>
      <c r="AA23" s="33">
        <f>IF(Ruimtestaat[[#This Row],[Frequentie weekend]]&gt;0,VALUE(LEFT(Z23,1))*S23,0)</f>
        <v>0</v>
      </c>
      <c r="AB23" s="33">
        <f>IF($AA23&gt;0,VLOOKUP($K23,Ruimtegroepen[],3,FALSE)*VLOOKUP($M23,Vloersoorten[],3,FALSE)*VLOOKUP($Z23,Frequenties[],3,FALSE)*VLOOKUP(#REF!,Locaties[],3,FALSE),0)</f>
        <v>0</v>
      </c>
      <c r="AC23" s="33"/>
      <c r="AD23" s="33"/>
      <c r="AE23" s="33">
        <f>Ruimtestaat[[#This Row],[uren / jaar weekend]]*Tariefsopbouw!$D$40</f>
        <v>0</v>
      </c>
      <c r="AF23" s="79">
        <f>Ruimtestaat[[#This Row],[Prest. (m2 /jaar) weekend]]+Ruimtestaat[[#This Row],[Prest. (m2 /jaar) werkdagen]]</f>
        <v>62800</v>
      </c>
      <c r="AG23" s="79">
        <f>Ruimtestaat[[#This Row],[uren / jaar weekend]]+Ruimtestaat[[#This Row],[uren / jaar werkdagen]]</f>
        <v>0</v>
      </c>
      <c r="AH23" s="80">
        <f>Ruimtestaat[[#This Row],[kosten / jaar weekend]]+Ruimtestaat[[#This Row],[kosten / jaar werkdagen]]</f>
        <v>0</v>
      </c>
      <c r="AI23" s="104"/>
      <c r="HM23" s="78"/>
    </row>
    <row r="24" spans="1:221" ht="15" customHeight="1">
      <c r="A24" s="119">
        <v>1</v>
      </c>
      <c r="B24" s="21" t="str">
        <f>VLOOKUP(Ruimtestaat[[#This Row],[Code]],Locaties[#All],2,FALSE)</f>
        <v>IJburg College</v>
      </c>
      <c r="C24" s="21" t="str">
        <f>VLOOKUP(Ruimtestaat[[#This Row],[Code]],Locaties[#All],4,FALSE)</f>
        <v>Pampuslaan 1</v>
      </c>
      <c r="D24" s="21" t="str">
        <f>VLOOKUP(Ruimtestaat[[#This Row],[Code]],Locaties[#All],5,FALSE)</f>
        <v>1087 HP</v>
      </c>
      <c r="E24" s="180" t="str">
        <f>VLOOKUP(Ruimtestaat[[#This Row],[Code]],Locaties[#All],6,FALSE)</f>
        <v>Amsterdam</v>
      </c>
      <c r="F24" s="180"/>
      <c r="G24" s="195" t="s">
        <v>513</v>
      </c>
      <c r="H24" s="195" t="s">
        <v>827</v>
      </c>
      <c r="I24" s="180" t="s">
        <v>461</v>
      </c>
      <c r="J24" s="224" t="s">
        <v>523</v>
      </c>
      <c r="K24" s="180">
        <v>6</v>
      </c>
      <c r="L24" s="224" t="str">
        <f>VLOOKUP(Ruimtestaat[[#This Row],[Ruimte code]],Ruimtegroepen[#All],2,FALSE)</f>
        <v>Gangen/hallen</v>
      </c>
      <c r="M24" s="195" t="s">
        <v>111</v>
      </c>
      <c r="N24" s="180" t="s">
        <v>557</v>
      </c>
      <c r="O24" s="181">
        <v>96</v>
      </c>
      <c r="P24" s="193"/>
      <c r="Q24" s="223" t="str">
        <f>VLOOKUP(Ruimtestaat[[#This Row],[Ruimte code]],Ruimtegroepen[#All],4,FALSE)</f>
        <v>V  (Verkeersruimte)</v>
      </c>
      <c r="R24" s="194"/>
      <c r="S24" s="195">
        <v>40</v>
      </c>
      <c r="T24" s="195" t="s">
        <v>2</v>
      </c>
      <c r="U24" s="195">
        <f>IF(S24&gt;0,IF(RIGHT(Ruimtestaat[[#This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4" s="195">
        <f>IF(U24&gt;0,VLOOKUP($K24,Ruimtegroepen[],3,FALSE)*VLOOKUP($M24,Vloersoorten[],3,FALSE)*VLOOKUP($T24,Frequenties[],3,FALSE)*VLOOKUP($A24,Locaties[],3,FALSE),0)</f>
        <v>0</v>
      </c>
      <c r="W24" s="195">
        <f>Ruimtestaat[[#This Row],[Uitvoeringen werkdagen]]*Ruimtestaat[[#This Row],[Oppervlak (netto)]]</f>
        <v>19200</v>
      </c>
      <c r="X24" s="233">
        <f>IF(V24&gt;0,Ruimtestaat[[#This Row],[Prest. (m2 /jaar) werkdagen]]/Ruimtestaat[[#This Row],[Norm (m2/uur) werkdagen]],0)</f>
        <v>0</v>
      </c>
      <c r="Y24" s="234">
        <f>Ruimtestaat[[#This Row],[uren / jaar werkdagen]]*Tariefsopbouw!$D$38</f>
        <v>0</v>
      </c>
      <c r="Z24" s="33"/>
      <c r="AA24" s="33">
        <f>IF(Ruimtestaat[[#This Row],[Frequentie weekend]]&gt;0,VALUE(LEFT(Z24,1))*S24,0)</f>
        <v>0</v>
      </c>
      <c r="AB24" s="33">
        <f>IF($AA24&gt;0,VLOOKUP($K24,Ruimtegroepen[],3,FALSE)*VLOOKUP($M24,Vloersoorten[],3,FALSE)*VLOOKUP($Z24,Frequenties[],3,FALSE)*VLOOKUP(#REF!,Locaties[],3,FALSE),0)</f>
        <v>0</v>
      </c>
      <c r="AC24" s="33"/>
      <c r="AD24" s="33"/>
      <c r="AE24" s="33">
        <f>Ruimtestaat[[#This Row],[uren / jaar weekend]]*Tariefsopbouw!$D$40</f>
        <v>0</v>
      </c>
      <c r="AF24" s="79">
        <f>Ruimtestaat[[#This Row],[Prest. (m2 /jaar) weekend]]+Ruimtestaat[[#This Row],[Prest. (m2 /jaar) werkdagen]]</f>
        <v>19200</v>
      </c>
      <c r="AG24" s="79">
        <f>Ruimtestaat[[#This Row],[uren / jaar weekend]]+Ruimtestaat[[#This Row],[uren / jaar werkdagen]]</f>
        <v>0</v>
      </c>
      <c r="AH24" s="80">
        <f>Ruimtestaat[[#This Row],[kosten / jaar weekend]]+Ruimtestaat[[#This Row],[kosten / jaar werkdagen]]</f>
        <v>0</v>
      </c>
      <c r="AI24" s="104"/>
      <c r="HM24" s="78"/>
    </row>
    <row r="25" spans="1:221" ht="15" customHeight="1">
      <c r="A25" s="119">
        <v>1</v>
      </c>
      <c r="B25" s="21" t="str">
        <f>VLOOKUP(Ruimtestaat[[#This Row],[Code]],Locaties[#All],2,FALSE)</f>
        <v>IJburg College</v>
      </c>
      <c r="C25" s="21" t="str">
        <f>VLOOKUP(Ruimtestaat[[#This Row],[Code]],Locaties[#All],4,FALSE)</f>
        <v>Pampuslaan 1</v>
      </c>
      <c r="D25" s="21" t="str">
        <f>VLOOKUP(Ruimtestaat[[#This Row],[Code]],Locaties[#All],5,FALSE)</f>
        <v>1087 HP</v>
      </c>
      <c r="E25" s="180" t="str">
        <f>VLOOKUP(Ruimtestaat[[#This Row],[Code]],Locaties[#All],6,FALSE)</f>
        <v>Amsterdam</v>
      </c>
      <c r="F25" s="180"/>
      <c r="G25" s="195" t="s">
        <v>513</v>
      </c>
      <c r="H25" s="195"/>
      <c r="I25" s="180" t="s">
        <v>462</v>
      </c>
      <c r="J25" s="224" t="s">
        <v>907</v>
      </c>
      <c r="K25" s="180">
        <v>15</v>
      </c>
      <c r="L25" s="224" t="str">
        <f>VLOOKUP(Ruimtestaat[[#This Row],[Ruimte code]],Ruimtegroepen[#All],2,FALSE)</f>
        <v>Keuken/pantry</v>
      </c>
      <c r="M25" s="195" t="s">
        <v>111</v>
      </c>
      <c r="N25" s="180" t="s">
        <v>557</v>
      </c>
      <c r="O25" s="181">
        <v>10</v>
      </c>
      <c r="P25" s="193"/>
      <c r="Q25" s="223" t="str">
        <f>VLOOKUP(Ruimtestaat[[#This Row],[Ruimte code]],Ruimtegroepen[#All],4,FALSE)</f>
        <v>V  (Verkeersruimte)</v>
      </c>
      <c r="R25" s="194"/>
      <c r="S25" s="195">
        <v>40</v>
      </c>
      <c r="T25" s="195" t="s">
        <v>2</v>
      </c>
      <c r="U25" s="195">
        <f>IF(S25&gt;0,IF(RIGHT(Ruimtestaat[[#This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5" s="195">
        <f>IF(U25&gt;0,VLOOKUP($K25,Ruimtegroepen[],3,FALSE)*VLOOKUP($M25,Vloersoorten[],3,FALSE)*VLOOKUP($T25,Frequenties[],3,FALSE)*VLOOKUP($A25,Locaties[],3,FALSE),0)</f>
        <v>0</v>
      </c>
      <c r="W25" s="195">
        <f>Ruimtestaat[[#This Row],[Uitvoeringen werkdagen]]*Ruimtestaat[[#This Row],[Oppervlak (netto)]]</f>
        <v>2000</v>
      </c>
      <c r="X25" s="233">
        <f>IF(V25&gt;0,Ruimtestaat[[#This Row],[Prest. (m2 /jaar) werkdagen]]/Ruimtestaat[[#This Row],[Norm (m2/uur) werkdagen]],0)</f>
        <v>0</v>
      </c>
      <c r="Y25" s="234">
        <f>Ruimtestaat[[#This Row],[uren / jaar werkdagen]]*Tariefsopbouw!$D$38</f>
        <v>0</v>
      </c>
      <c r="Z25" s="33"/>
      <c r="AA25" s="33">
        <f>IF(Ruimtestaat[[#This Row],[Frequentie weekend]]&gt;0,VALUE(LEFT(Z25,1))*S25,0)</f>
        <v>0</v>
      </c>
      <c r="AB25" s="33">
        <f>IF($AA25&gt;0,VLOOKUP($K25,Ruimtegroepen[],3,FALSE)*VLOOKUP($M25,Vloersoorten[],3,FALSE)*VLOOKUP($Z25,Frequenties[],3,FALSE)*VLOOKUP(#REF!,Locaties[],3,FALSE),0)</f>
        <v>0</v>
      </c>
      <c r="AC25" s="33"/>
      <c r="AD25" s="33"/>
      <c r="AE25" s="33">
        <f>Ruimtestaat[[#This Row],[uren / jaar weekend]]*Tariefsopbouw!$D$40</f>
        <v>0</v>
      </c>
      <c r="AF25" s="79">
        <f>Ruimtestaat[[#This Row],[Prest. (m2 /jaar) weekend]]+Ruimtestaat[[#This Row],[Prest. (m2 /jaar) werkdagen]]</f>
        <v>2000</v>
      </c>
      <c r="AG25" s="79">
        <f>Ruimtestaat[[#This Row],[uren / jaar weekend]]+Ruimtestaat[[#This Row],[uren / jaar werkdagen]]</f>
        <v>0</v>
      </c>
      <c r="AH25" s="80">
        <f>Ruimtestaat[[#This Row],[kosten / jaar weekend]]+Ruimtestaat[[#This Row],[kosten / jaar werkdagen]]</f>
        <v>0</v>
      </c>
      <c r="AI25" s="104"/>
      <c r="HM25" s="78"/>
    </row>
    <row r="26" spans="1:221" ht="15" customHeight="1">
      <c r="A26" s="119">
        <v>1</v>
      </c>
      <c r="B26" s="21" t="str">
        <f>VLOOKUP(Ruimtestaat[[#This Row],[Code]],Locaties[#All],2,FALSE)</f>
        <v>IJburg College</v>
      </c>
      <c r="C26" s="21" t="str">
        <f>VLOOKUP(Ruimtestaat[[#This Row],[Code]],Locaties[#All],4,FALSE)</f>
        <v>Pampuslaan 1</v>
      </c>
      <c r="D26" s="21" t="str">
        <f>VLOOKUP(Ruimtestaat[[#This Row],[Code]],Locaties[#All],5,FALSE)</f>
        <v>1087 HP</v>
      </c>
      <c r="E26" s="180" t="str">
        <f>VLOOKUP(Ruimtestaat[[#This Row],[Code]],Locaties[#All],6,FALSE)</f>
        <v>Amsterdam</v>
      </c>
      <c r="F26" s="180"/>
      <c r="G26" s="195" t="s">
        <v>513</v>
      </c>
      <c r="H26" s="195" t="s">
        <v>828</v>
      </c>
      <c r="I26" s="180" t="s">
        <v>463</v>
      </c>
      <c r="J26" s="224" t="s">
        <v>524</v>
      </c>
      <c r="K26" s="180">
        <v>15</v>
      </c>
      <c r="L26" s="224" t="str">
        <f>VLOOKUP(Ruimtestaat[[#This Row],[Ruimte code]],Ruimtegroepen[#All],2,FALSE)</f>
        <v>Keuken/pantry</v>
      </c>
      <c r="M26" s="195" t="s">
        <v>111</v>
      </c>
      <c r="N26" s="180" t="s">
        <v>557</v>
      </c>
      <c r="O26" s="181">
        <v>138</v>
      </c>
      <c r="P26" s="193"/>
      <c r="Q26" s="223" t="str">
        <f>VLOOKUP(Ruimtestaat[[#This Row],[Ruimte code]],Ruimtegroepen[#All],4,FALSE)</f>
        <v>V  (Verkeersruimte)</v>
      </c>
      <c r="R26" s="194"/>
      <c r="S26" s="195">
        <v>40</v>
      </c>
      <c r="T26" s="195" t="s">
        <v>2</v>
      </c>
      <c r="U26" s="195">
        <f>IF(S26&gt;0,IF(RIGHT(Ruimtestaat[[#This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6" s="195">
        <f>IF(U26&gt;0,VLOOKUP($K26,Ruimtegroepen[],3,FALSE)*VLOOKUP($M26,Vloersoorten[],3,FALSE)*VLOOKUP($T26,Frequenties[],3,FALSE)*VLOOKUP($A26,Locaties[],3,FALSE),0)</f>
        <v>0</v>
      </c>
      <c r="W26" s="195">
        <f>Ruimtestaat[[#This Row],[Uitvoeringen werkdagen]]*Ruimtestaat[[#This Row],[Oppervlak (netto)]]</f>
        <v>27600</v>
      </c>
      <c r="X26" s="233">
        <f>IF(V26&gt;0,Ruimtestaat[[#This Row],[Prest. (m2 /jaar) werkdagen]]/Ruimtestaat[[#This Row],[Norm (m2/uur) werkdagen]],0)</f>
        <v>0</v>
      </c>
      <c r="Y26" s="234">
        <f>Ruimtestaat[[#This Row],[uren / jaar werkdagen]]*Tariefsopbouw!$D$38</f>
        <v>0</v>
      </c>
      <c r="Z26" s="33"/>
      <c r="AA26" s="33">
        <f>IF(Ruimtestaat[[#This Row],[Frequentie weekend]]&gt;0,VALUE(LEFT(Z26,1))*S26,0)</f>
        <v>0</v>
      </c>
      <c r="AB26" s="33">
        <f>IF($AA26&gt;0,VLOOKUP($K26,Ruimtegroepen[],3,FALSE)*VLOOKUP($M26,Vloersoorten[],3,FALSE)*VLOOKUP($Z26,Frequenties[],3,FALSE)*VLOOKUP(#REF!,Locaties[],3,FALSE),0)</f>
        <v>0</v>
      </c>
      <c r="AC26" s="33"/>
      <c r="AD26" s="33"/>
      <c r="AE26" s="33">
        <f>Ruimtestaat[[#This Row],[uren / jaar weekend]]*Tariefsopbouw!$D$40</f>
        <v>0</v>
      </c>
      <c r="AF26" s="79">
        <f>Ruimtestaat[[#This Row],[Prest. (m2 /jaar) weekend]]+Ruimtestaat[[#This Row],[Prest. (m2 /jaar) werkdagen]]</f>
        <v>27600</v>
      </c>
      <c r="AG26" s="79">
        <f>Ruimtestaat[[#This Row],[uren / jaar weekend]]+Ruimtestaat[[#This Row],[uren / jaar werkdagen]]</f>
        <v>0</v>
      </c>
      <c r="AH26" s="80">
        <f>Ruimtestaat[[#This Row],[kosten / jaar weekend]]+Ruimtestaat[[#This Row],[kosten / jaar werkdagen]]</f>
        <v>0</v>
      </c>
      <c r="AI26" s="104"/>
      <c r="HM26" s="78"/>
    </row>
    <row r="27" spans="1:221" ht="15" customHeight="1">
      <c r="A27" s="119">
        <v>1</v>
      </c>
      <c r="B27" s="21" t="str">
        <f>VLOOKUP(Ruimtestaat[[#This Row],[Code]],Locaties[#All],2,FALSE)</f>
        <v>IJburg College</v>
      </c>
      <c r="C27" s="21" t="str">
        <f>VLOOKUP(Ruimtestaat[[#This Row],[Code]],Locaties[#All],4,FALSE)</f>
        <v>Pampuslaan 1</v>
      </c>
      <c r="D27" s="21" t="str">
        <f>VLOOKUP(Ruimtestaat[[#This Row],[Code]],Locaties[#All],5,FALSE)</f>
        <v>1087 HP</v>
      </c>
      <c r="E27" s="180" t="str">
        <f>VLOOKUP(Ruimtestaat[[#This Row],[Code]],Locaties[#All],6,FALSE)</f>
        <v>Amsterdam</v>
      </c>
      <c r="F27" s="180"/>
      <c r="G27" s="195" t="s">
        <v>513</v>
      </c>
      <c r="H27" s="195" t="s">
        <v>829</v>
      </c>
      <c r="I27" s="235" t="s">
        <v>464</v>
      </c>
      <c r="J27" s="224" t="s">
        <v>525</v>
      </c>
      <c r="K27" s="180">
        <v>8</v>
      </c>
      <c r="L27" s="224" t="str">
        <f>VLOOKUP(Ruimtestaat[[#This Row],[Ruimte code]],Ruimtegroepen[#All],2,FALSE)</f>
        <v>Multifunctionele ruimte</v>
      </c>
      <c r="M27" s="195" t="s">
        <v>111</v>
      </c>
      <c r="N27" s="180" t="s">
        <v>557</v>
      </c>
      <c r="O27" s="181">
        <v>190</v>
      </c>
      <c r="P27" s="193"/>
      <c r="Q27" s="223" t="str">
        <f>VLOOKUP(Ruimtestaat[[#This Row],[Ruimte code]],Ruimtegroepen[#All],4,FALSE)</f>
        <v>L  (Lesruimte)</v>
      </c>
      <c r="R27" s="194"/>
      <c r="S27" s="195">
        <v>40</v>
      </c>
      <c r="T27" s="195" t="s">
        <v>2</v>
      </c>
      <c r="U27" s="195">
        <f>IF(S27&gt;0,IF(RIGHT(Ruimtestaat[[#This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7" s="195">
        <f>IF(U27&gt;0,VLOOKUP($K27,Ruimtegroepen[],3,FALSE)*VLOOKUP($M27,Vloersoorten[],3,FALSE)*VLOOKUP($T27,Frequenties[],3,FALSE)*VLOOKUP($A27,Locaties[],3,FALSE),0)</f>
        <v>0</v>
      </c>
      <c r="W27" s="195">
        <f>Ruimtestaat[[#This Row],[Uitvoeringen werkdagen]]*Ruimtestaat[[#This Row],[Oppervlak (netto)]]</f>
        <v>38000</v>
      </c>
      <c r="X27" s="233">
        <f>IF(V27&gt;0,Ruimtestaat[[#This Row],[Prest. (m2 /jaar) werkdagen]]/Ruimtestaat[[#This Row],[Norm (m2/uur) werkdagen]],0)</f>
        <v>0</v>
      </c>
      <c r="Y27" s="234">
        <f>Ruimtestaat[[#This Row],[uren / jaar werkdagen]]*Tariefsopbouw!$D$38</f>
        <v>0</v>
      </c>
      <c r="Z27" s="33"/>
      <c r="AA27" s="33">
        <f>IF(Ruimtestaat[[#This Row],[Frequentie weekend]]&gt;0,VALUE(LEFT(Z27,1))*S27,0)</f>
        <v>0</v>
      </c>
      <c r="AB27" s="33">
        <f>IF($AA27&gt;0,VLOOKUP($K27,Ruimtegroepen[],3,FALSE)*VLOOKUP($M27,Vloersoorten[],3,FALSE)*VLOOKUP($Z27,Frequenties[],3,FALSE)*VLOOKUP(#REF!,Locaties[],3,FALSE),0)</f>
        <v>0</v>
      </c>
      <c r="AC27" s="33"/>
      <c r="AD27" s="33"/>
      <c r="AE27" s="33">
        <f>Ruimtestaat[[#This Row],[uren / jaar weekend]]*Tariefsopbouw!$D$40</f>
        <v>0</v>
      </c>
      <c r="AF27" s="79">
        <f>Ruimtestaat[[#This Row],[Prest. (m2 /jaar) weekend]]+Ruimtestaat[[#This Row],[Prest. (m2 /jaar) werkdagen]]</f>
        <v>38000</v>
      </c>
      <c r="AG27" s="79">
        <f>Ruimtestaat[[#This Row],[uren / jaar weekend]]+Ruimtestaat[[#This Row],[uren / jaar werkdagen]]</f>
        <v>0</v>
      </c>
      <c r="AH27" s="80">
        <f>Ruimtestaat[[#This Row],[kosten / jaar weekend]]+Ruimtestaat[[#This Row],[kosten / jaar werkdagen]]</f>
        <v>0</v>
      </c>
      <c r="AI27" s="104"/>
      <c r="HM27" s="78"/>
    </row>
    <row r="28" spans="1:221" ht="15" customHeight="1">
      <c r="A28" s="119">
        <v>1</v>
      </c>
      <c r="B28" s="21" t="str">
        <f>VLOOKUP(Ruimtestaat[[#This Row],[Code]],Locaties[#All],2,FALSE)</f>
        <v>IJburg College</v>
      </c>
      <c r="C28" s="21" t="str">
        <f>VLOOKUP(Ruimtestaat[[#This Row],[Code]],Locaties[#All],4,FALSE)</f>
        <v>Pampuslaan 1</v>
      </c>
      <c r="D28" s="21" t="str">
        <f>VLOOKUP(Ruimtestaat[[#This Row],[Code]],Locaties[#All],5,FALSE)</f>
        <v>1087 HP</v>
      </c>
      <c r="E28" s="180" t="str">
        <f>VLOOKUP(Ruimtestaat[[#This Row],[Code]],Locaties[#All],6,FALSE)</f>
        <v>Amsterdam</v>
      </c>
      <c r="F28" s="180"/>
      <c r="G28" s="195" t="s">
        <v>513</v>
      </c>
      <c r="H28" s="195" t="s">
        <v>830</v>
      </c>
      <c r="I28" s="180" t="s">
        <v>465</v>
      </c>
      <c r="J28" s="224" t="s">
        <v>526</v>
      </c>
      <c r="K28" s="180">
        <v>16</v>
      </c>
      <c r="L28" s="224" t="str">
        <f>VLOOKUP(Ruimtestaat[[#This Row],[Ruimte code]],Ruimtegroepen[#All],2,FALSE)</f>
        <v>Lokaal</v>
      </c>
      <c r="M28" s="195" t="s">
        <v>111</v>
      </c>
      <c r="N28" s="180" t="s">
        <v>557</v>
      </c>
      <c r="O28" s="181">
        <v>51</v>
      </c>
      <c r="P28" s="193"/>
      <c r="Q28" s="223" t="str">
        <f>VLOOKUP(Ruimtestaat[[#This Row],[Ruimte code]],Ruimtegroepen[#All],4,FALSE)</f>
        <v>L  (Lesruimte)</v>
      </c>
      <c r="R28" s="194"/>
      <c r="S28" s="195">
        <v>40</v>
      </c>
      <c r="T28" s="195" t="s">
        <v>2</v>
      </c>
      <c r="U28" s="195">
        <f>IF(S28&gt;0,IF(RIGHT(Ruimtestaat[[#This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8" s="195">
        <f>IF(U28&gt;0,VLOOKUP($K28,Ruimtegroepen[],3,FALSE)*VLOOKUP($M28,Vloersoorten[],3,FALSE)*VLOOKUP($T28,Frequenties[],3,FALSE)*VLOOKUP($A28,Locaties[],3,FALSE),0)</f>
        <v>0</v>
      </c>
      <c r="W28" s="195">
        <f>Ruimtestaat[[#This Row],[Uitvoeringen werkdagen]]*Ruimtestaat[[#This Row],[Oppervlak (netto)]]</f>
        <v>10200</v>
      </c>
      <c r="X28" s="233">
        <f>IF(V28&gt;0,Ruimtestaat[[#This Row],[Prest. (m2 /jaar) werkdagen]]/Ruimtestaat[[#This Row],[Norm (m2/uur) werkdagen]],0)</f>
        <v>0</v>
      </c>
      <c r="Y28" s="234">
        <f>Ruimtestaat[[#This Row],[uren / jaar werkdagen]]*Tariefsopbouw!$D$38</f>
        <v>0</v>
      </c>
      <c r="Z28" s="33"/>
      <c r="AA28" s="33">
        <f>IF(Ruimtestaat[[#This Row],[Frequentie weekend]]&gt;0,VALUE(LEFT(Z28,1))*S28,0)</f>
        <v>0</v>
      </c>
      <c r="AB28" s="33">
        <f>IF($AA28&gt;0,VLOOKUP($K28,Ruimtegroepen[],3,FALSE)*VLOOKUP($M28,Vloersoorten[],3,FALSE)*VLOOKUP($Z28,Frequenties[],3,FALSE)*VLOOKUP(#REF!,Locaties[],3,FALSE),0)</f>
        <v>0</v>
      </c>
      <c r="AC28" s="33"/>
      <c r="AD28" s="33"/>
      <c r="AE28" s="33">
        <f>Ruimtestaat[[#This Row],[uren / jaar weekend]]*Tariefsopbouw!$D$40</f>
        <v>0</v>
      </c>
      <c r="AF28" s="79">
        <f>Ruimtestaat[[#This Row],[Prest. (m2 /jaar) weekend]]+Ruimtestaat[[#This Row],[Prest. (m2 /jaar) werkdagen]]</f>
        <v>10200</v>
      </c>
      <c r="AG28" s="79">
        <f>Ruimtestaat[[#This Row],[uren / jaar weekend]]+Ruimtestaat[[#This Row],[uren / jaar werkdagen]]</f>
        <v>0</v>
      </c>
      <c r="AH28" s="80">
        <f>Ruimtestaat[[#This Row],[kosten / jaar weekend]]+Ruimtestaat[[#This Row],[kosten / jaar werkdagen]]</f>
        <v>0</v>
      </c>
      <c r="AI28" s="104"/>
      <c r="HM28" s="78"/>
    </row>
    <row r="29" spans="1:221" ht="15" customHeight="1">
      <c r="A29" s="119">
        <v>1</v>
      </c>
      <c r="B29" s="21" t="str">
        <f>VLOOKUP(Ruimtestaat[[#This Row],[Code]],Locaties[#All],2,FALSE)</f>
        <v>IJburg College</v>
      </c>
      <c r="C29" s="21" t="str">
        <f>VLOOKUP(Ruimtestaat[[#This Row],[Code]],Locaties[#All],4,FALSE)</f>
        <v>Pampuslaan 1</v>
      </c>
      <c r="D29" s="21" t="str">
        <f>VLOOKUP(Ruimtestaat[[#This Row],[Code]],Locaties[#All],5,FALSE)</f>
        <v>1087 HP</v>
      </c>
      <c r="E29" s="180" t="str">
        <f>VLOOKUP(Ruimtestaat[[#This Row],[Code]],Locaties[#All],6,FALSE)</f>
        <v>Amsterdam</v>
      </c>
      <c r="F29" s="180"/>
      <c r="G29" s="195" t="s">
        <v>513</v>
      </c>
      <c r="H29" s="195" t="s">
        <v>831</v>
      </c>
      <c r="I29" s="235" t="s">
        <v>466</v>
      </c>
      <c r="J29" s="224" t="s">
        <v>527</v>
      </c>
      <c r="K29" s="180">
        <v>16</v>
      </c>
      <c r="L29" s="224" t="str">
        <f>VLOOKUP(Ruimtestaat[[#This Row],[Ruimte code]],Ruimtegroepen[#All],2,FALSE)</f>
        <v>Lokaal</v>
      </c>
      <c r="M29" s="195" t="s">
        <v>111</v>
      </c>
      <c r="N29" s="180" t="s">
        <v>557</v>
      </c>
      <c r="O29" s="181">
        <v>5.0999999999999996</v>
      </c>
      <c r="P29" s="193"/>
      <c r="Q29" s="223" t="str">
        <f>VLOOKUP(Ruimtestaat[[#This Row],[Ruimte code]],Ruimtegroepen[#All],4,FALSE)</f>
        <v>L  (Lesruimte)</v>
      </c>
      <c r="R29" s="194"/>
      <c r="S29" s="195">
        <v>40</v>
      </c>
      <c r="T29" s="195" t="s">
        <v>2</v>
      </c>
      <c r="U29" s="195">
        <f>IF(S29&gt;0,IF(RIGHT(Ruimtestaat[[#This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9" s="195">
        <f>IF(U29&gt;0,VLOOKUP($K29,Ruimtegroepen[],3,FALSE)*VLOOKUP($M29,Vloersoorten[],3,FALSE)*VLOOKUP($T29,Frequenties[],3,FALSE)*VLOOKUP($A29,Locaties[],3,FALSE),0)</f>
        <v>0</v>
      </c>
      <c r="W29" s="195">
        <f>Ruimtestaat[[#This Row],[Uitvoeringen werkdagen]]*Ruimtestaat[[#This Row],[Oppervlak (netto)]]</f>
        <v>1019.9999999999999</v>
      </c>
      <c r="X29" s="233">
        <f>IF(V29&gt;0,Ruimtestaat[[#This Row],[Prest. (m2 /jaar) werkdagen]]/Ruimtestaat[[#This Row],[Norm (m2/uur) werkdagen]],0)</f>
        <v>0</v>
      </c>
      <c r="Y29" s="234">
        <f>Ruimtestaat[[#This Row],[uren / jaar werkdagen]]*Tariefsopbouw!$D$38</f>
        <v>0</v>
      </c>
      <c r="Z29" s="33"/>
      <c r="AA29" s="33">
        <f>IF(Ruimtestaat[[#This Row],[Frequentie weekend]]&gt;0,VALUE(LEFT(Z29,1))*S29,0)</f>
        <v>0</v>
      </c>
      <c r="AB29" s="33">
        <f>IF($AA29&gt;0,VLOOKUP($K29,Ruimtegroepen[],3,FALSE)*VLOOKUP($M29,Vloersoorten[],3,FALSE)*VLOOKUP($Z29,Frequenties[],3,FALSE)*VLOOKUP(#REF!,Locaties[],3,FALSE),0)</f>
        <v>0</v>
      </c>
      <c r="AC29" s="33"/>
      <c r="AD29" s="33"/>
      <c r="AE29" s="33">
        <f>Ruimtestaat[[#This Row],[uren / jaar weekend]]*Tariefsopbouw!$D$40</f>
        <v>0</v>
      </c>
      <c r="AF29" s="79">
        <f>Ruimtestaat[[#This Row],[Prest. (m2 /jaar) weekend]]+Ruimtestaat[[#This Row],[Prest. (m2 /jaar) werkdagen]]</f>
        <v>1019.9999999999999</v>
      </c>
      <c r="AG29" s="79">
        <f>Ruimtestaat[[#This Row],[uren / jaar weekend]]+Ruimtestaat[[#This Row],[uren / jaar werkdagen]]</f>
        <v>0</v>
      </c>
      <c r="AH29" s="80">
        <f>Ruimtestaat[[#This Row],[kosten / jaar weekend]]+Ruimtestaat[[#This Row],[kosten / jaar werkdagen]]</f>
        <v>0</v>
      </c>
      <c r="AI29" s="104"/>
      <c r="HM29" s="78"/>
    </row>
    <row r="30" spans="1:221" ht="15" customHeight="1">
      <c r="A30" s="119">
        <v>1</v>
      </c>
      <c r="B30" s="21" t="str">
        <f>VLOOKUP(Ruimtestaat[[#This Row],[Code]],Locaties[#All],2,FALSE)</f>
        <v>IJburg College</v>
      </c>
      <c r="C30" s="21" t="str">
        <f>VLOOKUP(Ruimtestaat[[#This Row],[Code]],Locaties[#All],4,FALSE)</f>
        <v>Pampuslaan 1</v>
      </c>
      <c r="D30" s="21" t="str">
        <f>VLOOKUP(Ruimtestaat[[#This Row],[Code]],Locaties[#All],5,FALSE)</f>
        <v>1087 HP</v>
      </c>
      <c r="E30" s="180" t="str">
        <f>VLOOKUP(Ruimtestaat[[#This Row],[Code]],Locaties[#All],6,FALSE)</f>
        <v>Amsterdam</v>
      </c>
      <c r="F30" s="180"/>
      <c r="G30" s="195" t="s">
        <v>513</v>
      </c>
      <c r="H30" s="195" t="s">
        <v>832</v>
      </c>
      <c r="I30" s="235" t="s">
        <v>467</v>
      </c>
      <c r="J30" s="224" t="s">
        <v>528</v>
      </c>
      <c r="K30" s="195">
        <v>16</v>
      </c>
      <c r="L30" s="224" t="str">
        <f>VLOOKUP(Ruimtestaat[[#This Row],[Ruimte code]],Ruimtegroepen[#All],2,FALSE)</f>
        <v>Lokaal</v>
      </c>
      <c r="M30" s="195" t="s">
        <v>111</v>
      </c>
      <c r="N30" s="180" t="s">
        <v>557</v>
      </c>
      <c r="O30" s="181">
        <v>4.8499999999999996</v>
      </c>
      <c r="P30" s="193"/>
      <c r="Q30" s="223" t="str">
        <f>VLOOKUP(Ruimtestaat[[#This Row],[Ruimte code]],Ruimtegroepen[#All],4,FALSE)</f>
        <v>L  (Lesruimte)</v>
      </c>
      <c r="R30" s="194"/>
      <c r="S30" s="195">
        <v>40</v>
      </c>
      <c r="T30" s="195" t="s">
        <v>2</v>
      </c>
      <c r="U30" s="195">
        <f>IF(S30&gt;0,IF(RIGHT(Ruimtestaat[[#This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0" s="195">
        <f>IF(U30&gt;0,VLOOKUP($K30,Ruimtegroepen[],3,FALSE)*VLOOKUP($M30,Vloersoorten[],3,FALSE)*VLOOKUP($T30,Frequenties[],3,FALSE)*VLOOKUP($A30,Locaties[],3,FALSE),0)</f>
        <v>0</v>
      </c>
      <c r="W30" s="195">
        <f>Ruimtestaat[[#This Row],[Uitvoeringen werkdagen]]*Ruimtestaat[[#This Row],[Oppervlak (netto)]]</f>
        <v>969.99999999999989</v>
      </c>
      <c r="X30" s="233">
        <f>IF(V30&gt;0,Ruimtestaat[[#This Row],[Prest. (m2 /jaar) werkdagen]]/Ruimtestaat[[#This Row],[Norm (m2/uur) werkdagen]],0)</f>
        <v>0</v>
      </c>
      <c r="Y30" s="234">
        <f>Ruimtestaat[[#This Row],[uren / jaar werkdagen]]*Tariefsopbouw!$D$38</f>
        <v>0</v>
      </c>
      <c r="Z30" s="33"/>
      <c r="AA30" s="33">
        <f>IF(Ruimtestaat[[#This Row],[Frequentie weekend]]&gt;0,VALUE(LEFT(Z30,1))*S30,0)</f>
        <v>0</v>
      </c>
      <c r="AB30" s="33">
        <f>IF($AA30&gt;0,VLOOKUP($K30,Ruimtegroepen[],3,FALSE)*VLOOKUP($M30,Vloersoorten[],3,FALSE)*VLOOKUP($Z30,Frequenties[],3,FALSE)*VLOOKUP(#REF!,Locaties[],3,FALSE),0)</f>
        <v>0</v>
      </c>
      <c r="AC30" s="33"/>
      <c r="AD30" s="33"/>
      <c r="AE30" s="33">
        <f>Ruimtestaat[[#This Row],[uren / jaar weekend]]*Tariefsopbouw!$D$40</f>
        <v>0</v>
      </c>
      <c r="AF30" s="79">
        <f>Ruimtestaat[[#This Row],[Prest. (m2 /jaar) weekend]]+Ruimtestaat[[#This Row],[Prest. (m2 /jaar) werkdagen]]</f>
        <v>969.99999999999989</v>
      </c>
      <c r="AG30" s="79">
        <f>Ruimtestaat[[#This Row],[uren / jaar weekend]]+Ruimtestaat[[#This Row],[uren / jaar werkdagen]]</f>
        <v>0</v>
      </c>
      <c r="AH30" s="80">
        <f>Ruimtestaat[[#This Row],[kosten / jaar weekend]]+Ruimtestaat[[#This Row],[kosten / jaar werkdagen]]</f>
        <v>0</v>
      </c>
      <c r="AI30" s="104"/>
      <c r="HM30" s="78"/>
    </row>
    <row r="31" spans="1:221" ht="15" customHeight="1">
      <c r="A31" s="119">
        <v>1</v>
      </c>
      <c r="B31" s="21" t="str">
        <f>VLOOKUP(Ruimtestaat[[#This Row],[Code]],Locaties[#All],2,FALSE)</f>
        <v>IJburg College</v>
      </c>
      <c r="C31" s="21" t="str">
        <f>VLOOKUP(Ruimtestaat[[#This Row],[Code]],Locaties[#All],4,FALSE)</f>
        <v>Pampuslaan 1</v>
      </c>
      <c r="D31" s="21" t="str">
        <f>VLOOKUP(Ruimtestaat[[#This Row],[Code]],Locaties[#All],5,FALSE)</f>
        <v>1087 HP</v>
      </c>
      <c r="E31" s="180" t="str">
        <f>VLOOKUP(Ruimtestaat[[#This Row],[Code]],Locaties[#All],6,FALSE)</f>
        <v>Amsterdam</v>
      </c>
      <c r="F31" s="180"/>
      <c r="G31" s="195" t="s">
        <v>513</v>
      </c>
      <c r="H31" s="195" t="s">
        <v>833</v>
      </c>
      <c r="I31" s="235" t="s">
        <v>468</v>
      </c>
      <c r="J31" s="224" t="s">
        <v>529</v>
      </c>
      <c r="K31" s="180">
        <v>16</v>
      </c>
      <c r="L31" s="224" t="str">
        <f>VLOOKUP(Ruimtestaat[[#This Row],[Ruimte code]],Ruimtegroepen[#All],2,FALSE)</f>
        <v>Lokaal</v>
      </c>
      <c r="M31" s="195" t="s">
        <v>111</v>
      </c>
      <c r="N31" s="180" t="s">
        <v>557</v>
      </c>
      <c r="O31" s="181">
        <v>4.8499999999999996</v>
      </c>
      <c r="P31" s="193"/>
      <c r="Q31" s="223" t="str">
        <f>VLOOKUP(Ruimtestaat[[#This Row],[Ruimte code]],Ruimtegroepen[#All],4,FALSE)</f>
        <v>L  (Lesruimte)</v>
      </c>
      <c r="R31" s="194"/>
      <c r="S31" s="195">
        <v>40</v>
      </c>
      <c r="T31" s="195" t="s">
        <v>2</v>
      </c>
      <c r="U31" s="195">
        <f>IF(S31&gt;0,IF(RIGHT(Ruimtestaat[[#This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1" s="195">
        <f>IF(U31&gt;0,VLOOKUP($K31,Ruimtegroepen[],3,FALSE)*VLOOKUP($M31,Vloersoorten[],3,FALSE)*VLOOKUP($T31,Frequenties[],3,FALSE)*VLOOKUP($A31,Locaties[],3,FALSE),0)</f>
        <v>0</v>
      </c>
      <c r="W31" s="195">
        <f>Ruimtestaat[[#This Row],[Uitvoeringen werkdagen]]*Ruimtestaat[[#This Row],[Oppervlak (netto)]]</f>
        <v>969.99999999999989</v>
      </c>
      <c r="X31" s="233">
        <f>IF(V31&gt;0,Ruimtestaat[[#This Row],[Prest. (m2 /jaar) werkdagen]]/Ruimtestaat[[#This Row],[Norm (m2/uur) werkdagen]],0)</f>
        <v>0</v>
      </c>
      <c r="Y31" s="234">
        <f>Ruimtestaat[[#This Row],[uren / jaar werkdagen]]*Tariefsopbouw!$D$38</f>
        <v>0</v>
      </c>
      <c r="Z31" s="33"/>
      <c r="AA31" s="33">
        <f>IF(Ruimtestaat[[#This Row],[Frequentie weekend]]&gt;0,VALUE(LEFT(Z31,1))*S31,0)</f>
        <v>0</v>
      </c>
      <c r="AB31" s="33">
        <f>IF($AA31&gt;0,VLOOKUP($K31,Ruimtegroepen[],3,FALSE)*VLOOKUP($M31,Vloersoorten[],3,FALSE)*VLOOKUP($Z31,Frequenties[],3,FALSE)*VLOOKUP(#REF!,Locaties[],3,FALSE),0)</f>
        <v>0</v>
      </c>
      <c r="AC31" s="33"/>
      <c r="AD31" s="33"/>
      <c r="AE31" s="33">
        <f>Ruimtestaat[[#This Row],[uren / jaar weekend]]*Tariefsopbouw!$D$40</f>
        <v>0</v>
      </c>
      <c r="AF31" s="79">
        <f>Ruimtestaat[[#This Row],[Prest. (m2 /jaar) weekend]]+Ruimtestaat[[#This Row],[Prest. (m2 /jaar) werkdagen]]</f>
        <v>969.99999999999989</v>
      </c>
      <c r="AG31" s="79">
        <f>Ruimtestaat[[#This Row],[uren / jaar weekend]]+Ruimtestaat[[#This Row],[uren / jaar werkdagen]]</f>
        <v>0</v>
      </c>
      <c r="AH31" s="80">
        <f>Ruimtestaat[[#This Row],[kosten / jaar weekend]]+Ruimtestaat[[#This Row],[kosten / jaar werkdagen]]</f>
        <v>0</v>
      </c>
      <c r="AI31" s="104"/>
      <c r="HM31" s="78"/>
    </row>
    <row r="32" spans="1:221" ht="15" customHeight="1">
      <c r="A32" s="119">
        <v>1</v>
      </c>
      <c r="B32" s="21" t="str">
        <f>VLOOKUP(Ruimtestaat[[#This Row],[Code]],Locaties[#All],2,FALSE)</f>
        <v>IJburg College</v>
      </c>
      <c r="C32" s="21" t="str">
        <f>VLOOKUP(Ruimtestaat[[#This Row],[Code]],Locaties[#All],4,FALSE)</f>
        <v>Pampuslaan 1</v>
      </c>
      <c r="D32" s="21" t="str">
        <f>VLOOKUP(Ruimtestaat[[#This Row],[Code]],Locaties[#All],5,FALSE)</f>
        <v>1087 HP</v>
      </c>
      <c r="E32" s="180" t="str">
        <f>VLOOKUP(Ruimtestaat[[#This Row],[Code]],Locaties[#All],6,FALSE)</f>
        <v>Amsterdam</v>
      </c>
      <c r="F32" s="180"/>
      <c r="G32" s="195" t="s">
        <v>513</v>
      </c>
      <c r="H32" s="195" t="s">
        <v>834</v>
      </c>
      <c r="I32" s="180" t="s">
        <v>469</v>
      </c>
      <c r="J32" s="224" t="s">
        <v>530</v>
      </c>
      <c r="K32" s="195">
        <v>16</v>
      </c>
      <c r="L32" s="224" t="str">
        <f>VLOOKUP(Ruimtestaat[[#This Row],[Ruimte code]],Ruimtegroepen[#All],2,FALSE)</f>
        <v>Lokaal</v>
      </c>
      <c r="M32" s="195" t="s">
        <v>111</v>
      </c>
      <c r="N32" s="180" t="s">
        <v>557</v>
      </c>
      <c r="O32" s="181">
        <v>4.8499999999999996</v>
      </c>
      <c r="P32" s="193"/>
      <c r="Q32" s="223" t="str">
        <f>VLOOKUP(Ruimtestaat[[#This Row],[Ruimte code]],Ruimtegroepen[#All],4,FALSE)</f>
        <v>L  (Lesruimte)</v>
      </c>
      <c r="R32" s="194"/>
      <c r="S32" s="195">
        <v>40</v>
      </c>
      <c r="T32" s="195" t="s">
        <v>2</v>
      </c>
      <c r="U32" s="195">
        <f>IF(S32&gt;0,IF(RIGHT(Ruimtestaat[[#This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2" s="195">
        <f>IF(U32&gt;0,VLOOKUP($K32,Ruimtegroepen[],3,FALSE)*VLOOKUP($M32,Vloersoorten[],3,FALSE)*VLOOKUP($T32,Frequenties[],3,FALSE)*VLOOKUP($A32,Locaties[],3,FALSE),0)</f>
        <v>0</v>
      </c>
      <c r="W32" s="195">
        <f>Ruimtestaat[[#This Row],[Uitvoeringen werkdagen]]*Ruimtestaat[[#This Row],[Oppervlak (netto)]]</f>
        <v>969.99999999999989</v>
      </c>
      <c r="X32" s="233">
        <f>IF(V32&gt;0,Ruimtestaat[[#This Row],[Prest. (m2 /jaar) werkdagen]]/Ruimtestaat[[#This Row],[Norm (m2/uur) werkdagen]],0)</f>
        <v>0</v>
      </c>
      <c r="Y32" s="234">
        <f>Ruimtestaat[[#This Row],[uren / jaar werkdagen]]*Tariefsopbouw!$D$38</f>
        <v>0</v>
      </c>
      <c r="Z32" s="33"/>
      <c r="AA32" s="33">
        <f>IF(Ruimtestaat[[#This Row],[Frequentie weekend]]&gt;0,VALUE(LEFT(Z32,1))*S32,0)</f>
        <v>0</v>
      </c>
      <c r="AB32" s="33">
        <f>IF($AA32&gt;0,VLOOKUP($K32,Ruimtegroepen[],3,FALSE)*VLOOKUP($M32,Vloersoorten[],3,FALSE)*VLOOKUP($Z32,Frequenties[],3,FALSE)*VLOOKUP(#REF!,Locaties[],3,FALSE),0)</f>
        <v>0</v>
      </c>
      <c r="AC32" s="33"/>
      <c r="AD32" s="33"/>
      <c r="AE32" s="33">
        <f>Ruimtestaat[[#This Row],[uren / jaar weekend]]*Tariefsopbouw!$D$40</f>
        <v>0</v>
      </c>
      <c r="AF32" s="79">
        <f>Ruimtestaat[[#This Row],[Prest. (m2 /jaar) weekend]]+Ruimtestaat[[#This Row],[Prest. (m2 /jaar) werkdagen]]</f>
        <v>969.99999999999989</v>
      </c>
      <c r="AG32" s="79">
        <f>Ruimtestaat[[#This Row],[uren / jaar weekend]]+Ruimtestaat[[#This Row],[uren / jaar werkdagen]]</f>
        <v>0</v>
      </c>
      <c r="AH32" s="80">
        <f>Ruimtestaat[[#This Row],[kosten / jaar weekend]]+Ruimtestaat[[#This Row],[kosten / jaar werkdagen]]</f>
        <v>0</v>
      </c>
      <c r="AI32" s="104"/>
      <c r="HM32" s="78"/>
    </row>
    <row r="33" spans="1:221" ht="15" customHeight="1">
      <c r="A33" s="119">
        <v>1</v>
      </c>
      <c r="B33" s="21" t="str">
        <f>VLOOKUP(Ruimtestaat[[#This Row],[Code]],Locaties[#All],2,FALSE)</f>
        <v>IJburg College</v>
      </c>
      <c r="C33" s="21" t="str">
        <f>VLOOKUP(Ruimtestaat[[#This Row],[Code]],Locaties[#All],4,FALSE)</f>
        <v>Pampuslaan 1</v>
      </c>
      <c r="D33" s="21" t="str">
        <f>VLOOKUP(Ruimtestaat[[#This Row],[Code]],Locaties[#All],5,FALSE)</f>
        <v>1087 HP</v>
      </c>
      <c r="E33" s="180" t="str">
        <f>VLOOKUP(Ruimtestaat[[#This Row],[Code]],Locaties[#All],6,FALSE)</f>
        <v>Amsterdam</v>
      </c>
      <c r="F33" s="180"/>
      <c r="G33" s="195" t="s">
        <v>513</v>
      </c>
      <c r="H33" s="195" t="s">
        <v>835</v>
      </c>
      <c r="I33" s="180" t="s">
        <v>470</v>
      </c>
      <c r="J33" s="224" t="s">
        <v>531</v>
      </c>
      <c r="K33" s="180">
        <v>19</v>
      </c>
      <c r="L33" s="224" t="str">
        <f>VLOOKUP(Ruimtestaat[[#This Row],[Ruimte code]],Ruimtegroepen[#All],2,FALSE)</f>
        <v>Kleedruimten</v>
      </c>
      <c r="M33" s="195" t="s">
        <v>111</v>
      </c>
      <c r="N33" s="180" t="s">
        <v>557</v>
      </c>
      <c r="O33" s="181">
        <v>14.5</v>
      </c>
      <c r="P33" s="193"/>
      <c r="Q33" s="223" t="str">
        <f>VLOOKUP(Ruimtestaat[[#This Row],[Ruimte code]],Ruimtegroepen[#All],4,FALSE)</f>
        <v>V  (Verkeersruimte)</v>
      </c>
      <c r="R33" s="194"/>
      <c r="S33" s="195">
        <v>40</v>
      </c>
      <c r="T33" s="195" t="s">
        <v>2</v>
      </c>
      <c r="U33" s="195">
        <f>IF(S33&gt;0,IF(RIGHT(Ruimtestaat[[#This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3" s="195">
        <f>IF(U33&gt;0,VLOOKUP($K33,Ruimtegroepen[],3,FALSE)*VLOOKUP($M33,Vloersoorten[],3,FALSE)*VLOOKUP($T33,Frequenties[],3,FALSE)*VLOOKUP($A33,Locaties[],3,FALSE),0)</f>
        <v>0</v>
      </c>
      <c r="W33" s="195">
        <f>Ruimtestaat[[#This Row],[Uitvoeringen werkdagen]]*Ruimtestaat[[#This Row],[Oppervlak (netto)]]</f>
        <v>2900</v>
      </c>
      <c r="X33" s="233">
        <f>IF(V33&gt;0,Ruimtestaat[[#This Row],[Prest. (m2 /jaar) werkdagen]]/Ruimtestaat[[#This Row],[Norm (m2/uur) werkdagen]],0)</f>
        <v>0</v>
      </c>
      <c r="Y33" s="234">
        <f>Ruimtestaat[[#This Row],[uren / jaar werkdagen]]*Tariefsopbouw!$D$38</f>
        <v>0</v>
      </c>
      <c r="Z33" s="33"/>
      <c r="AA33" s="33">
        <f>IF(Ruimtestaat[[#This Row],[Frequentie weekend]]&gt;0,VALUE(LEFT(Z33,1))*S33,0)</f>
        <v>0</v>
      </c>
      <c r="AB33" s="33">
        <f>IF($AA33&gt;0,VLOOKUP($K33,Ruimtegroepen[],3,FALSE)*VLOOKUP($M33,Vloersoorten[],3,FALSE)*VLOOKUP($Z33,Frequenties[],3,FALSE)*VLOOKUP(#REF!,Locaties[],3,FALSE),0)</f>
        <v>0</v>
      </c>
      <c r="AC33" s="33"/>
      <c r="AD33" s="33"/>
      <c r="AE33" s="33">
        <f>Ruimtestaat[[#This Row],[uren / jaar weekend]]*Tariefsopbouw!$D$40</f>
        <v>0</v>
      </c>
      <c r="AF33" s="79">
        <f>Ruimtestaat[[#This Row],[Prest. (m2 /jaar) weekend]]+Ruimtestaat[[#This Row],[Prest. (m2 /jaar) werkdagen]]</f>
        <v>2900</v>
      </c>
      <c r="AG33" s="79">
        <f>Ruimtestaat[[#This Row],[uren / jaar weekend]]+Ruimtestaat[[#This Row],[uren / jaar werkdagen]]</f>
        <v>0</v>
      </c>
      <c r="AH33" s="80">
        <f>Ruimtestaat[[#This Row],[kosten / jaar weekend]]+Ruimtestaat[[#This Row],[kosten / jaar werkdagen]]</f>
        <v>0</v>
      </c>
      <c r="AI33" s="104"/>
      <c r="HM33" s="78"/>
    </row>
    <row r="34" spans="1:221" ht="15" customHeight="1">
      <c r="A34" s="119">
        <v>1</v>
      </c>
      <c r="B34" s="21" t="str">
        <f>VLOOKUP(Ruimtestaat[[#This Row],[Code]],Locaties[#All],2,FALSE)</f>
        <v>IJburg College</v>
      </c>
      <c r="C34" s="21" t="str">
        <f>VLOOKUP(Ruimtestaat[[#This Row],[Code]],Locaties[#All],4,FALSE)</f>
        <v>Pampuslaan 1</v>
      </c>
      <c r="D34" s="21" t="str">
        <f>VLOOKUP(Ruimtestaat[[#This Row],[Code]],Locaties[#All],5,FALSE)</f>
        <v>1087 HP</v>
      </c>
      <c r="E34" s="180" t="str">
        <f>VLOOKUP(Ruimtestaat[[#This Row],[Code]],Locaties[#All],6,FALSE)</f>
        <v>Amsterdam</v>
      </c>
      <c r="F34" s="180"/>
      <c r="G34" s="195" t="s">
        <v>513</v>
      </c>
      <c r="H34" s="195" t="s">
        <v>836</v>
      </c>
      <c r="I34" s="180" t="s">
        <v>471</v>
      </c>
      <c r="J34" s="224" t="s">
        <v>532</v>
      </c>
      <c r="K34" s="180">
        <v>19</v>
      </c>
      <c r="L34" s="224" t="str">
        <f>VLOOKUP(Ruimtestaat[[#This Row],[Ruimte code]],Ruimtegroepen[#All],2,FALSE)</f>
        <v>Kleedruimten</v>
      </c>
      <c r="M34" s="195" t="s">
        <v>111</v>
      </c>
      <c r="N34" s="180" t="s">
        <v>557</v>
      </c>
      <c r="O34" s="181">
        <v>13.4</v>
      </c>
      <c r="P34" s="193"/>
      <c r="Q34" s="223" t="str">
        <f>VLOOKUP(Ruimtestaat[[#This Row],[Ruimte code]],Ruimtegroepen[#All],4,FALSE)</f>
        <v>V  (Verkeersruimte)</v>
      </c>
      <c r="R34" s="194"/>
      <c r="S34" s="195">
        <v>40</v>
      </c>
      <c r="T34" s="195" t="s">
        <v>2</v>
      </c>
      <c r="U34" s="195">
        <f>IF(S34&gt;0,IF(RIGHT(Ruimtestaat[[#This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4" s="195">
        <f>IF(U34&gt;0,VLOOKUP($K34,Ruimtegroepen[],3,FALSE)*VLOOKUP($M34,Vloersoorten[],3,FALSE)*VLOOKUP($T34,Frequenties[],3,FALSE)*VLOOKUP($A34,Locaties[],3,FALSE),0)</f>
        <v>0</v>
      </c>
      <c r="W34" s="195">
        <f>Ruimtestaat[[#This Row],[Uitvoeringen werkdagen]]*Ruimtestaat[[#This Row],[Oppervlak (netto)]]</f>
        <v>2680</v>
      </c>
      <c r="X34" s="233">
        <f>IF(V34&gt;0,Ruimtestaat[[#This Row],[Prest. (m2 /jaar) werkdagen]]/Ruimtestaat[[#This Row],[Norm (m2/uur) werkdagen]],0)</f>
        <v>0</v>
      </c>
      <c r="Y34" s="234">
        <f>Ruimtestaat[[#This Row],[uren / jaar werkdagen]]*Tariefsopbouw!$D$38</f>
        <v>0</v>
      </c>
      <c r="Z34" s="33"/>
      <c r="AA34" s="33">
        <f>IF(Ruimtestaat[[#This Row],[Frequentie weekend]]&gt;0,VALUE(LEFT(Z34,1))*S34,0)</f>
        <v>0</v>
      </c>
      <c r="AB34" s="33">
        <f>IF($AA34&gt;0,VLOOKUP($K34,Ruimtegroepen[],3,FALSE)*VLOOKUP($M34,Vloersoorten[],3,FALSE)*VLOOKUP($Z34,Frequenties[],3,FALSE)*VLOOKUP(#REF!,Locaties[],3,FALSE),0)</f>
        <v>0</v>
      </c>
      <c r="AC34" s="33"/>
      <c r="AD34" s="33"/>
      <c r="AE34" s="33">
        <f>Ruimtestaat[[#This Row],[uren / jaar weekend]]*Tariefsopbouw!$D$40</f>
        <v>0</v>
      </c>
      <c r="AF34" s="79">
        <f>Ruimtestaat[[#This Row],[Prest. (m2 /jaar) weekend]]+Ruimtestaat[[#This Row],[Prest. (m2 /jaar) werkdagen]]</f>
        <v>2680</v>
      </c>
      <c r="AG34" s="79">
        <f>Ruimtestaat[[#This Row],[uren / jaar weekend]]+Ruimtestaat[[#This Row],[uren / jaar werkdagen]]</f>
        <v>0</v>
      </c>
      <c r="AH34" s="80">
        <f>Ruimtestaat[[#This Row],[kosten / jaar weekend]]+Ruimtestaat[[#This Row],[kosten / jaar werkdagen]]</f>
        <v>0</v>
      </c>
      <c r="AI34" s="104"/>
      <c r="HM34" s="78"/>
    </row>
    <row r="35" spans="1:221" ht="15" customHeight="1">
      <c r="A35" s="119">
        <v>1</v>
      </c>
      <c r="B35" s="21" t="str">
        <f>VLOOKUP(Ruimtestaat[[#This Row],[Code]],Locaties[#All],2,FALSE)</f>
        <v>IJburg College</v>
      </c>
      <c r="C35" s="21" t="str">
        <f>VLOOKUP(Ruimtestaat[[#This Row],[Code]],Locaties[#All],4,FALSE)</f>
        <v>Pampuslaan 1</v>
      </c>
      <c r="D35" s="21" t="str">
        <f>VLOOKUP(Ruimtestaat[[#This Row],[Code]],Locaties[#All],5,FALSE)</f>
        <v>1087 HP</v>
      </c>
      <c r="E35" s="180" t="str">
        <f>VLOOKUP(Ruimtestaat[[#This Row],[Code]],Locaties[#All],6,FALSE)</f>
        <v>Amsterdam</v>
      </c>
      <c r="F35" s="180"/>
      <c r="G35" s="195" t="s">
        <v>513</v>
      </c>
      <c r="H35" s="195" t="s">
        <v>837</v>
      </c>
      <c r="I35" s="180" t="s">
        <v>472</v>
      </c>
      <c r="J35" s="224" t="s">
        <v>533</v>
      </c>
      <c r="K35" s="180">
        <v>21</v>
      </c>
      <c r="L35" s="224" t="str">
        <f>VLOOKUP(Ruimtestaat[[#This Row],[Ruimte code]],Ruimtegroepen[#All],2,FALSE)</f>
        <v>Niet in onderhoud</v>
      </c>
      <c r="M35" s="195"/>
      <c r="N35" s="180"/>
      <c r="O35" s="181"/>
      <c r="P35" s="193"/>
      <c r="Q35" s="223" t="str">
        <f>VLOOKUP(Ruimtestaat[[#This Row],[Ruimte code]],Ruimtegroepen[#All],4,FALSE)</f>
        <v>Niet in onderhoud</v>
      </c>
      <c r="R35" s="194"/>
      <c r="S35" s="195"/>
      <c r="T35" s="195"/>
      <c r="U35" s="195">
        <f>IF(S35&gt;0,IF(RIGHT(Ruimtestaat[[#This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5" s="195">
        <f>IF(U35&gt;0,VLOOKUP($K35,Ruimtegroepen[],3,FALSE)*VLOOKUP($M35,Vloersoorten[],3,FALSE)*VLOOKUP($T35,Frequenties[],3,FALSE)*VLOOKUP($A35,Locaties[],3,FALSE),0)</f>
        <v>0</v>
      </c>
      <c r="W35" s="195">
        <f>Ruimtestaat[[#This Row],[Uitvoeringen werkdagen]]*Ruimtestaat[[#This Row],[Oppervlak (netto)]]</f>
        <v>0</v>
      </c>
      <c r="X35" s="233">
        <f>IF(V35&gt;0,Ruimtestaat[[#This Row],[Prest. (m2 /jaar) werkdagen]]/Ruimtestaat[[#This Row],[Norm (m2/uur) werkdagen]],0)</f>
        <v>0</v>
      </c>
      <c r="Y35" s="234">
        <f>Ruimtestaat[[#This Row],[uren / jaar werkdagen]]*Tariefsopbouw!$D$38</f>
        <v>0</v>
      </c>
      <c r="Z35" s="33"/>
      <c r="AA35" s="33">
        <f>IF(Ruimtestaat[[#This Row],[Frequentie weekend]]&gt;0,VALUE(LEFT(Z35,1))*S35,0)</f>
        <v>0</v>
      </c>
      <c r="AB35" s="33">
        <f>IF($AA35&gt;0,VLOOKUP($K35,Ruimtegroepen[],3,FALSE)*VLOOKUP($M35,Vloersoorten[],3,FALSE)*VLOOKUP($Z35,Frequenties[],3,FALSE)*VLOOKUP(#REF!,Locaties[],3,FALSE),0)</f>
        <v>0</v>
      </c>
      <c r="AC35" s="33"/>
      <c r="AD35" s="33"/>
      <c r="AE35" s="33">
        <f>Ruimtestaat[[#This Row],[uren / jaar weekend]]*Tariefsopbouw!$D$40</f>
        <v>0</v>
      </c>
      <c r="AF35" s="79">
        <f>Ruimtestaat[[#This Row],[Prest. (m2 /jaar) weekend]]+Ruimtestaat[[#This Row],[Prest. (m2 /jaar) werkdagen]]</f>
        <v>0</v>
      </c>
      <c r="AG35" s="79">
        <f>Ruimtestaat[[#This Row],[uren / jaar weekend]]+Ruimtestaat[[#This Row],[uren / jaar werkdagen]]</f>
        <v>0</v>
      </c>
      <c r="AH35" s="80">
        <f>Ruimtestaat[[#This Row],[kosten / jaar weekend]]+Ruimtestaat[[#This Row],[kosten / jaar werkdagen]]</f>
        <v>0</v>
      </c>
      <c r="AI35" s="104"/>
      <c r="HM35" s="78"/>
    </row>
    <row r="36" spans="1:221" ht="15" customHeight="1">
      <c r="A36" s="119">
        <v>1</v>
      </c>
      <c r="B36" s="21" t="str">
        <f>VLOOKUP(Ruimtestaat[[#This Row],[Code]],Locaties[#All],2,FALSE)</f>
        <v>IJburg College</v>
      </c>
      <c r="C36" s="21" t="str">
        <f>VLOOKUP(Ruimtestaat[[#This Row],[Code]],Locaties[#All],4,FALSE)</f>
        <v>Pampuslaan 1</v>
      </c>
      <c r="D36" s="21" t="str">
        <f>VLOOKUP(Ruimtestaat[[#This Row],[Code]],Locaties[#All],5,FALSE)</f>
        <v>1087 HP</v>
      </c>
      <c r="E36" s="180" t="str">
        <f>VLOOKUP(Ruimtestaat[[#This Row],[Code]],Locaties[#All],6,FALSE)</f>
        <v>Amsterdam</v>
      </c>
      <c r="F36" s="180"/>
      <c r="G36" s="195" t="s">
        <v>513</v>
      </c>
      <c r="H36" s="195" t="s">
        <v>838</v>
      </c>
      <c r="I36" s="180" t="s">
        <v>473</v>
      </c>
      <c r="J36" s="224" t="s">
        <v>534</v>
      </c>
      <c r="K36" s="180">
        <v>6</v>
      </c>
      <c r="L36" s="224" t="str">
        <f>VLOOKUP(Ruimtestaat[[#This Row],[Ruimte code]],Ruimtegroepen[#All],2,FALSE)</f>
        <v>Gangen/hallen</v>
      </c>
      <c r="M36" s="195" t="s">
        <v>111</v>
      </c>
      <c r="N36" s="180" t="s">
        <v>557</v>
      </c>
      <c r="O36" s="181">
        <v>13.45</v>
      </c>
      <c r="P36" s="193"/>
      <c r="Q36" s="223" t="str">
        <f>VLOOKUP(Ruimtestaat[[#This Row],[Ruimte code]],Ruimtegroepen[#All],4,FALSE)</f>
        <v>V  (Verkeersruimte)</v>
      </c>
      <c r="R36" s="194"/>
      <c r="S36" s="195">
        <v>40</v>
      </c>
      <c r="T36" s="195" t="s">
        <v>2</v>
      </c>
      <c r="U36" s="195">
        <f>IF(S36&gt;0,IF(RIGHT(Ruimtestaat[[#This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6" s="195">
        <f>IF(U36&gt;0,VLOOKUP($K36,Ruimtegroepen[],3,FALSE)*VLOOKUP($M36,Vloersoorten[],3,FALSE)*VLOOKUP($T36,Frequenties[],3,FALSE)*VLOOKUP($A36,Locaties[],3,FALSE),0)</f>
        <v>0</v>
      </c>
      <c r="W36" s="195">
        <f>Ruimtestaat[[#This Row],[Uitvoeringen werkdagen]]*Ruimtestaat[[#This Row],[Oppervlak (netto)]]</f>
        <v>2690</v>
      </c>
      <c r="X36" s="233">
        <f>IF(V36&gt;0,Ruimtestaat[[#This Row],[Prest. (m2 /jaar) werkdagen]]/Ruimtestaat[[#This Row],[Norm (m2/uur) werkdagen]],0)</f>
        <v>0</v>
      </c>
      <c r="Y36" s="234">
        <f>Ruimtestaat[[#This Row],[uren / jaar werkdagen]]*Tariefsopbouw!$D$38</f>
        <v>0</v>
      </c>
      <c r="Z36" s="33"/>
      <c r="AA36" s="33">
        <f>IF(Ruimtestaat[[#This Row],[Frequentie weekend]]&gt;0,VALUE(LEFT(Z36,1))*S36,0)</f>
        <v>0</v>
      </c>
      <c r="AB36" s="33">
        <f>IF($AA36&gt;0,VLOOKUP($K36,Ruimtegroepen[],3,FALSE)*VLOOKUP($M36,Vloersoorten[],3,FALSE)*VLOOKUP($Z36,Frequenties[],3,FALSE)*VLOOKUP(#REF!,Locaties[],3,FALSE),0)</f>
        <v>0</v>
      </c>
      <c r="AC36" s="33"/>
      <c r="AD36" s="33"/>
      <c r="AE36" s="33">
        <f>Ruimtestaat[[#This Row],[uren / jaar weekend]]*Tariefsopbouw!$D$40</f>
        <v>0</v>
      </c>
      <c r="AF36" s="79">
        <f>Ruimtestaat[[#This Row],[Prest. (m2 /jaar) weekend]]+Ruimtestaat[[#This Row],[Prest. (m2 /jaar) werkdagen]]</f>
        <v>2690</v>
      </c>
      <c r="AG36" s="79">
        <f>Ruimtestaat[[#This Row],[uren / jaar weekend]]+Ruimtestaat[[#This Row],[uren / jaar werkdagen]]</f>
        <v>0</v>
      </c>
      <c r="AH36" s="80">
        <f>Ruimtestaat[[#This Row],[kosten / jaar weekend]]+Ruimtestaat[[#This Row],[kosten / jaar werkdagen]]</f>
        <v>0</v>
      </c>
      <c r="AI36" s="104"/>
      <c r="HM36" s="78"/>
    </row>
    <row r="37" spans="1:221" ht="15" customHeight="1">
      <c r="A37" s="119">
        <v>1</v>
      </c>
      <c r="B37" s="21" t="str">
        <f>VLOOKUP(Ruimtestaat[[#This Row],[Code]],Locaties[#All],2,FALSE)</f>
        <v>IJburg College</v>
      </c>
      <c r="C37" s="21" t="str">
        <f>VLOOKUP(Ruimtestaat[[#This Row],[Code]],Locaties[#All],4,FALSE)</f>
        <v>Pampuslaan 1</v>
      </c>
      <c r="D37" s="21" t="str">
        <f>VLOOKUP(Ruimtestaat[[#This Row],[Code]],Locaties[#All],5,FALSE)</f>
        <v>1087 HP</v>
      </c>
      <c r="E37" s="180" t="str">
        <f>VLOOKUP(Ruimtestaat[[#This Row],[Code]],Locaties[#All],6,FALSE)</f>
        <v>Amsterdam</v>
      </c>
      <c r="F37" s="180"/>
      <c r="G37" s="195" t="s">
        <v>513</v>
      </c>
      <c r="H37" s="195" t="s">
        <v>839</v>
      </c>
      <c r="I37" s="180" t="s">
        <v>474</v>
      </c>
      <c r="J37" s="224" t="s">
        <v>518</v>
      </c>
      <c r="K37" s="180">
        <v>10</v>
      </c>
      <c r="L37" s="224" t="str">
        <f>VLOOKUP(Ruimtestaat[[#This Row],[Ruimte code]],Ruimtegroepen[#All],2,FALSE)</f>
        <v>Trappenhuizen/lift</v>
      </c>
      <c r="M37" s="195" t="s">
        <v>111</v>
      </c>
      <c r="N37" s="180" t="s">
        <v>557</v>
      </c>
      <c r="O37" s="181">
        <v>32</v>
      </c>
      <c r="P37" s="193"/>
      <c r="Q37" s="223" t="str">
        <f>VLOOKUP(Ruimtestaat[[#This Row],[Ruimte code]],Ruimtegroepen[#All],4,FALSE)</f>
        <v>V  (Verkeersruimte)</v>
      </c>
      <c r="R37" s="194"/>
      <c r="S37" s="195">
        <v>40</v>
      </c>
      <c r="T37" s="195" t="s">
        <v>2</v>
      </c>
      <c r="U37" s="195">
        <f>IF(S37&gt;0,IF(RIGHT(Ruimtestaat[[#This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7" s="195">
        <f>IF(U37&gt;0,VLOOKUP($K37,Ruimtegroepen[],3,FALSE)*VLOOKUP($M37,Vloersoorten[],3,FALSE)*VLOOKUP($T37,Frequenties[],3,FALSE)*VLOOKUP($A37,Locaties[],3,FALSE),0)</f>
        <v>0</v>
      </c>
      <c r="W37" s="195">
        <f>Ruimtestaat[[#This Row],[Uitvoeringen werkdagen]]*Ruimtestaat[[#This Row],[Oppervlak (netto)]]</f>
        <v>6400</v>
      </c>
      <c r="X37" s="233">
        <f>IF(V37&gt;0,Ruimtestaat[[#This Row],[Prest. (m2 /jaar) werkdagen]]/Ruimtestaat[[#This Row],[Norm (m2/uur) werkdagen]],0)</f>
        <v>0</v>
      </c>
      <c r="Y37" s="234">
        <f>Ruimtestaat[[#This Row],[uren / jaar werkdagen]]*Tariefsopbouw!$D$38</f>
        <v>0</v>
      </c>
      <c r="Z37" s="33"/>
      <c r="AA37" s="33">
        <f>IF(Ruimtestaat[[#This Row],[Frequentie weekend]]&gt;0,VALUE(LEFT(Z37,1))*S37,0)</f>
        <v>0</v>
      </c>
      <c r="AB37" s="33">
        <f>IF($AA37&gt;0,VLOOKUP($K37,Ruimtegroepen[],3,FALSE)*VLOOKUP($M37,Vloersoorten[],3,FALSE)*VLOOKUP($Z37,Frequenties[],3,FALSE)*VLOOKUP(#REF!,Locaties[],3,FALSE),0)</f>
        <v>0</v>
      </c>
      <c r="AC37" s="33"/>
      <c r="AD37" s="33"/>
      <c r="AE37" s="33">
        <f>Ruimtestaat[[#This Row],[uren / jaar weekend]]*Tariefsopbouw!$D$40</f>
        <v>0</v>
      </c>
      <c r="AF37" s="79">
        <f>Ruimtestaat[[#This Row],[Prest. (m2 /jaar) weekend]]+Ruimtestaat[[#This Row],[Prest. (m2 /jaar) werkdagen]]</f>
        <v>6400</v>
      </c>
      <c r="AG37" s="79">
        <f>Ruimtestaat[[#This Row],[uren / jaar weekend]]+Ruimtestaat[[#This Row],[uren / jaar werkdagen]]</f>
        <v>0</v>
      </c>
      <c r="AH37" s="80">
        <f>Ruimtestaat[[#This Row],[kosten / jaar weekend]]+Ruimtestaat[[#This Row],[kosten / jaar werkdagen]]</f>
        <v>0</v>
      </c>
      <c r="AI37" s="104"/>
      <c r="HM37" s="78"/>
    </row>
    <row r="38" spans="1:221" ht="15" customHeight="1">
      <c r="A38" s="119">
        <v>1</v>
      </c>
      <c r="B38" s="21" t="str">
        <f>VLOOKUP(Ruimtestaat[[#This Row],[Code]],Locaties[#All],2,FALSE)</f>
        <v>IJburg College</v>
      </c>
      <c r="C38" s="21" t="str">
        <f>VLOOKUP(Ruimtestaat[[#This Row],[Code]],Locaties[#All],4,FALSE)</f>
        <v>Pampuslaan 1</v>
      </c>
      <c r="D38" s="21" t="str">
        <f>VLOOKUP(Ruimtestaat[[#This Row],[Code]],Locaties[#All],5,FALSE)</f>
        <v>1087 HP</v>
      </c>
      <c r="E38" s="180" t="str">
        <f>VLOOKUP(Ruimtestaat[[#This Row],[Code]],Locaties[#All],6,FALSE)</f>
        <v>Amsterdam</v>
      </c>
      <c r="F38" s="180"/>
      <c r="G38" s="195" t="s">
        <v>513</v>
      </c>
      <c r="H38" s="195" t="s">
        <v>840</v>
      </c>
      <c r="I38" s="180" t="s">
        <v>475</v>
      </c>
      <c r="J38" s="224" t="s">
        <v>535</v>
      </c>
      <c r="K38" s="180">
        <v>8</v>
      </c>
      <c r="L38" s="224" t="str">
        <f>VLOOKUP(Ruimtestaat[[#This Row],[Ruimte code]],Ruimtegroepen[#All],2,FALSE)</f>
        <v>Multifunctionele ruimte</v>
      </c>
      <c r="M38" s="195" t="s">
        <v>909</v>
      </c>
      <c r="N38" s="180" t="s">
        <v>908</v>
      </c>
      <c r="O38" s="181">
        <v>44.77</v>
      </c>
      <c r="P38" s="193"/>
      <c r="Q38" s="223" t="str">
        <f>VLOOKUP(Ruimtestaat[[#This Row],[Ruimte code]],Ruimtegroepen[#All],4,FALSE)</f>
        <v>L  (Lesruimte)</v>
      </c>
      <c r="R38" s="194"/>
      <c r="S38" s="195">
        <v>40</v>
      </c>
      <c r="T38" s="195" t="s">
        <v>2</v>
      </c>
      <c r="U38" s="195">
        <f>IF(S38&gt;0,IF(RIGHT(Ruimtestaat[[#This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8" s="195">
        <f>IF(U38&gt;0,VLOOKUP($K38,Ruimtegroepen[],3,FALSE)*VLOOKUP($M38,Vloersoorten[],3,FALSE)*VLOOKUP($T38,Frequenties[],3,FALSE)*VLOOKUP($A38,Locaties[],3,FALSE),0)</f>
        <v>0</v>
      </c>
      <c r="W38" s="195">
        <f>Ruimtestaat[[#This Row],[Uitvoeringen werkdagen]]*Ruimtestaat[[#This Row],[Oppervlak (netto)]]</f>
        <v>8954</v>
      </c>
      <c r="X38" s="233">
        <f>IF(V38&gt;0,Ruimtestaat[[#This Row],[Prest. (m2 /jaar) werkdagen]]/Ruimtestaat[[#This Row],[Norm (m2/uur) werkdagen]],0)</f>
        <v>0</v>
      </c>
      <c r="Y38" s="234">
        <f>Ruimtestaat[[#This Row],[uren / jaar werkdagen]]*Tariefsopbouw!$D$38</f>
        <v>0</v>
      </c>
      <c r="Z38" s="33"/>
      <c r="AA38" s="33">
        <f>IF(Ruimtestaat[[#This Row],[Frequentie weekend]]&gt;0,VALUE(LEFT(Z38,1))*S38,0)</f>
        <v>0</v>
      </c>
      <c r="AB38" s="33">
        <f>IF($AA38&gt;0,VLOOKUP($K38,Ruimtegroepen[],3,FALSE)*VLOOKUP($M38,Vloersoorten[],3,FALSE)*VLOOKUP($Z38,Frequenties[],3,FALSE)*VLOOKUP(#REF!,Locaties[],3,FALSE),0)</f>
        <v>0</v>
      </c>
      <c r="AC38" s="33"/>
      <c r="AD38" s="33"/>
      <c r="AE38" s="33">
        <f>Ruimtestaat[[#This Row],[uren / jaar weekend]]*Tariefsopbouw!$D$40</f>
        <v>0</v>
      </c>
      <c r="AF38" s="79">
        <f>Ruimtestaat[[#This Row],[Prest. (m2 /jaar) weekend]]+Ruimtestaat[[#This Row],[Prest. (m2 /jaar) werkdagen]]</f>
        <v>8954</v>
      </c>
      <c r="AG38" s="79">
        <f>Ruimtestaat[[#This Row],[uren / jaar weekend]]+Ruimtestaat[[#This Row],[uren / jaar werkdagen]]</f>
        <v>0</v>
      </c>
      <c r="AH38" s="80">
        <f>Ruimtestaat[[#This Row],[kosten / jaar weekend]]+Ruimtestaat[[#This Row],[kosten / jaar werkdagen]]</f>
        <v>0</v>
      </c>
      <c r="AI38" s="104"/>
      <c r="HM38" s="78"/>
    </row>
    <row r="39" spans="1:221" ht="15" customHeight="1">
      <c r="A39" s="119">
        <v>1</v>
      </c>
      <c r="B39" s="21" t="str">
        <f>VLOOKUP(Ruimtestaat[[#This Row],[Code]],Locaties[#All],2,FALSE)</f>
        <v>IJburg College</v>
      </c>
      <c r="C39" s="21" t="str">
        <f>VLOOKUP(Ruimtestaat[[#This Row],[Code]],Locaties[#All],4,FALSE)</f>
        <v>Pampuslaan 1</v>
      </c>
      <c r="D39" s="21" t="str">
        <f>VLOOKUP(Ruimtestaat[[#This Row],[Code]],Locaties[#All],5,FALSE)</f>
        <v>1087 HP</v>
      </c>
      <c r="E39" s="180" t="str">
        <f>VLOOKUP(Ruimtestaat[[#This Row],[Code]],Locaties[#All],6,FALSE)</f>
        <v>Amsterdam</v>
      </c>
      <c r="F39" s="180"/>
      <c r="G39" s="195" t="s">
        <v>513</v>
      </c>
      <c r="H39" s="195" t="s">
        <v>841</v>
      </c>
      <c r="I39" s="180" t="s">
        <v>476</v>
      </c>
      <c r="J39" s="224" t="s">
        <v>536</v>
      </c>
      <c r="K39" s="180">
        <v>12</v>
      </c>
      <c r="L39" s="224" t="str">
        <f>VLOOKUP(Ruimtestaat[[#This Row],[Ruimte code]],Ruimtegroepen[#All],2,FALSE)</f>
        <v>Groepruimte / kantine</v>
      </c>
      <c r="M39" s="195" t="s">
        <v>111</v>
      </c>
      <c r="N39" s="180" t="s">
        <v>557</v>
      </c>
      <c r="O39" s="181">
        <v>10.7</v>
      </c>
      <c r="P39" s="193"/>
      <c r="Q39" s="223" t="str">
        <f>VLOOKUP(Ruimtestaat[[#This Row],[Ruimte code]],Ruimtegroepen[#All],4,FALSE)</f>
        <v>V  (Verkeersruimte)</v>
      </c>
      <c r="R39" s="194"/>
      <c r="S39" s="195">
        <v>40</v>
      </c>
      <c r="T39" s="195" t="s">
        <v>2</v>
      </c>
      <c r="U39" s="195">
        <f>IF(S39&gt;0,IF(RIGHT(Ruimtestaat[[#This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9" s="195">
        <f>IF(U39&gt;0,VLOOKUP($K39,Ruimtegroepen[],3,FALSE)*VLOOKUP($M39,Vloersoorten[],3,FALSE)*VLOOKUP($T39,Frequenties[],3,FALSE)*VLOOKUP($A39,Locaties[],3,FALSE),0)</f>
        <v>0</v>
      </c>
      <c r="W39" s="195">
        <f>Ruimtestaat[[#This Row],[Uitvoeringen werkdagen]]*Ruimtestaat[[#This Row],[Oppervlak (netto)]]</f>
        <v>2140</v>
      </c>
      <c r="X39" s="233">
        <f>IF(V39&gt;0,Ruimtestaat[[#This Row],[Prest. (m2 /jaar) werkdagen]]/Ruimtestaat[[#This Row],[Norm (m2/uur) werkdagen]],0)</f>
        <v>0</v>
      </c>
      <c r="Y39" s="234">
        <f>Ruimtestaat[[#This Row],[uren / jaar werkdagen]]*Tariefsopbouw!$D$38</f>
        <v>0</v>
      </c>
      <c r="Z39" s="33"/>
      <c r="AA39" s="33">
        <f>IF(Ruimtestaat[[#This Row],[Frequentie weekend]]&gt;0,VALUE(LEFT(Z39,1))*S39,0)</f>
        <v>0</v>
      </c>
      <c r="AB39" s="33">
        <f>IF($AA39&gt;0,VLOOKUP($K39,Ruimtegroepen[],3,FALSE)*VLOOKUP($M39,Vloersoorten[],3,FALSE)*VLOOKUP($Z39,Frequenties[],3,FALSE)*VLOOKUP(#REF!,Locaties[],3,FALSE),0)</f>
        <v>0</v>
      </c>
      <c r="AC39" s="33"/>
      <c r="AD39" s="33"/>
      <c r="AE39" s="33">
        <f>Ruimtestaat[[#This Row],[uren / jaar weekend]]*Tariefsopbouw!$D$40</f>
        <v>0</v>
      </c>
      <c r="AF39" s="79">
        <f>Ruimtestaat[[#This Row],[Prest. (m2 /jaar) weekend]]+Ruimtestaat[[#This Row],[Prest. (m2 /jaar) werkdagen]]</f>
        <v>2140</v>
      </c>
      <c r="AG39" s="79">
        <f>Ruimtestaat[[#This Row],[uren / jaar weekend]]+Ruimtestaat[[#This Row],[uren / jaar werkdagen]]</f>
        <v>0</v>
      </c>
      <c r="AH39" s="80">
        <f>Ruimtestaat[[#This Row],[kosten / jaar weekend]]+Ruimtestaat[[#This Row],[kosten / jaar werkdagen]]</f>
        <v>0</v>
      </c>
      <c r="AI39" s="104"/>
      <c r="HM39" s="78"/>
    </row>
    <row r="40" spans="1:221" ht="15" customHeight="1">
      <c r="A40" s="119">
        <v>1</v>
      </c>
      <c r="B40" s="21" t="str">
        <f>VLOOKUP(Ruimtestaat[[#This Row],[Code]],Locaties[#All],2,FALSE)</f>
        <v>IJburg College</v>
      </c>
      <c r="C40" s="21" t="str">
        <f>VLOOKUP(Ruimtestaat[[#This Row],[Code]],Locaties[#All],4,FALSE)</f>
        <v>Pampuslaan 1</v>
      </c>
      <c r="D40" s="21" t="str">
        <f>VLOOKUP(Ruimtestaat[[#This Row],[Code]],Locaties[#All],5,FALSE)</f>
        <v>1087 HP</v>
      </c>
      <c r="E40" s="180" t="str">
        <f>VLOOKUP(Ruimtestaat[[#This Row],[Code]],Locaties[#All],6,FALSE)</f>
        <v>Amsterdam</v>
      </c>
      <c r="F40" s="180"/>
      <c r="G40" s="195" t="s">
        <v>513</v>
      </c>
      <c r="H40" s="195" t="s">
        <v>842</v>
      </c>
      <c r="I40" s="235" t="s">
        <v>477</v>
      </c>
      <c r="J40" s="224" t="s">
        <v>537</v>
      </c>
      <c r="K40" s="180">
        <v>7</v>
      </c>
      <c r="L40" s="224" t="str">
        <f>VLOOKUP(Ruimtestaat[[#This Row],[Ruimte code]],Ruimtegroepen[#All],2,FALSE)</f>
        <v>Entree</v>
      </c>
      <c r="M40" s="180" t="s">
        <v>109</v>
      </c>
      <c r="N40" s="180" t="s">
        <v>555</v>
      </c>
      <c r="O40" s="181">
        <v>21.5</v>
      </c>
      <c r="P40" s="193"/>
      <c r="Q40" s="223" t="str">
        <f>VLOOKUP(Ruimtestaat[[#This Row],[Ruimte code]],Ruimtegroepen[#All],4,FALSE)</f>
        <v>V  (Verkeersruimte)</v>
      </c>
      <c r="R40" s="194"/>
      <c r="S40" s="195">
        <v>40</v>
      </c>
      <c r="T40" s="195" t="s">
        <v>2</v>
      </c>
      <c r="U40" s="195">
        <f>IF(S40&gt;0,IF(RIGHT(Ruimtestaat[[#This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0" s="195">
        <f>IF(U40&gt;0,VLOOKUP($K40,Ruimtegroepen[],3,FALSE)*VLOOKUP($M40,Vloersoorten[],3,FALSE)*VLOOKUP($T40,Frequenties[],3,FALSE)*VLOOKUP($A40,Locaties[],3,FALSE),0)</f>
        <v>0</v>
      </c>
      <c r="W40" s="195">
        <f>Ruimtestaat[[#This Row],[Uitvoeringen werkdagen]]*Ruimtestaat[[#This Row],[Oppervlak (netto)]]</f>
        <v>4300</v>
      </c>
      <c r="X40" s="233">
        <f>IF(V40&gt;0,Ruimtestaat[[#This Row],[Prest. (m2 /jaar) werkdagen]]/Ruimtestaat[[#This Row],[Norm (m2/uur) werkdagen]],0)</f>
        <v>0</v>
      </c>
      <c r="Y40" s="234">
        <f>Ruimtestaat[[#This Row],[uren / jaar werkdagen]]*Tariefsopbouw!$D$38</f>
        <v>0</v>
      </c>
      <c r="Z40" s="33"/>
      <c r="AA40" s="33">
        <f>IF(Ruimtestaat[[#This Row],[Frequentie weekend]]&gt;0,VALUE(LEFT(Z40,1))*S40,0)</f>
        <v>0</v>
      </c>
      <c r="AB40" s="33">
        <f>IF($AA40&gt;0,VLOOKUP($K40,Ruimtegroepen[],3,FALSE)*VLOOKUP($M40,Vloersoorten[],3,FALSE)*VLOOKUP($Z40,Frequenties[],3,FALSE)*VLOOKUP(#REF!,Locaties[],3,FALSE),0)</f>
        <v>0</v>
      </c>
      <c r="AC40" s="33"/>
      <c r="AD40" s="33"/>
      <c r="AE40" s="33">
        <f>Ruimtestaat[[#This Row],[uren / jaar weekend]]*Tariefsopbouw!$D$40</f>
        <v>0</v>
      </c>
      <c r="AF40" s="79">
        <f>Ruimtestaat[[#This Row],[Prest. (m2 /jaar) weekend]]+Ruimtestaat[[#This Row],[Prest. (m2 /jaar) werkdagen]]</f>
        <v>4300</v>
      </c>
      <c r="AG40" s="79">
        <f>Ruimtestaat[[#This Row],[uren / jaar weekend]]+Ruimtestaat[[#This Row],[uren / jaar werkdagen]]</f>
        <v>0</v>
      </c>
      <c r="AH40" s="80">
        <f>Ruimtestaat[[#This Row],[kosten / jaar weekend]]+Ruimtestaat[[#This Row],[kosten / jaar werkdagen]]</f>
        <v>0</v>
      </c>
      <c r="AI40" s="104"/>
      <c r="HM40" s="78"/>
    </row>
    <row r="41" spans="1:221" ht="15" customHeight="1">
      <c r="A41" s="119">
        <v>1</v>
      </c>
      <c r="B41" s="21" t="str">
        <f>VLOOKUP(Ruimtestaat[[#This Row],[Code]],Locaties[#All],2,FALSE)</f>
        <v>IJburg College</v>
      </c>
      <c r="C41" s="21" t="str">
        <f>VLOOKUP(Ruimtestaat[[#This Row],[Code]],Locaties[#All],4,FALSE)</f>
        <v>Pampuslaan 1</v>
      </c>
      <c r="D41" s="21" t="str">
        <f>VLOOKUP(Ruimtestaat[[#This Row],[Code]],Locaties[#All],5,FALSE)</f>
        <v>1087 HP</v>
      </c>
      <c r="E41" s="180" t="str">
        <f>VLOOKUP(Ruimtestaat[[#This Row],[Code]],Locaties[#All],6,FALSE)</f>
        <v>Amsterdam</v>
      </c>
      <c r="F41" s="180"/>
      <c r="G41" s="195" t="s">
        <v>513</v>
      </c>
      <c r="H41" s="195"/>
      <c r="I41" s="180" t="s">
        <v>478</v>
      </c>
      <c r="J41" s="224" t="s">
        <v>538</v>
      </c>
      <c r="K41" s="180">
        <v>7</v>
      </c>
      <c r="L41" s="224" t="str">
        <f>VLOOKUP(Ruimtestaat[[#This Row],[Ruimte code]],Ruimtegroepen[#All],2,FALSE)</f>
        <v>Entree</v>
      </c>
      <c r="M41" s="180" t="s">
        <v>111</v>
      </c>
      <c r="N41" s="180" t="s">
        <v>554</v>
      </c>
      <c r="O41" s="181">
        <v>10</v>
      </c>
      <c r="P41" s="193"/>
      <c r="Q41" s="223" t="str">
        <f>VLOOKUP(Ruimtestaat[[#This Row],[Ruimte code]],Ruimtegroepen[#All],4,FALSE)</f>
        <v>V  (Verkeersruimte)</v>
      </c>
      <c r="R41" s="194"/>
      <c r="S41" s="195">
        <v>40</v>
      </c>
      <c r="T41" s="195" t="s">
        <v>2</v>
      </c>
      <c r="U41" s="195">
        <f>IF(S41&gt;0,IF(RIGHT(Ruimtestaat[[#This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1" s="195">
        <f>IF(U41&gt;0,VLOOKUP($K41,Ruimtegroepen[],3,FALSE)*VLOOKUP($M41,Vloersoorten[],3,FALSE)*VLOOKUP($T41,Frequenties[],3,FALSE)*VLOOKUP($A41,Locaties[],3,FALSE),0)</f>
        <v>0</v>
      </c>
      <c r="W41" s="195">
        <f>Ruimtestaat[[#This Row],[Uitvoeringen werkdagen]]*Ruimtestaat[[#This Row],[Oppervlak (netto)]]</f>
        <v>2000</v>
      </c>
      <c r="X41" s="233">
        <f>IF(V41&gt;0,Ruimtestaat[[#This Row],[Prest. (m2 /jaar) werkdagen]]/Ruimtestaat[[#This Row],[Norm (m2/uur) werkdagen]],0)</f>
        <v>0</v>
      </c>
      <c r="Y41" s="234">
        <f>Ruimtestaat[[#This Row],[uren / jaar werkdagen]]*Tariefsopbouw!$D$38</f>
        <v>0</v>
      </c>
      <c r="Z41" s="33"/>
      <c r="AA41" s="33">
        <f>IF(Ruimtestaat[[#This Row],[Frequentie weekend]]&gt;0,VALUE(LEFT(Z41,1))*S41,0)</f>
        <v>0</v>
      </c>
      <c r="AB41" s="33">
        <f>IF($AA41&gt;0,VLOOKUP($K41,Ruimtegroepen[],3,FALSE)*VLOOKUP($M41,Vloersoorten[],3,FALSE)*VLOOKUP($Z41,Frequenties[],3,FALSE)*VLOOKUP(#REF!,Locaties[],3,FALSE),0)</f>
        <v>0</v>
      </c>
      <c r="AC41" s="33"/>
      <c r="AD41" s="33"/>
      <c r="AE41" s="33">
        <f>Ruimtestaat[[#This Row],[uren / jaar weekend]]*Tariefsopbouw!$D$40</f>
        <v>0</v>
      </c>
      <c r="AF41" s="79">
        <f>Ruimtestaat[[#This Row],[Prest. (m2 /jaar) weekend]]+Ruimtestaat[[#This Row],[Prest. (m2 /jaar) werkdagen]]</f>
        <v>2000</v>
      </c>
      <c r="AG41" s="79">
        <f>Ruimtestaat[[#This Row],[uren / jaar weekend]]+Ruimtestaat[[#This Row],[uren / jaar werkdagen]]</f>
        <v>0</v>
      </c>
      <c r="AH41" s="80">
        <f>Ruimtestaat[[#This Row],[kosten / jaar weekend]]+Ruimtestaat[[#This Row],[kosten / jaar werkdagen]]</f>
        <v>0</v>
      </c>
      <c r="AI41" s="104"/>
      <c r="HM41" s="78"/>
    </row>
    <row r="42" spans="1:221" ht="15" customHeight="1">
      <c r="A42" s="119">
        <v>1</v>
      </c>
      <c r="B42" s="21" t="str">
        <f>VLOOKUP(Ruimtestaat[[#This Row],[Code]],Locaties[#All],2,FALSE)</f>
        <v>IJburg College</v>
      </c>
      <c r="C42" s="21" t="str">
        <f>VLOOKUP(Ruimtestaat[[#This Row],[Code]],Locaties[#All],4,FALSE)</f>
        <v>Pampuslaan 1</v>
      </c>
      <c r="D42" s="21" t="str">
        <f>VLOOKUP(Ruimtestaat[[#This Row],[Code]],Locaties[#All],5,FALSE)</f>
        <v>1087 HP</v>
      </c>
      <c r="E42" s="180" t="str">
        <f>VLOOKUP(Ruimtestaat[[#This Row],[Code]],Locaties[#All],6,FALSE)</f>
        <v>Amsterdam</v>
      </c>
      <c r="F42" s="180"/>
      <c r="G42" s="195" t="s">
        <v>513</v>
      </c>
      <c r="H42" s="195" t="s">
        <v>843</v>
      </c>
      <c r="I42" s="235" t="s">
        <v>479</v>
      </c>
      <c r="J42" s="224" t="s">
        <v>539</v>
      </c>
      <c r="K42" s="180">
        <v>2</v>
      </c>
      <c r="L42" s="224" t="str">
        <f>VLOOKUP(Ruimtestaat[[#This Row],[Ruimte code]],Ruimtegroepen[#All],2,FALSE)</f>
        <v>Kantoren</v>
      </c>
      <c r="M42" s="195" t="s">
        <v>111</v>
      </c>
      <c r="N42" s="180" t="s">
        <v>557</v>
      </c>
      <c r="O42" s="181">
        <v>4.8499999999999996</v>
      </c>
      <c r="P42" s="193"/>
      <c r="Q42" s="223" t="str">
        <f>VLOOKUP(Ruimtestaat[[#This Row],[Ruimte code]],Ruimtegroepen[#All],4,FALSE)</f>
        <v>B  (Bureauruimte)</v>
      </c>
      <c r="R42" s="194"/>
      <c r="S42" s="195">
        <v>40</v>
      </c>
      <c r="T42" s="195" t="s">
        <v>17</v>
      </c>
      <c r="U42" s="195">
        <f>IF(S42&gt;0,IF(RIGHT(Ruimtestaat[[#This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42" s="195">
        <f>IF(U42&gt;0,VLOOKUP($K42,Ruimtegroepen[],3,FALSE)*VLOOKUP($M42,Vloersoorten[],3,FALSE)*VLOOKUP($T42,Frequenties[],3,FALSE)*VLOOKUP($A42,Locaties[],3,FALSE),0)</f>
        <v>0</v>
      </c>
      <c r="W42" s="195">
        <f>Ruimtestaat[[#This Row],[Uitvoeringen werkdagen]]*Ruimtestaat[[#This Row],[Oppervlak (netto)]]</f>
        <v>388</v>
      </c>
      <c r="X42" s="233">
        <f>IF(V42&gt;0,Ruimtestaat[[#This Row],[Prest. (m2 /jaar) werkdagen]]/Ruimtestaat[[#This Row],[Norm (m2/uur) werkdagen]],0)</f>
        <v>0</v>
      </c>
      <c r="Y42" s="234">
        <f>Ruimtestaat[[#This Row],[uren / jaar werkdagen]]*Tariefsopbouw!$D$38</f>
        <v>0</v>
      </c>
      <c r="Z42" s="33"/>
      <c r="AA42" s="33">
        <f>IF(Ruimtestaat[[#This Row],[Frequentie weekend]]&gt;0,VALUE(LEFT(Z42,1))*S42,0)</f>
        <v>0</v>
      </c>
      <c r="AB42" s="33">
        <f>IF($AA42&gt;0,VLOOKUP($K42,Ruimtegroepen[],3,FALSE)*VLOOKUP($M42,Vloersoorten[],3,FALSE)*VLOOKUP($Z42,Frequenties[],3,FALSE)*VLOOKUP(#REF!,Locaties[],3,FALSE),0)</f>
        <v>0</v>
      </c>
      <c r="AC42" s="33"/>
      <c r="AD42" s="33"/>
      <c r="AE42" s="33">
        <f>Ruimtestaat[[#This Row],[uren / jaar weekend]]*Tariefsopbouw!$D$40</f>
        <v>0</v>
      </c>
      <c r="AF42" s="79">
        <f>Ruimtestaat[[#This Row],[Prest. (m2 /jaar) weekend]]+Ruimtestaat[[#This Row],[Prest. (m2 /jaar) werkdagen]]</f>
        <v>388</v>
      </c>
      <c r="AG42" s="79">
        <f>Ruimtestaat[[#This Row],[uren / jaar weekend]]+Ruimtestaat[[#This Row],[uren / jaar werkdagen]]</f>
        <v>0</v>
      </c>
      <c r="AH42" s="80">
        <f>Ruimtestaat[[#This Row],[kosten / jaar weekend]]+Ruimtestaat[[#This Row],[kosten / jaar werkdagen]]</f>
        <v>0</v>
      </c>
      <c r="AI42" s="104"/>
      <c r="HM42" s="78"/>
    </row>
    <row r="43" spans="1:221" ht="15" customHeight="1">
      <c r="A43" s="119">
        <v>1</v>
      </c>
      <c r="B43" s="21" t="str">
        <f>VLOOKUP(Ruimtestaat[[#This Row],[Code]],Locaties[#All],2,FALSE)</f>
        <v>IJburg College</v>
      </c>
      <c r="C43" s="21" t="str">
        <f>VLOOKUP(Ruimtestaat[[#This Row],[Code]],Locaties[#All],4,FALSE)</f>
        <v>Pampuslaan 1</v>
      </c>
      <c r="D43" s="21" t="str">
        <f>VLOOKUP(Ruimtestaat[[#This Row],[Code]],Locaties[#All],5,FALSE)</f>
        <v>1087 HP</v>
      </c>
      <c r="E43" s="180" t="str">
        <f>VLOOKUP(Ruimtestaat[[#This Row],[Code]],Locaties[#All],6,FALSE)</f>
        <v>Amsterdam</v>
      </c>
      <c r="F43" s="180"/>
      <c r="G43" s="195" t="s">
        <v>513</v>
      </c>
      <c r="H43" s="195" t="s">
        <v>844</v>
      </c>
      <c r="I43" s="180" t="s">
        <v>480</v>
      </c>
      <c r="J43" s="224" t="s">
        <v>540</v>
      </c>
      <c r="K43" s="180">
        <v>5</v>
      </c>
      <c r="L43" s="224" t="str">
        <f>VLOOKUP(Ruimtestaat[[#This Row],[Ruimte code]],Ruimtegroepen[#All],2,FALSE)</f>
        <v>Sanitair</v>
      </c>
      <c r="M43" s="195" t="s">
        <v>111</v>
      </c>
      <c r="N43" s="180" t="s">
        <v>558</v>
      </c>
      <c r="O43" s="181">
        <v>4.8499999999999996</v>
      </c>
      <c r="P43" s="193"/>
      <c r="Q43" s="223" t="str">
        <f>VLOOKUP(Ruimtestaat[[#This Row],[Ruimte code]],Ruimtegroepen[#All],4,FALSE)</f>
        <v>S  (Sanitair)</v>
      </c>
      <c r="R43" s="194"/>
      <c r="S43" s="195">
        <v>40</v>
      </c>
      <c r="T43" s="195" t="s">
        <v>2</v>
      </c>
      <c r="U43" s="195">
        <f>IF(S43&gt;0,IF(RIGHT(Ruimtestaat[[#This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3" s="195">
        <f>IF(U43&gt;0,VLOOKUP($K43,Ruimtegroepen[],3,FALSE)*VLOOKUP($M43,Vloersoorten[],3,FALSE)*VLOOKUP($T43,Frequenties[],3,FALSE)*VLOOKUP($A43,Locaties[],3,FALSE),0)</f>
        <v>0</v>
      </c>
      <c r="W43" s="195">
        <f>Ruimtestaat[[#This Row],[Uitvoeringen werkdagen]]*Ruimtestaat[[#This Row],[Oppervlak (netto)]]</f>
        <v>969.99999999999989</v>
      </c>
      <c r="X43" s="233">
        <f>IF(V43&gt;0,Ruimtestaat[[#This Row],[Prest. (m2 /jaar) werkdagen]]/Ruimtestaat[[#This Row],[Norm (m2/uur) werkdagen]],0)</f>
        <v>0</v>
      </c>
      <c r="Y43" s="234">
        <f>Ruimtestaat[[#This Row],[uren / jaar werkdagen]]*Tariefsopbouw!$D$38</f>
        <v>0</v>
      </c>
      <c r="Z43" s="33"/>
      <c r="AA43" s="33">
        <f>IF(Ruimtestaat[[#This Row],[Frequentie weekend]]&gt;0,VALUE(LEFT(Z43,1))*S43,0)</f>
        <v>0</v>
      </c>
      <c r="AB43" s="33">
        <f>IF($AA43&gt;0,VLOOKUP($K43,Ruimtegroepen[],3,FALSE)*VLOOKUP($M43,Vloersoorten[],3,FALSE)*VLOOKUP($Z43,Frequenties[],3,FALSE)*VLOOKUP(#REF!,Locaties[],3,FALSE),0)</f>
        <v>0</v>
      </c>
      <c r="AC43" s="33"/>
      <c r="AD43" s="33"/>
      <c r="AE43" s="33">
        <f>Ruimtestaat[[#This Row],[uren / jaar weekend]]*Tariefsopbouw!$D$40</f>
        <v>0</v>
      </c>
      <c r="AF43" s="79">
        <f>Ruimtestaat[[#This Row],[Prest. (m2 /jaar) weekend]]+Ruimtestaat[[#This Row],[Prest. (m2 /jaar) werkdagen]]</f>
        <v>969.99999999999989</v>
      </c>
      <c r="AG43" s="79">
        <f>Ruimtestaat[[#This Row],[uren / jaar weekend]]+Ruimtestaat[[#This Row],[uren / jaar werkdagen]]</f>
        <v>0</v>
      </c>
      <c r="AH43" s="80">
        <f>Ruimtestaat[[#This Row],[kosten / jaar weekend]]+Ruimtestaat[[#This Row],[kosten / jaar werkdagen]]</f>
        <v>0</v>
      </c>
      <c r="AI43" s="104"/>
      <c r="HM43" s="78"/>
    </row>
    <row r="44" spans="1:221" ht="15" customHeight="1">
      <c r="A44" s="119">
        <v>1</v>
      </c>
      <c r="B44" s="21" t="str">
        <f>VLOOKUP(Ruimtestaat[[#This Row],[Code]],Locaties[#All],2,FALSE)</f>
        <v>IJburg College</v>
      </c>
      <c r="C44" s="21" t="str">
        <f>VLOOKUP(Ruimtestaat[[#This Row],[Code]],Locaties[#All],4,FALSE)</f>
        <v>Pampuslaan 1</v>
      </c>
      <c r="D44" s="21" t="str">
        <f>VLOOKUP(Ruimtestaat[[#This Row],[Code]],Locaties[#All],5,FALSE)</f>
        <v>1087 HP</v>
      </c>
      <c r="E44" s="180" t="str">
        <f>VLOOKUP(Ruimtestaat[[#This Row],[Code]],Locaties[#All],6,FALSE)</f>
        <v>Amsterdam</v>
      </c>
      <c r="F44" s="180"/>
      <c r="G44" s="195" t="s">
        <v>513</v>
      </c>
      <c r="H44" s="195" t="s">
        <v>845</v>
      </c>
      <c r="I44" s="180" t="s">
        <v>481</v>
      </c>
      <c r="J44" s="224" t="s">
        <v>541</v>
      </c>
      <c r="K44" s="180">
        <v>15</v>
      </c>
      <c r="L44" s="224" t="str">
        <f>VLOOKUP(Ruimtestaat[[#This Row],[Ruimte code]],Ruimtegroepen[#All],2,FALSE)</f>
        <v>Keuken/pantry</v>
      </c>
      <c r="M44" s="195" t="s">
        <v>111</v>
      </c>
      <c r="N44" s="180" t="s">
        <v>557</v>
      </c>
      <c r="O44" s="181">
        <v>6.05</v>
      </c>
      <c r="P44" s="193"/>
      <c r="Q44" s="223" t="str">
        <f>VLOOKUP(Ruimtestaat[[#This Row],[Ruimte code]],Ruimtegroepen[#All],4,FALSE)</f>
        <v>V  (Verkeersruimte)</v>
      </c>
      <c r="R44" s="194"/>
      <c r="S44" s="195">
        <v>40</v>
      </c>
      <c r="T44" s="195" t="s">
        <v>2</v>
      </c>
      <c r="U44" s="195">
        <f>IF(S44&gt;0,IF(RIGHT(Ruimtestaat[[#This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" s="195">
        <f>IF(U44&gt;0,VLOOKUP($K44,Ruimtegroepen[],3,FALSE)*VLOOKUP($M44,Vloersoorten[],3,FALSE)*VLOOKUP($T44,Frequenties[],3,FALSE)*VLOOKUP($A44,Locaties[],3,FALSE),0)</f>
        <v>0</v>
      </c>
      <c r="W44" s="195">
        <f>Ruimtestaat[[#This Row],[Uitvoeringen werkdagen]]*Ruimtestaat[[#This Row],[Oppervlak (netto)]]</f>
        <v>1210</v>
      </c>
      <c r="X44" s="233">
        <f>IF(V44&gt;0,Ruimtestaat[[#This Row],[Prest. (m2 /jaar) werkdagen]]/Ruimtestaat[[#This Row],[Norm (m2/uur) werkdagen]],0)</f>
        <v>0</v>
      </c>
      <c r="Y44" s="234">
        <f>Ruimtestaat[[#This Row],[uren / jaar werkdagen]]*Tariefsopbouw!$D$38</f>
        <v>0</v>
      </c>
      <c r="Z44" s="33"/>
      <c r="AA44" s="33">
        <f>IF(Ruimtestaat[[#This Row],[Frequentie weekend]]&gt;0,VALUE(LEFT(Z44,1))*S44,0)</f>
        <v>0</v>
      </c>
      <c r="AB44" s="33">
        <f>IF($AA44&gt;0,VLOOKUP($K44,Ruimtegroepen[],3,FALSE)*VLOOKUP($M44,Vloersoorten[],3,FALSE)*VLOOKUP($Z44,Frequenties[],3,FALSE)*VLOOKUP(#REF!,Locaties[],3,FALSE),0)</f>
        <v>0</v>
      </c>
      <c r="AC44" s="33"/>
      <c r="AD44" s="33"/>
      <c r="AE44" s="33">
        <f>Ruimtestaat[[#This Row],[uren / jaar weekend]]*Tariefsopbouw!$D$40</f>
        <v>0</v>
      </c>
      <c r="AF44" s="79">
        <f>Ruimtestaat[[#This Row],[Prest. (m2 /jaar) weekend]]+Ruimtestaat[[#This Row],[Prest. (m2 /jaar) werkdagen]]</f>
        <v>1210</v>
      </c>
      <c r="AG44" s="79">
        <f>Ruimtestaat[[#This Row],[uren / jaar weekend]]+Ruimtestaat[[#This Row],[uren / jaar werkdagen]]</f>
        <v>0</v>
      </c>
      <c r="AH44" s="80">
        <f>Ruimtestaat[[#This Row],[kosten / jaar weekend]]+Ruimtestaat[[#This Row],[kosten / jaar werkdagen]]</f>
        <v>0</v>
      </c>
      <c r="AI44" s="104"/>
      <c r="HM44" s="78"/>
    </row>
    <row r="45" spans="1:221" ht="15" customHeight="1">
      <c r="A45" s="119">
        <v>1</v>
      </c>
      <c r="B45" s="21" t="str">
        <f>VLOOKUP(Ruimtestaat[[#This Row],[Code]],Locaties[#All],2,FALSE)</f>
        <v>IJburg College</v>
      </c>
      <c r="C45" s="21" t="str">
        <f>VLOOKUP(Ruimtestaat[[#This Row],[Code]],Locaties[#All],4,FALSE)</f>
        <v>Pampuslaan 1</v>
      </c>
      <c r="D45" s="21" t="str">
        <f>VLOOKUP(Ruimtestaat[[#This Row],[Code]],Locaties[#All],5,FALSE)</f>
        <v>1087 HP</v>
      </c>
      <c r="E45" s="180" t="str">
        <f>VLOOKUP(Ruimtestaat[[#This Row],[Code]],Locaties[#All],6,FALSE)</f>
        <v>Amsterdam</v>
      </c>
      <c r="F45" s="235"/>
      <c r="G45" s="195" t="s">
        <v>513</v>
      </c>
      <c r="H45" s="195" t="s">
        <v>846</v>
      </c>
      <c r="I45" s="195" t="s">
        <v>482</v>
      </c>
      <c r="J45" s="232" t="s">
        <v>542</v>
      </c>
      <c r="K45" s="180">
        <v>5</v>
      </c>
      <c r="L45" s="232" t="str">
        <f>VLOOKUP(Ruimtestaat[[#This Row],[Ruimte code]],Ruimtegroepen[#All],2,FALSE)</f>
        <v>Sanitair</v>
      </c>
      <c r="M45" s="195" t="s">
        <v>111</v>
      </c>
      <c r="N45" s="195" t="s">
        <v>558</v>
      </c>
      <c r="O45" s="181">
        <v>14.66</v>
      </c>
      <c r="P45" s="193"/>
      <c r="Q45" s="223" t="str">
        <f>VLOOKUP(Ruimtestaat[[#This Row],[Ruimte code]],Ruimtegroepen[#All],4,FALSE)</f>
        <v>S  (Sanitair)</v>
      </c>
      <c r="R45" s="194"/>
      <c r="S45" s="195">
        <v>40</v>
      </c>
      <c r="T45" s="195" t="s">
        <v>2</v>
      </c>
      <c r="U45" s="195">
        <f>IF(S45&gt;0,IF(RIGHT(Ruimtestaat[[#This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5" s="195">
        <f>IF(U45&gt;0,VLOOKUP($K45,Ruimtegroepen[],3,FALSE)*VLOOKUP($M45,Vloersoorten[],3,FALSE)*VLOOKUP($T45,Frequenties[],3,FALSE)*VLOOKUP($A45,Locaties[],3,FALSE),0)</f>
        <v>0</v>
      </c>
      <c r="W45" s="195">
        <f>Ruimtestaat[[#This Row],[Uitvoeringen werkdagen]]*Ruimtestaat[[#This Row],[Oppervlak (netto)]]</f>
        <v>2932</v>
      </c>
      <c r="X45" s="233">
        <f>IF(V45&gt;0,Ruimtestaat[[#This Row],[Prest. (m2 /jaar) werkdagen]]/Ruimtestaat[[#This Row],[Norm (m2/uur) werkdagen]],0)</f>
        <v>0</v>
      </c>
      <c r="Y45" s="234">
        <f>Ruimtestaat[[#This Row],[uren / jaar werkdagen]]*Tariefsopbouw!$D$38</f>
        <v>0</v>
      </c>
      <c r="Z45" s="33"/>
      <c r="AA45" s="33">
        <f>IF(Ruimtestaat[[#This Row],[Frequentie weekend]]&gt;0,VALUE(LEFT(Z45,1))*S45,0)</f>
        <v>0</v>
      </c>
      <c r="AB45" s="33">
        <f>IF($AA45&gt;0,VLOOKUP($K45,Ruimtegroepen[],3,FALSE)*VLOOKUP($M45,Vloersoorten[],3,FALSE)*VLOOKUP($Z45,Frequenties[],3,FALSE)*VLOOKUP(#REF!,Locaties[],3,FALSE),0)</f>
        <v>0</v>
      </c>
      <c r="AC45" s="33"/>
      <c r="AD45" s="33"/>
      <c r="AE45" s="33">
        <f>Ruimtestaat[[#This Row],[uren / jaar weekend]]*Tariefsopbouw!$D$40</f>
        <v>0</v>
      </c>
      <c r="AF45" s="79">
        <f>Ruimtestaat[[#This Row],[Prest. (m2 /jaar) weekend]]+Ruimtestaat[[#This Row],[Prest. (m2 /jaar) werkdagen]]</f>
        <v>2932</v>
      </c>
      <c r="AG45" s="79">
        <f>Ruimtestaat[[#This Row],[uren / jaar weekend]]+Ruimtestaat[[#This Row],[uren / jaar werkdagen]]</f>
        <v>0</v>
      </c>
      <c r="AH45" s="80">
        <f>Ruimtestaat[[#This Row],[kosten / jaar weekend]]+Ruimtestaat[[#This Row],[kosten / jaar werkdagen]]</f>
        <v>0</v>
      </c>
      <c r="AI45" s="104"/>
      <c r="HM45" s="78"/>
    </row>
    <row r="46" spans="1:221" ht="15" customHeight="1">
      <c r="A46" s="119">
        <v>1</v>
      </c>
      <c r="B46" s="21" t="str">
        <f>VLOOKUP(Ruimtestaat[[#This Row],[Code]],Locaties[#All],2,FALSE)</f>
        <v>IJburg College</v>
      </c>
      <c r="C46" s="21" t="str">
        <f>VLOOKUP(Ruimtestaat[[#This Row],[Code]],Locaties[#All],4,FALSE)</f>
        <v>Pampuslaan 1</v>
      </c>
      <c r="D46" s="21" t="str">
        <f>VLOOKUP(Ruimtestaat[[#This Row],[Code]],Locaties[#All],5,FALSE)</f>
        <v>1087 HP</v>
      </c>
      <c r="E46" s="180" t="str">
        <f>VLOOKUP(Ruimtestaat[[#This Row],[Code]],Locaties[#All],6,FALSE)</f>
        <v>Amsterdam</v>
      </c>
      <c r="F46" s="235"/>
      <c r="G46" s="195" t="s">
        <v>513</v>
      </c>
      <c r="H46" s="195" t="s">
        <v>847</v>
      </c>
      <c r="I46" s="195" t="s">
        <v>483</v>
      </c>
      <c r="J46" s="232" t="s">
        <v>543</v>
      </c>
      <c r="K46" s="180">
        <v>5</v>
      </c>
      <c r="L46" s="232" t="str">
        <f>VLOOKUP(Ruimtestaat[[#This Row],[Ruimte code]],Ruimtegroepen[#All],2,FALSE)</f>
        <v>Sanitair</v>
      </c>
      <c r="M46" s="195" t="s">
        <v>111</v>
      </c>
      <c r="N46" s="195" t="s">
        <v>558</v>
      </c>
      <c r="O46" s="181">
        <v>15.6</v>
      </c>
      <c r="P46" s="193"/>
      <c r="Q46" s="223" t="str">
        <f>VLOOKUP(Ruimtestaat[[#This Row],[Ruimte code]],Ruimtegroepen[#All],4,FALSE)</f>
        <v>S  (Sanitair)</v>
      </c>
      <c r="R46" s="194"/>
      <c r="S46" s="195">
        <v>40</v>
      </c>
      <c r="T46" s="195" t="s">
        <v>2</v>
      </c>
      <c r="U46" s="195">
        <f>IF(S46&gt;0,IF(RIGHT(Ruimtestaat[[#This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6" s="195">
        <f>IF(U46&gt;0,VLOOKUP($K46,Ruimtegroepen[],3,FALSE)*VLOOKUP($M46,Vloersoorten[],3,FALSE)*VLOOKUP($T46,Frequenties[],3,FALSE)*VLOOKUP($A46,Locaties[],3,FALSE),0)</f>
        <v>0</v>
      </c>
      <c r="W46" s="195">
        <f>Ruimtestaat[[#This Row],[Uitvoeringen werkdagen]]*Ruimtestaat[[#This Row],[Oppervlak (netto)]]</f>
        <v>3120</v>
      </c>
      <c r="X46" s="233">
        <f>IF(V46&gt;0,Ruimtestaat[[#This Row],[Prest. (m2 /jaar) werkdagen]]/Ruimtestaat[[#This Row],[Norm (m2/uur) werkdagen]],0)</f>
        <v>0</v>
      </c>
      <c r="Y46" s="234">
        <f>Ruimtestaat[[#This Row],[uren / jaar werkdagen]]*Tariefsopbouw!$D$38</f>
        <v>0</v>
      </c>
      <c r="Z46" s="33"/>
      <c r="AA46" s="33">
        <f>IF(Ruimtestaat[[#This Row],[Frequentie weekend]]&gt;0,VALUE(LEFT(Z46,1))*S46,0)</f>
        <v>0</v>
      </c>
      <c r="AB46" s="33">
        <f>IF($AA46&gt;0,VLOOKUP($K46,Ruimtegroepen[],3,FALSE)*VLOOKUP($M46,Vloersoorten[],3,FALSE)*VLOOKUP($Z46,Frequenties[],3,FALSE)*VLOOKUP(#REF!,Locaties[],3,FALSE),0)</f>
        <v>0</v>
      </c>
      <c r="AC46" s="33"/>
      <c r="AD46" s="33"/>
      <c r="AE46" s="33">
        <f>Ruimtestaat[[#This Row],[uren / jaar weekend]]*Tariefsopbouw!$D$40</f>
        <v>0</v>
      </c>
      <c r="AF46" s="79">
        <f>Ruimtestaat[[#This Row],[Prest. (m2 /jaar) weekend]]+Ruimtestaat[[#This Row],[Prest. (m2 /jaar) werkdagen]]</f>
        <v>3120</v>
      </c>
      <c r="AG46" s="79">
        <f>Ruimtestaat[[#This Row],[uren / jaar weekend]]+Ruimtestaat[[#This Row],[uren / jaar werkdagen]]</f>
        <v>0</v>
      </c>
      <c r="AH46" s="80">
        <f>Ruimtestaat[[#This Row],[kosten / jaar weekend]]+Ruimtestaat[[#This Row],[kosten / jaar werkdagen]]</f>
        <v>0</v>
      </c>
      <c r="AI46" s="104"/>
      <c r="HM46" s="78"/>
    </row>
    <row r="47" spans="1:221" ht="15" customHeight="1">
      <c r="A47" s="119">
        <v>1</v>
      </c>
      <c r="B47" s="21" t="str">
        <f>VLOOKUP(Ruimtestaat[[#This Row],[Code]],Locaties[#All],2,FALSE)</f>
        <v>IJburg College</v>
      </c>
      <c r="C47" s="21" t="str">
        <f>VLOOKUP(Ruimtestaat[[#This Row],[Code]],Locaties[#All],4,FALSE)</f>
        <v>Pampuslaan 1</v>
      </c>
      <c r="D47" s="21" t="str">
        <f>VLOOKUP(Ruimtestaat[[#This Row],[Code]],Locaties[#All],5,FALSE)</f>
        <v>1087 HP</v>
      </c>
      <c r="E47" s="180" t="str">
        <f>VLOOKUP(Ruimtestaat[[#This Row],[Code]],Locaties[#All],6,FALSE)</f>
        <v>Amsterdam</v>
      </c>
      <c r="F47" s="180"/>
      <c r="G47" s="195" t="s">
        <v>513</v>
      </c>
      <c r="H47" s="195" t="s">
        <v>848</v>
      </c>
      <c r="I47" s="180" t="s">
        <v>484</v>
      </c>
      <c r="J47" s="224" t="s">
        <v>544</v>
      </c>
      <c r="K47" s="180">
        <v>8</v>
      </c>
      <c r="L47" s="224" t="str">
        <f>VLOOKUP(Ruimtestaat[[#This Row],[Ruimte code]],Ruimtegroepen[#All],2,FALSE)</f>
        <v>Multifunctionele ruimte</v>
      </c>
      <c r="M47" s="195" t="s">
        <v>111</v>
      </c>
      <c r="N47" s="180" t="s">
        <v>557</v>
      </c>
      <c r="O47" s="181">
        <v>92.8</v>
      </c>
      <c r="P47" s="193"/>
      <c r="Q47" s="223" t="str">
        <f>VLOOKUP(Ruimtestaat[[#This Row],[Ruimte code]],Ruimtegroepen[#All],4,FALSE)</f>
        <v>L  (Lesruimte)</v>
      </c>
      <c r="R47" s="194"/>
      <c r="S47" s="195">
        <v>40</v>
      </c>
      <c r="T47" s="195" t="s">
        <v>2</v>
      </c>
      <c r="U47" s="195">
        <f>IF(S47&gt;0,IF(RIGHT(Ruimtestaat[[#This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7" s="195">
        <f>IF(U47&gt;0,VLOOKUP($K47,Ruimtegroepen[],3,FALSE)*VLOOKUP($M47,Vloersoorten[],3,FALSE)*VLOOKUP($T47,Frequenties[],3,FALSE)*VLOOKUP($A47,Locaties[],3,FALSE),0)</f>
        <v>0</v>
      </c>
      <c r="W47" s="195">
        <f>Ruimtestaat[[#This Row],[Uitvoeringen werkdagen]]*Ruimtestaat[[#This Row],[Oppervlak (netto)]]</f>
        <v>18560</v>
      </c>
      <c r="X47" s="233">
        <f>IF(V47&gt;0,Ruimtestaat[[#This Row],[Prest. (m2 /jaar) werkdagen]]/Ruimtestaat[[#This Row],[Norm (m2/uur) werkdagen]],0)</f>
        <v>0</v>
      </c>
      <c r="Y47" s="234">
        <f>Ruimtestaat[[#This Row],[uren / jaar werkdagen]]*Tariefsopbouw!$D$38</f>
        <v>0</v>
      </c>
      <c r="Z47" s="33"/>
      <c r="AA47" s="33">
        <f>IF(Ruimtestaat[[#This Row],[Frequentie weekend]]&gt;0,VALUE(LEFT(Z47,1))*S47,0)</f>
        <v>0</v>
      </c>
      <c r="AB47" s="33">
        <f>IF($AA47&gt;0,VLOOKUP($K47,Ruimtegroepen[],3,FALSE)*VLOOKUP($M47,Vloersoorten[],3,FALSE)*VLOOKUP($Z47,Frequenties[],3,FALSE)*VLOOKUP(#REF!,Locaties[],3,FALSE),0)</f>
        <v>0</v>
      </c>
      <c r="AC47" s="33"/>
      <c r="AD47" s="33"/>
      <c r="AE47" s="33">
        <f>Ruimtestaat[[#This Row],[uren / jaar weekend]]*Tariefsopbouw!$D$40</f>
        <v>0</v>
      </c>
      <c r="AF47" s="79">
        <f>Ruimtestaat[[#This Row],[Prest. (m2 /jaar) weekend]]+Ruimtestaat[[#This Row],[Prest. (m2 /jaar) werkdagen]]</f>
        <v>18560</v>
      </c>
      <c r="AG47" s="79">
        <f>Ruimtestaat[[#This Row],[uren / jaar weekend]]+Ruimtestaat[[#This Row],[uren / jaar werkdagen]]</f>
        <v>0</v>
      </c>
      <c r="AH47" s="80">
        <f>Ruimtestaat[[#This Row],[kosten / jaar weekend]]+Ruimtestaat[[#This Row],[kosten / jaar werkdagen]]</f>
        <v>0</v>
      </c>
      <c r="AI47" s="104"/>
      <c r="HM47" s="78"/>
    </row>
    <row r="48" spans="1:221" ht="15" customHeight="1">
      <c r="A48" s="119">
        <v>1</v>
      </c>
      <c r="B48" s="21" t="str">
        <f>VLOOKUP(Ruimtestaat[[#This Row],[Code]],Locaties[#All],2,FALSE)</f>
        <v>IJburg College</v>
      </c>
      <c r="C48" s="21" t="str">
        <f>VLOOKUP(Ruimtestaat[[#This Row],[Code]],Locaties[#All],4,FALSE)</f>
        <v>Pampuslaan 1</v>
      </c>
      <c r="D48" s="21" t="str">
        <f>VLOOKUP(Ruimtestaat[[#This Row],[Code]],Locaties[#All],5,FALSE)</f>
        <v>1087 HP</v>
      </c>
      <c r="E48" s="180" t="str">
        <f>VLOOKUP(Ruimtestaat[[#This Row],[Code]],Locaties[#All],6,FALSE)</f>
        <v>Amsterdam</v>
      </c>
      <c r="F48" s="180"/>
      <c r="G48" s="195" t="s">
        <v>513</v>
      </c>
      <c r="H48" s="195" t="s">
        <v>849</v>
      </c>
      <c r="I48" s="180" t="s">
        <v>485</v>
      </c>
      <c r="J48" s="224" t="s">
        <v>518</v>
      </c>
      <c r="K48" s="180">
        <v>10</v>
      </c>
      <c r="L48" s="224" t="str">
        <f>VLOOKUP(Ruimtestaat[[#This Row],[Ruimte code]],Ruimtegroepen[#All],2,FALSE)</f>
        <v>Trappenhuizen/lift</v>
      </c>
      <c r="M48" s="195" t="s">
        <v>111</v>
      </c>
      <c r="N48" s="180" t="s">
        <v>714</v>
      </c>
      <c r="O48" s="181">
        <v>32</v>
      </c>
      <c r="P48" s="193"/>
      <c r="Q48" s="223" t="str">
        <f>VLOOKUP(Ruimtestaat[[#This Row],[Ruimte code]],Ruimtegroepen[#All],4,FALSE)</f>
        <v>V  (Verkeersruimte)</v>
      </c>
      <c r="R48" s="194"/>
      <c r="S48" s="195">
        <v>40</v>
      </c>
      <c r="T48" s="195" t="s">
        <v>2</v>
      </c>
      <c r="U48" s="195">
        <f>IF(S48&gt;0,IF(RIGHT(Ruimtestaat[[#This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8" s="195">
        <f>IF(U48&gt;0,VLOOKUP($K48,Ruimtegroepen[],3,FALSE)*VLOOKUP($M48,Vloersoorten[],3,FALSE)*VLOOKUP($T48,Frequenties[],3,FALSE)*VLOOKUP($A48,Locaties[],3,FALSE),0)</f>
        <v>0</v>
      </c>
      <c r="W48" s="195">
        <f>Ruimtestaat[[#This Row],[Uitvoeringen werkdagen]]*Ruimtestaat[[#This Row],[Oppervlak (netto)]]</f>
        <v>6400</v>
      </c>
      <c r="X48" s="233">
        <f>IF(V48&gt;0,Ruimtestaat[[#This Row],[Prest. (m2 /jaar) werkdagen]]/Ruimtestaat[[#This Row],[Norm (m2/uur) werkdagen]],0)</f>
        <v>0</v>
      </c>
      <c r="Y48" s="234">
        <f>Ruimtestaat[[#This Row],[uren / jaar werkdagen]]*Tariefsopbouw!$D$38</f>
        <v>0</v>
      </c>
      <c r="Z48" s="33"/>
      <c r="AA48" s="33">
        <f>IF(Ruimtestaat[[#This Row],[Frequentie weekend]]&gt;0,VALUE(LEFT(Z48,1))*S48,0)</f>
        <v>0</v>
      </c>
      <c r="AB48" s="33">
        <f>IF($AA48&gt;0,VLOOKUP($K48,Ruimtegroepen[],3,FALSE)*VLOOKUP($M48,Vloersoorten[],3,FALSE)*VLOOKUP($Z48,Frequenties[],3,FALSE)*VLOOKUP(#REF!,Locaties[],3,FALSE),0)</f>
        <v>0</v>
      </c>
      <c r="AC48" s="33"/>
      <c r="AD48" s="33"/>
      <c r="AE48" s="33">
        <f>Ruimtestaat[[#This Row],[uren / jaar weekend]]*Tariefsopbouw!$D$40</f>
        <v>0</v>
      </c>
      <c r="AF48" s="79">
        <f>Ruimtestaat[[#This Row],[Prest. (m2 /jaar) weekend]]+Ruimtestaat[[#This Row],[Prest. (m2 /jaar) werkdagen]]</f>
        <v>6400</v>
      </c>
      <c r="AG48" s="79">
        <f>Ruimtestaat[[#This Row],[uren / jaar weekend]]+Ruimtestaat[[#This Row],[uren / jaar werkdagen]]</f>
        <v>0</v>
      </c>
      <c r="AH48" s="80">
        <f>Ruimtestaat[[#This Row],[kosten / jaar weekend]]+Ruimtestaat[[#This Row],[kosten / jaar werkdagen]]</f>
        <v>0</v>
      </c>
      <c r="AI48" s="104"/>
      <c r="HM48" s="78"/>
    </row>
    <row r="49" spans="1:221" ht="15" customHeight="1">
      <c r="A49" s="119">
        <v>1</v>
      </c>
      <c r="B49" s="21" t="str">
        <f>VLOOKUP(Ruimtestaat[[#This Row],[Code]],Locaties[#All],2,FALSE)</f>
        <v>IJburg College</v>
      </c>
      <c r="C49" s="21" t="str">
        <f>VLOOKUP(Ruimtestaat[[#This Row],[Code]],Locaties[#All],4,FALSE)</f>
        <v>Pampuslaan 1</v>
      </c>
      <c r="D49" s="21" t="str">
        <f>VLOOKUP(Ruimtestaat[[#This Row],[Code]],Locaties[#All],5,FALSE)</f>
        <v>1087 HP</v>
      </c>
      <c r="E49" s="180" t="str">
        <f>VLOOKUP(Ruimtestaat[[#This Row],[Code]],Locaties[#All],6,FALSE)</f>
        <v>Amsterdam</v>
      </c>
      <c r="F49" s="180"/>
      <c r="G49" s="195" t="s">
        <v>513</v>
      </c>
      <c r="H49" s="195" t="s">
        <v>850</v>
      </c>
      <c r="I49" s="180" t="s">
        <v>486</v>
      </c>
      <c r="J49" s="224" t="s">
        <v>544</v>
      </c>
      <c r="K49" s="180">
        <v>8</v>
      </c>
      <c r="L49" s="224" t="str">
        <f>VLOOKUP(Ruimtestaat[[#This Row],[Ruimte code]],Ruimtegroepen[#All],2,FALSE)</f>
        <v>Multifunctionele ruimte</v>
      </c>
      <c r="M49" s="195" t="s">
        <v>111</v>
      </c>
      <c r="N49" s="180" t="s">
        <v>557</v>
      </c>
      <c r="O49" s="181">
        <v>63.9</v>
      </c>
      <c r="P49" s="193"/>
      <c r="Q49" s="223" t="str">
        <f>VLOOKUP(Ruimtestaat[[#This Row],[Ruimte code]],Ruimtegroepen[#All],4,FALSE)</f>
        <v>L  (Lesruimte)</v>
      </c>
      <c r="R49" s="194"/>
      <c r="S49" s="195">
        <v>40</v>
      </c>
      <c r="T49" s="195" t="s">
        <v>2</v>
      </c>
      <c r="U49" s="195">
        <f>IF(S49&gt;0,IF(RIGHT(Ruimtestaat[[#This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9" s="195">
        <f>IF(U49&gt;0,VLOOKUP($K49,Ruimtegroepen[],3,FALSE)*VLOOKUP($M49,Vloersoorten[],3,FALSE)*VLOOKUP($T49,Frequenties[],3,FALSE)*VLOOKUP($A49,Locaties[],3,FALSE),0)</f>
        <v>0</v>
      </c>
      <c r="W49" s="195">
        <f>Ruimtestaat[[#This Row],[Uitvoeringen werkdagen]]*Ruimtestaat[[#This Row],[Oppervlak (netto)]]</f>
        <v>12780</v>
      </c>
      <c r="X49" s="233">
        <f>IF(V49&gt;0,Ruimtestaat[[#This Row],[Prest. (m2 /jaar) werkdagen]]/Ruimtestaat[[#This Row],[Norm (m2/uur) werkdagen]],0)</f>
        <v>0</v>
      </c>
      <c r="Y49" s="234">
        <f>Ruimtestaat[[#This Row],[uren / jaar werkdagen]]*Tariefsopbouw!$D$38</f>
        <v>0</v>
      </c>
      <c r="Z49" s="33"/>
      <c r="AA49" s="33">
        <f>IF(Ruimtestaat[[#This Row],[Frequentie weekend]]&gt;0,VALUE(LEFT(Z49,1))*S49,0)</f>
        <v>0</v>
      </c>
      <c r="AB49" s="33">
        <f>IF($AA49&gt;0,VLOOKUP($K49,Ruimtegroepen[],3,FALSE)*VLOOKUP($M49,Vloersoorten[],3,FALSE)*VLOOKUP($Z49,Frequenties[],3,FALSE)*VLOOKUP(#REF!,Locaties[],3,FALSE),0)</f>
        <v>0</v>
      </c>
      <c r="AC49" s="33"/>
      <c r="AD49" s="33"/>
      <c r="AE49" s="33">
        <f>Ruimtestaat[[#This Row],[uren / jaar weekend]]*Tariefsopbouw!$D$40</f>
        <v>0</v>
      </c>
      <c r="AF49" s="79">
        <f>Ruimtestaat[[#This Row],[Prest. (m2 /jaar) weekend]]+Ruimtestaat[[#This Row],[Prest. (m2 /jaar) werkdagen]]</f>
        <v>12780</v>
      </c>
      <c r="AG49" s="79">
        <f>Ruimtestaat[[#This Row],[uren / jaar weekend]]+Ruimtestaat[[#This Row],[uren / jaar werkdagen]]</f>
        <v>0</v>
      </c>
      <c r="AH49" s="80">
        <f>Ruimtestaat[[#This Row],[kosten / jaar weekend]]+Ruimtestaat[[#This Row],[kosten / jaar werkdagen]]</f>
        <v>0</v>
      </c>
      <c r="AI49" s="104"/>
      <c r="HM49" s="78"/>
    </row>
    <row r="50" spans="1:221" ht="15" customHeight="1">
      <c r="A50" s="119">
        <v>1</v>
      </c>
      <c r="B50" s="21" t="str">
        <f>VLOOKUP(Ruimtestaat[[#This Row],[Code]],Locaties[#All],2,FALSE)</f>
        <v>IJburg College</v>
      </c>
      <c r="C50" s="21" t="str">
        <f>VLOOKUP(Ruimtestaat[[#This Row],[Code]],Locaties[#All],4,FALSE)</f>
        <v>Pampuslaan 1</v>
      </c>
      <c r="D50" s="21" t="str">
        <f>VLOOKUP(Ruimtestaat[[#This Row],[Code]],Locaties[#All],5,FALSE)</f>
        <v>1087 HP</v>
      </c>
      <c r="E50" s="180" t="str">
        <f>VLOOKUP(Ruimtestaat[[#This Row],[Code]],Locaties[#All],6,FALSE)</f>
        <v>Amsterdam</v>
      </c>
      <c r="F50" s="180"/>
      <c r="G50" s="195" t="s">
        <v>513</v>
      </c>
      <c r="H50" s="195" t="s">
        <v>851</v>
      </c>
      <c r="I50" s="180" t="s">
        <v>487</v>
      </c>
      <c r="J50" s="224" t="s">
        <v>544</v>
      </c>
      <c r="K50" s="180">
        <v>8</v>
      </c>
      <c r="L50" s="224" t="str">
        <f>VLOOKUP(Ruimtestaat[[#This Row],[Ruimte code]],Ruimtegroepen[#All],2,FALSE)</f>
        <v>Multifunctionele ruimte</v>
      </c>
      <c r="M50" s="195" t="s">
        <v>111</v>
      </c>
      <c r="N50" s="180" t="s">
        <v>557</v>
      </c>
      <c r="O50" s="181">
        <v>64.900000000000006</v>
      </c>
      <c r="P50" s="193"/>
      <c r="Q50" s="223" t="str">
        <f>VLOOKUP(Ruimtestaat[[#This Row],[Ruimte code]],Ruimtegroepen[#All],4,FALSE)</f>
        <v>L  (Lesruimte)</v>
      </c>
      <c r="R50" s="194"/>
      <c r="S50" s="195">
        <v>40</v>
      </c>
      <c r="T50" s="195" t="s">
        <v>2</v>
      </c>
      <c r="U50" s="195">
        <f>IF(S50&gt;0,IF(RIGHT(Ruimtestaat[[#This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0" s="195">
        <f>IF(U50&gt;0,VLOOKUP($K50,Ruimtegroepen[],3,FALSE)*VLOOKUP($M50,Vloersoorten[],3,FALSE)*VLOOKUP($T50,Frequenties[],3,FALSE)*VLOOKUP($A50,Locaties[],3,FALSE),0)</f>
        <v>0</v>
      </c>
      <c r="W50" s="195">
        <f>Ruimtestaat[[#This Row],[Uitvoeringen werkdagen]]*Ruimtestaat[[#This Row],[Oppervlak (netto)]]</f>
        <v>12980.000000000002</v>
      </c>
      <c r="X50" s="233">
        <f>IF(V50&gt;0,Ruimtestaat[[#This Row],[Prest. (m2 /jaar) werkdagen]]/Ruimtestaat[[#This Row],[Norm (m2/uur) werkdagen]],0)</f>
        <v>0</v>
      </c>
      <c r="Y50" s="234">
        <f>Ruimtestaat[[#This Row],[uren / jaar werkdagen]]*Tariefsopbouw!$D$38</f>
        <v>0</v>
      </c>
      <c r="Z50" s="33"/>
      <c r="AA50" s="33">
        <f>IF(Ruimtestaat[[#This Row],[Frequentie weekend]]&gt;0,VALUE(LEFT(Z50,1))*S50,0)</f>
        <v>0</v>
      </c>
      <c r="AB50" s="33">
        <f>IF($AA50&gt;0,VLOOKUP($K50,Ruimtegroepen[],3,FALSE)*VLOOKUP($M50,Vloersoorten[],3,FALSE)*VLOOKUP($Z50,Frequenties[],3,FALSE)*VLOOKUP(#REF!,Locaties[],3,FALSE),0)</f>
        <v>0</v>
      </c>
      <c r="AC50" s="33"/>
      <c r="AD50" s="33"/>
      <c r="AE50" s="33">
        <f>Ruimtestaat[[#This Row],[uren / jaar weekend]]*Tariefsopbouw!$D$40</f>
        <v>0</v>
      </c>
      <c r="AF50" s="79">
        <f>Ruimtestaat[[#This Row],[Prest. (m2 /jaar) weekend]]+Ruimtestaat[[#This Row],[Prest. (m2 /jaar) werkdagen]]</f>
        <v>12980.000000000002</v>
      </c>
      <c r="AG50" s="79">
        <f>Ruimtestaat[[#This Row],[uren / jaar weekend]]+Ruimtestaat[[#This Row],[uren / jaar werkdagen]]</f>
        <v>0</v>
      </c>
      <c r="AH50" s="80">
        <f>Ruimtestaat[[#This Row],[kosten / jaar weekend]]+Ruimtestaat[[#This Row],[kosten / jaar werkdagen]]</f>
        <v>0</v>
      </c>
      <c r="AI50" s="104"/>
      <c r="HM50" s="78"/>
    </row>
    <row r="51" spans="1:221" ht="15" customHeight="1">
      <c r="A51" s="119">
        <v>1</v>
      </c>
      <c r="B51" s="21" t="str">
        <f>VLOOKUP(Ruimtestaat[[#This Row],[Code]],Locaties[#All],2,FALSE)</f>
        <v>IJburg College</v>
      </c>
      <c r="C51" s="21" t="str">
        <f>VLOOKUP(Ruimtestaat[[#This Row],[Code]],Locaties[#All],4,FALSE)</f>
        <v>Pampuslaan 1</v>
      </c>
      <c r="D51" s="21" t="str">
        <f>VLOOKUP(Ruimtestaat[[#This Row],[Code]],Locaties[#All],5,FALSE)</f>
        <v>1087 HP</v>
      </c>
      <c r="E51" s="180" t="str">
        <f>VLOOKUP(Ruimtestaat[[#This Row],[Code]],Locaties[#All],6,FALSE)</f>
        <v>Amsterdam</v>
      </c>
      <c r="F51" s="180"/>
      <c r="G51" s="195" t="s">
        <v>513</v>
      </c>
      <c r="H51" s="195" t="s">
        <v>852</v>
      </c>
      <c r="I51" s="180" t="s">
        <v>488</v>
      </c>
      <c r="J51" s="224" t="s">
        <v>544</v>
      </c>
      <c r="K51" s="180">
        <v>8</v>
      </c>
      <c r="L51" s="224" t="str">
        <f>VLOOKUP(Ruimtestaat[[#This Row],[Ruimte code]],Ruimtegroepen[#All],2,FALSE)</f>
        <v>Multifunctionele ruimte</v>
      </c>
      <c r="M51" s="195" t="s">
        <v>111</v>
      </c>
      <c r="N51" s="180" t="s">
        <v>557</v>
      </c>
      <c r="O51" s="181">
        <v>98.3</v>
      </c>
      <c r="P51" s="193"/>
      <c r="Q51" s="223" t="str">
        <f>VLOOKUP(Ruimtestaat[[#This Row],[Ruimte code]],Ruimtegroepen[#All],4,FALSE)</f>
        <v>L  (Lesruimte)</v>
      </c>
      <c r="R51" s="194"/>
      <c r="S51" s="195">
        <v>40</v>
      </c>
      <c r="T51" s="195" t="s">
        <v>2</v>
      </c>
      <c r="U51" s="195">
        <f>IF(S51&gt;0,IF(RIGHT(Ruimtestaat[[#This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1" s="195">
        <f>IF(U51&gt;0,VLOOKUP($K51,Ruimtegroepen[],3,FALSE)*VLOOKUP($M51,Vloersoorten[],3,FALSE)*VLOOKUP($T51,Frequenties[],3,FALSE)*VLOOKUP($A51,Locaties[],3,FALSE),0)</f>
        <v>0</v>
      </c>
      <c r="W51" s="195">
        <f>Ruimtestaat[[#This Row],[Uitvoeringen werkdagen]]*Ruimtestaat[[#This Row],[Oppervlak (netto)]]</f>
        <v>19660</v>
      </c>
      <c r="X51" s="233">
        <f>IF(V51&gt;0,Ruimtestaat[[#This Row],[Prest. (m2 /jaar) werkdagen]]/Ruimtestaat[[#This Row],[Norm (m2/uur) werkdagen]],0)</f>
        <v>0</v>
      </c>
      <c r="Y51" s="234">
        <f>Ruimtestaat[[#This Row],[uren / jaar werkdagen]]*Tariefsopbouw!$D$38</f>
        <v>0</v>
      </c>
      <c r="Z51" s="33"/>
      <c r="AA51" s="33">
        <f>IF(Ruimtestaat[[#This Row],[Frequentie weekend]]&gt;0,VALUE(LEFT(Z51,1))*S51,0)</f>
        <v>0</v>
      </c>
      <c r="AB51" s="33">
        <f>IF($AA51&gt;0,VLOOKUP($K51,Ruimtegroepen[],3,FALSE)*VLOOKUP($M51,Vloersoorten[],3,FALSE)*VLOOKUP($Z51,Frequenties[],3,FALSE)*VLOOKUP(#REF!,Locaties[],3,FALSE),0)</f>
        <v>0</v>
      </c>
      <c r="AC51" s="33"/>
      <c r="AD51" s="33"/>
      <c r="AE51" s="33">
        <f>Ruimtestaat[[#This Row],[uren / jaar weekend]]*Tariefsopbouw!$D$40</f>
        <v>0</v>
      </c>
      <c r="AF51" s="79">
        <f>Ruimtestaat[[#This Row],[Prest. (m2 /jaar) weekend]]+Ruimtestaat[[#This Row],[Prest. (m2 /jaar) werkdagen]]</f>
        <v>19660</v>
      </c>
      <c r="AG51" s="79">
        <f>Ruimtestaat[[#This Row],[uren / jaar weekend]]+Ruimtestaat[[#This Row],[uren / jaar werkdagen]]</f>
        <v>0</v>
      </c>
      <c r="AH51" s="80">
        <f>Ruimtestaat[[#This Row],[kosten / jaar weekend]]+Ruimtestaat[[#This Row],[kosten / jaar werkdagen]]</f>
        <v>0</v>
      </c>
      <c r="AI51" s="104"/>
      <c r="HM51" s="78"/>
    </row>
    <row r="52" spans="1:221" ht="15" customHeight="1">
      <c r="A52" s="119">
        <v>1</v>
      </c>
      <c r="B52" s="21" t="str">
        <f>VLOOKUP(Ruimtestaat[[#This Row],[Code]],Locaties[#All],2,FALSE)</f>
        <v>IJburg College</v>
      </c>
      <c r="C52" s="21" t="str">
        <f>VLOOKUP(Ruimtestaat[[#This Row],[Code]],Locaties[#All],4,FALSE)</f>
        <v>Pampuslaan 1</v>
      </c>
      <c r="D52" s="21" t="str">
        <f>VLOOKUP(Ruimtestaat[[#This Row],[Code]],Locaties[#All],5,FALSE)</f>
        <v>1087 HP</v>
      </c>
      <c r="E52" s="180" t="str">
        <f>VLOOKUP(Ruimtestaat[[#This Row],[Code]],Locaties[#All],6,FALSE)</f>
        <v>Amsterdam</v>
      </c>
      <c r="F52" s="180"/>
      <c r="G52" s="195" t="s">
        <v>513</v>
      </c>
      <c r="H52" s="195" t="s">
        <v>853</v>
      </c>
      <c r="I52" s="180" t="s">
        <v>489</v>
      </c>
      <c r="J52" s="224" t="s">
        <v>545</v>
      </c>
      <c r="K52" s="180">
        <v>2</v>
      </c>
      <c r="L52" s="224" t="str">
        <f>VLOOKUP(Ruimtestaat[[#This Row],[Ruimte code]],Ruimtegroepen[#All],2,FALSE)</f>
        <v>Kantoren</v>
      </c>
      <c r="M52" s="195" t="s">
        <v>111</v>
      </c>
      <c r="N52" s="180" t="s">
        <v>557</v>
      </c>
      <c r="O52" s="181">
        <v>25</v>
      </c>
      <c r="P52" s="193"/>
      <c r="Q52" s="223" t="str">
        <f>VLOOKUP(Ruimtestaat[[#This Row],[Ruimte code]],Ruimtegroepen[#All],4,FALSE)</f>
        <v>B  (Bureauruimte)</v>
      </c>
      <c r="R52" s="194"/>
      <c r="S52" s="195">
        <v>40</v>
      </c>
      <c r="T52" s="195" t="s">
        <v>17</v>
      </c>
      <c r="U52" s="195">
        <f>IF(S52&gt;0,IF(RIGHT(Ruimtestaat[[#This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52" s="195">
        <f>IF(U52&gt;0,VLOOKUP($K52,Ruimtegroepen[],3,FALSE)*VLOOKUP($M52,Vloersoorten[],3,FALSE)*VLOOKUP($T52,Frequenties[],3,FALSE)*VLOOKUP($A52,Locaties[],3,FALSE),0)</f>
        <v>0</v>
      </c>
      <c r="W52" s="195">
        <f>Ruimtestaat[[#This Row],[Uitvoeringen werkdagen]]*Ruimtestaat[[#This Row],[Oppervlak (netto)]]</f>
        <v>2000</v>
      </c>
      <c r="X52" s="233">
        <f>IF(V52&gt;0,Ruimtestaat[[#This Row],[Prest. (m2 /jaar) werkdagen]]/Ruimtestaat[[#This Row],[Norm (m2/uur) werkdagen]],0)</f>
        <v>0</v>
      </c>
      <c r="Y52" s="234">
        <f>Ruimtestaat[[#This Row],[uren / jaar werkdagen]]*Tariefsopbouw!$D$38</f>
        <v>0</v>
      </c>
      <c r="Z52" s="33"/>
      <c r="AA52" s="33">
        <f>IF(Ruimtestaat[[#This Row],[Frequentie weekend]]&gt;0,VALUE(LEFT(Z52,1))*S52,0)</f>
        <v>0</v>
      </c>
      <c r="AB52" s="33">
        <f>IF($AA52&gt;0,VLOOKUP($K52,Ruimtegroepen[],3,FALSE)*VLOOKUP($M52,Vloersoorten[],3,FALSE)*VLOOKUP($Z52,Frequenties[],3,FALSE)*VLOOKUP(#REF!,Locaties[],3,FALSE),0)</f>
        <v>0</v>
      </c>
      <c r="AC52" s="33"/>
      <c r="AD52" s="33"/>
      <c r="AE52" s="33">
        <f>Ruimtestaat[[#This Row],[uren / jaar weekend]]*Tariefsopbouw!$D$40</f>
        <v>0</v>
      </c>
      <c r="AF52" s="79">
        <f>Ruimtestaat[[#This Row],[Prest. (m2 /jaar) weekend]]+Ruimtestaat[[#This Row],[Prest. (m2 /jaar) werkdagen]]</f>
        <v>2000</v>
      </c>
      <c r="AG52" s="79">
        <f>Ruimtestaat[[#This Row],[uren / jaar weekend]]+Ruimtestaat[[#This Row],[uren / jaar werkdagen]]</f>
        <v>0</v>
      </c>
      <c r="AH52" s="80">
        <f>Ruimtestaat[[#This Row],[kosten / jaar weekend]]+Ruimtestaat[[#This Row],[kosten / jaar werkdagen]]</f>
        <v>0</v>
      </c>
      <c r="AI52" s="104"/>
      <c r="HM52" s="78"/>
    </row>
    <row r="53" spans="1:221" ht="15" customHeight="1">
      <c r="A53" s="119">
        <v>1</v>
      </c>
      <c r="B53" s="21" t="str">
        <f>VLOOKUP(Ruimtestaat[[#This Row],[Code]],Locaties[#All],2,FALSE)</f>
        <v>IJburg College</v>
      </c>
      <c r="C53" s="21" t="str">
        <f>VLOOKUP(Ruimtestaat[[#This Row],[Code]],Locaties[#All],4,FALSE)</f>
        <v>Pampuslaan 1</v>
      </c>
      <c r="D53" s="21" t="str">
        <f>VLOOKUP(Ruimtestaat[[#This Row],[Code]],Locaties[#All],5,FALSE)</f>
        <v>1087 HP</v>
      </c>
      <c r="E53" s="180" t="str">
        <f>VLOOKUP(Ruimtestaat[[#This Row],[Code]],Locaties[#All],6,FALSE)</f>
        <v>Amsterdam</v>
      </c>
      <c r="F53" s="180"/>
      <c r="G53" s="195" t="s">
        <v>513</v>
      </c>
      <c r="H53" s="195" t="s">
        <v>854</v>
      </c>
      <c r="I53" s="180" t="s">
        <v>490</v>
      </c>
      <c r="J53" s="224" t="s">
        <v>546</v>
      </c>
      <c r="K53" s="180">
        <v>6</v>
      </c>
      <c r="L53" s="224" t="str">
        <f>VLOOKUP(Ruimtestaat[[#This Row],[Ruimte code]],Ruimtegroepen[#All],2,FALSE)</f>
        <v>Gangen/hallen</v>
      </c>
      <c r="M53" s="195" t="s">
        <v>111</v>
      </c>
      <c r="N53" s="180" t="s">
        <v>557</v>
      </c>
      <c r="O53" s="181">
        <v>315</v>
      </c>
      <c r="P53" s="193"/>
      <c r="Q53" s="223" t="str">
        <f>VLOOKUP(Ruimtestaat[[#This Row],[Ruimte code]],Ruimtegroepen[#All],4,FALSE)</f>
        <v>V  (Verkeersruimte)</v>
      </c>
      <c r="R53" s="194"/>
      <c r="S53" s="195">
        <v>40</v>
      </c>
      <c r="T53" s="195" t="s">
        <v>2</v>
      </c>
      <c r="U53" s="195">
        <f>IF(S53&gt;0,IF(RIGHT(Ruimtestaat[[#This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3" s="195">
        <f>IF(U53&gt;0,VLOOKUP($K53,Ruimtegroepen[],3,FALSE)*VLOOKUP($M53,Vloersoorten[],3,FALSE)*VLOOKUP($T53,Frequenties[],3,FALSE)*VLOOKUP($A53,Locaties[],3,FALSE),0)</f>
        <v>0</v>
      </c>
      <c r="W53" s="195">
        <f>Ruimtestaat[[#This Row],[Uitvoeringen werkdagen]]*Ruimtestaat[[#This Row],[Oppervlak (netto)]]</f>
        <v>63000</v>
      </c>
      <c r="X53" s="233">
        <f>IF(V53&gt;0,Ruimtestaat[[#This Row],[Prest. (m2 /jaar) werkdagen]]/Ruimtestaat[[#This Row],[Norm (m2/uur) werkdagen]],0)</f>
        <v>0</v>
      </c>
      <c r="Y53" s="234">
        <f>Ruimtestaat[[#This Row],[uren / jaar werkdagen]]*Tariefsopbouw!$D$38</f>
        <v>0</v>
      </c>
      <c r="Z53" s="33"/>
      <c r="AA53" s="33">
        <f>IF(Ruimtestaat[[#This Row],[Frequentie weekend]]&gt;0,VALUE(LEFT(Z53,1))*S53,0)</f>
        <v>0</v>
      </c>
      <c r="AB53" s="33">
        <f>IF($AA53&gt;0,VLOOKUP($K53,Ruimtegroepen[],3,FALSE)*VLOOKUP($M53,Vloersoorten[],3,FALSE)*VLOOKUP($Z53,Frequenties[],3,FALSE)*VLOOKUP(#REF!,Locaties[],3,FALSE),0)</f>
        <v>0</v>
      </c>
      <c r="AC53" s="33"/>
      <c r="AD53" s="33"/>
      <c r="AE53" s="33">
        <f>Ruimtestaat[[#This Row],[uren / jaar weekend]]*Tariefsopbouw!$D$40</f>
        <v>0</v>
      </c>
      <c r="AF53" s="79">
        <f>Ruimtestaat[[#This Row],[Prest. (m2 /jaar) weekend]]+Ruimtestaat[[#This Row],[Prest. (m2 /jaar) werkdagen]]</f>
        <v>63000</v>
      </c>
      <c r="AG53" s="79">
        <f>Ruimtestaat[[#This Row],[uren / jaar weekend]]+Ruimtestaat[[#This Row],[uren / jaar werkdagen]]</f>
        <v>0</v>
      </c>
      <c r="AH53" s="80">
        <f>Ruimtestaat[[#This Row],[kosten / jaar weekend]]+Ruimtestaat[[#This Row],[kosten / jaar werkdagen]]</f>
        <v>0</v>
      </c>
      <c r="AI53" s="104"/>
      <c r="HM53" s="78"/>
    </row>
    <row r="54" spans="1:221" ht="15" customHeight="1">
      <c r="A54" s="119">
        <v>1</v>
      </c>
      <c r="B54" s="21" t="str">
        <f>VLOOKUP(Ruimtestaat[[#This Row],[Code]],Locaties[#All],2,FALSE)</f>
        <v>IJburg College</v>
      </c>
      <c r="C54" s="21" t="str">
        <f>VLOOKUP(Ruimtestaat[[#This Row],[Code]],Locaties[#All],4,FALSE)</f>
        <v>Pampuslaan 1</v>
      </c>
      <c r="D54" s="21" t="str">
        <f>VLOOKUP(Ruimtestaat[[#This Row],[Code]],Locaties[#All],5,FALSE)</f>
        <v>1087 HP</v>
      </c>
      <c r="E54" s="180" t="str">
        <f>VLOOKUP(Ruimtestaat[[#This Row],[Code]],Locaties[#All],6,FALSE)</f>
        <v>Amsterdam</v>
      </c>
      <c r="F54" s="180"/>
      <c r="G54" s="195" t="s">
        <v>513</v>
      </c>
      <c r="H54" s="195" t="s">
        <v>855</v>
      </c>
      <c r="I54" s="180" t="s">
        <v>491</v>
      </c>
      <c r="J54" s="224" t="s">
        <v>547</v>
      </c>
      <c r="K54" s="180">
        <v>2</v>
      </c>
      <c r="L54" s="224" t="str">
        <f>VLOOKUP(Ruimtestaat[[#This Row],[Ruimte code]],Ruimtegroepen[#All],2,FALSE)</f>
        <v>Kantoren</v>
      </c>
      <c r="M54" s="195" t="s">
        <v>111</v>
      </c>
      <c r="N54" s="180" t="s">
        <v>557</v>
      </c>
      <c r="O54" s="181">
        <v>32.5</v>
      </c>
      <c r="P54" s="193"/>
      <c r="Q54" s="223" t="str">
        <f>VLOOKUP(Ruimtestaat[[#This Row],[Ruimte code]],Ruimtegroepen[#All],4,FALSE)</f>
        <v>B  (Bureauruimte)</v>
      </c>
      <c r="R54" s="194"/>
      <c r="S54" s="195">
        <v>40</v>
      </c>
      <c r="T54" s="195" t="s">
        <v>17</v>
      </c>
      <c r="U54" s="195">
        <f>IF(S54&gt;0,IF(RIGHT(Ruimtestaat[[#This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54" s="195">
        <f>IF(U54&gt;0,VLOOKUP($K54,Ruimtegroepen[],3,FALSE)*VLOOKUP($M54,Vloersoorten[],3,FALSE)*VLOOKUP($T54,Frequenties[],3,FALSE)*VLOOKUP($A54,Locaties[],3,FALSE),0)</f>
        <v>0</v>
      </c>
      <c r="W54" s="195">
        <f>Ruimtestaat[[#This Row],[Uitvoeringen werkdagen]]*Ruimtestaat[[#This Row],[Oppervlak (netto)]]</f>
        <v>2600</v>
      </c>
      <c r="X54" s="233">
        <f>IF(V54&gt;0,Ruimtestaat[[#This Row],[Prest. (m2 /jaar) werkdagen]]/Ruimtestaat[[#This Row],[Norm (m2/uur) werkdagen]],0)</f>
        <v>0</v>
      </c>
      <c r="Y54" s="234">
        <f>Ruimtestaat[[#This Row],[uren / jaar werkdagen]]*Tariefsopbouw!$D$38</f>
        <v>0</v>
      </c>
      <c r="Z54" s="33"/>
      <c r="AA54" s="33">
        <f>IF(Ruimtestaat[[#This Row],[Frequentie weekend]]&gt;0,VALUE(LEFT(Z54,1))*S54,0)</f>
        <v>0</v>
      </c>
      <c r="AB54" s="33">
        <f>IF($AA54&gt;0,VLOOKUP($K54,Ruimtegroepen[],3,FALSE)*VLOOKUP($M54,Vloersoorten[],3,FALSE)*VLOOKUP($Z54,Frequenties[],3,FALSE)*VLOOKUP(#REF!,Locaties[],3,FALSE),0)</f>
        <v>0</v>
      </c>
      <c r="AC54" s="33"/>
      <c r="AD54" s="33"/>
      <c r="AE54" s="33">
        <f>Ruimtestaat[[#This Row],[uren / jaar weekend]]*Tariefsopbouw!$D$40</f>
        <v>0</v>
      </c>
      <c r="AF54" s="79">
        <f>Ruimtestaat[[#This Row],[Prest. (m2 /jaar) weekend]]+Ruimtestaat[[#This Row],[Prest. (m2 /jaar) werkdagen]]</f>
        <v>2600</v>
      </c>
      <c r="AG54" s="79">
        <f>Ruimtestaat[[#This Row],[uren / jaar weekend]]+Ruimtestaat[[#This Row],[uren / jaar werkdagen]]</f>
        <v>0</v>
      </c>
      <c r="AH54" s="80">
        <f>Ruimtestaat[[#This Row],[kosten / jaar weekend]]+Ruimtestaat[[#This Row],[kosten / jaar werkdagen]]</f>
        <v>0</v>
      </c>
      <c r="AI54" s="104"/>
      <c r="HM54" s="78"/>
    </row>
    <row r="55" spans="1:221" ht="15" customHeight="1">
      <c r="A55" s="119">
        <v>1</v>
      </c>
      <c r="B55" s="21" t="str">
        <f>VLOOKUP(Ruimtestaat[[#This Row],[Code]],Locaties[#All],2,FALSE)</f>
        <v>IJburg College</v>
      </c>
      <c r="C55" s="21" t="str">
        <f>VLOOKUP(Ruimtestaat[[#This Row],[Code]],Locaties[#All],4,FALSE)</f>
        <v>Pampuslaan 1</v>
      </c>
      <c r="D55" s="21" t="str">
        <f>VLOOKUP(Ruimtestaat[[#This Row],[Code]],Locaties[#All],5,FALSE)</f>
        <v>1087 HP</v>
      </c>
      <c r="E55" s="180" t="str">
        <f>VLOOKUP(Ruimtestaat[[#This Row],[Code]],Locaties[#All],6,FALSE)</f>
        <v>Amsterdam</v>
      </c>
      <c r="F55" s="180"/>
      <c r="G55" s="195" t="s">
        <v>513</v>
      </c>
      <c r="H55" s="195" t="s">
        <v>856</v>
      </c>
      <c r="I55" s="180" t="s">
        <v>492</v>
      </c>
      <c r="J55" s="224" t="s">
        <v>544</v>
      </c>
      <c r="K55" s="180">
        <v>8</v>
      </c>
      <c r="L55" s="224" t="str">
        <f>VLOOKUP(Ruimtestaat[[#This Row],[Ruimte code]],Ruimtegroepen[#All],2,FALSE)</f>
        <v>Multifunctionele ruimte</v>
      </c>
      <c r="M55" s="195" t="s">
        <v>111</v>
      </c>
      <c r="N55" s="180" t="s">
        <v>557</v>
      </c>
      <c r="O55" s="181">
        <v>64.900000000000006</v>
      </c>
      <c r="P55" s="193"/>
      <c r="Q55" s="223" t="str">
        <f>VLOOKUP(Ruimtestaat[[#This Row],[Ruimte code]],Ruimtegroepen[#All],4,FALSE)</f>
        <v>L  (Lesruimte)</v>
      </c>
      <c r="R55" s="194"/>
      <c r="S55" s="195">
        <v>40</v>
      </c>
      <c r="T55" s="195" t="s">
        <v>2</v>
      </c>
      <c r="U55" s="195">
        <f>IF(S55&gt;0,IF(RIGHT(Ruimtestaat[[#This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5" s="195">
        <f>IF(U55&gt;0,VLOOKUP($K55,Ruimtegroepen[],3,FALSE)*VLOOKUP($M55,Vloersoorten[],3,FALSE)*VLOOKUP($T55,Frequenties[],3,FALSE)*VLOOKUP($A55,Locaties[],3,FALSE),0)</f>
        <v>0</v>
      </c>
      <c r="W55" s="195">
        <f>Ruimtestaat[[#This Row],[Uitvoeringen werkdagen]]*Ruimtestaat[[#This Row],[Oppervlak (netto)]]</f>
        <v>12980.000000000002</v>
      </c>
      <c r="X55" s="233">
        <f>IF(V55&gt;0,Ruimtestaat[[#This Row],[Prest. (m2 /jaar) werkdagen]]/Ruimtestaat[[#This Row],[Norm (m2/uur) werkdagen]],0)</f>
        <v>0</v>
      </c>
      <c r="Y55" s="234">
        <f>Ruimtestaat[[#This Row],[uren / jaar werkdagen]]*Tariefsopbouw!$D$38</f>
        <v>0</v>
      </c>
      <c r="Z55" s="33"/>
      <c r="AA55" s="33">
        <f>IF(Ruimtestaat[[#This Row],[Frequentie weekend]]&gt;0,VALUE(LEFT(Z55,1))*S55,0)</f>
        <v>0</v>
      </c>
      <c r="AB55" s="33">
        <f>IF($AA55&gt;0,VLOOKUP($K55,Ruimtegroepen[],3,FALSE)*VLOOKUP($M55,Vloersoorten[],3,FALSE)*VLOOKUP($Z55,Frequenties[],3,FALSE)*VLOOKUP(#REF!,Locaties[],3,FALSE),0)</f>
        <v>0</v>
      </c>
      <c r="AC55" s="33"/>
      <c r="AD55" s="33"/>
      <c r="AE55" s="33">
        <f>Ruimtestaat[[#This Row],[uren / jaar weekend]]*Tariefsopbouw!$D$40</f>
        <v>0</v>
      </c>
      <c r="AF55" s="79">
        <f>Ruimtestaat[[#This Row],[Prest. (m2 /jaar) weekend]]+Ruimtestaat[[#This Row],[Prest. (m2 /jaar) werkdagen]]</f>
        <v>12980.000000000002</v>
      </c>
      <c r="AG55" s="79">
        <f>Ruimtestaat[[#This Row],[uren / jaar weekend]]+Ruimtestaat[[#This Row],[uren / jaar werkdagen]]</f>
        <v>0</v>
      </c>
      <c r="AH55" s="80">
        <f>Ruimtestaat[[#This Row],[kosten / jaar weekend]]+Ruimtestaat[[#This Row],[kosten / jaar werkdagen]]</f>
        <v>0</v>
      </c>
      <c r="AI55" s="104"/>
      <c r="HM55" s="78"/>
    </row>
    <row r="56" spans="1:221" ht="15" customHeight="1">
      <c r="A56" s="119">
        <v>1</v>
      </c>
      <c r="B56" s="21" t="str">
        <f>VLOOKUP(Ruimtestaat[[#This Row],[Code]],Locaties[#All],2,FALSE)</f>
        <v>IJburg College</v>
      </c>
      <c r="C56" s="21" t="str">
        <f>VLOOKUP(Ruimtestaat[[#This Row],[Code]],Locaties[#All],4,FALSE)</f>
        <v>Pampuslaan 1</v>
      </c>
      <c r="D56" s="21" t="str">
        <f>VLOOKUP(Ruimtestaat[[#This Row],[Code]],Locaties[#All],5,FALSE)</f>
        <v>1087 HP</v>
      </c>
      <c r="E56" s="180" t="str">
        <f>VLOOKUP(Ruimtestaat[[#This Row],[Code]],Locaties[#All],6,FALSE)</f>
        <v>Amsterdam</v>
      </c>
      <c r="F56" s="180"/>
      <c r="G56" s="195" t="s">
        <v>513</v>
      </c>
      <c r="H56" s="195" t="s">
        <v>857</v>
      </c>
      <c r="I56" s="180" t="s">
        <v>493</v>
      </c>
      <c r="J56" s="224" t="s">
        <v>548</v>
      </c>
      <c r="K56" s="180">
        <v>6</v>
      </c>
      <c r="L56" s="224" t="str">
        <f>VLOOKUP(Ruimtestaat[[#This Row],[Ruimte code]],Ruimtegroepen[#All],2,FALSE)</f>
        <v>Gangen/hallen</v>
      </c>
      <c r="M56" s="195" t="s">
        <v>111</v>
      </c>
      <c r="N56" s="180" t="s">
        <v>557</v>
      </c>
      <c r="O56" s="181">
        <v>15</v>
      </c>
      <c r="P56" s="193"/>
      <c r="Q56" s="223" t="str">
        <f>VLOOKUP(Ruimtestaat[[#This Row],[Ruimte code]],Ruimtegroepen[#All],4,FALSE)</f>
        <v>V  (Verkeersruimte)</v>
      </c>
      <c r="R56" s="194"/>
      <c r="S56" s="195">
        <v>40</v>
      </c>
      <c r="T56" s="195" t="s">
        <v>2</v>
      </c>
      <c r="U56" s="195">
        <f>IF(S56&gt;0,IF(RIGHT(Ruimtestaat[[#This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6" s="195">
        <f>IF(U56&gt;0,VLOOKUP($K56,Ruimtegroepen[],3,FALSE)*VLOOKUP($M56,Vloersoorten[],3,FALSE)*VLOOKUP($T56,Frequenties[],3,FALSE)*VLOOKUP($A56,Locaties[],3,FALSE),0)</f>
        <v>0</v>
      </c>
      <c r="W56" s="195">
        <f>Ruimtestaat[[#This Row],[Uitvoeringen werkdagen]]*Ruimtestaat[[#This Row],[Oppervlak (netto)]]</f>
        <v>3000</v>
      </c>
      <c r="X56" s="233">
        <f>IF(V56&gt;0,Ruimtestaat[[#This Row],[Prest. (m2 /jaar) werkdagen]]/Ruimtestaat[[#This Row],[Norm (m2/uur) werkdagen]],0)</f>
        <v>0</v>
      </c>
      <c r="Y56" s="234">
        <f>Ruimtestaat[[#This Row],[uren / jaar werkdagen]]*Tariefsopbouw!$D$38</f>
        <v>0</v>
      </c>
      <c r="Z56" s="33"/>
      <c r="AA56" s="33">
        <f>IF(Ruimtestaat[[#This Row],[Frequentie weekend]]&gt;0,VALUE(LEFT(Z56,1))*S56,0)</f>
        <v>0</v>
      </c>
      <c r="AB56" s="33">
        <f>IF($AA56&gt;0,VLOOKUP($K56,Ruimtegroepen[],3,FALSE)*VLOOKUP($M56,Vloersoorten[],3,FALSE)*VLOOKUP($Z56,Frequenties[],3,FALSE)*VLOOKUP(#REF!,Locaties[],3,FALSE),0)</f>
        <v>0</v>
      </c>
      <c r="AC56" s="33"/>
      <c r="AD56" s="33"/>
      <c r="AE56" s="33">
        <f>Ruimtestaat[[#This Row],[uren / jaar weekend]]*Tariefsopbouw!$D$40</f>
        <v>0</v>
      </c>
      <c r="AF56" s="79">
        <f>Ruimtestaat[[#This Row],[Prest. (m2 /jaar) weekend]]+Ruimtestaat[[#This Row],[Prest. (m2 /jaar) werkdagen]]</f>
        <v>3000</v>
      </c>
      <c r="AG56" s="79">
        <f>Ruimtestaat[[#This Row],[uren / jaar weekend]]+Ruimtestaat[[#This Row],[uren / jaar werkdagen]]</f>
        <v>0</v>
      </c>
      <c r="AH56" s="80">
        <f>Ruimtestaat[[#This Row],[kosten / jaar weekend]]+Ruimtestaat[[#This Row],[kosten / jaar werkdagen]]</f>
        <v>0</v>
      </c>
      <c r="AI56" s="104"/>
      <c r="HM56" s="78"/>
    </row>
    <row r="57" spans="1:221" ht="15" customHeight="1">
      <c r="A57" s="119">
        <v>1</v>
      </c>
      <c r="B57" s="21" t="str">
        <f>VLOOKUP(Ruimtestaat[[#This Row],[Code]],Locaties[#All],2,FALSE)</f>
        <v>IJburg College</v>
      </c>
      <c r="C57" s="21" t="str">
        <f>VLOOKUP(Ruimtestaat[[#This Row],[Code]],Locaties[#All],4,FALSE)</f>
        <v>Pampuslaan 1</v>
      </c>
      <c r="D57" s="21" t="str">
        <f>VLOOKUP(Ruimtestaat[[#This Row],[Code]],Locaties[#All],5,FALSE)</f>
        <v>1087 HP</v>
      </c>
      <c r="E57" s="180" t="str">
        <f>VLOOKUP(Ruimtestaat[[#This Row],[Code]],Locaties[#All],6,FALSE)</f>
        <v>Amsterdam</v>
      </c>
      <c r="F57" s="180"/>
      <c r="G57" s="195" t="s">
        <v>513</v>
      </c>
      <c r="H57" s="195" t="s">
        <v>858</v>
      </c>
      <c r="I57" s="180" t="s">
        <v>494</v>
      </c>
      <c r="J57" s="224" t="s">
        <v>543</v>
      </c>
      <c r="K57" s="180">
        <v>5</v>
      </c>
      <c r="L57" s="224" t="str">
        <f>VLOOKUP(Ruimtestaat[[#This Row],[Ruimte code]],Ruimtegroepen[#All],2,FALSE)</f>
        <v>Sanitair</v>
      </c>
      <c r="M57" s="195" t="s">
        <v>111</v>
      </c>
      <c r="N57" s="180" t="s">
        <v>558</v>
      </c>
      <c r="O57" s="181">
        <v>13.8</v>
      </c>
      <c r="P57" s="193"/>
      <c r="Q57" s="223" t="str">
        <f>VLOOKUP(Ruimtestaat[[#This Row],[Ruimte code]],Ruimtegroepen[#All],4,FALSE)</f>
        <v>S  (Sanitair)</v>
      </c>
      <c r="R57" s="194"/>
      <c r="S57" s="195">
        <v>40</v>
      </c>
      <c r="T57" s="195" t="s">
        <v>2</v>
      </c>
      <c r="U57" s="195">
        <f>IF(S57&gt;0,IF(RIGHT(Ruimtestaat[[#This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7" s="195">
        <f>IF(U57&gt;0,VLOOKUP($K57,Ruimtegroepen[],3,FALSE)*VLOOKUP($M57,Vloersoorten[],3,FALSE)*VLOOKUP($T57,Frequenties[],3,FALSE)*VLOOKUP($A57,Locaties[],3,FALSE),0)</f>
        <v>0</v>
      </c>
      <c r="W57" s="195">
        <f>Ruimtestaat[[#This Row],[Uitvoeringen werkdagen]]*Ruimtestaat[[#This Row],[Oppervlak (netto)]]</f>
        <v>2760</v>
      </c>
      <c r="X57" s="233">
        <f>IF(V57&gt;0,Ruimtestaat[[#This Row],[Prest. (m2 /jaar) werkdagen]]/Ruimtestaat[[#This Row],[Norm (m2/uur) werkdagen]],0)</f>
        <v>0</v>
      </c>
      <c r="Y57" s="234">
        <f>Ruimtestaat[[#This Row],[uren / jaar werkdagen]]*Tariefsopbouw!$D$38</f>
        <v>0</v>
      </c>
      <c r="Z57" s="33"/>
      <c r="AA57" s="33">
        <f>IF(Ruimtestaat[[#This Row],[Frequentie weekend]]&gt;0,VALUE(LEFT(Z57,1))*S57,0)</f>
        <v>0</v>
      </c>
      <c r="AB57" s="33">
        <f>IF($AA57&gt;0,VLOOKUP($K57,Ruimtegroepen[],3,FALSE)*VLOOKUP($M57,Vloersoorten[],3,FALSE)*VLOOKUP($Z57,Frequenties[],3,FALSE)*VLOOKUP(#REF!,Locaties[],3,FALSE),0)</f>
        <v>0</v>
      </c>
      <c r="AC57" s="33"/>
      <c r="AD57" s="33"/>
      <c r="AE57" s="33">
        <f>Ruimtestaat[[#This Row],[uren / jaar weekend]]*Tariefsopbouw!$D$40</f>
        <v>0</v>
      </c>
      <c r="AF57" s="79">
        <f>Ruimtestaat[[#This Row],[Prest. (m2 /jaar) weekend]]+Ruimtestaat[[#This Row],[Prest. (m2 /jaar) werkdagen]]</f>
        <v>2760</v>
      </c>
      <c r="AG57" s="79">
        <f>Ruimtestaat[[#This Row],[uren / jaar weekend]]+Ruimtestaat[[#This Row],[uren / jaar werkdagen]]</f>
        <v>0</v>
      </c>
      <c r="AH57" s="80">
        <f>Ruimtestaat[[#This Row],[kosten / jaar weekend]]+Ruimtestaat[[#This Row],[kosten / jaar werkdagen]]</f>
        <v>0</v>
      </c>
      <c r="AI57" s="104"/>
      <c r="HM57" s="78"/>
    </row>
    <row r="58" spans="1:221" ht="15" customHeight="1">
      <c r="A58" s="119">
        <v>1</v>
      </c>
      <c r="B58" s="21" t="str">
        <f>VLOOKUP(Ruimtestaat[[#This Row],[Code]],Locaties[#All],2,FALSE)</f>
        <v>IJburg College</v>
      </c>
      <c r="C58" s="21" t="str">
        <f>VLOOKUP(Ruimtestaat[[#This Row],[Code]],Locaties[#All],4,FALSE)</f>
        <v>Pampuslaan 1</v>
      </c>
      <c r="D58" s="21" t="str">
        <f>VLOOKUP(Ruimtestaat[[#This Row],[Code]],Locaties[#All],5,FALSE)</f>
        <v>1087 HP</v>
      </c>
      <c r="E58" s="180" t="str">
        <f>VLOOKUP(Ruimtestaat[[#This Row],[Code]],Locaties[#All],6,FALSE)</f>
        <v>Amsterdam</v>
      </c>
      <c r="F58" s="180"/>
      <c r="G58" s="195" t="s">
        <v>513</v>
      </c>
      <c r="H58" s="195" t="s">
        <v>859</v>
      </c>
      <c r="I58" s="180" t="s">
        <v>495</v>
      </c>
      <c r="J58" s="224" t="s">
        <v>542</v>
      </c>
      <c r="K58" s="180">
        <v>5</v>
      </c>
      <c r="L58" s="224" t="str">
        <f>VLOOKUP(Ruimtestaat[[#This Row],[Ruimte code]],Ruimtegroepen[#All],2,FALSE)</f>
        <v>Sanitair</v>
      </c>
      <c r="M58" s="195" t="s">
        <v>111</v>
      </c>
      <c r="N58" s="180" t="s">
        <v>558</v>
      </c>
      <c r="O58" s="181">
        <v>13.8</v>
      </c>
      <c r="P58" s="193"/>
      <c r="Q58" s="223" t="str">
        <f>VLOOKUP(Ruimtestaat[[#This Row],[Ruimte code]],Ruimtegroepen[#All],4,FALSE)</f>
        <v>S  (Sanitair)</v>
      </c>
      <c r="R58" s="194"/>
      <c r="S58" s="195">
        <v>40</v>
      </c>
      <c r="T58" s="195" t="s">
        <v>2</v>
      </c>
      <c r="U58" s="195">
        <f>IF(S58&gt;0,IF(RIGHT(Ruimtestaat[[#This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8" s="195">
        <f>IF(U58&gt;0,VLOOKUP($K58,Ruimtegroepen[],3,FALSE)*VLOOKUP($M58,Vloersoorten[],3,FALSE)*VLOOKUP($T58,Frequenties[],3,FALSE)*VLOOKUP($A58,Locaties[],3,FALSE),0)</f>
        <v>0</v>
      </c>
      <c r="W58" s="195">
        <f>Ruimtestaat[[#This Row],[Uitvoeringen werkdagen]]*Ruimtestaat[[#This Row],[Oppervlak (netto)]]</f>
        <v>2760</v>
      </c>
      <c r="X58" s="233">
        <f>IF(V58&gt;0,Ruimtestaat[[#This Row],[Prest. (m2 /jaar) werkdagen]]/Ruimtestaat[[#This Row],[Norm (m2/uur) werkdagen]],0)</f>
        <v>0</v>
      </c>
      <c r="Y58" s="234">
        <f>Ruimtestaat[[#This Row],[uren / jaar werkdagen]]*Tariefsopbouw!$D$38</f>
        <v>0</v>
      </c>
      <c r="Z58" s="33"/>
      <c r="AA58" s="33">
        <f>IF(Ruimtestaat[[#This Row],[Frequentie weekend]]&gt;0,VALUE(LEFT(Z58,1))*S58,0)</f>
        <v>0</v>
      </c>
      <c r="AB58" s="33">
        <f>IF($AA58&gt;0,VLOOKUP($K58,Ruimtegroepen[],3,FALSE)*VLOOKUP($M58,Vloersoorten[],3,FALSE)*VLOOKUP($Z58,Frequenties[],3,FALSE)*VLOOKUP(#REF!,Locaties[],3,FALSE),0)</f>
        <v>0</v>
      </c>
      <c r="AC58" s="33"/>
      <c r="AD58" s="33"/>
      <c r="AE58" s="33">
        <f>Ruimtestaat[[#This Row],[uren / jaar weekend]]*Tariefsopbouw!$D$40</f>
        <v>0</v>
      </c>
      <c r="AF58" s="79">
        <f>Ruimtestaat[[#This Row],[Prest. (m2 /jaar) weekend]]+Ruimtestaat[[#This Row],[Prest. (m2 /jaar) werkdagen]]</f>
        <v>2760</v>
      </c>
      <c r="AG58" s="79">
        <f>Ruimtestaat[[#This Row],[uren / jaar weekend]]+Ruimtestaat[[#This Row],[uren / jaar werkdagen]]</f>
        <v>0</v>
      </c>
      <c r="AH58" s="80">
        <f>Ruimtestaat[[#This Row],[kosten / jaar weekend]]+Ruimtestaat[[#This Row],[kosten / jaar werkdagen]]</f>
        <v>0</v>
      </c>
      <c r="AI58" s="104"/>
      <c r="HM58" s="78"/>
    </row>
    <row r="59" spans="1:221" ht="15" customHeight="1">
      <c r="A59" s="119">
        <v>1</v>
      </c>
      <c r="B59" s="21" t="str">
        <f>VLOOKUP(Ruimtestaat[[#This Row],[Code]],Locaties[#All],2,FALSE)</f>
        <v>IJburg College</v>
      </c>
      <c r="C59" s="21" t="str">
        <f>VLOOKUP(Ruimtestaat[[#This Row],[Code]],Locaties[#All],4,FALSE)</f>
        <v>Pampuslaan 1</v>
      </c>
      <c r="D59" s="21" t="str">
        <f>VLOOKUP(Ruimtestaat[[#This Row],[Code]],Locaties[#All],5,FALSE)</f>
        <v>1087 HP</v>
      </c>
      <c r="E59" s="180" t="str">
        <f>VLOOKUP(Ruimtestaat[[#This Row],[Code]],Locaties[#All],6,FALSE)</f>
        <v>Amsterdam</v>
      </c>
      <c r="F59" s="180"/>
      <c r="G59" s="195" t="s">
        <v>513</v>
      </c>
      <c r="H59" s="195" t="s">
        <v>860</v>
      </c>
      <c r="I59" s="180" t="s">
        <v>496</v>
      </c>
      <c r="J59" s="224" t="s">
        <v>543</v>
      </c>
      <c r="K59" s="180">
        <v>5</v>
      </c>
      <c r="L59" s="224" t="str">
        <f>VLOOKUP(Ruimtestaat[[#This Row],[Ruimte code]],Ruimtegroepen[#All],2,FALSE)</f>
        <v>Sanitair</v>
      </c>
      <c r="M59" s="195" t="s">
        <v>111</v>
      </c>
      <c r="N59" s="180" t="s">
        <v>558</v>
      </c>
      <c r="O59" s="181">
        <v>13.8</v>
      </c>
      <c r="P59" s="193"/>
      <c r="Q59" s="223" t="str">
        <f>VLOOKUP(Ruimtestaat[[#This Row],[Ruimte code]],Ruimtegroepen[#All],4,FALSE)</f>
        <v>S  (Sanitair)</v>
      </c>
      <c r="R59" s="194"/>
      <c r="S59" s="195">
        <v>40</v>
      </c>
      <c r="T59" s="195" t="s">
        <v>2</v>
      </c>
      <c r="U59" s="195">
        <f>IF(S59&gt;0,IF(RIGHT(Ruimtestaat[[#This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9" s="195">
        <f>IF(U59&gt;0,VLOOKUP($K59,Ruimtegroepen[],3,FALSE)*VLOOKUP($M59,Vloersoorten[],3,FALSE)*VLOOKUP($T59,Frequenties[],3,FALSE)*VLOOKUP($A59,Locaties[],3,FALSE),0)</f>
        <v>0</v>
      </c>
      <c r="W59" s="195">
        <f>Ruimtestaat[[#This Row],[Uitvoeringen werkdagen]]*Ruimtestaat[[#This Row],[Oppervlak (netto)]]</f>
        <v>2760</v>
      </c>
      <c r="X59" s="233">
        <f>IF(V59&gt;0,Ruimtestaat[[#This Row],[Prest. (m2 /jaar) werkdagen]]/Ruimtestaat[[#This Row],[Norm (m2/uur) werkdagen]],0)</f>
        <v>0</v>
      </c>
      <c r="Y59" s="234">
        <f>Ruimtestaat[[#This Row],[uren / jaar werkdagen]]*Tariefsopbouw!$D$38</f>
        <v>0</v>
      </c>
      <c r="Z59" s="33"/>
      <c r="AA59" s="33">
        <f>IF(Ruimtestaat[[#This Row],[Frequentie weekend]]&gt;0,VALUE(LEFT(Z59,1))*S59,0)</f>
        <v>0</v>
      </c>
      <c r="AB59" s="33">
        <f>IF($AA59&gt;0,VLOOKUP($K59,Ruimtegroepen[],3,FALSE)*VLOOKUP($M59,Vloersoorten[],3,FALSE)*VLOOKUP($Z59,Frequenties[],3,FALSE)*VLOOKUP(#REF!,Locaties[],3,FALSE),0)</f>
        <v>0</v>
      </c>
      <c r="AC59" s="33"/>
      <c r="AD59" s="33"/>
      <c r="AE59" s="33">
        <f>Ruimtestaat[[#This Row],[uren / jaar weekend]]*Tariefsopbouw!$D$40</f>
        <v>0</v>
      </c>
      <c r="AF59" s="79">
        <f>Ruimtestaat[[#This Row],[Prest. (m2 /jaar) weekend]]+Ruimtestaat[[#This Row],[Prest. (m2 /jaar) werkdagen]]</f>
        <v>2760</v>
      </c>
      <c r="AG59" s="79">
        <f>Ruimtestaat[[#This Row],[uren / jaar weekend]]+Ruimtestaat[[#This Row],[uren / jaar werkdagen]]</f>
        <v>0</v>
      </c>
      <c r="AH59" s="80">
        <f>Ruimtestaat[[#This Row],[kosten / jaar weekend]]+Ruimtestaat[[#This Row],[kosten / jaar werkdagen]]</f>
        <v>0</v>
      </c>
      <c r="AI59" s="104"/>
      <c r="HM59" s="78"/>
    </row>
    <row r="60" spans="1:221" s="178" customFormat="1" ht="14.25" customHeight="1">
      <c r="A60" s="119">
        <v>1</v>
      </c>
      <c r="B60" s="21" t="str">
        <f>VLOOKUP(Ruimtestaat[[#This Row],[Code]],Locaties[#All],2,FALSE)</f>
        <v>IJburg College</v>
      </c>
      <c r="C60" s="21" t="str">
        <f>VLOOKUP(Ruimtestaat[[#This Row],[Code]],Locaties[#All],4,FALSE)</f>
        <v>Pampuslaan 1</v>
      </c>
      <c r="D60" s="21" t="str">
        <f>VLOOKUP(Ruimtestaat[[#This Row],[Code]],Locaties[#All],5,FALSE)</f>
        <v>1087 HP</v>
      </c>
      <c r="E60" s="180" t="str">
        <f>VLOOKUP(Ruimtestaat[[#This Row],[Code]],Locaties[#All],6,FALSE)</f>
        <v>Amsterdam</v>
      </c>
      <c r="F60" s="180"/>
      <c r="G60" s="195" t="s">
        <v>513</v>
      </c>
      <c r="H60" s="195" t="s">
        <v>861</v>
      </c>
      <c r="I60" s="180" t="s">
        <v>497</v>
      </c>
      <c r="J60" s="224" t="s">
        <v>542</v>
      </c>
      <c r="K60" s="180">
        <v>5</v>
      </c>
      <c r="L60" s="224" t="str">
        <f>VLOOKUP(Ruimtestaat[[#This Row],[Ruimte code]],Ruimtegroepen[#All],2,FALSE)</f>
        <v>Sanitair</v>
      </c>
      <c r="M60" s="195" t="s">
        <v>111</v>
      </c>
      <c r="N60" s="180" t="s">
        <v>558</v>
      </c>
      <c r="O60" s="181">
        <v>13.8</v>
      </c>
      <c r="P60" s="193"/>
      <c r="Q60" s="223" t="str">
        <f>VLOOKUP(Ruimtestaat[[#This Row],[Ruimte code]],Ruimtegroepen[#All],4,FALSE)</f>
        <v>S  (Sanitair)</v>
      </c>
      <c r="R60" s="194"/>
      <c r="S60" s="195">
        <v>40</v>
      </c>
      <c r="T60" s="195" t="s">
        <v>2</v>
      </c>
      <c r="U60" s="195">
        <f>IF(S60&gt;0,IF(RIGHT(Ruimtestaat[[#This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0" s="195">
        <f>IF(U60&gt;0,VLOOKUP($K60,Ruimtegroepen[],3,FALSE)*VLOOKUP($M60,Vloersoorten[],3,FALSE)*VLOOKUP($T60,Frequenties[],3,FALSE)*VLOOKUP($A60,Locaties[],3,FALSE),0)</f>
        <v>0</v>
      </c>
      <c r="W60" s="195">
        <f>Ruimtestaat[[#This Row],[Uitvoeringen werkdagen]]*Ruimtestaat[[#This Row],[Oppervlak (netto)]]</f>
        <v>2760</v>
      </c>
      <c r="X60" s="233">
        <f>IF(V60&gt;0,Ruimtestaat[[#This Row],[Prest. (m2 /jaar) werkdagen]]/Ruimtestaat[[#This Row],[Norm (m2/uur) werkdagen]],0)</f>
        <v>0</v>
      </c>
      <c r="Y60" s="234">
        <f>Ruimtestaat[[#This Row],[uren / jaar werkdagen]]*Tariefsopbouw!$D$38</f>
        <v>0</v>
      </c>
      <c r="Z60" s="33"/>
      <c r="AA60" s="33">
        <f>IF(Ruimtestaat[[#This Row],[Frequentie weekend]]&gt;0,VALUE(LEFT(Z60,1))*S60,0)</f>
        <v>0</v>
      </c>
      <c r="AB60" s="33">
        <f>IF($AA60&gt;0,VLOOKUP($K60,Ruimtegroepen[],3,FALSE)*VLOOKUP($M60,Vloersoorten[],3,FALSE)*VLOOKUP($Z60,Frequenties[],3,FALSE)*VLOOKUP(#REF!,Locaties[],3,FALSE),0)</f>
        <v>0</v>
      </c>
      <c r="AC60" s="33"/>
      <c r="AD60" s="33"/>
      <c r="AE60" s="33">
        <f>Ruimtestaat[[#This Row],[uren / jaar weekend]]*Tariefsopbouw!$D$40</f>
        <v>0</v>
      </c>
      <c r="AF60" s="79">
        <f>Ruimtestaat[[#This Row],[Prest. (m2 /jaar) weekend]]+Ruimtestaat[[#This Row],[Prest. (m2 /jaar) werkdagen]]</f>
        <v>2760</v>
      </c>
      <c r="AG60" s="79">
        <f>Ruimtestaat[[#This Row],[uren / jaar weekend]]+Ruimtestaat[[#This Row],[uren / jaar werkdagen]]</f>
        <v>0</v>
      </c>
      <c r="AH60" s="80">
        <f>Ruimtestaat[[#This Row],[kosten / jaar weekend]]+Ruimtestaat[[#This Row],[kosten / jaar werkdagen]]</f>
        <v>0</v>
      </c>
      <c r="AI60" s="177"/>
    </row>
    <row r="61" spans="1:221" s="178" customFormat="1" ht="15" customHeight="1">
      <c r="A61" s="119">
        <v>1</v>
      </c>
      <c r="B61" s="21" t="str">
        <f>VLOOKUP(Ruimtestaat[[#This Row],[Code]],Locaties[#All],2,FALSE)</f>
        <v>IJburg College</v>
      </c>
      <c r="C61" s="21" t="str">
        <f>VLOOKUP(Ruimtestaat[[#This Row],[Code]],Locaties[#All],4,FALSE)</f>
        <v>Pampuslaan 1</v>
      </c>
      <c r="D61" s="21" t="str">
        <f>VLOOKUP(Ruimtestaat[[#This Row],[Code]],Locaties[#All],5,FALSE)</f>
        <v>1087 HP</v>
      </c>
      <c r="E61" s="180" t="str">
        <f>VLOOKUP(Ruimtestaat[[#This Row],[Code]],Locaties[#All],6,FALSE)</f>
        <v>Amsterdam</v>
      </c>
      <c r="F61" s="180"/>
      <c r="G61" s="195" t="s">
        <v>513</v>
      </c>
      <c r="H61" s="195" t="s">
        <v>862</v>
      </c>
      <c r="I61" s="235" t="s">
        <v>498</v>
      </c>
      <c r="J61" s="224" t="s">
        <v>549</v>
      </c>
      <c r="K61" s="180">
        <v>4</v>
      </c>
      <c r="L61" s="224" t="str">
        <f>VLOOKUP(Ruimtestaat[[#This Row],[Ruimte code]],Ruimtegroepen[#All],2,FALSE)</f>
        <v>Vergader/spreekkamers</v>
      </c>
      <c r="M61" s="195" t="s">
        <v>111</v>
      </c>
      <c r="N61" s="180" t="s">
        <v>557</v>
      </c>
      <c r="O61" s="181">
        <v>27.4</v>
      </c>
      <c r="P61" s="193"/>
      <c r="Q61" s="223" t="str">
        <f>VLOOKUP(Ruimtestaat[[#This Row],[Ruimte code]],Ruimtegroepen[#All],4,FALSE)</f>
        <v>B  (Bureauruimte)</v>
      </c>
      <c r="R61" s="194"/>
      <c r="S61" s="195">
        <v>40</v>
      </c>
      <c r="T61" s="195" t="s">
        <v>2</v>
      </c>
      <c r="U61" s="195">
        <f>IF(S61&gt;0,IF(RIGHT(Ruimtestaat[[#This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1" s="195">
        <f>IF(U61&gt;0,VLOOKUP($K61,Ruimtegroepen[],3,FALSE)*VLOOKUP($M61,Vloersoorten[],3,FALSE)*VLOOKUP($T61,Frequenties[],3,FALSE)*VLOOKUP($A61,Locaties[],3,FALSE),0)</f>
        <v>0</v>
      </c>
      <c r="W61" s="195">
        <f>Ruimtestaat[[#This Row],[Uitvoeringen werkdagen]]*Ruimtestaat[[#This Row],[Oppervlak (netto)]]</f>
        <v>5480</v>
      </c>
      <c r="X61" s="233">
        <f>IF(V61&gt;0,Ruimtestaat[[#This Row],[Prest. (m2 /jaar) werkdagen]]/Ruimtestaat[[#This Row],[Norm (m2/uur) werkdagen]],0)</f>
        <v>0</v>
      </c>
      <c r="Y61" s="234">
        <f>Ruimtestaat[[#This Row],[uren / jaar werkdagen]]*Tariefsopbouw!$D$38</f>
        <v>0</v>
      </c>
      <c r="Z61" s="33"/>
      <c r="AA61" s="33">
        <f>IF(Ruimtestaat[[#This Row],[Frequentie weekend]]&gt;0,VALUE(LEFT(Z61,1))*S61,0)</f>
        <v>0</v>
      </c>
      <c r="AB61" s="33">
        <f>IF($AA61&gt;0,VLOOKUP($K61,Ruimtegroepen[],3,FALSE)*VLOOKUP($M61,Vloersoorten[],3,FALSE)*VLOOKUP($Z61,Frequenties[],3,FALSE)*VLOOKUP(#REF!,Locaties[],3,FALSE),0)</f>
        <v>0</v>
      </c>
      <c r="AC61" s="33"/>
      <c r="AD61" s="33"/>
      <c r="AE61" s="33">
        <f>Ruimtestaat[[#This Row],[uren / jaar weekend]]*Tariefsopbouw!$D$40</f>
        <v>0</v>
      </c>
      <c r="AF61" s="79">
        <f>Ruimtestaat[[#This Row],[Prest. (m2 /jaar) weekend]]+Ruimtestaat[[#This Row],[Prest. (m2 /jaar) werkdagen]]</f>
        <v>5480</v>
      </c>
      <c r="AG61" s="79">
        <f>Ruimtestaat[[#This Row],[uren / jaar weekend]]+Ruimtestaat[[#This Row],[uren / jaar werkdagen]]</f>
        <v>0</v>
      </c>
      <c r="AH61" s="80">
        <f>Ruimtestaat[[#This Row],[kosten / jaar weekend]]+Ruimtestaat[[#This Row],[kosten / jaar werkdagen]]</f>
        <v>0</v>
      </c>
      <c r="AI61" s="177"/>
    </row>
    <row r="62" spans="1:221" ht="15" customHeight="1">
      <c r="A62" s="119">
        <v>1</v>
      </c>
      <c r="B62" s="21" t="str">
        <f>VLOOKUP(Ruimtestaat[[#This Row],[Code]],Locaties[#All],2,FALSE)</f>
        <v>IJburg College</v>
      </c>
      <c r="C62" s="21" t="str">
        <f>VLOOKUP(Ruimtestaat[[#This Row],[Code]],Locaties[#All],4,FALSE)</f>
        <v>Pampuslaan 1</v>
      </c>
      <c r="D62" s="21" t="str">
        <f>VLOOKUP(Ruimtestaat[[#This Row],[Code]],Locaties[#All],5,FALSE)</f>
        <v>1087 HP</v>
      </c>
      <c r="E62" s="180" t="str">
        <f>VLOOKUP(Ruimtestaat[[#This Row],[Code]],Locaties[#All],6,FALSE)</f>
        <v>Amsterdam</v>
      </c>
      <c r="F62" s="180"/>
      <c r="G62" s="195" t="s">
        <v>513</v>
      </c>
      <c r="H62" s="195" t="s">
        <v>863</v>
      </c>
      <c r="I62" s="180" t="s">
        <v>499</v>
      </c>
      <c r="J62" s="224" t="s">
        <v>544</v>
      </c>
      <c r="K62" s="195">
        <v>8</v>
      </c>
      <c r="L62" s="224" t="str">
        <f>VLOOKUP(Ruimtestaat[[#This Row],[Ruimte code]],Ruimtegroepen[#All],2,FALSE)</f>
        <v>Multifunctionele ruimte</v>
      </c>
      <c r="M62" s="195" t="s">
        <v>111</v>
      </c>
      <c r="N62" s="180" t="s">
        <v>557</v>
      </c>
      <c r="O62" s="181">
        <v>54.54</v>
      </c>
      <c r="P62" s="193"/>
      <c r="Q62" s="223" t="str">
        <f>VLOOKUP(Ruimtestaat[[#This Row],[Ruimte code]],Ruimtegroepen[#All],4,FALSE)</f>
        <v>L  (Lesruimte)</v>
      </c>
      <c r="R62" s="194"/>
      <c r="S62" s="195">
        <v>40</v>
      </c>
      <c r="T62" s="195" t="s">
        <v>2</v>
      </c>
      <c r="U62" s="195">
        <f>IF(S62&gt;0,IF(RIGHT(Ruimtestaat[[#This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2" s="195">
        <f>IF(U62&gt;0,VLOOKUP($K62,Ruimtegroepen[],3,FALSE)*VLOOKUP($M62,Vloersoorten[],3,FALSE)*VLOOKUP($T62,Frequenties[],3,FALSE)*VLOOKUP($A62,Locaties[],3,FALSE),0)</f>
        <v>0</v>
      </c>
      <c r="W62" s="195">
        <f>Ruimtestaat[[#This Row],[Uitvoeringen werkdagen]]*Ruimtestaat[[#This Row],[Oppervlak (netto)]]</f>
        <v>10908</v>
      </c>
      <c r="X62" s="233">
        <f>IF(V62&gt;0,Ruimtestaat[[#This Row],[Prest. (m2 /jaar) werkdagen]]/Ruimtestaat[[#This Row],[Norm (m2/uur) werkdagen]],0)</f>
        <v>0</v>
      </c>
      <c r="Y62" s="234">
        <f>Ruimtestaat[[#This Row],[uren / jaar werkdagen]]*Tariefsopbouw!$D$38</f>
        <v>0</v>
      </c>
      <c r="Z62" s="33"/>
      <c r="AA62" s="33">
        <f>IF(Ruimtestaat[[#This Row],[Frequentie weekend]]&gt;0,VALUE(LEFT(Z62,1))*S62,0)</f>
        <v>0</v>
      </c>
      <c r="AB62" s="33">
        <f>IF($AA62&gt;0,VLOOKUP($K62,Ruimtegroepen[],3,FALSE)*VLOOKUP($M62,Vloersoorten[],3,FALSE)*VLOOKUP($Z62,Frequenties[],3,FALSE)*VLOOKUP(#REF!,Locaties[],3,FALSE),0)</f>
        <v>0</v>
      </c>
      <c r="AC62" s="33"/>
      <c r="AD62" s="33"/>
      <c r="AE62" s="33">
        <f>Ruimtestaat[[#This Row],[uren / jaar weekend]]*Tariefsopbouw!$D$40</f>
        <v>0</v>
      </c>
      <c r="AF62" s="79">
        <f>Ruimtestaat[[#This Row],[Prest. (m2 /jaar) weekend]]+Ruimtestaat[[#This Row],[Prest. (m2 /jaar) werkdagen]]</f>
        <v>10908</v>
      </c>
      <c r="AG62" s="79">
        <f>Ruimtestaat[[#This Row],[uren / jaar weekend]]+Ruimtestaat[[#This Row],[uren / jaar werkdagen]]</f>
        <v>0</v>
      </c>
      <c r="AH62" s="80">
        <f>Ruimtestaat[[#This Row],[kosten / jaar weekend]]+Ruimtestaat[[#This Row],[kosten / jaar werkdagen]]</f>
        <v>0</v>
      </c>
      <c r="AI62" s="104"/>
      <c r="HM62" s="78"/>
    </row>
    <row r="63" spans="1:221" ht="15" customHeight="1">
      <c r="A63" s="119">
        <v>1</v>
      </c>
      <c r="B63" s="21" t="str">
        <f>VLOOKUP(Ruimtestaat[[#This Row],[Code]],Locaties[#All],2,FALSE)</f>
        <v>IJburg College</v>
      </c>
      <c r="C63" s="21" t="str">
        <f>VLOOKUP(Ruimtestaat[[#This Row],[Code]],Locaties[#All],4,FALSE)</f>
        <v>Pampuslaan 1</v>
      </c>
      <c r="D63" s="21" t="str">
        <f>VLOOKUP(Ruimtestaat[[#This Row],[Code]],Locaties[#All],5,FALSE)</f>
        <v>1087 HP</v>
      </c>
      <c r="E63" s="180" t="str">
        <f>VLOOKUP(Ruimtestaat[[#This Row],[Code]],Locaties[#All],6,FALSE)</f>
        <v>Amsterdam</v>
      </c>
      <c r="F63" s="180"/>
      <c r="G63" s="195" t="s">
        <v>513</v>
      </c>
      <c r="H63" s="195" t="s">
        <v>864</v>
      </c>
      <c r="I63" s="180" t="s">
        <v>500</v>
      </c>
      <c r="J63" s="224" t="s">
        <v>544</v>
      </c>
      <c r="K63" s="180">
        <v>8</v>
      </c>
      <c r="L63" s="224" t="str">
        <f>VLOOKUP(Ruimtestaat[[#This Row],[Ruimte code]],Ruimtegroepen[#All],2,FALSE)</f>
        <v>Multifunctionele ruimte</v>
      </c>
      <c r="M63" s="195" t="s">
        <v>111</v>
      </c>
      <c r="N63" s="180" t="s">
        <v>557</v>
      </c>
      <c r="O63" s="181">
        <v>55.8</v>
      </c>
      <c r="P63" s="193"/>
      <c r="Q63" s="223" t="str">
        <f>VLOOKUP(Ruimtestaat[[#This Row],[Ruimte code]],Ruimtegroepen[#All],4,FALSE)</f>
        <v>L  (Lesruimte)</v>
      </c>
      <c r="R63" s="194"/>
      <c r="S63" s="195">
        <v>40</v>
      </c>
      <c r="T63" s="195" t="s">
        <v>2</v>
      </c>
      <c r="U63" s="195">
        <f>IF(S63&gt;0,IF(RIGHT(Ruimtestaat[[#This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3" s="195">
        <f>IF(U63&gt;0,VLOOKUP($K63,Ruimtegroepen[],3,FALSE)*VLOOKUP($M63,Vloersoorten[],3,FALSE)*VLOOKUP($T63,Frequenties[],3,FALSE)*VLOOKUP($A63,Locaties[],3,FALSE),0)</f>
        <v>0</v>
      </c>
      <c r="W63" s="195">
        <f>Ruimtestaat[[#This Row],[Uitvoeringen werkdagen]]*Ruimtestaat[[#This Row],[Oppervlak (netto)]]</f>
        <v>11160</v>
      </c>
      <c r="X63" s="233">
        <f>IF(V63&gt;0,Ruimtestaat[[#This Row],[Prest. (m2 /jaar) werkdagen]]/Ruimtestaat[[#This Row],[Norm (m2/uur) werkdagen]],0)</f>
        <v>0</v>
      </c>
      <c r="Y63" s="234">
        <f>Ruimtestaat[[#This Row],[uren / jaar werkdagen]]*Tariefsopbouw!$D$38</f>
        <v>0</v>
      </c>
      <c r="Z63" s="33"/>
      <c r="AA63" s="33">
        <f>IF(Ruimtestaat[[#This Row],[Frequentie weekend]]&gt;0,VALUE(LEFT(Z63,1))*S63,0)</f>
        <v>0</v>
      </c>
      <c r="AB63" s="33">
        <f>IF($AA63&gt;0,VLOOKUP($K63,Ruimtegroepen[],3,FALSE)*VLOOKUP($M63,Vloersoorten[],3,FALSE)*VLOOKUP($Z63,Frequenties[],3,FALSE)*VLOOKUP(#REF!,Locaties[],3,FALSE),0)</f>
        <v>0</v>
      </c>
      <c r="AC63" s="33"/>
      <c r="AD63" s="33"/>
      <c r="AE63" s="33">
        <f>Ruimtestaat[[#This Row],[uren / jaar weekend]]*Tariefsopbouw!$D$40</f>
        <v>0</v>
      </c>
      <c r="AF63" s="79">
        <f>Ruimtestaat[[#This Row],[Prest. (m2 /jaar) weekend]]+Ruimtestaat[[#This Row],[Prest. (m2 /jaar) werkdagen]]</f>
        <v>11160</v>
      </c>
      <c r="AG63" s="79">
        <f>Ruimtestaat[[#This Row],[uren / jaar weekend]]+Ruimtestaat[[#This Row],[uren / jaar werkdagen]]</f>
        <v>0</v>
      </c>
      <c r="AH63" s="80">
        <f>Ruimtestaat[[#This Row],[kosten / jaar weekend]]+Ruimtestaat[[#This Row],[kosten / jaar werkdagen]]</f>
        <v>0</v>
      </c>
      <c r="AI63" s="104"/>
      <c r="HM63" s="78"/>
    </row>
    <row r="64" spans="1:221" ht="15" customHeight="1">
      <c r="A64" s="119">
        <v>1</v>
      </c>
      <c r="B64" s="21" t="str">
        <f>VLOOKUP(Ruimtestaat[[#This Row],[Code]],Locaties[#All],2,FALSE)</f>
        <v>IJburg College</v>
      </c>
      <c r="C64" s="21" t="str">
        <f>VLOOKUP(Ruimtestaat[[#This Row],[Code]],Locaties[#All],4,FALSE)</f>
        <v>Pampuslaan 1</v>
      </c>
      <c r="D64" s="21" t="str">
        <f>VLOOKUP(Ruimtestaat[[#This Row],[Code]],Locaties[#All],5,FALSE)</f>
        <v>1087 HP</v>
      </c>
      <c r="E64" s="180" t="str">
        <f>VLOOKUP(Ruimtestaat[[#This Row],[Code]],Locaties[#All],6,FALSE)</f>
        <v>Amsterdam</v>
      </c>
      <c r="F64" s="180"/>
      <c r="G64" s="195" t="s">
        <v>513</v>
      </c>
      <c r="H64" s="195" t="s">
        <v>865</v>
      </c>
      <c r="I64" s="180" t="s">
        <v>501</v>
      </c>
      <c r="J64" s="224" t="s">
        <v>550</v>
      </c>
      <c r="K64" s="180">
        <v>4</v>
      </c>
      <c r="L64" s="224" t="str">
        <f>VLOOKUP(Ruimtestaat[[#This Row],[Ruimte code]],Ruimtegroepen[#All],2,FALSE)</f>
        <v>Vergader/spreekkamers</v>
      </c>
      <c r="M64" s="195" t="s">
        <v>111</v>
      </c>
      <c r="N64" s="180" t="s">
        <v>557</v>
      </c>
      <c r="O64" s="181">
        <v>34.1</v>
      </c>
      <c r="P64" s="193"/>
      <c r="Q64" s="223" t="str">
        <f>VLOOKUP(Ruimtestaat[[#This Row],[Ruimte code]],Ruimtegroepen[#All],4,FALSE)</f>
        <v>B  (Bureauruimte)</v>
      </c>
      <c r="R64" s="194"/>
      <c r="S64" s="195">
        <v>40</v>
      </c>
      <c r="T64" s="195" t="s">
        <v>2</v>
      </c>
      <c r="U64" s="195">
        <f>IF(S64&gt;0,IF(RIGHT(Ruimtestaat[[#This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4" s="195">
        <f>IF(U64&gt;0,VLOOKUP($K64,Ruimtegroepen[],3,FALSE)*VLOOKUP($M64,Vloersoorten[],3,FALSE)*VLOOKUP($T64,Frequenties[],3,FALSE)*VLOOKUP($A64,Locaties[],3,FALSE),0)</f>
        <v>0</v>
      </c>
      <c r="W64" s="195">
        <f>Ruimtestaat[[#This Row],[Uitvoeringen werkdagen]]*Ruimtestaat[[#This Row],[Oppervlak (netto)]]</f>
        <v>6820</v>
      </c>
      <c r="X64" s="233">
        <f>IF(V64&gt;0,Ruimtestaat[[#This Row],[Prest. (m2 /jaar) werkdagen]]/Ruimtestaat[[#This Row],[Norm (m2/uur) werkdagen]],0)</f>
        <v>0</v>
      </c>
      <c r="Y64" s="234">
        <f>Ruimtestaat[[#This Row],[uren / jaar werkdagen]]*Tariefsopbouw!$D$38</f>
        <v>0</v>
      </c>
      <c r="Z64" s="33"/>
      <c r="AA64" s="33">
        <f>IF(Ruimtestaat[[#This Row],[Frequentie weekend]]&gt;0,VALUE(LEFT(Z64,1))*S64,0)</f>
        <v>0</v>
      </c>
      <c r="AB64" s="33">
        <f>IF($AA64&gt;0,VLOOKUP($K64,Ruimtegroepen[],3,FALSE)*VLOOKUP($M64,Vloersoorten[],3,FALSE)*VLOOKUP($Z64,Frequenties[],3,FALSE)*VLOOKUP(#REF!,Locaties[],3,FALSE),0)</f>
        <v>0</v>
      </c>
      <c r="AC64" s="33"/>
      <c r="AD64" s="33"/>
      <c r="AE64" s="33">
        <f>Ruimtestaat[[#This Row],[uren / jaar weekend]]*Tariefsopbouw!$D$40</f>
        <v>0</v>
      </c>
      <c r="AF64" s="79">
        <f>Ruimtestaat[[#This Row],[Prest. (m2 /jaar) weekend]]+Ruimtestaat[[#This Row],[Prest. (m2 /jaar) werkdagen]]</f>
        <v>6820</v>
      </c>
      <c r="AG64" s="79">
        <f>Ruimtestaat[[#This Row],[uren / jaar weekend]]+Ruimtestaat[[#This Row],[uren / jaar werkdagen]]</f>
        <v>0</v>
      </c>
      <c r="AH64" s="80">
        <f>Ruimtestaat[[#This Row],[kosten / jaar weekend]]+Ruimtestaat[[#This Row],[kosten / jaar werkdagen]]</f>
        <v>0</v>
      </c>
      <c r="AI64" s="104"/>
      <c r="HM64" s="78"/>
    </row>
    <row r="65" spans="1:221" ht="15" customHeight="1">
      <c r="A65" s="119">
        <v>1</v>
      </c>
      <c r="B65" s="21" t="str">
        <f>VLOOKUP(Ruimtestaat[[#This Row],[Code]],Locaties[#All],2,FALSE)</f>
        <v>IJburg College</v>
      </c>
      <c r="C65" s="21" t="str">
        <f>VLOOKUP(Ruimtestaat[[#This Row],[Code]],Locaties[#All],4,FALSE)</f>
        <v>Pampuslaan 1</v>
      </c>
      <c r="D65" s="21" t="str">
        <f>VLOOKUP(Ruimtestaat[[#This Row],[Code]],Locaties[#All],5,FALSE)</f>
        <v>1087 HP</v>
      </c>
      <c r="E65" s="180" t="str">
        <f>VLOOKUP(Ruimtestaat[[#This Row],[Code]],Locaties[#All],6,FALSE)</f>
        <v>Amsterdam</v>
      </c>
      <c r="F65" s="180"/>
      <c r="G65" s="195" t="s">
        <v>513</v>
      </c>
      <c r="H65" s="195" t="s">
        <v>866</v>
      </c>
      <c r="I65" s="180" t="s">
        <v>502</v>
      </c>
      <c r="J65" s="224" t="s">
        <v>551</v>
      </c>
      <c r="K65" s="180">
        <v>2</v>
      </c>
      <c r="L65" s="224" t="str">
        <f>VLOOKUP(Ruimtestaat[[#This Row],[Ruimte code]],Ruimtegroepen[#All],2,FALSE)</f>
        <v>Kantoren</v>
      </c>
      <c r="M65" s="195" t="s">
        <v>110</v>
      </c>
      <c r="N65" s="180" t="s">
        <v>556</v>
      </c>
      <c r="O65" s="181">
        <v>20</v>
      </c>
      <c r="P65" s="193"/>
      <c r="Q65" s="223" t="str">
        <f>VLOOKUP(Ruimtestaat[[#This Row],[Ruimte code]],Ruimtegroepen[#All],4,FALSE)</f>
        <v>B  (Bureauruimte)</v>
      </c>
      <c r="R65" s="194"/>
      <c r="S65" s="195">
        <v>40</v>
      </c>
      <c r="T65" s="195" t="s">
        <v>17</v>
      </c>
      <c r="U65" s="195">
        <f>IF(S65&gt;0,IF(RIGHT(Ruimtestaat[[#This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65" s="195">
        <f>IF(U65&gt;0,VLOOKUP($K65,Ruimtegroepen[],3,FALSE)*VLOOKUP($M65,Vloersoorten[],3,FALSE)*VLOOKUP($T65,Frequenties[],3,FALSE)*VLOOKUP($A65,Locaties[],3,FALSE),0)</f>
        <v>0</v>
      </c>
      <c r="W65" s="195">
        <f>Ruimtestaat[[#This Row],[Uitvoeringen werkdagen]]*Ruimtestaat[[#This Row],[Oppervlak (netto)]]</f>
        <v>1600</v>
      </c>
      <c r="X65" s="233">
        <f>IF(V65&gt;0,Ruimtestaat[[#This Row],[Prest. (m2 /jaar) werkdagen]]/Ruimtestaat[[#This Row],[Norm (m2/uur) werkdagen]],0)</f>
        <v>0</v>
      </c>
      <c r="Y65" s="234">
        <f>Ruimtestaat[[#This Row],[uren / jaar werkdagen]]*Tariefsopbouw!$D$38</f>
        <v>0</v>
      </c>
      <c r="Z65" s="33"/>
      <c r="AA65" s="33">
        <f>IF(Ruimtestaat[[#This Row],[Frequentie weekend]]&gt;0,VALUE(LEFT(Z65,1))*S65,0)</f>
        <v>0</v>
      </c>
      <c r="AB65" s="33">
        <f>IF($AA65&gt;0,VLOOKUP($K65,Ruimtegroepen[],3,FALSE)*VLOOKUP($M65,Vloersoorten[],3,FALSE)*VLOOKUP($Z65,Frequenties[],3,FALSE)*VLOOKUP(#REF!,Locaties[],3,FALSE),0)</f>
        <v>0</v>
      </c>
      <c r="AC65" s="33"/>
      <c r="AD65" s="33"/>
      <c r="AE65" s="33">
        <f>Ruimtestaat[[#This Row],[uren / jaar weekend]]*Tariefsopbouw!$D$40</f>
        <v>0</v>
      </c>
      <c r="AF65" s="79">
        <f>Ruimtestaat[[#This Row],[Prest. (m2 /jaar) weekend]]+Ruimtestaat[[#This Row],[Prest. (m2 /jaar) werkdagen]]</f>
        <v>1600</v>
      </c>
      <c r="AG65" s="79">
        <f>Ruimtestaat[[#This Row],[uren / jaar weekend]]+Ruimtestaat[[#This Row],[uren / jaar werkdagen]]</f>
        <v>0</v>
      </c>
      <c r="AH65" s="80">
        <f>Ruimtestaat[[#This Row],[kosten / jaar weekend]]+Ruimtestaat[[#This Row],[kosten / jaar werkdagen]]</f>
        <v>0</v>
      </c>
      <c r="AI65" s="104"/>
      <c r="HM65" s="78"/>
    </row>
    <row r="66" spans="1:221" ht="15" customHeight="1">
      <c r="A66" s="119">
        <v>1</v>
      </c>
      <c r="B66" s="21" t="str">
        <f>VLOOKUP(Ruimtestaat[[#This Row],[Code]],Locaties[#All],2,FALSE)</f>
        <v>IJburg College</v>
      </c>
      <c r="C66" s="21" t="str">
        <f>VLOOKUP(Ruimtestaat[[#This Row],[Code]],Locaties[#All],4,FALSE)</f>
        <v>Pampuslaan 1</v>
      </c>
      <c r="D66" s="21" t="str">
        <f>VLOOKUP(Ruimtestaat[[#This Row],[Code]],Locaties[#All],5,FALSE)</f>
        <v>1087 HP</v>
      </c>
      <c r="E66" s="180" t="str">
        <f>VLOOKUP(Ruimtestaat[[#This Row],[Code]],Locaties[#All],6,FALSE)</f>
        <v>Amsterdam</v>
      </c>
      <c r="F66" s="180"/>
      <c r="G66" s="195" t="s">
        <v>513</v>
      </c>
      <c r="H66" s="195" t="s">
        <v>867</v>
      </c>
      <c r="I66" s="180" t="s">
        <v>503</v>
      </c>
      <c r="J66" s="224" t="s">
        <v>552</v>
      </c>
      <c r="K66" s="180">
        <v>9</v>
      </c>
      <c r="L66" s="224" t="str">
        <f>VLOOKUP(Ruimtestaat[[#This Row],[Ruimte code]],Ruimtegroepen[#All],2,FALSE)</f>
        <v>Garderobe</v>
      </c>
      <c r="M66" s="195" t="s">
        <v>111</v>
      </c>
      <c r="N66" s="180" t="s">
        <v>557</v>
      </c>
      <c r="O66" s="181">
        <v>390</v>
      </c>
      <c r="P66" s="193"/>
      <c r="Q66" s="223" t="str">
        <f>VLOOKUP(Ruimtestaat[[#This Row],[Ruimte code]],Ruimtegroepen[#All],4,FALSE)</f>
        <v>V  (Verkeersruimte)</v>
      </c>
      <c r="R66" s="194"/>
      <c r="S66" s="195">
        <v>40</v>
      </c>
      <c r="T66" s="195" t="s">
        <v>2</v>
      </c>
      <c r="U66" s="195">
        <f>IF(S66&gt;0,IF(RIGHT(Ruimtestaat[[#This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6" s="195">
        <f>IF(U66&gt;0,VLOOKUP($K66,Ruimtegroepen[],3,FALSE)*VLOOKUP($M66,Vloersoorten[],3,FALSE)*VLOOKUP($T66,Frequenties[],3,FALSE)*VLOOKUP($A66,Locaties[],3,FALSE),0)</f>
        <v>0</v>
      </c>
      <c r="W66" s="195">
        <f>Ruimtestaat[[#This Row],[Uitvoeringen werkdagen]]*Ruimtestaat[[#This Row],[Oppervlak (netto)]]</f>
        <v>78000</v>
      </c>
      <c r="X66" s="233">
        <f>IF(V66&gt;0,Ruimtestaat[[#This Row],[Prest. (m2 /jaar) werkdagen]]/Ruimtestaat[[#This Row],[Norm (m2/uur) werkdagen]],0)</f>
        <v>0</v>
      </c>
      <c r="Y66" s="234">
        <f>Ruimtestaat[[#This Row],[uren / jaar werkdagen]]*Tariefsopbouw!$D$38</f>
        <v>0</v>
      </c>
      <c r="Z66" s="33"/>
      <c r="AA66" s="33">
        <f>IF(Ruimtestaat[[#This Row],[Frequentie weekend]]&gt;0,VALUE(LEFT(Z66,1))*S66,0)</f>
        <v>0</v>
      </c>
      <c r="AB66" s="33">
        <f>IF($AA66&gt;0,VLOOKUP($K66,Ruimtegroepen[],3,FALSE)*VLOOKUP($M66,Vloersoorten[],3,FALSE)*VLOOKUP($Z66,Frequenties[],3,FALSE)*VLOOKUP(#REF!,Locaties[],3,FALSE),0)</f>
        <v>0</v>
      </c>
      <c r="AC66" s="33"/>
      <c r="AD66" s="33"/>
      <c r="AE66" s="33">
        <f>Ruimtestaat[[#This Row],[uren / jaar weekend]]*Tariefsopbouw!$D$40</f>
        <v>0</v>
      </c>
      <c r="AF66" s="79">
        <f>Ruimtestaat[[#This Row],[Prest. (m2 /jaar) weekend]]+Ruimtestaat[[#This Row],[Prest. (m2 /jaar) werkdagen]]</f>
        <v>78000</v>
      </c>
      <c r="AG66" s="79">
        <f>Ruimtestaat[[#This Row],[uren / jaar weekend]]+Ruimtestaat[[#This Row],[uren / jaar werkdagen]]</f>
        <v>0</v>
      </c>
      <c r="AH66" s="80">
        <f>Ruimtestaat[[#This Row],[kosten / jaar weekend]]+Ruimtestaat[[#This Row],[kosten / jaar werkdagen]]</f>
        <v>0</v>
      </c>
      <c r="AI66" s="104"/>
      <c r="HM66" s="78"/>
    </row>
    <row r="67" spans="1:221" ht="15" customHeight="1">
      <c r="A67" s="119">
        <v>1</v>
      </c>
      <c r="B67" s="21" t="str">
        <f>VLOOKUP(Ruimtestaat[[#This Row],[Code]],Locaties[#All],2,FALSE)</f>
        <v>IJburg College</v>
      </c>
      <c r="C67" s="21" t="str">
        <f>VLOOKUP(Ruimtestaat[[#This Row],[Code]],Locaties[#All],4,FALSE)</f>
        <v>Pampuslaan 1</v>
      </c>
      <c r="D67" s="21" t="str">
        <f>VLOOKUP(Ruimtestaat[[#This Row],[Code]],Locaties[#All],5,FALSE)</f>
        <v>1087 HP</v>
      </c>
      <c r="E67" s="180" t="str">
        <f>VLOOKUP(Ruimtestaat[[#This Row],[Code]],Locaties[#All],6,FALSE)</f>
        <v>Amsterdam</v>
      </c>
      <c r="F67" s="180"/>
      <c r="G67" s="195" t="s">
        <v>513</v>
      </c>
      <c r="H67" s="195" t="s">
        <v>868</v>
      </c>
      <c r="I67" s="180" t="s">
        <v>504</v>
      </c>
      <c r="J67" s="224" t="s">
        <v>550</v>
      </c>
      <c r="K67" s="180">
        <v>4</v>
      </c>
      <c r="L67" s="224" t="str">
        <f>VLOOKUP(Ruimtestaat[[#This Row],[Ruimte code]],Ruimtegroepen[#All],2,FALSE)</f>
        <v>Vergader/spreekkamers</v>
      </c>
      <c r="M67" s="195" t="s">
        <v>111</v>
      </c>
      <c r="N67" s="180" t="s">
        <v>557</v>
      </c>
      <c r="O67" s="181">
        <v>14.95</v>
      </c>
      <c r="P67" s="193"/>
      <c r="Q67" s="223" t="str">
        <f>VLOOKUP(Ruimtestaat[[#This Row],[Ruimte code]],Ruimtegroepen[#All],4,FALSE)</f>
        <v>B  (Bureauruimte)</v>
      </c>
      <c r="R67" s="194"/>
      <c r="S67" s="195">
        <v>40</v>
      </c>
      <c r="T67" s="195" t="s">
        <v>2</v>
      </c>
      <c r="U67" s="195">
        <f>IF(S67&gt;0,IF(RIGHT(Ruimtestaat[[#This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7" s="195">
        <f>IF(U67&gt;0,VLOOKUP($K67,Ruimtegroepen[],3,FALSE)*VLOOKUP($M67,Vloersoorten[],3,FALSE)*VLOOKUP($T67,Frequenties[],3,FALSE)*VLOOKUP($A67,Locaties[],3,FALSE),0)</f>
        <v>0</v>
      </c>
      <c r="W67" s="195">
        <f>Ruimtestaat[[#This Row],[Uitvoeringen werkdagen]]*Ruimtestaat[[#This Row],[Oppervlak (netto)]]</f>
        <v>2990</v>
      </c>
      <c r="X67" s="233">
        <f>IF(V67&gt;0,Ruimtestaat[[#This Row],[Prest. (m2 /jaar) werkdagen]]/Ruimtestaat[[#This Row],[Norm (m2/uur) werkdagen]],0)</f>
        <v>0</v>
      </c>
      <c r="Y67" s="234">
        <f>Ruimtestaat[[#This Row],[uren / jaar werkdagen]]*Tariefsopbouw!$D$38</f>
        <v>0</v>
      </c>
      <c r="Z67" s="33"/>
      <c r="AA67" s="33">
        <f>IF(Ruimtestaat[[#This Row],[Frequentie weekend]]&gt;0,VALUE(LEFT(Z67,1))*S67,0)</f>
        <v>0</v>
      </c>
      <c r="AB67" s="33">
        <f>IF($AA67&gt;0,VLOOKUP($K67,Ruimtegroepen[],3,FALSE)*VLOOKUP($M67,Vloersoorten[],3,FALSE)*VLOOKUP($Z67,Frequenties[],3,FALSE)*VLOOKUP(#REF!,Locaties[],3,FALSE),0)</f>
        <v>0</v>
      </c>
      <c r="AC67" s="33"/>
      <c r="AD67" s="33"/>
      <c r="AE67" s="33">
        <f>Ruimtestaat[[#This Row],[uren / jaar weekend]]*Tariefsopbouw!$D$40</f>
        <v>0</v>
      </c>
      <c r="AF67" s="79">
        <f>Ruimtestaat[[#This Row],[Prest. (m2 /jaar) weekend]]+Ruimtestaat[[#This Row],[Prest. (m2 /jaar) werkdagen]]</f>
        <v>2990</v>
      </c>
      <c r="AG67" s="79">
        <f>Ruimtestaat[[#This Row],[uren / jaar weekend]]+Ruimtestaat[[#This Row],[uren / jaar werkdagen]]</f>
        <v>0</v>
      </c>
      <c r="AH67" s="80">
        <f>Ruimtestaat[[#This Row],[kosten / jaar weekend]]+Ruimtestaat[[#This Row],[kosten / jaar werkdagen]]</f>
        <v>0</v>
      </c>
      <c r="AI67" s="104"/>
      <c r="HM67" s="78"/>
    </row>
    <row r="68" spans="1:221" ht="15" customHeight="1">
      <c r="A68" s="119">
        <v>1</v>
      </c>
      <c r="B68" s="21" t="str">
        <f>VLOOKUP(Ruimtestaat[[#This Row],[Code]],Locaties[#All],2,FALSE)</f>
        <v>IJburg College</v>
      </c>
      <c r="C68" s="21" t="str">
        <f>VLOOKUP(Ruimtestaat[[#This Row],[Code]],Locaties[#All],4,FALSE)</f>
        <v>Pampuslaan 1</v>
      </c>
      <c r="D68" s="21" t="str">
        <f>VLOOKUP(Ruimtestaat[[#This Row],[Code]],Locaties[#All],5,FALSE)</f>
        <v>1087 HP</v>
      </c>
      <c r="E68" s="180" t="str">
        <f>VLOOKUP(Ruimtestaat[[#This Row],[Code]],Locaties[#All],6,FALSE)</f>
        <v>Amsterdam</v>
      </c>
      <c r="F68" s="180"/>
      <c r="G68" s="195" t="s">
        <v>513</v>
      </c>
      <c r="H68" s="195" t="s">
        <v>869</v>
      </c>
      <c r="I68" s="180" t="s">
        <v>505</v>
      </c>
      <c r="J68" s="224" t="s">
        <v>550</v>
      </c>
      <c r="K68" s="180">
        <v>4</v>
      </c>
      <c r="L68" s="224" t="str">
        <f>VLOOKUP(Ruimtestaat[[#This Row],[Ruimte code]],Ruimtegroepen[#All],2,FALSE)</f>
        <v>Vergader/spreekkamers</v>
      </c>
      <c r="M68" s="195" t="s">
        <v>111</v>
      </c>
      <c r="N68" s="180" t="s">
        <v>557</v>
      </c>
      <c r="O68" s="193">
        <v>14.95</v>
      </c>
      <c r="P68" s="193"/>
      <c r="Q68" s="223" t="str">
        <f>VLOOKUP(Ruimtestaat[[#This Row],[Ruimte code]],Ruimtegroepen[#All],4,FALSE)</f>
        <v>B  (Bureauruimte)</v>
      </c>
      <c r="R68" s="194"/>
      <c r="S68" s="195">
        <v>40</v>
      </c>
      <c r="T68" s="195" t="s">
        <v>2</v>
      </c>
      <c r="U68" s="195">
        <f>IF(S68&gt;0,IF(RIGHT(Ruimtestaat[[#This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8" s="195">
        <f>IF(U68&gt;0,VLOOKUP($K68,Ruimtegroepen[],3,FALSE)*VLOOKUP($M68,Vloersoorten[],3,FALSE)*VLOOKUP($T68,Frequenties[],3,FALSE)*VLOOKUP($A68,Locaties[],3,FALSE),0)</f>
        <v>0</v>
      </c>
      <c r="W68" s="195">
        <f>Ruimtestaat[[#This Row],[Uitvoeringen werkdagen]]*Ruimtestaat[[#This Row],[Oppervlak (netto)]]</f>
        <v>2990</v>
      </c>
      <c r="X68" s="233">
        <f>IF(V68&gt;0,Ruimtestaat[[#This Row],[Prest. (m2 /jaar) werkdagen]]/Ruimtestaat[[#This Row],[Norm (m2/uur) werkdagen]],0)</f>
        <v>0</v>
      </c>
      <c r="Y68" s="234">
        <f>Ruimtestaat[[#This Row],[uren / jaar werkdagen]]*Tariefsopbouw!$D$38</f>
        <v>0</v>
      </c>
      <c r="Z68" s="33"/>
      <c r="AA68" s="33">
        <f>IF(Ruimtestaat[[#This Row],[Frequentie weekend]]&gt;0,VALUE(LEFT(Z68,1))*S68,0)</f>
        <v>0</v>
      </c>
      <c r="AB68" s="33">
        <f>IF($AA68&gt;0,VLOOKUP($K68,Ruimtegroepen[],3,FALSE)*VLOOKUP($M68,Vloersoorten[],3,FALSE)*VLOOKUP($Z68,Frequenties[],3,FALSE)*VLOOKUP(#REF!,Locaties[],3,FALSE),0)</f>
        <v>0</v>
      </c>
      <c r="AC68" s="33"/>
      <c r="AD68" s="33"/>
      <c r="AE68" s="33">
        <f>Ruimtestaat[[#This Row],[uren / jaar weekend]]*Tariefsopbouw!$D$40</f>
        <v>0</v>
      </c>
      <c r="AF68" s="79">
        <f>Ruimtestaat[[#This Row],[Prest. (m2 /jaar) weekend]]+Ruimtestaat[[#This Row],[Prest. (m2 /jaar) werkdagen]]</f>
        <v>2990</v>
      </c>
      <c r="AG68" s="79">
        <f>Ruimtestaat[[#This Row],[uren / jaar weekend]]+Ruimtestaat[[#This Row],[uren / jaar werkdagen]]</f>
        <v>0</v>
      </c>
      <c r="AH68" s="80">
        <f>Ruimtestaat[[#This Row],[kosten / jaar weekend]]+Ruimtestaat[[#This Row],[kosten / jaar werkdagen]]</f>
        <v>0</v>
      </c>
      <c r="AI68" s="104"/>
      <c r="HM68" s="78"/>
    </row>
    <row r="69" spans="1:221" ht="15" customHeight="1">
      <c r="A69" s="119">
        <v>1</v>
      </c>
      <c r="B69" s="21" t="str">
        <f>VLOOKUP(Ruimtestaat[[#This Row],[Code]],Locaties[#All],2,FALSE)</f>
        <v>IJburg College</v>
      </c>
      <c r="C69" s="21" t="str">
        <f>VLOOKUP(Ruimtestaat[[#This Row],[Code]],Locaties[#All],4,FALSE)</f>
        <v>Pampuslaan 1</v>
      </c>
      <c r="D69" s="21" t="str">
        <f>VLOOKUP(Ruimtestaat[[#This Row],[Code]],Locaties[#All],5,FALSE)</f>
        <v>1087 HP</v>
      </c>
      <c r="E69" s="180" t="str">
        <f>VLOOKUP(Ruimtestaat[[#This Row],[Code]],Locaties[#All],6,FALSE)</f>
        <v>Amsterdam</v>
      </c>
      <c r="F69" s="180"/>
      <c r="G69" s="195" t="s">
        <v>513</v>
      </c>
      <c r="H69" s="195" t="s">
        <v>870</v>
      </c>
      <c r="I69" s="180" t="s">
        <v>506</v>
      </c>
      <c r="J69" s="224" t="s">
        <v>544</v>
      </c>
      <c r="K69" s="180">
        <v>8</v>
      </c>
      <c r="L69" s="224" t="str">
        <f>VLOOKUP(Ruimtestaat[[#This Row],[Ruimte code]],Ruimtegroepen[#All],2,FALSE)</f>
        <v>Multifunctionele ruimte</v>
      </c>
      <c r="M69" s="195" t="s">
        <v>111</v>
      </c>
      <c r="N69" s="180" t="s">
        <v>557</v>
      </c>
      <c r="O69" s="181">
        <v>62.14</v>
      </c>
      <c r="P69" s="193"/>
      <c r="Q69" s="223" t="str">
        <f>VLOOKUP(Ruimtestaat[[#This Row],[Ruimte code]],Ruimtegroepen[#All],4,FALSE)</f>
        <v>L  (Lesruimte)</v>
      </c>
      <c r="R69" s="194"/>
      <c r="S69" s="195">
        <v>40</v>
      </c>
      <c r="T69" s="195" t="s">
        <v>2</v>
      </c>
      <c r="U69" s="195">
        <f>IF(S69&gt;0,IF(RIGHT(Ruimtestaat[[#This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9" s="195">
        <f>IF(U69&gt;0,VLOOKUP($K69,Ruimtegroepen[],3,FALSE)*VLOOKUP($M69,Vloersoorten[],3,FALSE)*VLOOKUP($T69,Frequenties[],3,FALSE)*VLOOKUP($A69,Locaties[],3,FALSE),0)</f>
        <v>0</v>
      </c>
      <c r="W69" s="195">
        <f>Ruimtestaat[[#This Row],[Uitvoeringen werkdagen]]*Ruimtestaat[[#This Row],[Oppervlak (netto)]]</f>
        <v>12428</v>
      </c>
      <c r="X69" s="233">
        <f>IF(V69&gt;0,Ruimtestaat[[#This Row],[Prest. (m2 /jaar) werkdagen]]/Ruimtestaat[[#This Row],[Norm (m2/uur) werkdagen]],0)</f>
        <v>0</v>
      </c>
      <c r="Y69" s="234">
        <f>Ruimtestaat[[#This Row],[uren / jaar werkdagen]]*Tariefsopbouw!$D$38</f>
        <v>0</v>
      </c>
      <c r="Z69" s="33"/>
      <c r="AA69" s="33">
        <f>IF(Ruimtestaat[[#This Row],[Frequentie weekend]]&gt;0,VALUE(LEFT(Z69,1))*S69,0)</f>
        <v>0</v>
      </c>
      <c r="AB69" s="33">
        <f>IF($AA69&gt;0,VLOOKUP($K69,Ruimtegroepen[],3,FALSE)*VLOOKUP($M69,Vloersoorten[],3,FALSE)*VLOOKUP($Z69,Frequenties[],3,FALSE)*VLOOKUP(#REF!,Locaties[],3,FALSE),0)</f>
        <v>0</v>
      </c>
      <c r="AC69" s="33"/>
      <c r="AD69" s="33"/>
      <c r="AE69" s="33">
        <f>Ruimtestaat[[#This Row],[uren / jaar weekend]]*Tariefsopbouw!$D$40</f>
        <v>0</v>
      </c>
      <c r="AF69" s="79">
        <f>Ruimtestaat[[#This Row],[Prest. (m2 /jaar) weekend]]+Ruimtestaat[[#This Row],[Prest. (m2 /jaar) werkdagen]]</f>
        <v>12428</v>
      </c>
      <c r="AG69" s="79">
        <f>Ruimtestaat[[#This Row],[uren / jaar weekend]]+Ruimtestaat[[#This Row],[uren / jaar werkdagen]]</f>
        <v>0</v>
      </c>
      <c r="AH69" s="80">
        <f>Ruimtestaat[[#This Row],[kosten / jaar weekend]]+Ruimtestaat[[#This Row],[kosten / jaar werkdagen]]</f>
        <v>0</v>
      </c>
      <c r="AI69" s="104"/>
      <c r="HM69" s="78"/>
    </row>
    <row r="70" spans="1:221" ht="15" customHeight="1">
      <c r="A70" s="119">
        <v>1</v>
      </c>
      <c r="B70" s="21" t="str">
        <f>VLOOKUP(Ruimtestaat[[#This Row],[Code]],Locaties[#All],2,FALSE)</f>
        <v>IJburg College</v>
      </c>
      <c r="C70" s="21" t="str">
        <f>VLOOKUP(Ruimtestaat[[#This Row],[Code]],Locaties[#All],4,FALSE)</f>
        <v>Pampuslaan 1</v>
      </c>
      <c r="D70" s="21" t="str">
        <f>VLOOKUP(Ruimtestaat[[#This Row],[Code]],Locaties[#All],5,FALSE)</f>
        <v>1087 HP</v>
      </c>
      <c r="E70" s="180" t="str">
        <f>VLOOKUP(Ruimtestaat[[#This Row],[Code]],Locaties[#All],6,FALSE)</f>
        <v>Amsterdam</v>
      </c>
      <c r="F70" s="180"/>
      <c r="G70" s="195" t="s">
        <v>513</v>
      </c>
      <c r="H70" s="195" t="s">
        <v>871</v>
      </c>
      <c r="I70" s="180" t="s">
        <v>507</v>
      </c>
      <c r="J70" s="224" t="s">
        <v>544</v>
      </c>
      <c r="K70" s="180">
        <v>8</v>
      </c>
      <c r="L70" s="224" t="str">
        <f>VLOOKUP(Ruimtestaat[[#This Row],[Ruimte code]],Ruimtegroepen[#All],2,FALSE)</f>
        <v>Multifunctionele ruimte</v>
      </c>
      <c r="M70" s="195" t="s">
        <v>111</v>
      </c>
      <c r="N70" s="180" t="s">
        <v>557</v>
      </c>
      <c r="O70" s="181">
        <v>65.540000000000006</v>
      </c>
      <c r="P70" s="193"/>
      <c r="Q70" s="223" t="str">
        <f>VLOOKUP(Ruimtestaat[[#This Row],[Ruimte code]],Ruimtegroepen[#All],4,FALSE)</f>
        <v>L  (Lesruimte)</v>
      </c>
      <c r="R70" s="194"/>
      <c r="S70" s="195">
        <v>40</v>
      </c>
      <c r="T70" s="195" t="s">
        <v>2</v>
      </c>
      <c r="U70" s="195">
        <f>IF(S70&gt;0,IF(RIGHT(Ruimtestaat[[#This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0" s="195">
        <f>IF(U70&gt;0,VLOOKUP($K70,Ruimtegroepen[],3,FALSE)*VLOOKUP($M70,Vloersoorten[],3,FALSE)*VLOOKUP($T70,Frequenties[],3,FALSE)*VLOOKUP($A70,Locaties[],3,FALSE),0)</f>
        <v>0</v>
      </c>
      <c r="W70" s="195">
        <f>Ruimtestaat[[#This Row],[Uitvoeringen werkdagen]]*Ruimtestaat[[#This Row],[Oppervlak (netto)]]</f>
        <v>13108.000000000002</v>
      </c>
      <c r="X70" s="233">
        <f>IF(V70&gt;0,Ruimtestaat[[#This Row],[Prest. (m2 /jaar) werkdagen]]/Ruimtestaat[[#This Row],[Norm (m2/uur) werkdagen]],0)</f>
        <v>0</v>
      </c>
      <c r="Y70" s="234">
        <f>Ruimtestaat[[#This Row],[uren / jaar werkdagen]]*Tariefsopbouw!$D$38</f>
        <v>0</v>
      </c>
      <c r="Z70" s="33"/>
      <c r="AA70" s="33">
        <f>IF(Ruimtestaat[[#This Row],[Frequentie weekend]]&gt;0,VALUE(LEFT(Z70,1))*S70,0)</f>
        <v>0</v>
      </c>
      <c r="AB70" s="33">
        <f>IF($AA70&gt;0,VLOOKUP($K70,Ruimtegroepen[],3,FALSE)*VLOOKUP($M70,Vloersoorten[],3,FALSE)*VLOOKUP($Z70,Frequenties[],3,FALSE)*VLOOKUP(#REF!,Locaties[],3,FALSE),0)</f>
        <v>0</v>
      </c>
      <c r="AC70" s="33"/>
      <c r="AD70" s="33"/>
      <c r="AE70" s="33">
        <f>Ruimtestaat[[#This Row],[uren / jaar weekend]]*Tariefsopbouw!$D$40</f>
        <v>0</v>
      </c>
      <c r="AF70" s="79">
        <f>Ruimtestaat[[#This Row],[Prest. (m2 /jaar) weekend]]+Ruimtestaat[[#This Row],[Prest. (m2 /jaar) werkdagen]]</f>
        <v>13108.000000000002</v>
      </c>
      <c r="AG70" s="79">
        <f>Ruimtestaat[[#This Row],[uren / jaar weekend]]+Ruimtestaat[[#This Row],[uren / jaar werkdagen]]</f>
        <v>0</v>
      </c>
      <c r="AH70" s="80">
        <f>Ruimtestaat[[#This Row],[kosten / jaar weekend]]+Ruimtestaat[[#This Row],[kosten / jaar werkdagen]]</f>
        <v>0</v>
      </c>
      <c r="AI70" s="104"/>
      <c r="HM70" s="78"/>
    </row>
    <row r="71" spans="1:221" ht="15" customHeight="1">
      <c r="A71" s="119">
        <v>1</v>
      </c>
      <c r="B71" s="21" t="str">
        <f>VLOOKUP(Ruimtestaat[[#This Row],[Code]],Locaties[#All],2,FALSE)</f>
        <v>IJburg College</v>
      </c>
      <c r="C71" s="21" t="str">
        <f>VLOOKUP(Ruimtestaat[[#This Row],[Code]],Locaties[#All],4,FALSE)</f>
        <v>Pampuslaan 1</v>
      </c>
      <c r="D71" s="21" t="str">
        <f>VLOOKUP(Ruimtestaat[[#This Row],[Code]],Locaties[#All],5,FALSE)</f>
        <v>1087 HP</v>
      </c>
      <c r="E71" s="180" t="str">
        <f>VLOOKUP(Ruimtestaat[[#This Row],[Code]],Locaties[#All],6,FALSE)</f>
        <v>Amsterdam</v>
      </c>
      <c r="F71" s="180"/>
      <c r="G71" s="195" t="s">
        <v>513</v>
      </c>
      <c r="H71" s="195" t="s">
        <v>872</v>
      </c>
      <c r="I71" s="180" t="s">
        <v>508</v>
      </c>
      <c r="J71" s="224" t="s">
        <v>550</v>
      </c>
      <c r="K71" s="180">
        <v>4</v>
      </c>
      <c r="L71" s="224" t="str">
        <f>VLOOKUP(Ruimtestaat[[#This Row],[Ruimte code]],Ruimtegroepen[#All],2,FALSE)</f>
        <v>Vergader/spreekkamers</v>
      </c>
      <c r="M71" s="195" t="s">
        <v>111</v>
      </c>
      <c r="N71" s="180" t="s">
        <v>557</v>
      </c>
      <c r="O71" s="181">
        <v>17.95</v>
      </c>
      <c r="P71" s="193"/>
      <c r="Q71" s="223" t="str">
        <f>VLOOKUP(Ruimtestaat[[#This Row],[Ruimte code]],Ruimtegroepen[#All],4,FALSE)</f>
        <v>B  (Bureauruimte)</v>
      </c>
      <c r="R71" s="194"/>
      <c r="S71" s="195">
        <v>40</v>
      </c>
      <c r="T71" s="195" t="s">
        <v>2</v>
      </c>
      <c r="U71" s="195">
        <f>IF(S71&gt;0,IF(RIGHT(Ruimtestaat[[#This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1" s="195">
        <f>IF(U71&gt;0,VLOOKUP($K71,Ruimtegroepen[],3,FALSE)*VLOOKUP($M71,Vloersoorten[],3,FALSE)*VLOOKUP($T71,Frequenties[],3,FALSE)*VLOOKUP($A71,Locaties[],3,FALSE),0)</f>
        <v>0</v>
      </c>
      <c r="W71" s="195">
        <f>Ruimtestaat[[#This Row],[Uitvoeringen werkdagen]]*Ruimtestaat[[#This Row],[Oppervlak (netto)]]</f>
        <v>3590</v>
      </c>
      <c r="X71" s="233">
        <f>IF(V71&gt;0,Ruimtestaat[[#This Row],[Prest. (m2 /jaar) werkdagen]]/Ruimtestaat[[#This Row],[Norm (m2/uur) werkdagen]],0)</f>
        <v>0</v>
      </c>
      <c r="Y71" s="234">
        <f>Ruimtestaat[[#This Row],[uren / jaar werkdagen]]*Tariefsopbouw!$D$38</f>
        <v>0</v>
      </c>
      <c r="Z71" s="33"/>
      <c r="AA71" s="33">
        <f>IF(Ruimtestaat[[#This Row],[Frequentie weekend]]&gt;0,VALUE(LEFT(Z71,1))*S71,0)</f>
        <v>0</v>
      </c>
      <c r="AB71" s="33">
        <f>IF($AA71&gt;0,VLOOKUP($K71,Ruimtegroepen[],3,FALSE)*VLOOKUP($M71,Vloersoorten[],3,FALSE)*VLOOKUP($Z71,Frequenties[],3,FALSE)*VLOOKUP(#REF!,Locaties[],3,FALSE),0)</f>
        <v>0</v>
      </c>
      <c r="AC71" s="33"/>
      <c r="AD71" s="33"/>
      <c r="AE71" s="33">
        <f>Ruimtestaat[[#This Row],[uren / jaar weekend]]*Tariefsopbouw!$D$40</f>
        <v>0</v>
      </c>
      <c r="AF71" s="79">
        <f>Ruimtestaat[[#This Row],[Prest. (m2 /jaar) weekend]]+Ruimtestaat[[#This Row],[Prest. (m2 /jaar) werkdagen]]</f>
        <v>3590</v>
      </c>
      <c r="AG71" s="79">
        <f>Ruimtestaat[[#This Row],[uren / jaar weekend]]+Ruimtestaat[[#This Row],[uren / jaar werkdagen]]</f>
        <v>0</v>
      </c>
      <c r="AH71" s="80">
        <f>Ruimtestaat[[#This Row],[kosten / jaar weekend]]+Ruimtestaat[[#This Row],[kosten / jaar werkdagen]]</f>
        <v>0</v>
      </c>
      <c r="AI71" s="104"/>
      <c r="HM71" s="78"/>
    </row>
    <row r="72" spans="1:221" ht="15" customHeight="1">
      <c r="A72" s="119">
        <v>1</v>
      </c>
      <c r="B72" s="21" t="str">
        <f>VLOOKUP(Ruimtestaat[[#This Row],[Code]],Locaties[#All],2,FALSE)</f>
        <v>IJburg College</v>
      </c>
      <c r="C72" s="21" t="str">
        <f>VLOOKUP(Ruimtestaat[[#This Row],[Code]],Locaties[#All],4,FALSE)</f>
        <v>Pampuslaan 1</v>
      </c>
      <c r="D72" s="21" t="str">
        <f>VLOOKUP(Ruimtestaat[[#This Row],[Code]],Locaties[#All],5,FALSE)</f>
        <v>1087 HP</v>
      </c>
      <c r="E72" s="180" t="str">
        <f>VLOOKUP(Ruimtestaat[[#This Row],[Code]],Locaties[#All],6,FALSE)</f>
        <v>Amsterdam</v>
      </c>
      <c r="F72" s="180"/>
      <c r="G72" s="195" t="s">
        <v>513</v>
      </c>
      <c r="H72" s="195" t="s">
        <v>873</v>
      </c>
      <c r="I72" s="180" t="s">
        <v>509</v>
      </c>
      <c r="J72" s="224" t="s">
        <v>518</v>
      </c>
      <c r="K72" s="180">
        <v>10</v>
      </c>
      <c r="L72" s="224" t="str">
        <f>VLOOKUP(Ruimtestaat[[#This Row],[Ruimte code]],Ruimtegroepen[#All],2,FALSE)</f>
        <v>Trappenhuizen/lift</v>
      </c>
      <c r="M72" s="195" t="s">
        <v>111</v>
      </c>
      <c r="N72" s="180" t="s">
        <v>714</v>
      </c>
      <c r="O72" s="181">
        <v>32</v>
      </c>
      <c r="P72" s="193"/>
      <c r="Q72" s="223" t="str">
        <f>VLOOKUP(Ruimtestaat[[#This Row],[Ruimte code]],Ruimtegroepen[#All],4,FALSE)</f>
        <v>V  (Verkeersruimte)</v>
      </c>
      <c r="R72" s="194"/>
      <c r="S72" s="195">
        <v>40</v>
      </c>
      <c r="T72" s="195" t="s">
        <v>2</v>
      </c>
      <c r="U72" s="195">
        <f>IF(S72&gt;0,IF(RIGHT(Ruimtestaat[[#This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2" s="195">
        <f>IF(U72&gt;0,VLOOKUP($K72,Ruimtegroepen[],3,FALSE)*VLOOKUP($M72,Vloersoorten[],3,FALSE)*VLOOKUP($T72,Frequenties[],3,FALSE)*VLOOKUP($A72,Locaties[],3,FALSE),0)</f>
        <v>0</v>
      </c>
      <c r="W72" s="195">
        <f>Ruimtestaat[[#This Row],[Uitvoeringen werkdagen]]*Ruimtestaat[[#This Row],[Oppervlak (netto)]]</f>
        <v>6400</v>
      </c>
      <c r="X72" s="233">
        <f>IF(V72&gt;0,Ruimtestaat[[#This Row],[Prest. (m2 /jaar) werkdagen]]/Ruimtestaat[[#This Row],[Norm (m2/uur) werkdagen]],0)</f>
        <v>0</v>
      </c>
      <c r="Y72" s="234">
        <f>Ruimtestaat[[#This Row],[uren / jaar werkdagen]]*Tariefsopbouw!$D$38</f>
        <v>0</v>
      </c>
      <c r="Z72" s="33"/>
      <c r="AA72" s="33">
        <f>IF(Ruimtestaat[[#This Row],[Frequentie weekend]]&gt;0,VALUE(LEFT(Z72,1))*S72,0)</f>
        <v>0</v>
      </c>
      <c r="AB72" s="33">
        <f>IF($AA72&gt;0,VLOOKUP($K72,Ruimtegroepen[],3,FALSE)*VLOOKUP($M72,Vloersoorten[],3,FALSE)*VLOOKUP($Z72,Frequenties[],3,FALSE)*VLOOKUP(#REF!,Locaties[],3,FALSE),0)</f>
        <v>0</v>
      </c>
      <c r="AC72" s="33"/>
      <c r="AD72" s="33"/>
      <c r="AE72" s="33">
        <f>Ruimtestaat[[#This Row],[uren / jaar weekend]]*Tariefsopbouw!$D$40</f>
        <v>0</v>
      </c>
      <c r="AF72" s="79">
        <f>Ruimtestaat[[#This Row],[Prest. (m2 /jaar) weekend]]+Ruimtestaat[[#This Row],[Prest. (m2 /jaar) werkdagen]]</f>
        <v>6400</v>
      </c>
      <c r="AG72" s="79">
        <f>Ruimtestaat[[#This Row],[uren / jaar weekend]]+Ruimtestaat[[#This Row],[uren / jaar werkdagen]]</f>
        <v>0</v>
      </c>
      <c r="AH72" s="80">
        <f>Ruimtestaat[[#This Row],[kosten / jaar weekend]]+Ruimtestaat[[#This Row],[kosten / jaar werkdagen]]</f>
        <v>0</v>
      </c>
      <c r="AI72" s="104"/>
      <c r="HM72" s="78"/>
    </row>
    <row r="73" spans="1:221" ht="15" customHeight="1">
      <c r="A73" s="119">
        <v>1</v>
      </c>
      <c r="B73" s="21" t="str">
        <f>VLOOKUP(Ruimtestaat[[#This Row],[Code]],Locaties[#All],2,FALSE)</f>
        <v>IJburg College</v>
      </c>
      <c r="C73" s="21" t="str">
        <f>VLOOKUP(Ruimtestaat[[#This Row],[Code]],Locaties[#All],4,FALSE)</f>
        <v>Pampuslaan 1</v>
      </c>
      <c r="D73" s="21" t="str">
        <f>VLOOKUP(Ruimtestaat[[#This Row],[Code]],Locaties[#All],5,FALSE)</f>
        <v>1087 HP</v>
      </c>
      <c r="E73" s="180" t="str">
        <f>VLOOKUP(Ruimtestaat[[#This Row],[Code]],Locaties[#All],6,FALSE)</f>
        <v>Amsterdam</v>
      </c>
      <c r="F73" s="180"/>
      <c r="G73" s="195" t="s">
        <v>513</v>
      </c>
      <c r="H73" s="195" t="s">
        <v>874</v>
      </c>
      <c r="I73" s="180" t="s">
        <v>510</v>
      </c>
      <c r="J73" s="224" t="s">
        <v>553</v>
      </c>
      <c r="K73" s="180">
        <v>14</v>
      </c>
      <c r="L73" s="224" t="str">
        <f>VLOOKUP(Ruimtestaat[[#This Row],[Ruimte code]],Ruimtegroepen[#All],2,FALSE)</f>
        <v>Personeelsruimte</v>
      </c>
      <c r="M73" s="195" t="s">
        <v>111</v>
      </c>
      <c r="N73" s="180" t="s">
        <v>557</v>
      </c>
      <c r="O73" s="181">
        <v>53.5</v>
      </c>
      <c r="P73" s="193"/>
      <c r="Q73" s="223" t="str">
        <f>VLOOKUP(Ruimtestaat[[#This Row],[Ruimte code]],Ruimtegroepen[#All],4,FALSE)</f>
        <v>V  (Verkeersruimte)</v>
      </c>
      <c r="R73" s="194"/>
      <c r="S73" s="195">
        <v>40</v>
      </c>
      <c r="T73" s="195" t="s">
        <v>2</v>
      </c>
      <c r="U73" s="195">
        <f>IF(S73&gt;0,IF(RIGHT(Ruimtestaat[[#This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3" s="195">
        <f>IF(U73&gt;0,VLOOKUP($K73,Ruimtegroepen[],3,FALSE)*VLOOKUP($M73,Vloersoorten[],3,FALSE)*VLOOKUP($T73,Frequenties[],3,FALSE)*VLOOKUP($A73,Locaties[],3,FALSE),0)</f>
        <v>0</v>
      </c>
      <c r="W73" s="195">
        <f>Ruimtestaat[[#This Row],[Uitvoeringen werkdagen]]*Ruimtestaat[[#This Row],[Oppervlak (netto)]]</f>
        <v>10700</v>
      </c>
      <c r="X73" s="233">
        <f>IF(V73&gt;0,Ruimtestaat[[#This Row],[Prest. (m2 /jaar) werkdagen]]/Ruimtestaat[[#This Row],[Norm (m2/uur) werkdagen]],0)</f>
        <v>0</v>
      </c>
      <c r="Y73" s="234">
        <f>Ruimtestaat[[#This Row],[uren / jaar werkdagen]]*Tariefsopbouw!$D$38</f>
        <v>0</v>
      </c>
      <c r="Z73" s="33"/>
      <c r="AA73" s="33">
        <f>IF(Ruimtestaat[[#This Row],[Frequentie weekend]]&gt;0,VALUE(LEFT(Z73,1))*S73,0)</f>
        <v>0</v>
      </c>
      <c r="AB73" s="33">
        <f>IF($AA73&gt;0,VLOOKUP($K73,Ruimtegroepen[],3,FALSE)*VLOOKUP($M73,Vloersoorten[],3,FALSE)*VLOOKUP($Z73,Frequenties[],3,FALSE)*VLOOKUP(#REF!,Locaties[],3,FALSE),0)</f>
        <v>0</v>
      </c>
      <c r="AC73" s="33"/>
      <c r="AD73" s="33"/>
      <c r="AE73" s="33">
        <f>Ruimtestaat[[#This Row],[uren / jaar weekend]]*Tariefsopbouw!$D$40</f>
        <v>0</v>
      </c>
      <c r="AF73" s="79">
        <f>Ruimtestaat[[#This Row],[Prest. (m2 /jaar) weekend]]+Ruimtestaat[[#This Row],[Prest. (m2 /jaar) werkdagen]]</f>
        <v>10700</v>
      </c>
      <c r="AG73" s="79">
        <f>Ruimtestaat[[#This Row],[uren / jaar weekend]]+Ruimtestaat[[#This Row],[uren / jaar werkdagen]]</f>
        <v>0</v>
      </c>
      <c r="AH73" s="80">
        <f>Ruimtestaat[[#This Row],[kosten / jaar weekend]]+Ruimtestaat[[#This Row],[kosten / jaar werkdagen]]</f>
        <v>0</v>
      </c>
      <c r="AI73" s="104"/>
      <c r="HM73" s="78"/>
    </row>
    <row r="74" spans="1:221" ht="15" customHeight="1">
      <c r="A74" s="119">
        <v>1</v>
      </c>
      <c r="B74" s="21" t="str">
        <f>VLOOKUP(Ruimtestaat[[#This Row],[Code]],Locaties[#All],2,FALSE)</f>
        <v>IJburg College</v>
      </c>
      <c r="C74" s="21" t="str">
        <f>VLOOKUP(Ruimtestaat[[#This Row],[Code]],Locaties[#All],4,FALSE)</f>
        <v>Pampuslaan 1</v>
      </c>
      <c r="D74" s="21" t="str">
        <f>VLOOKUP(Ruimtestaat[[#This Row],[Code]],Locaties[#All],5,FALSE)</f>
        <v>1087 HP</v>
      </c>
      <c r="E74" s="180" t="str">
        <f>VLOOKUP(Ruimtestaat[[#This Row],[Code]],Locaties[#All],6,FALSE)</f>
        <v>Amsterdam</v>
      </c>
      <c r="F74" s="180"/>
      <c r="G74" s="195" t="s">
        <v>513</v>
      </c>
      <c r="H74" s="195" t="s">
        <v>875</v>
      </c>
      <c r="I74" s="180" t="s">
        <v>511</v>
      </c>
      <c r="J74" s="224" t="s">
        <v>544</v>
      </c>
      <c r="K74" s="180">
        <v>8</v>
      </c>
      <c r="L74" s="224" t="str">
        <f>VLOOKUP(Ruimtestaat[[#This Row],[Ruimte code]],Ruimtegroepen[#All],2,FALSE)</f>
        <v>Multifunctionele ruimte</v>
      </c>
      <c r="M74" s="195" t="s">
        <v>111</v>
      </c>
      <c r="N74" s="180" t="s">
        <v>557</v>
      </c>
      <c r="O74" s="181">
        <v>71.900000000000006</v>
      </c>
      <c r="P74" s="193"/>
      <c r="Q74" s="223" t="str">
        <f>VLOOKUP(Ruimtestaat[[#This Row],[Ruimte code]],Ruimtegroepen[#All],4,FALSE)</f>
        <v>L  (Lesruimte)</v>
      </c>
      <c r="R74" s="194"/>
      <c r="S74" s="195">
        <v>40</v>
      </c>
      <c r="T74" s="195" t="s">
        <v>2</v>
      </c>
      <c r="U74" s="195">
        <f>IF(S74&gt;0,IF(RIGHT(Ruimtestaat[[#This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4" s="195">
        <f>IF(U74&gt;0,VLOOKUP($K74,Ruimtegroepen[],3,FALSE)*VLOOKUP($M74,Vloersoorten[],3,FALSE)*VLOOKUP($T74,Frequenties[],3,FALSE)*VLOOKUP($A74,Locaties[],3,FALSE),0)</f>
        <v>0</v>
      </c>
      <c r="W74" s="195">
        <f>Ruimtestaat[[#This Row],[Uitvoeringen werkdagen]]*Ruimtestaat[[#This Row],[Oppervlak (netto)]]</f>
        <v>14380.000000000002</v>
      </c>
      <c r="X74" s="233">
        <f>IF(V74&gt;0,Ruimtestaat[[#This Row],[Prest. (m2 /jaar) werkdagen]]/Ruimtestaat[[#This Row],[Norm (m2/uur) werkdagen]],0)</f>
        <v>0</v>
      </c>
      <c r="Y74" s="234">
        <f>Ruimtestaat[[#This Row],[uren / jaar werkdagen]]*Tariefsopbouw!$D$38</f>
        <v>0</v>
      </c>
      <c r="Z74" s="33"/>
      <c r="AA74" s="33">
        <f>IF(Ruimtestaat[[#This Row],[Frequentie weekend]]&gt;0,VALUE(LEFT(Z74,1))*S74,0)</f>
        <v>0</v>
      </c>
      <c r="AB74" s="33">
        <f>IF($AA74&gt;0,VLOOKUP($K74,Ruimtegroepen[],3,FALSE)*VLOOKUP($M74,Vloersoorten[],3,FALSE)*VLOOKUP($Z74,Frequenties[],3,FALSE)*VLOOKUP(#REF!,Locaties[],3,FALSE),0)</f>
        <v>0</v>
      </c>
      <c r="AC74" s="33"/>
      <c r="AD74" s="33"/>
      <c r="AE74" s="33">
        <f>Ruimtestaat[[#This Row],[uren / jaar weekend]]*Tariefsopbouw!$D$40</f>
        <v>0</v>
      </c>
      <c r="AF74" s="79">
        <f>Ruimtestaat[[#This Row],[Prest. (m2 /jaar) weekend]]+Ruimtestaat[[#This Row],[Prest. (m2 /jaar) werkdagen]]</f>
        <v>14380.000000000002</v>
      </c>
      <c r="AG74" s="79">
        <f>Ruimtestaat[[#This Row],[uren / jaar weekend]]+Ruimtestaat[[#This Row],[uren / jaar werkdagen]]</f>
        <v>0</v>
      </c>
      <c r="AH74" s="80">
        <f>Ruimtestaat[[#This Row],[kosten / jaar weekend]]+Ruimtestaat[[#This Row],[kosten / jaar werkdagen]]</f>
        <v>0</v>
      </c>
      <c r="AI74" s="104"/>
      <c r="HM74" s="78"/>
    </row>
    <row r="75" spans="1:221" ht="15" customHeight="1">
      <c r="A75" s="119">
        <v>1</v>
      </c>
      <c r="B75" s="21" t="str">
        <f>VLOOKUP(Ruimtestaat[[#This Row],[Code]],Locaties[#All],2,FALSE)</f>
        <v>IJburg College</v>
      </c>
      <c r="C75" s="21" t="str">
        <f>VLOOKUP(Ruimtestaat[[#This Row],[Code]],Locaties[#All],4,FALSE)</f>
        <v>Pampuslaan 1</v>
      </c>
      <c r="D75" s="21" t="str">
        <f>VLOOKUP(Ruimtestaat[[#This Row],[Code]],Locaties[#All],5,FALSE)</f>
        <v>1087 HP</v>
      </c>
      <c r="E75" s="180" t="str">
        <f>VLOOKUP(Ruimtestaat[[#This Row],[Code]],Locaties[#All],6,FALSE)</f>
        <v>Amsterdam</v>
      </c>
      <c r="F75" s="180"/>
      <c r="G75" s="195" t="s">
        <v>513</v>
      </c>
      <c r="H75" s="195" t="s">
        <v>876</v>
      </c>
      <c r="I75" s="180" t="s">
        <v>512</v>
      </c>
      <c r="J75" s="224" t="s">
        <v>544</v>
      </c>
      <c r="K75" s="180">
        <v>8</v>
      </c>
      <c r="L75" s="224" t="str">
        <f>VLOOKUP(Ruimtestaat[[#This Row],[Ruimte code]],Ruimtegroepen[#All],2,FALSE)</f>
        <v>Multifunctionele ruimte</v>
      </c>
      <c r="M75" s="195" t="s">
        <v>111</v>
      </c>
      <c r="N75" s="180" t="s">
        <v>557</v>
      </c>
      <c r="O75" s="181">
        <v>72.05</v>
      </c>
      <c r="P75" s="193"/>
      <c r="Q75" s="223" t="str">
        <f>VLOOKUP(Ruimtestaat[[#This Row],[Ruimte code]],Ruimtegroepen[#All],4,FALSE)</f>
        <v>L  (Lesruimte)</v>
      </c>
      <c r="R75" s="194"/>
      <c r="S75" s="195">
        <v>40</v>
      </c>
      <c r="T75" s="195" t="s">
        <v>2</v>
      </c>
      <c r="U75" s="195">
        <f>IF(S75&gt;0,IF(RIGHT(Ruimtestaat[[#This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5" s="195">
        <f>IF(U75&gt;0,VLOOKUP($K75,Ruimtegroepen[],3,FALSE)*VLOOKUP($M75,Vloersoorten[],3,FALSE)*VLOOKUP($T75,Frequenties[],3,FALSE)*VLOOKUP($A75,Locaties[],3,FALSE),0)</f>
        <v>0</v>
      </c>
      <c r="W75" s="195">
        <f>Ruimtestaat[[#This Row],[Uitvoeringen werkdagen]]*Ruimtestaat[[#This Row],[Oppervlak (netto)]]</f>
        <v>14410</v>
      </c>
      <c r="X75" s="233">
        <f>IF(V75&gt;0,Ruimtestaat[[#This Row],[Prest. (m2 /jaar) werkdagen]]/Ruimtestaat[[#This Row],[Norm (m2/uur) werkdagen]],0)</f>
        <v>0</v>
      </c>
      <c r="Y75" s="234">
        <f>Ruimtestaat[[#This Row],[uren / jaar werkdagen]]*Tariefsopbouw!$D$38</f>
        <v>0</v>
      </c>
      <c r="Z75" s="33"/>
      <c r="AA75" s="33">
        <f>IF(Ruimtestaat[[#This Row],[Frequentie weekend]]&gt;0,VALUE(LEFT(Z75,1))*S75,0)</f>
        <v>0</v>
      </c>
      <c r="AB75" s="33">
        <f>IF($AA75&gt;0,VLOOKUP($K75,Ruimtegroepen[],3,FALSE)*VLOOKUP($M75,Vloersoorten[],3,FALSE)*VLOOKUP($Z75,Frequenties[],3,FALSE)*VLOOKUP(#REF!,Locaties[],3,FALSE),0)</f>
        <v>0</v>
      </c>
      <c r="AC75" s="33"/>
      <c r="AD75" s="33"/>
      <c r="AE75" s="33">
        <f>Ruimtestaat[[#This Row],[uren / jaar weekend]]*Tariefsopbouw!$D$40</f>
        <v>0</v>
      </c>
      <c r="AF75" s="79">
        <f>Ruimtestaat[[#This Row],[Prest. (m2 /jaar) weekend]]+Ruimtestaat[[#This Row],[Prest. (m2 /jaar) werkdagen]]</f>
        <v>14410</v>
      </c>
      <c r="AG75" s="79">
        <f>Ruimtestaat[[#This Row],[uren / jaar weekend]]+Ruimtestaat[[#This Row],[uren / jaar werkdagen]]</f>
        <v>0</v>
      </c>
      <c r="AH75" s="80">
        <f>Ruimtestaat[[#This Row],[kosten / jaar weekend]]+Ruimtestaat[[#This Row],[kosten / jaar werkdagen]]</f>
        <v>0</v>
      </c>
      <c r="AI75" s="104"/>
      <c r="HM75" s="78"/>
    </row>
    <row r="76" spans="1:221" ht="15" customHeight="1">
      <c r="A76" s="119">
        <v>1</v>
      </c>
      <c r="B76" s="21" t="str">
        <f>VLOOKUP(Ruimtestaat[[#This Row],[Code]],Locaties[#All],2,FALSE)</f>
        <v>IJburg College</v>
      </c>
      <c r="C76" s="21" t="str">
        <f>VLOOKUP(Ruimtestaat[[#This Row],[Code]],Locaties[#All],4,FALSE)</f>
        <v>Pampuslaan 1</v>
      </c>
      <c r="D76" s="21" t="str">
        <f>VLOOKUP(Ruimtestaat[[#This Row],[Code]],Locaties[#All],5,FALSE)</f>
        <v>1087 HP</v>
      </c>
      <c r="E76" s="180" t="str">
        <f>VLOOKUP(Ruimtestaat[[#This Row],[Code]],Locaties[#All],6,FALSE)</f>
        <v>Amsterdam</v>
      </c>
      <c r="F76" s="180"/>
      <c r="G76" s="195" t="s">
        <v>513</v>
      </c>
      <c r="H76" s="195" t="s">
        <v>876</v>
      </c>
      <c r="I76" s="180" t="s">
        <v>511</v>
      </c>
      <c r="J76" s="224" t="s">
        <v>544</v>
      </c>
      <c r="K76" s="180">
        <v>8</v>
      </c>
      <c r="L76" s="224" t="str">
        <f>VLOOKUP(Ruimtestaat[[#This Row],[Ruimte code]],Ruimtegroepen[#All],2,FALSE)</f>
        <v>Multifunctionele ruimte</v>
      </c>
      <c r="M76" s="195" t="s">
        <v>111</v>
      </c>
      <c r="N76" s="180" t="s">
        <v>557</v>
      </c>
      <c r="O76" s="181">
        <v>72.05</v>
      </c>
      <c r="P76" s="193"/>
      <c r="Q76" s="223" t="str">
        <f>VLOOKUP(Ruimtestaat[[#This Row],[Ruimte code]],Ruimtegroepen[#All],4,FALSE)</f>
        <v>L  (Lesruimte)</v>
      </c>
      <c r="R76" s="194"/>
      <c r="S76" s="195">
        <v>40</v>
      </c>
      <c r="T76" s="195" t="s">
        <v>2</v>
      </c>
      <c r="U76" s="195">
        <f>IF(S76&gt;0,IF(RIGHT(Ruimtestaat[[#This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6" s="195">
        <f>IF(U76&gt;0,VLOOKUP($K76,Ruimtegroepen[],3,FALSE)*VLOOKUP($M76,Vloersoorten[],3,FALSE)*VLOOKUP($T76,Frequenties[],3,FALSE)*VLOOKUP($A76,Locaties[],3,FALSE),0)</f>
        <v>0</v>
      </c>
      <c r="W76" s="195">
        <f>Ruimtestaat[[#This Row],[Uitvoeringen werkdagen]]*Ruimtestaat[[#This Row],[Oppervlak (netto)]]</f>
        <v>14410</v>
      </c>
      <c r="X76" s="233">
        <f>IF(V76&gt;0,Ruimtestaat[[#This Row],[Prest. (m2 /jaar) werkdagen]]/Ruimtestaat[[#This Row],[Norm (m2/uur) werkdagen]],0)</f>
        <v>0</v>
      </c>
      <c r="Y76" s="234">
        <f>Ruimtestaat[[#This Row],[uren / jaar werkdagen]]*Tariefsopbouw!$D$38</f>
        <v>0</v>
      </c>
      <c r="Z76" s="33"/>
      <c r="AA76" s="33">
        <f>IF(Ruimtestaat[[#This Row],[Frequentie weekend]]&gt;0,VALUE(LEFT(Z76,1))*S76,0)</f>
        <v>0</v>
      </c>
      <c r="AB76" s="33">
        <f>IF($AA76&gt;0,VLOOKUP($K76,Ruimtegroepen[],3,FALSE)*VLOOKUP($M76,Vloersoorten[],3,FALSE)*VLOOKUP($Z76,Frequenties[],3,FALSE)*VLOOKUP(#REF!,Locaties[],3,FALSE),0)</f>
        <v>0</v>
      </c>
      <c r="AC76" s="33"/>
      <c r="AD76" s="33"/>
      <c r="AE76" s="33">
        <f>Ruimtestaat[[#This Row],[uren / jaar weekend]]*Tariefsopbouw!$D$40</f>
        <v>0</v>
      </c>
      <c r="AF76" s="79">
        <f>Ruimtestaat[[#This Row],[Prest. (m2 /jaar) weekend]]+Ruimtestaat[[#This Row],[Prest. (m2 /jaar) werkdagen]]</f>
        <v>14410</v>
      </c>
      <c r="AG76" s="79">
        <f>Ruimtestaat[[#This Row],[uren / jaar weekend]]+Ruimtestaat[[#This Row],[uren / jaar werkdagen]]</f>
        <v>0</v>
      </c>
      <c r="AH76" s="80">
        <f>Ruimtestaat[[#This Row],[kosten / jaar weekend]]+Ruimtestaat[[#This Row],[kosten / jaar werkdagen]]</f>
        <v>0</v>
      </c>
      <c r="AI76" s="104"/>
      <c r="HM76" s="78"/>
    </row>
    <row r="77" spans="1:221" ht="15" customHeight="1">
      <c r="A77" s="119">
        <v>1</v>
      </c>
      <c r="B77" s="21" t="str">
        <f>VLOOKUP(Ruimtestaat[[#This Row],[Code]],Locaties[#All],2,FALSE)</f>
        <v>IJburg College</v>
      </c>
      <c r="C77" s="21" t="str">
        <f>VLOOKUP(Ruimtestaat[[#This Row],[Code]],Locaties[#All],4,FALSE)</f>
        <v>Pampuslaan 1</v>
      </c>
      <c r="D77" s="21" t="str">
        <f>VLOOKUP(Ruimtestaat[[#This Row],[Code]],Locaties[#All],5,FALSE)</f>
        <v>1087 HP</v>
      </c>
      <c r="E77" s="180" t="str">
        <f>VLOOKUP(Ruimtestaat[[#This Row],[Code]],Locaties[#All],6,FALSE)</f>
        <v>Amsterdam</v>
      </c>
      <c r="F77" s="180"/>
      <c r="G77" s="180" t="s">
        <v>645</v>
      </c>
      <c r="H77" s="180" t="s">
        <v>814</v>
      </c>
      <c r="I77" s="180" t="s">
        <v>559</v>
      </c>
      <c r="J77" s="224" t="s">
        <v>619</v>
      </c>
      <c r="K77" s="180">
        <v>10</v>
      </c>
      <c r="L77" s="224" t="str">
        <f>VLOOKUP(Ruimtestaat[[#This Row],[Ruimte code]],Ruimtegroepen[#All],2,FALSE)</f>
        <v>Trappenhuizen/lift</v>
      </c>
      <c r="M77" s="195" t="s">
        <v>111</v>
      </c>
      <c r="N77" s="180" t="s">
        <v>557</v>
      </c>
      <c r="O77" s="181">
        <v>30</v>
      </c>
      <c r="P77" s="193"/>
      <c r="Q77" s="223" t="str">
        <f>VLOOKUP(Ruimtestaat[[#This Row],[Ruimte code]],Ruimtegroepen[#All],4,FALSE)</f>
        <v>V  (Verkeersruimte)</v>
      </c>
      <c r="R77" s="194"/>
      <c r="S77" s="195">
        <v>40</v>
      </c>
      <c r="T77" s="195" t="s">
        <v>2</v>
      </c>
      <c r="U77" s="195">
        <f>IF(S77&gt;0,IF(RIGHT(Ruimtestaat[[#This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7" s="195">
        <f>IF(U77&gt;0,VLOOKUP($K77,Ruimtegroepen[],3,FALSE)*VLOOKUP($M77,Vloersoorten[],3,FALSE)*VLOOKUP($T77,Frequenties[],3,FALSE)*VLOOKUP($A77,Locaties[],3,FALSE),0)</f>
        <v>0</v>
      </c>
      <c r="W77" s="195">
        <f>Ruimtestaat[[#This Row],[Uitvoeringen werkdagen]]*Ruimtestaat[[#This Row],[Oppervlak (netto)]]</f>
        <v>6000</v>
      </c>
      <c r="X77" s="233">
        <f>IF(V77&gt;0,Ruimtestaat[[#This Row],[Prest. (m2 /jaar) werkdagen]]/Ruimtestaat[[#This Row],[Norm (m2/uur) werkdagen]],0)</f>
        <v>0</v>
      </c>
      <c r="Y77" s="234">
        <f>Ruimtestaat[[#This Row],[uren / jaar werkdagen]]*Tariefsopbouw!$D$38</f>
        <v>0</v>
      </c>
      <c r="Z77" s="33"/>
      <c r="AA77" s="33">
        <f>IF(Ruimtestaat[[#This Row],[Frequentie weekend]]&gt;0,VALUE(LEFT(Z77,1))*S77,0)</f>
        <v>0</v>
      </c>
      <c r="AB77" s="33">
        <f>IF($AA77&gt;0,VLOOKUP($K77,Ruimtegroepen[],3,FALSE)*VLOOKUP($M77,Vloersoorten[],3,FALSE)*VLOOKUP($Z77,Frequenties[],3,FALSE)*VLOOKUP(#REF!,Locaties[],3,FALSE),0)</f>
        <v>0</v>
      </c>
      <c r="AC77" s="33"/>
      <c r="AD77" s="33"/>
      <c r="AE77" s="33">
        <f>Ruimtestaat[[#This Row],[uren / jaar weekend]]*Tariefsopbouw!$D$40</f>
        <v>0</v>
      </c>
      <c r="AF77" s="79">
        <f>Ruimtestaat[[#This Row],[Prest. (m2 /jaar) weekend]]+Ruimtestaat[[#This Row],[Prest. (m2 /jaar) werkdagen]]</f>
        <v>6000</v>
      </c>
      <c r="AG77" s="79">
        <f>Ruimtestaat[[#This Row],[uren / jaar weekend]]+Ruimtestaat[[#This Row],[uren / jaar werkdagen]]</f>
        <v>0</v>
      </c>
      <c r="AH77" s="80">
        <f>Ruimtestaat[[#This Row],[kosten / jaar weekend]]+Ruimtestaat[[#This Row],[kosten / jaar werkdagen]]</f>
        <v>0</v>
      </c>
      <c r="AI77" s="104"/>
      <c r="HM77" s="78"/>
    </row>
    <row r="78" spans="1:221" ht="15" customHeight="1">
      <c r="A78" s="119">
        <v>1</v>
      </c>
      <c r="B78" s="21" t="str">
        <f>VLOOKUP(Ruimtestaat[[#This Row],[Code]],Locaties[#All],2,FALSE)</f>
        <v>IJburg College</v>
      </c>
      <c r="C78" s="21" t="str">
        <f>VLOOKUP(Ruimtestaat[[#This Row],[Code]],Locaties[#All],4,FALSE)</f>
        <v>Pampuslaan 1</v>
      </c>
      <c r="D78" s="21" t="str">
        <f>VLOOKUP(Ruimtestaat[[#This Row],[Code]],Locaties[#All],5,FALSE)</f>
        <v>1087 HP</v>
      </c>
      <c r="E78" s="180" t="str">
        <f>VLOOKUP(Ruimtestaat[[#This Row],[Code]],Locaties[#All],6,FALSE)</f>
        <v>Amsterdam</v>
      </c>
      <c r="F78" s="180"/>
      <c r="G78" s="180" t="s">
        <v>645</v>
      </c>
      <c r="H78" s="180" t="s">
        <v>615</v>
      </c>
      <c r="I78" s="180" t="s">
        <v>560</v>
      </c>
      <c r="J78" s="224" t="s">
        <v>543</v>
      </c>
      <c r="K78" s="180">
        <v>5</v>
      </c>
      <c r="L78" s="224" t="str">
        <f>VLOOKUP(Ruimtestaat[[#This Row],[Ruimte code]],Ruimtegroepen[#All],2,FALSE)</f>
        <v>Sanitair</v>
      </c>
      <c r="M78" s="195" t="s">
        <v>111</v>
      </c>
      <c r="N78" s="180" t="s">
        <v>558</v>
      </c>
      <c r="O78" s="181">
        <v>12.4</v>
      </c>
      <c r="P78" s="193"/>
      <c r="Q78" s="223" t="str">
        <f>VLOOKUP(Ruimtestaat[[#This Row],[Ruimte code]],Ruimtegroepen[#All],4,FALSE)</f>
        <v>S  (Sanitair)</v>
      </c>
      <c r="R78" s="194"/>
      <c r="S78" s="195">
        <v>40</v>
      </c>
      <c r="T78" s="195" t="s">
        <v>2</v>
      </c>
      <c r="U78" s="195">
        <f>IF(S78&gt;0,IF(RIGHT(Ruimtestaat[[#This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" s="195">
        <f>IF(U78&gt;0,VLOOKUP($K78,Ruimtegroepen[],3,FALSE)*VLOOKUP($M78,Vloersoorten[],3,FALSE)*VLOOKUP($T78,Frequenties[],3,FALSE)*VLOOKUP($A78,Locaties[],3,FALSE),0)</f>
        <v>0</v>
      </c>
      <c r="W78" s="195">
        <f>Ruimtestaat[[#This Row],[Uitvoeringen werkdagen]]*Ruimtestaat[[#This Row],[Oppervlak (netto)]]</f>
        <v>2480</v>
      </c>
      <c r="X78" s="233">
        <f>IF(V78&gt;0,Ruimtestaat[[#This Row],[Prest. (m2 /jaar) werkdagen]]/Ruimtestaat[[#This Row],[Norm (m2/uur) werkdagen]],0)</f>
        <v>0</v>
      </c>
      <c r="Y78" s="234">
        <f>Ruimtestaat[[#This Row],[uren / jaar werkdagen]]*Tariefsopbouw!$D$38</f>
        <v>0</v>
      </c>
      <c r="Z78" s="33"/>
      <c r="AA78" s="33">
        <f>IF(Ruimtestaat[[#This Row],[Frequentie weekend]]&gt;0,VALUE(LEFT(Z78,1))*S78,0)</f>
        <v>0</v>
      </c>
      <c r="AB78" s="33">
        <f>IF($AA78&gt;0,VLOOKUP($K78,Ruimtegroepen[],3,FALSE)*VLOOKUP($M78,Vloersoorten[],3,FALSE)*VLOOKUP($Z78,Frequenties[],3,FALSE)*VLOOKUP(#REF!,Locaties[],3,FALSE),0)</f>
        <v>0</v>
      </c>
      <c r="AC78" s="33"/>
      <c r="AD78" s="33"/>
      <c r="AE78" s="33">
        <f>Ruimtestaat[[#This Row],[uren / jaar weekend]]*Tariefsopbouw!$D$40</f>
        <v>0</v>
      </c>
      <c r="AF78" s="79">
        <f>Ruimtestaat[[#This Row],[Prest. (m2 /jaar) weekend]]+Ruimtestaat[[#This Row],[Prest. (m2 /jaar) werkdagen]]</f>
        <v>2480</v>
      </c>
      <c r="AG78" s="79">
        <f>Ruimtestaat[[#This Row],[uren / jaar weekend]]+Ruimtestaat[[#This Row],[uren / jaar werkdagen]]</f>
        <v>0</v>
      </c>
      <c r="AH78" s="80">
        <f>Ruimtestaat[[#This Row],[kosten / jaar weekend]]+Ruimtestaat[[#This Row],[kosten / jaar werkdagen]]</f>
        <v>0</v>
      </c>
      <c r="AI78" s="104"/>
      <c r="HM78" s="78"/>
    </row>
    <row r="79" spans="1:221" ht="15" customHeight="1">
      <c r="A79" s="119">
        <v>1</v>
      </c>
      <c r="B79" s="21" t="str">
        <f>VLOOKUP(Ruimtestaat[[#This Row],[Code]],Locaties[#All],2,FALSE)</f>
        <v>IJburg College</v>
      </c>
      <c r="C79" s="21" t="str">
        <f>VLOOKUP(Ruimtestaat[[#This Row],[Code]],Locaties[#All],4,FALSE)</f>
        <v>Pampuslaan 1</v>
      </c>
      <c r="D79" s="21" t="str">
        <f>VLOOKUP(Ruimtestaat[[#This Row],[Code]],Locaties[#All],5,FALSE)</f>
        <v>1087 HP</v>
      </c>
      <c r="E79" s="180" t="str">
        <f>VLOOKUP(Ruimtestaat[[#This Row],[Code]],Locaties[#All],6,FALSE)</f>
        <v>Amsterdam</v>
      </c>
      <c r="F79" s="180"/>
      <c r="G79" s="180" t="s">
        <v>645</v>
      </c>
      <c r="H79" s="180" t="s">
        <v>616</v>
      </c>
      <c r="I79" s="180" t="s">
        <v>561</v>
      </c>
      <c r="J79" s="224" t="s">
        <v>540</v>
      </c>
      <c r="K79" s="180">
        <v>5</v>
      </c>
      <c r="L79" s="224" t="str">
        <f>VLOOKUP(Ruimtestaat[[#This Row],[Ruimte code]],Ruimtegroepen[#All],2,FALSE)</f>
        <v>Sanitair</v>
      </c>
      <c r="M79" s="195" t="s">
        <v>111</v>
      </c>
      <c r="N79" s="180" t="s">
        <v>558</v>
      </c>
      <c r="O79" s="181">
        <v>4.3</v>
      </c>
      <c r="P79" s="193"/>
      <c r="Q79" s="223" t="str">
        <f>VLOOKUP(Ruimtestaat[[#This Row],[Ruimte code]],Ruimtegroepen[#All],4,FALSE)</f>
        <v>S  (Sanitair)</v>
      </c>
      <c r="R79" s="194"/>
      <c r="S79" s="195">
        <v>40</v>
      </c>
      <c r="T79" s="195" t="s">
        <v>2</v>
      </c>
      <c r="U79" s="195">
        <f>IF(S79&gt;0,IF(RIGHT(Ruimtestaat[[#This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" s="195">
        <f>IF(U79&gt;0,VLOOKUP($K79,Ruimtegroepen[],3,FALSE)*VLOOKUP($M79,Vloersoorten[],3,FALSE)*VLOOKUP($T79,Frequenties[],3,FALSE)*VLOOKUP($A79,Locaties[],3,FALSE),0)</f>
        <v>0</v>
      </c>
      <c r="W79" s="195">
        <f>Ruimtestaat[[#This Row],[Uitvoeringen werkdagen]]*Ruimtestaat[[#This Row],[Oppervlak (netto)]]</f>
        <v>860</v>
      </c>
      <c r="X79" s="233">
        <f>IF(V79&gt;0,Ruimtestaat[[#This Row],[Prest. (m2 /jaar) werkdagen]]/Ruimtestaat[[#This Row],[Norm (m2/uur) werkdagen]],0)</f>
        <v>0</v>
      </c>
      <c r="Y79" s="234">
        <f>Ruimtestaat[[#This Row],[uren / jaar werkdagen]]*Tariefsopbouw!$D$38</f>
        <v>0</v>
      </c>
      <c r="Z79" s="33"/>
      <c r="AA79" s="33">
        <f>IF(Ruimtestaat[[#This Row],[Frequentie weekend]]&gt;0,VALUE(LEFT(Z79,1))*S79,0)</f>
        <v>0</v>
      </c>
      <c r="AB79" s="33">
        <f>IF($AA79&gt;0,VLOOKUP($K79,Ruimtegroepen[],3,FALSE)*VLOOKUP($M79,Vloersoorten[],3,FALSE)*VLOOKUP($Z79,Frequenties[],3,FALSE)*VLOOKUP(#REF!,Locaties[],3,FALSE),0)</f>
        <v>0</v>
      </c>
      <c r="AC79" s="33"/>
      <c r="AD79" s="33"/>
      <c r="AE79" s="33">
        <f>Ruimtestaat[[#This Row],[uren / jaar weekend]]*Tariefsopbouw!$D$40</f>
        <v>0</v>
      </c>
      <c r="AF79" s="79">
        <f>Ruimtestaat[[#This Row],[Prest. (m2 /jaar) weekend]]+Ruimtestaat[[#This Row],[Prest. (m2 /jaar) werkdagen]]</f>
        <v>860</v>
      </c>
      <c r="AG79" s="79">
        <f>Ruimtestaat[[#This Row],[uren / jaar weekend]]+Ruimtestaat[[#This Row],[uren / jaar werkdagen]]</f>
        <v>0</v>
      </c>
      <c r="AH79" s="80">
        <f>Ruimtestaat[[#This Row],[kosten / jaar weekend]]+Ruimtestaat[[#This Row],[kosten / jaar werkdagen]]</f>
        <v>0</v>
      </c>
      <c r="AI79" s="104"/>
      <c r="HM79" s="78"/>
    </row>
    <row r="80" spans="1:221" ht="15" customHeight="1">
      <c r="A80" s="119">
        <v>1</v>
      </c>
      <c r="B80" s="21" t="str">
        <f>VLOOKUP(Ruimtestaat[[#This Row],[Code]],Locaties[#All],2,FALSE)</f>
        <v>IJburg College</v>
      </c>
      <c r="C80" s="21" t="str">
        <f>VLOOKUP(Ruimtestaat[[#This Row],[Code]],Locaties[#All],4,FALSE)</f>
        <v>Pampuslaan 1</v>
      </c>
      <c r="D80" s="21" t="str">
        <f>VLOOKUP(Ruimtestaat[[#This Row],[Code]],Locaties[#All],5,FALSE)</f>
        <v>1087 HP</v>
      </c>
      <c r="E80" s="180" t="str">
        <f>VLOOKUP(Ruimtestaat[[#This Row],[Code]],Locaties[#All],6,FALSE)</f>
        <v>Amsterdam</v>
      </c>
      <c r="F80" s="180"/>
      <c r="G80" s="180" t="s">
        <v>645</v>
      </c>
      <c r="H80" s="180" t="s">
        <v>617</v>
      </c>
      <c r="I80" s="180" t="s">
        <v>562</v>
      </c>
      <c r="J80" s="224" t="s">
        <v>533</v>
      </c>
      <c r="K80" s="180">
        <v>21</v>
      </c>
      <c r="L80" s="224" t="str">
        <f>VLOOKUP(Ruimtestaat[[#This Row],[Ruimte code]],Ruimtegroepen[#All],2,FALSE)</f>
        <v>Niet in onderhoud</v>
      </c>
      <c r="M80" s="195" t="s">
        <v>111</v>
      </c>
      <c r="N80" s="180" t="s">
        <v>557</v>
      </c>
      <c r="O80" s="181"/>
      <c r="P80" s="193">
        <v>7.2</v>
      </c>
      <c r="Q80" s="223" t="str">
        <f>VLOOKUP(Ruimtestaat[[#This Row],[Ruimte code]],Ruimtegroepen[#All],4,FALSE)</f>
        <v>Niet in onderhoud</v>
      </c>
      <c r="R80" s="194"/>
      <c r="S80" s="195"/>
      <c r="T80" s="195"/>
      <c r="U80" s="195">
        <f>IF(S80&gt;0,IF(RIGHT(Ruimtestaat[[#This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0" s="195">
        <f>IF(U80&gt;0,VLOOKUP($K80,Ruimtegroepen[],3,FALSE)*VLOOKUP($M80,Vloersoorten[],3,FALSE)*VLOOKUP($T80,Frequenties[],3,FALSE)*VLOOKUP($A80,Locaties[],3,FALSE),0)</f>
        <v>0</v>
      </c>
      <c r="W80" s="195">
        <f>Ruimtestaat[[#This Row],[Uitvoeringen werkdagen]]*Ruimtestaat[[#This Row],[Oppervlak (netto)]]</f>
        <v>0</v>
      </c>
      <c r="X80" s="233">
        <f>IF(V80&gt;0,Ruimtestaat[[#This Row],[Prest. (m2 /jaar) werkdagen]]/Ruimtestaat[[#This Row],[Norm (m2/uur) werkdagen]],0)</f>
        <v>0</v>
      </c>
      <c r="Y80" s="234">
        <f>Ruimtestaat[[#This Row],[uren / jaar werkdagen]]*Tariefsopbouw!$D$38</f>
        <v>0</v>
      </c>
      <c r="Z80" s="33"/>
      <c r="AA80" s="33">
        <f>IF(Ruimtestaat[[#This Row],[Frequentie weekend]]&gt;0,VALUE(LEFT(Z80,1))*S80,0)</f>
        <v>0</v>
      </c>
      <c r="AB80" s="33">
        <f>IF($AA80&gt;0,VLOOKUP($K80,Ruimtegroepen[],3,FALSE)*VLOOKUP($M80,Vloersoorten[],3,FALSE)*VLOOKUP($Z80,Frequenties[],3,FALSE)*VLOOKUP(#REF!,Locaties[],3,FALSE),0)</f>
        <v>0</v>
      </c>
      <c r="AC80" s="33"/>
      <c r="AD80" s="33"/>
      <c r="AE80" s="33">
        <f>Ruimtestaat[[#This Row],[uren / jaar weekend]]*Tariefsopbouw!$D$40</f>
        <v>0</v>
      </c>
      <c r="AF80" s="79">
        <f>Ruimtestaat[[#This Row],[Prest. (m2 /jaar) weekend]]+Ruimtestaat[[#This Row],[Prest. (m2 /jaar) werkdagen]]</f>
        <v>0</v>
      </c>
      <c r="AG80" s="79">
        <f>Ruimtestaat[[#This Row],[uren / jaar weekend]]+Ruimtestaat[[#This Row],[uren / jaar werkdagen]]</f>
        <v>0</v>
      </c>
      <c r="AH80" s="80">
        <f>Ruimtestaat[[#This Row],[kosten / jaar weekend]]+Ruimtestaat[[#This Row],[kosten / jaar werkdagen]]</f>
        <v>0</v>
      </c>
      <c r="AI80" s="104"/>
      <c r="HM80" s="78"/>
    </row>
    <row r="81" spans="1:221" ht="15" customHeight="1">
      <c r="A81" s="119">
        <v>1</v>
      </c>
      <c r="B81" s="21" t="str">
        <f>VLOOKUP(Ruimtestaat[[#This Row],[Code]],Locaties[#All],2,FALSE)</f>
        <v>IJburg College</v>
      </c>
      <c r="C81" s="21" t="str">
        <f>VLOOKUP(Ruimtestaat[[#This Row],[Code]],Locaties[#All],4,FALSE)</f>
        <v>Pampuslaan 1</v>
      </c>
      <c r="D81" s="21" t="str">
        <f>VLOOKUP(Ruimtestaat[[#This Row],[Code]],Locaties[#All],5,FALSE)</f>
        <v>1087 HP</v>
      </c>
      <c r="E81" s="180" t="str">
        <f>VLOOKUP(Ruimtestaat[[#This Row],[Code]],Locaties[#All],6,FALSE)</f>
        <v>Amsterdam</v>
      </c>
      <c r="F81" s="180"/>
      <c r="G81" s="180" t="s">
        <v>645</v>
      </c>
      <c r="H81" s="180" t="s">
        <v>614</v>
      </c>
      <c r="I81" s="180" t="s">
        <v>563</v>
      </c>
      <c r="J81" s="224" t="s">
        <v>542</v>
      </c>
      <c r="K81" s="180">
        <v>5</v>
      </c>
      <c r="L81" s="224" t="str">
        <f>VLOOKUP(Ruimtestaat[[#This Row],[Ruimte code]],Ruimtegroepen[#All],2,FALSE)</f>
        <v>Sanitair</v>
      </c>
      <c r="M81" s="195" t="s">
        <v>111</v>
      </c>
      <c r="N81" s="180" t="s">
        <v>558</v>
      </c>
      <c r="O81" s="181">
        <v>7.8</v>
      </c>
      <c r="P81" s="193"/>
      <c r="Q81" s="223" t="str">
        <f>VLOOKUP(Ruimtestaat[[#This Row],[Ruimte code]],Ruimtegroepen[#All],4,FALSE)</f>
        <v>S  (Sanitair)</v>
      </c>
      <c r="R81" s="194"/>
      <c r="S81" s="195">
        <v>42</v>
      </c>
      <c r="T81" s="195" t="s">
        <v>2</v>
      </c>
      <c r="U81" s="195">
        <f>IF(S81&gt;0,IF(RIGHT(Ruimtestaat[[#This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210</v>
      </c>
      <c r="V81" s="195">
        <f>IF(U81&gt;0,VLOOKUP($K81,Ruimtegroepen[],3,FALSE)*VLOOKUP($M81,Vloersoorten[],3,FALSE)*VLOOKUP($T81,Frequenties[],3,FALSE)*VLOOKUP($A81,Locaties[],3,FALSE),0)</f>
        <v>0</v>
      </c>
      <c r="W81" s="195">
        <f>Ruimtestaat[[#This Row],[Uitvoeringen werkdagen]]*Ruimtestaat[[#This Row],[Oppervlak (netto)]]</f>
        <v>1638</v>
      </c>
      <c r="X81" s="233">
        <f>IF(V81&gt;0,Ruimtestaat[[#This Row],[Prest. (m2 /jaar) werkdagen]]/Ruimtestaat[[#This Row],[Norm (m2/uur) werkdagen]],0)</f>
        <v>0</v>
      </c>
      <c r="Y81" s="234">
        <f>Ruimtestaat[[#This Row],[uren / jaar werkdagen]]*Tariefsopbouw!$D$38</f>
        <v>0</v>
      </c>
      <c r="Z81" s="33"/>
      <c r="AA81" s="33">
        <f>IF(Ruimtestaat[[#This Row],[Frequentie weekend]]&gt;0,VALUE(LEFT(Z81,1))*S81,0)</f>
        <v>0</v>
      </c>
      <c r="AB81" s="33">
        <f>IF($AA81&gt;0,VLOOKUP($K81,Ruimtegroepen[],3,FALSE)*VLOOKUP($M81,Vloersoorten[],3,FALSE)*VLOOKUP($Z81,Frequenties[],3,FALSE)*VLOOKUP(#REF!,Locaties[],3,FALSE),0)</f>
        <v>0</v>
      </c>
      <c r="AC81" s="33"/>
      <c r="AD81" s="33"/>
      <c r="AE81" s="33">
        <f>Ruimtestaat[[#This Row],[uren / jaar weekend]]*Tariefsopbouw!$D$40</f>
        <v>0</v>
      </c>
      <c r="AF81" s="79">
        <f>Ruimtestaat[[#This Row],[Prest. (m2 /jaar) weekend]]+Ruimtestaat[[#This Row],[Prest. (m2 /jaar) werkdagen]]</f>
        <v>1638</v>
      </c>
      <c r="AG81" s="79">
        <f>Ruimtestaat[[#This Row],[uren / jaar weekend]]+Ruimtestaat[[#This Row],[uren / jaar werkdagen]]</f>
        <v>0</v>
      </c>
      <c r="AH81" s="80">
        <f>Ruimtestaat[[#This Row],[kosten / jaar weekend]]+Ruimtestaat[[#This Row],[kosten / jaar werkdagen]]</f>
        <v>0</v>
      </c>
      <c r="AI81" s="104"/>
      <c r="HM81" s="78"/>
    </row>
    <row r="82" spans="1:221" ht="15" customHeight="1">
      <c r="A82" s="119">
        <v>1</v>
      </c>
      <c r="B82" s="21" t="str">
        <f>VLOOKUP(Ruimtestaat[[#This Row],[Code]],Locaties[#All],2,FALSE)</f>
        <v>IJburg College</v>
      </c>
      <c r="C82" s="21" t="str">
        <f>VLOOKUP(Ruimtestaat[[#This Row],[Code]],Locaties[#All],4,FALSE)</f>
        <v>Pampuslaan 1</v>
      </c>
      <c r="D82" s="21" t="str">
        <f>VLOOKUP(Ruimtestaat[[#This Row],[Code]],Locaties[#All],5,FALSE)</f>
        <v>1087 HP</v>
      </c>
      <c r="E82" s="180" t="str">
        <f>VLOOKUP(Ruimtestaat[[#This Row],[Code]],Locaties[#All],6,FALSE)</f>
        <v>Amsterdam</v>
      </c>
      <c r="F82" s="180"/>
      <c r="G82" s="180" t="s">
        <v>645</v>
      </c>
      <c r="H82" s="180"/>
      <c r="I82" s="180" t="s">
        <v>564</v>
      </c>
      <c r="J82" s="224" t="s">
        <v>548</v>
      </c>
      <c r="K82" s="180">
        <v>6</v>
      </c>
      <c r="L82" s="224" t="str">
        <f>VLOOKUP(Ruimtestaat[[#This Row],[Ruimte code]],Ruimtegroepen[#All],2,FALSE)</f>
        <v>Gangen/hallen</v>
      </c>
      <c r="M82" s="195" t="s">
        <v>111</v>
      </c>
      <c r="N82" s="180" t="s">
        <v>557</v>
      </c>
      <c r="O82" s="181">
        <v>60</v>
      </c>
      <c r="P82" s="193"/>
      <c r="Q82" s="223" t="str">
        <f>VLOOKUP(Ruimtestaat[[#This Row],[Ruimte code]],Ruimtegroepen[#All],4,FALSE)</f>
        <v>V  (Verkeersruimte)</v>
      </c>
      <c r="R82" s="194"/>
      <c r="S82" s="195">
        <v>40</v>
      </c>
      <c r="T82" s="195" t="s">
        <v>2</v>
      </c>
      <c r="U82" s="195">
        <f>IF(S82&gt;0,IF(RIGHT(Ruimtestaat[[#This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2" s="195">
        <f>IF(U82&gt;0,VLOOKUP($K82,Ruimtegroepen[],3,FALSE)*VLOOKUP($M82,Vloersoorten[],3,FALSE)*VLOOKUP($T82,Frequenties[],3,FALSE)*VLOOKUP($A82,Locaties[],3,FALSE),0)</f>
        <v>0</v>
      </c>
      <c r="W82" s="195">
        <f>Ruimtestaat[[#This Row],[Uitvoeringen werkdagen]]*Ruimtestaat[[#This Row],[Oppervlak (netto)]]</f>
        <v>12000</v>
      </c>
      <c r="X82" s="233">
        <f>IF(V82&gt;0,Ruimtestaat[[#This Row],[Prest. (m2 /jaar) werkdagen]]/Ruimtestaat[[#This Row],[Norm (m2/uur) werkdagen]],0)</f>
        <v>0</v>
      </c>
      <c r="Y82" s="234">
        <f>Ruimtestaat[[#This Row],[uren / jaar werkdagen]]*Tariefsopbouw!$D$38</f>
        <v>0</v>
      </c>
      <c r="Z82" s="33"/>
      <c r="AA82" s="33">
        <f>IF(Ruimtestaat[[#This Row],[Frequentie weekend]]&gt;0,VALUE(LEFT(Z82,1))*S82,0)</f>
        <v>0</v>
      </c>
      <c r="AB82" s="33">
        <f>IF($AA82&gt;0,VLOOKUP($K82,Ruimtegroepen[],3,FALSE)*VLOOKUP($M82,Vloersoorten[],3,FALSE)*VLOOKUP($Z82,Frequenties[],3,FALSE)*VLOOKUP(#REF!,Locaties[],3,FALSE),0)</f>
        <v>0</v>
      </c>
      <c r="AC82" s="33"/>
      <c r="AD82" s="33"/>
      <c r="AE82" s="33">
        <f>Ruimtestaat[[#This Row],[uren / jaar weekend]]*Tariefsopbouw!$D$40</f>
        <v>0</v>
      </c>
      <c r="AF82" s="79">
        <f>Ruimtestaat[[#This Row],[Prest. (m2 /jaar) weekend]]+Ruimtestaat[[#This Row],[Prest. (m2 /jaar) werkdagen]]</f>
        <v>12000</v>
      </c>
      <c r="AG82" s="79">
        <f>Ruimtestaat[[#This Row],[uren / jaar weekend]]+Ruimtestaat[[#This Row],[uren / jaar werkdagen]]</f>
        <v>0</v>
      </c>
      <c r="AH82" s="80">
        <f>Ruimtestaat[[#This Row],[kosten / jaar weekend]]+Ruimtestaat[[#This Row],[kosten / jaar werkdagen]]</f>
        <v>0</v>
      </c>
      <c r="AI82" s="104"/>
      <c r="HM82" s="78"/>
    </row>
    <row r="83" spans="1:221" ht="15" customHeight="1">
      <c r="A83" s="119">
        <v>1</v>
      </c>
      <c r="B83" s="21" t="str">
        <f>VLOOKUP(Ruimtestaat[[#This Row],[Code]],Locaties[#All],2,FALSE)</f>
        <v>IJburg College</v>
      </c>
      <c r="C83" s="21" t="str">
        <f>VLOOKUP(Ruimtestaat[[#This Row],[Code]],Locaties[#All],4,FALSE)</f>
        <v>Pampuslaan 1</v>
      </c>
      <c r="D83" s="21" t="str">
        <f>VLOOKUP(Ruimtestaat[[#This Row],[Code]],Locaties[#All],5,FALSE)</f>
        <v>1087 HP</v>
      </c>
      <c r="E83" s="180" t="str">
        <f>VLOOKUP(Ruimtestaat[[#This Row],[Code]],Locaties[#All],6,FALSE)</f>
        <v>Amsterdam</v>
      </c>
      <c r="F83" s="180"/>
      <c r="G83" s="180" t="s">
        <v>645</v>
      </c>
      <c r="H83" s="180" t="s">
        <v>573</v>
      </c>
      <c r="I83" s="180" t="s">
        <v>565</v>
      </c>
      <c r="J83" s="224" t="s">
        <v>620</v>
      </c>
      <c r="K83" s="180">
        <v>14</v>
      </c>
      <c r="L83" s="224" t="str">
        <f>VLOOKUP(Ruimtestaat[[#This Row],[Ruimte code]],Ruimtegroepen[#All],2,FALSE)</f>
        <v>Personeelsruimte</v>
      </c>
      <c r="M83" s="195" t="s">
        <v>111</v>
      </c>
      <c r="N83" s="180" t="s">
        <v>557</v>
      </c>
      <c r="O83" s="181">
        <v>98.5</v>
      </c>
      <c r="P83" s="193"/>
      <c r="Q83" s="223" t="str">
        <f>VLOOKUP(Ruimtestaat[[#This Row],[Ruimte code]],Ruimtegroepen[#All],4,FALSE)</f>
        <v>V  (Verkeersruimte)</v>
      </c>
      <c r="R83" s="194"/>
      <c r="S83" s="195">
        <v>40</v>
      </c>
      <c r="T83" s="195" t="s">
        <v>2</v>
      </c>
      <c r="U83" s="195">
        <f>IF(S83&gt;0,IF(RIGHT(Ruimtestaat[[#This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3" s="195">
        <f>IF(U83&gt;0,VLOOKUP($K83,Ruimtegroepen[],3,FALSE)*VLOOKUP($M83,Vloersoorten[],3,FALSE)*VLOOKUP($T83,Frequenties[],3,FALSE)*VLOOKUP($A83,Locaties[],3,FALSE),0)</f>
        <v>0</v>
      </c>
      <c r="W83" s="195">
        <f>Ruimtestaat[[#This Row],[Uitvoeringen werkdagen]]*Ruimtestaat[[#This Row],[Oppervlak (netto)]]</f>
        <v>19700</v>
      </c>
      <c r="X83" s="233">
        <f>IF(V83&gt;0,Ruimtestaat[[#This Row],[Prest. (m2 /jaar) werkdagen]]/Ruimtestaat[[#This Row],[Norm (m2/uur) werkdagen]],0)</f>
        <v>0</v>
      </c>
      <c r="Y83" s="234">
        <f>Ruimtestaat[[#This Row],[uren / jaar werkdagen]]*Tariefsopbouw!$D$38</f>
        <v>0</v>
      </c>
      <c r="Z83" s="33"/>
      <c r="AA83" s="33">
        <f>IF(Ruimtestaat[[#This Row],[Frequentie weekend]]&gt;0,VALUE(LEFT(Z83,1))*S83,0)</f>
        <v>0</v>
      </c>
      <c r="AB83" s="33">
        <f>IF($AA83&gt;0,VLOOKUP($K83,Ruimtegroepen[],3,FALSE)*VLOOKUP($M83,Vloersoorten[],3,FALSE)*VLOOKUP($Z83,Frequenties[],3,FALSE)*VLOOKUP(#REF!,Locaties[],3,FALSE),0)</f>
        <v>0</v>
      </c>
      <c r="AC83" s="33"/>
      <c r="AD83" s="33"/>
      <c r="AE83" s="33">
        <f>Ruimtestaat[[#This Row],[uren / jaar weekend]]*Tariefsopbouw!$D$40</f>
        <v>0</v>
      </c>
      <c r="AF83" s="79">
        <f>Ruimtestaat[[#This Row],[Prest. (m2 /jaar) weekend]]+Ruimtestaat[[#This Row],[Prest. (m2 /jaar) werkdagen]]</f>
        <v>19700</v>
      </c>
      <c r="AG83" s="79">
        <f>Ruimtestaat[[#This Row],[uren / jaar weekend]]+Ruimtestaat[[#This Row],[uren / jaar werkdagen]]</f>
        <v>0</v>
      </c>
      <c r="AH83" s="80">
        <f>Ruimtestaat[[#This Row],[kosten / jaar weekend]]+Ruimtestaat[[#This Row],[kosten / jaar werkdagen]]</f>
        <v>0</v>
      </c>
      <c r="AI83" s="104"/>
      <c r="HM83" s="78"/>
    </row>
    <row r="84" spans="1:221" ht="15" customHeight="1">
      <c r="A84" s="119">
        <v>1</v>
      </c>
      <c r="B84" s="21" t="str">
        <f>VLOOKUP(Ruimtestaat[[#This Row],[Code]],Locaties[#All],2,FALSE)</f>
        <v>IJburg College</v>
      </c>
      <c r="C84" s="21" t="str">
        <f>VLOOKUP(Ruimtestaat[[#This Row],[Code]],Locaties[#All],4,FALSE)</f>
        <v>Pampuslaan 1</v>
      </c>
      <c r="D84" s="21" t="str">
        <f>VLOOKUP(Ruimtestaat[[#This Row],[Code]],Locaties[#All],5,FALSE)</f>
        <v>1087 HP</v>
      </c>
      <c r="E84" s="180" t="str">
        <f>VLOOKUP(Ruimtestaat[[#This Row],[Code]],Locaties[#All],6,FALSE)</f>
        <v>Amsterdam</v>
      </c>
      <c r="F84" s="180"/>
      <c r="G84" s="180" t="s">
        <v>645</v>
      </c>
      <c r="H84" s="180" t="s">
        <v>574</v>
      </c>
      <c r="I84" s="180" t="s">
        <v>566</v>
      </c>
      <c r="J84" s="224" t="s">
        <v>621</v>
      </c>
      <c r="K84" s="180">
        <v>2</v>
      </c>
      <c r="L84" s="224" t="str">
        <f>VLOOKUP(Ruimtestaat[[#This Row],[Ruimte code]],Ruimtegroepen[#All],2,FALSE)</f>
        <v>Kantoren</v>
      </c>
      <c r="M84" s="195" t="s">
        <v>111</v>
      </c>
      <c r="N84" s="180" t="s">
        <v>557</v>
      </c>
      <c r="O84" s="181">
        <v>31</v>
      </c>
      <c r="P84" s="193"/>
      <c r="Q84" s="223" t="str">
        <f>VLOOKUP(Ruimtestaat[[#This Row],[Ruimte code]],Ruimtegroepen[#All],4,FALSE)</f>
        <v>B  (Bureauruimte)</v>
      </c>
      <c r="R84" s="194"/>
      <c r="S84" s="195">
        <v>40</v>
      </c>
      <c r="T84" s="195" t="s">
        <v>17</v>
      </c>
      <c r="U84" s="195">
        <f>IF(S84&gt;0,IF(RIGHT(Ruimtestaat[[#This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84" s="195">
        <f>IF(U84&gt;0,VLOOKUP($K84,Ruimtegroepen[],3,FALSE)*VLOOKUP($M84,Vloersoorten[],3,FALSE)*VLOOKUP($T84,Frequenties[],3,FALSE)*VLOOKUP($A84,Locaties[],3,FALSE),0)</f>
        <v>0</v>
      </c>
      <c r="W84" s="195">
        <f>Ruimtestaat[[#This Row],[Uitvoeringen werkdagen]]*Ruimtestaat[[#This Row],[Oppervlak (netto)]]</f>
        <v>2480</v>
      </c>
      <c r="X84" s="233">
        <f>IF(V84&gt;0,Ruimtestaat[[#This Row],[Prest. (m2 /jaar) werkdagen]]/Ruimtestaat[[#This Row],[Norm (m2/uur) werkdagen]],0)</f>
        <v>0</v>
      </c>
      <c r="Y84" s="234">
        <f>Ruimtestaat[[#This Row],[uren / jaar werkdagen]]*Tariefsopbouw!$D$38</f>
        <v>0</v>
      </c>
      <c r="Z84" s="33"/>
      <c r="AA84" s="33">
        <f>IF(Ruimtestaat[[#This Row],[Frequentie weekend]]&gt;0,VALUE(LEFT(Z84,1))*S84,0)</f>
        <v>0</v>
      </c>
      <c r="AB84" s="33">
        <f>IF($AA84&gt;0,VLOOKUP($K84,Ruimtegroepen[],3,FALSE)*VLOOKUP($M84,Vloersoorten[],3,FALSE)*VLOOKUP($Z84,Frequenties[],3,FALSE)*VLOOKUP(#REF!,Locaties[],3,FALSE),0)</f>
        <v>0</v>
      </c>
      <c r="AC84" s="33"/>
      <c r="AD84" s="33"/>
      <c r="AE84" s="33">
        <f>Ruimtestaat[[#This Row],[uren / jaar weekend]]*Tariefsopbouw!$D$40</f>
        <v>0</v>
      </c>
      <c r="AF84" s="79">
        <f>Ruimtestaat[[#This Row],[Prest. (m2 /jaar) weekend]]+Ruimtestaat[[#This Row],[Prest. (m2 /jaar) werkdagen]]</f>
        <v>2480</v>
      </c>
      <c r="AG84" s="79">
        <f>Ruimtestaat[[#This Row],[uren / jaar weekend]]+Ruimtestaat[[#This Row],[uren / jaar werkdagen]]</f>
        <v>0</v>
      </c>
      <c r="AH84" s="80">
        <f>Ruimtestaat[[#This Row],[kosten / jaar weekend]]+Ruimtestaat[[#This Row],[kosten / jaar werkdagen]]</f>
        <v>0</v>
      </c>
      <c r="AI84" s="104"/>
      <c r="HM84" s="78"/>
    </row>
    <row r="85" spans="1:221" ht="15" customHeight="1">
      <c r="A85" s="119">
        <v>1</v>
      </c>
      <c r="B85" s="21" t="str">
        <f>VLOOKUP(Ruimtestaat[[#This Row],[Code]],Locaties[#All],2,FALSE)</f>
        <v>IJburg College</v>
      </c>
      <c r="C85" s="21" t="str">
        <f>VLOOKUP(Ruimtestaat[[#This Row],[Code]],Locaties[#All],4,FALSE)</f>
        <v>Pampuslaan 1</v>
      </c>
      <c r="D85" s="21" t="str">
        <f>VLOOKUP(Ruimtestaat[[#This Row],[Code]],Locaties[#All],5,FALSE)</f>
        <v>1087 HP</v>
      </c>
      <c r="E85" s="180" t="str">
        <f>VLOOKUP(Ruimtestaat[[#This Row],[Code]],Locaties[#All],6,FALSE)</f>
        <v>Amsterdam</v>
      </c>
      <c r="F85" s="180"/>
      <c r="G85" s="180" t="s">
        <v>645</v>
      </c>
      <c r="H85" s="180" t="s">
        <v>575</v>
      </c>
      <c r="I85" s="180" t="s">
        <v>567</v>
      </c>
      <c r="J85" s="224" t="s">
        <v>622</v>
      </c>
      <c r="K85" s="180">
        <v>2</v>
      </c>
      <c r="L85" s="224" t="str">
        <f>VLOOKUP(Ruimtestaat[[#This Row],[Ruimte code]],Ruimtegroepen[#All],2,FALSE)</f>
        <v>Kantoren</v>
      </c>
      <c r="M85" s="195" t="s">
        <v>111</v>
      </c>
      <c r="N85" s="180" t="s">
        <v>557</v>
      </c>
      <c r="O85" s="181">
        <v>121.6</v>
      </c>
      <c r="P85" s="193"/>
      <c r="Q85" s="223" t="str">
        <f>VLOOKUP(Ruimtestaat[[#This Row],[Ruimte code]],Ruimtegroepen[#All],4,FALSE)</f>
        <v>B  (Bureauruimte)</v>
      </c>
      <c r="R85" s="194"/>
      <c r="S85" s="195">
        <v>42</v>
      </c>
      <c r="T85" s="195" t="s">
        <v>17</v>
      </c>
      <c r="U85" s="195">
        <f>IF(S85&gt;0,IF(RIGHT(Ruimtestaat[[#This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84</v>
      </c>
      <c r="V85" s="195">
        <f>IF(U85&gt;0,VLOOKUP($K85,Ruimtegroepen[],3,FALSE)*VLOOKUP($M85,Vloersoorten[],3,FALSE)*VLOOKUP($T85,Frequenties[],3,FALSE)*VLOOKUP($A85,Locaties[],3,FALSE),0)</f>
        <v>0</v>
      </c>
      <c r="W85" s="195">
        <f>Ruimtestaat[[#This Row],[Uitvoeringen werkdagen]]*Ruimtestaat[[#This Row],[Oppervlak (netto)]]</f>
        <v>10214.4</v>
      </c>
      <c r="X85" s="233">
        <f>IF(V85&gt;0,Ruimtestaat[[#This Row],[Prest. (m2 /jaar) werkdagen]]/Ruimtestaat[[#This Row],[Norm (m2/uur) werkdagen]],0)</f>
        <v>0</v>
      </c>
      <c r="Y85" s="234">
        <f>Ruimtestaat[[#This Row],[uren / jaar werkdagen]]*Tariefsopbouw!$D$38</f>
        <v>0</v>
      </c>
      <c r="Z85" s="33"/>
      <c r="AA85" s="33">
        <f>IF(Ruimtestaat[[#This Row],[Frequentie weekend]]&gt;0,VALUE(LEFT(Z85,1))*S85,0)</f>
        <v>0</v>
      </c>
      <c r="AB85" s="33">
        <f>IF($AA85&gt;0,VLOOKUP($K85,Ruimtegroepen[],3,FALSE)*VLOOKUP($M85,Vloersoorten[],3,FALSE)*VLOOKUP($Z85,Frequenties[],3,FALSE)*VLOOKUP(#REF!,Locaties[],3,FALSE),0)</f>
        <v>0</v>
      </c>
      <c r="AC85" s="33"/>
      <c r="AD85" s="33"/>
      <c r="AE85" s="33">
        <f>Ruimtestaat[[#This Row],[uren / jaar weekend]]*Tariefsopbouw!$D$40</f>
        <v>0</v>
      </c>
      <c r="AF85" s="79">
        <f>Ruimtestaat[[#This Row],[Prest. (m2 /jaar) weekend]]+Ruimtestaat[[#This Row],[Prest. (m2 /jaar) werkdagen]]</f>
        <v>10214.4</v>
      </c>
      <c r="AG85" s="79">
        <f>Ruimtestaat[[#This Row],[uren / jaar weekend]]+Ruimtestaat[[#This Row],[uren / jaar werkdagen]]</f>
        <v>0</v>
      </c>
      <c r="AH85" s="80">
        <f>Ruimtestaat[[#This Row],[kosten / jaar weekend]]+Ruimtestaat[[#This Row],[kosten / jaar werkdagen]]</f>
        <v>0</v>
      </c>
      <c r="AI85" s="104"/>
      <c r="HM85" s="78"/>
    </row>
    <row r="86" spans="1:221" ht="15" customHeight="1">
      <c r="A86" s="119">
        <v>1</v>
      </c>
      <c r="B86" s="21" t="str">
        <f>VLOOKUP(Ruimtestaat[[#This Row],[Code]],Locaties[#All],2,FALSE)</f>
        <v>IJburg College</v>
      </c>
      <c r="C86" s="21" t="str">
        <f>VLOOKUP(Ruimtestaat[[#This Row],[Code]],Locaties[#All],4,FALSE)</f>
        <v>Pampuslaan 1</v>
      </c>
      <c r="D86" s="21" t="str">
        <f>VLOOKUP(Ruimtestaat[[#This Row],[Code]],Locaties[#All],5,FALSE)</f>
        <v>1087 HP</v>
      </c>
      <c r="E86" s="180" t="str">
        <f>VLOOKUP(Ruimtestaat[[#This Row],[Code]],Locaties[#All],6,FALSE)</f>
        <v>Amsterdam</v>
      </c>
      <c r="F86" s="180"/>
      <c r="G86" s="180" t="s">
        <v>645</v>
      </c>
      <c r="H86" s="180" t="s">
        <v>815</v>
      </c>
      <c r="I86" s="180" t="s">
        <v>568</v>
      </c>
      <c r="J86" s="224" t="s">
        <v>623</v>
      </c>
      <c r="K86" s="180">
        <v>6</v>
      </c>
      <c r="L86" s="224" t="str">
        <f>VLOOKUP(Ruimtestaat[[#This Row],[Ruimte code]],Ruimtegroepen[#All],2,FALSE)</f>
        <v>Gangen/hallen</v>
      </c>
      <c r="M86" s="195" t="s">
        <v>111</v>
      </c>
      <c r="N86" s="180" t="s">
        <v>557</v>
      </c>
      <c r="O86" s="181">
        <v>108</v>
      </c>
      <c r="P86" s="193"/>
      <c r="Q86" s="223" t="str">
        <f>VLOOKUP(Ruimtestaat[[#This Row],[Ruimte code]],Ruimtegroepen[#All],4,FALSE)</f>
        <v>V  (Verkeersruimte)</v>
      </c>
      <c r="R86" s="194"/>
      <c r="S86" s="195">
        <v>40</v>
      </c>
      <c r="T86" s="195" t="s">
        <v>2</v>
      </c>
      <c r="U86" s="195">
        <f>IF(S86&gt;0,IF(RIGHT(Ruimtestaat[[#This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6" s="195">
        <f>IF(U86&gt;0,VLOOKUP($K86,Ruimtegroepen[],3,FALSE)*VLOOKUP($M86,Vloersoorten[],3,FALSE)*VLOOKUP($T86,Frequenties[],3,FALSE)*VLOOKUP($A86,Locaties[],3,FALSE),0)</f>
        <v>0</v>
      </c>
      <c r="W86" s="195">
        <f>Ruimtestaat[[#This Row],[Uitvoeringen werkdagen]]*Ruimtestaat[[#This Row],[Oppervlak (netto)]]</f>
        <v>21600</v>
      </c>
      <c r="X86" s="233">
        <f>IF(V86&gt;0,Ruimtestaat[[#This Row],[Prest. (m2 /jaar) werkdagen]]/Ruimtestaat[[#This Row],[Norm (m2/uur) werkdagen]],0)</f>
        <v>0</v>
      </c>
      <c r="Y86" s="234">
        <f>Ruimtestaat[[#This Row],[uren / jaar werkdagen]]*Tariefsopbouw!$D$38</f>
        <v>0</v>
      </c>
      <c r="Z86" s="33"/>
      <c r="AA86" s="33">
        <f>IF(Ruimtestaat[[#This Row],[Frequentie weekend]]&gt;0,VALUE(LEFT(Z86,1))*S86,0)</f>
        <v>0</v>
      </c>
      <c r="AB86" s="33">
        <f>IF($AA86&gt;0,VLOOKUP($K86,Ruimtegroepen[],3,FALSE)*VLOOKUP($M86,Vloersoorten[],3,FALSE)*VLOOKUP($Z86,Frequenties[],3,FALSE)*VLOOKUP(#REF!,Locaties[],3,FALSE),0)</f>
        <v>0</v>
      </c>
      <c r="AC86" s="33"/>
      <c r="AD86" s="33"/>
      <c r="AE86" s="33">
        <f>Ruimtestaat[[#This Row],[uren / jaar weekend]]*Tariefsopbouw!$D$40</f>
        <v>0</v>
      </c>
      <c r="AF86" s="79">
        <f>Ruimtestaat[[#This Row],[Prest. (m2 /jaar) weekend]]+Ruimtestaat[[#This Row],[Prest. (m2 /jaar) werkdagen]]</f>
        <v>21600</v>
      </c>
      <c r="AG86" s="79">
        <f>Ruimtestaat[[#This Row],[uren / jaar weekend]]+Ruimtestaat[[#This Row],[uren / jaar werkdagen]]</f>
        <v>0</v>
      </c>
      <c r="AH86" s="80">
        <f>Ruimtestaat[[#This Row],[kosten / jaar weekend]]+Ruimtestaat[[#This Row],[kosten / jaar werkdagen]]</f>
        <v>0</v>
      </c>
      <c r="AI86" s="104"/>
      <c r="HM86" s="78"/>
    </row>
    <row r="87" spans="1:221" ht="15" customHeight="1">
      <c r="A87" s="119">
        <v>1</v>
      </c>
      <c r="B87" s="21" t="str">
        <f>VLOOKUP(Ruimtestaat[[#This Row],[Code]],Locaties[#All],2,FALSE)</f>
        <v>IJburg College</v>
      </c>
      <c r="C87" s="21" t="str">
        <f>VLOOKUP(Ruimtestaat[[#This Row],[Code]],Locaties[#All],4,FALSE)</f>
        <v>Pampuslaan 1</v>
      </c>
      <c r="D87" s="21" t="str">
        <f>VLOOKUP(Ruimtestaat[[#This Row],[Code]],Locaties[#All],5,FALSE)</f>
        <v>1087 HP</v>
      </c>
      <c r="E87" s="180" t="str">
        <f>VLOOKUP(Ruimtestaat[[#This Row],[Code]],Locaties[#All],6,FALSE)</f>
        <v>Amsterdam</v>
      </c>
      <c r="F87" s="180"/>
      <c r="G87" s="180" t="s">
        <v>645</v>
      </c>
      <c r="H87" s="180" t="s">
        <v>592</v>
      </c>
      <c r="I87" s="180" t="s">
        <v>569</v>
      </c>
      <c r="J87" s="224" t="s">
        <v>622</v>
      </c>
      <c r="K87" s="180">
        <v>2</v>
      </c>
      <c r="L87" s="224" t="str">
        <f>VLOOKUP(Ruimtestaat[[#This Row],[Ruimte code]],Ruimtegroepen[#All],2,FALSE)</f>
        <v>Kantoren</v>
      </c>
      <c r="M87" s="195" t="s">
        <v>111</v>
      </c>
      <c r="N87" s="180" t="s">
        <v>557</v>
      </c>
      <c r="O87" s="181">
        <v>15.8</v>
      </c>
      <c r="P87" s="193"/>
      <c r="Q87" s="223" t="str">
        <f>VLOOKUP(Ruimtestaat[[#This Row],[Ruimte code]],Ruimtegroepen[#All],4,FALSE)</f>
        <v>B  (Bureauruimte)</v>
      </c>
      <c r="R87" s="194"/>
      <c r="S87" s="195">
        <v>42</v>
      </c>
      <c r="T87" s="195" t="s">
        <v>17</v>
      </c>
      <c r="U87" s="195">
        <f>IF(S87&gt;0,IF(RIGHT(Ruimtestaat[[#This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84</v>
      </c>
      <c r="V87" s="195">
        <f>IF(U87&gt;0,VLOOKUP($K87,Ruimtegroepen[],3,FALSE)*VLOOKUP($M87,Vloersoorten[],3,FALSE)*VLOOKUP($T87,Frequenties[],3,FALSE)*VLOOKUP($A87,Locaties[],3,FALSE),0)</f>
        <v>0</v>
      </c>
      <c r="W87" s="195">
        <f>Ruimtestaat[[#This Row],[Uitvoeringen werkdagen]]*Ruimtestaat[[#This Row],[Oppervlak (netto)]]</f>
        <v>1327.2</v>
      </c>
      <c r="X87" s="233">
        <f>IF(V87&gt;0,Ruimtestaat[[#This Row],[Prest. (m2 /jaar) werkdagen]]/Ruimtestaat[[#This Row],[Norm (m2/uur) werkdagen]],0)</f>
        <v>0</v>
      </c>
      <c r="Y87" s="234">
        <f>Ruimtestaat[[#This Row],[uren / jaar werkdagen]]*Tariefsopbouw!$D$38</f>
        <v>0</v>
      </c>
      <c r="Z87" s="33"/>
      <c r="AA87" s="33">
        <f>IF(Ruimtestaat[[#This Row],[Frequentie weekend]]&gt;0,VALUE(LEFT(Z87,1))*S87,0)</f>
        <v>0</v>
      </c>
      <c r="AB87" s="33">
        <f>IF($AA87&gt;0,VLOOKUP($K87,Ruimtegroepen[],3,FALSE)*VLOOKUP($M87,Vloersoorten[],3,FALSE)*VLOOKUP($Z87,Frequenties[],3,FALSE)*VLOOKUP(#REF!,Locaties[],3,FALSE),0)</f>
        <v>0</v>
      </c>
      <c r="AC87" s="33"/>
      <c r="AD87" s="33"/>
      <c r="AE87" s="33">
        <f>Ruimtestaat[[#This Row],[uren / jaar weekend]]*Tariefsopbouw!$D$40</f>
        <v>0</v>
      </c>
      <c r="AF87" s="79">
        <f>Ruimtestaat[[#This Row],[Prest. (m2 /jaar) weekend]]+Ruimtestaat[[#This Row],[Prest. (m2 /jaar) werkdagen]]</f>
        <v>1327.2</v>
      </c>
      <c r="AG87" s="79">
        <f>Ruimtestaat[[#This Row],[uren / jaar weekend]]+Ruimtestaat[[#This Row],[uren / jaar werkdagen]]</f>
        <v>0</v>
      </c>
      <c r="AH87" s="80">
        <f>Ruimtestaat[[#This Row],[kosten / jaar weekend]]+Ruimtestaat[[#This Row],[kosten / jaar werkdagen]]</f>
        <v>0</v>
      </c>
      <c r="AI87" s="104"/>
      <c r="HM87" s="78"/>
    </row>
    <row r="88" spans="1:221" ht="15" customHeight="1">
      <c r="A88" s="119">
        <v>1</v>
      </c>
      <c r="B88" s="21" t="str">
        <f>VLOOKUP(Ruimtestaat[[#This Row],[Code]],Locaties[#All],2,FALSE)</f>
        <v>IJburg College</v>
      </c>
      <c r="C88" s="21" t="str">
        <f>VLOOKUP(Ruimtestaat[[#This Row],[Code]],Locaties[#All],4,FALSE)</f>
        <v>Pampuslaan 1</v>
      </c>
      <c r="D88" s="21" t="str">
        <f>VLOOKUP(Ruimtestaat[[#This Row],[Code]],Locaties[#All],5,FALSE)</f>
        <v>1087 HP</v>
      </c>
      <c r="E88" s="180" t="str">
        <f>VLOOKUP(Ruimtestaat[[#This Row],[Code]],Locaties[#All],6,FALSE)</f>
        <v>Amsterdam</v>
      </c>
      <c r="F88" s="180"/>
      <c r="G88" s="180" t="s">
        <v>645</v>
      </c>
      <c r="H88" s="180" t="s">
        <v>593</v>
      </c>
      <c r="I88" s="180" t="s">
        <v>570</v>
      </c>
      <c r="J88" s="224" t="s">
        <v>622</v>
      </c>
      <c r="K88" s="195">
        <v>2</v>
      </c>
      <c r="L88" s="224" t="str">
        <f>VLOOKUP(Ruimtestaat[[#This Row],[Ruimte code]],Ruimtegroepen[#All],2,FALSE)</f>
        <v>Kantoren</v>
      </c>
      <c r="M88" s="195" t="s">
        <v>111</v>
      </c>
      <c r="N88" s="180" t="s">
        <v>557</v>
      </c>
      <c r="O88" s="181">
        <v>15.8</v>
      </c>
      <c r="P88" s="193"/>
      <c r="Q88" s="223" t="str">
        <f>VLOOKUP(Ruimtestaat[[#This Row],[Ruimte code]],Ruimtegroepen[#All],4,FALSE)</f>
        <v>B  (Bureauruimte)</v>
      </c>
      <c r="R88" s="194"/>
      <c r="S88" s="195">
        <v>42</v>
      </c>
      <c r="T88" s="195" t="s">
        <v>17</v>
      </c>
      <c r="U88" s="195">
        <f>IF(S88&gt;0,IF(RIGHT(Ruimtestaat[[#This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84</v>
      </c>
      <c r="V88" s="195">
        <f>IF(U88&gt;0,VLOOKUP($K88,Ruimtegroepen[],3,FALSE)*VLOOKUP($M88,Vloersoorten[],3,FALSE)*VLOOKUP($T88,Frequenties[],3,FALSE)*VLOOKUP($A88,Locaties[],3,FALSE),0)</f>
        <v>0</v>
      </c>
      <c r="W88" s="195">
        <f>Ruimtestaat[[#This Row],[Uitvoeringen werkdagen]]*Ruimtestaat[[#This Row],[Oppervlak (netto)]]</f>
        <v>1327.2</v>
      </c>
      <c r="X88" s="233">
        <f>IF(V88&gt;0,Ruimtestaat[[#This Row],[Prest. (m2 /jaar) werkdagen]]/Ruimtestaat[[#This Row],[Norm (m2/uur) werkdagen]],0)</f>
        <v>0</v>
      </c>
      <c r="Y88" s="234">
        <f>Ruimtestaat[[#This Row],[uren / jaar werkdagen]]*Tariefsopbouw!$D$38</f>
        <v>0</v>
      </c>
      <c r="Z88" s="33"/>
      <c r="AA88" s="33">
        <f>IF(Ruimtestaat[[#This Row],[Frequentie weekend]]&gt;0,VALUE(LEFT(Z88,1))*S88,0)</f>
        <v>0</v>
      </c>
      <c r="AB88" s="33">
        <f>IF($AA88&gt;0,VLOOKUP($K88,Ruimtegroepen[],3,FALSE)*VLOOKUP($M88,Vloersoorten[],3,FALSE)*VLOOKUP($Z88,Frequenties[],3,FALSE)*VLOOKUP(#REF!,Locaties[],3,FALSE),0)</f>
        <v>0</v>
      </c>
      <c r="AC88" s="33"/>
      <c r="AD88" s="33"/>
      <c r="AE88" s="33">
        <f>Ruimtestaat[[#This Row],[uren / jaar weekend]]*Tariefsopbouw!$D$40</f>
        <v>0</v>
      </c>
      <c r="AF88" s="79">
        <f>Ruimtestaat[[#This Row],[Prest. (m2 /jaar) weekend]]+Ruimtestaat[[#This Row],[Prest. (m2 /jaar) werkdagen]]</f>
        <v>1327.2</v>
      </c>
      <c r="AG88" s="79">
        <f>Ruimtestaat[[#This Row],[uren / jaar weekend]]+Ruimtestaat[[#This Row],[uren / jaar werkdagen]]</f>
        <v>0</v>
      </c>
      <c r="AH88" s="80">
        <f>Ruimtestaat[[#This Row],[kosten / jaar weekend]]+Ruimtestaat[[#This Row],[kosten / jaar werkdagen]]</f>
        <v>0</v>
      </c>
      <c r="AI88" s="104"/>
      <c r="HM88" s="78"/>
    </row>
    <row r="89" spans="1:221" ht="15" customHeight="1">
      <c r="A89" s="119">
        <v>1</v>
      </c>
      <c r="B89" s="21" t="str">
        <f>VLOOKUP(Ruimtestaat[[#This Row],[Code]],Locaties[#All],2,FALSE)</f>
        <v>IJburg College</v>
      </c>
      <c r="C89" s="21" t="str">
        <f>VLOOKUP(Ruimtestaat[[#This Row],[Code]],Locaties[#All],4,FALSE)</f>
        <v>Pampuslaan 1</v>
      </c>
      <c r="D89" s="21" t="str">
        <f>VLOOKUP(Ruimtestaat[[#This Row],[Code]],Locaties[#All],5,FALSE)</f>
        <v>1087 HP</v>
      </c>
      <c r="E89" s="180" t="str">
        <f>VLOOKUP(Ruimtestaat[[#This Row],[Code]],Locaties[#All],6,FALSE)</f>
        <v>Amsterdam</v>
      </c>
      <c r="F89" s="180"/>
      <c r="G89" s="180" t="s">
        <v>645</v>
      </c>
      <c r="H89" s="180" t="s">
        <v>576</v>
      </c>
      <c r="I89" s="180" t="s">
        <v>571</v>
      </c>
      <c r="J89" s="224" t="s">
        <v>624</v>
      </c>
      <c r="K89" s="180">
        <v>16</v>
      </c>
      <c r="L89" s="224" t="str">
        <f>VLOOKUP(Ruimtestaat[[#This Row],[Ruimte code]],Ruimtegroepen[#All],2,FALSE)</f>
        <v>Lokaal</v>
      </c>
      <c r="M89" s="195" t="s">
        <v>111</v>
      </c>
      <c r="N89" s="180" t="s">
        <v>557</v>
      </c>
      <c r="O89" s="181">
        <v>60</v>
      </c>
      <c r="P89" s="193"/>
      <c r="Q89" s="223" t="str">
        <f>VLOOKUP(Ruimtestaat[[#This Row],[Ruimte code]],Ruimtegroepen[#All],4,FALSE)</f>
        <v>L  (Lesruimte)</v>
      </c>
      <c r="R89" s="194"/>
      <c r="S89" s="195">
        <v>40</v>
      </c>
      <c r="T89" s="195" t="s">
        <v>2</v>
      </c>
      <c r="U89" s="195">
        <f>IF(S89&gt;0,IF(RIGHT(Ruimtestaat[[#This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9" s="195">
        <f>IF(U89&gt;0,VLOOKUP($K89,Ruimtegroepen[],3,FALSE)*VLOOKUP($M89,Vloersoorten[],3,FALSE)*VLOOKUP($T89,Frequenties[],3,FALSE)*VLOOKUP($A89,Locaties[],3,FALSE),0)</f>
        <v>0</v>
      </c>
      <c r="W89" s="195">
        <f>Ruimtestaat[[#This Row],[Uitvoeringen werkdagen]]*Ruimtestaat[[#This Row],[Oppervlak (netto)]]</f>
        <v>12000</v>
      </c>
      <c r="X89" s="233">
        <f>IF(V89&gt;0,Ruimtestaat[[#This Row],[Prest. (m2 /jaar) werkdagen]]/Ruimtestaat[[#This Row],[Norm (m2/uur) werkdagen]],0)</f>
        <v>0</v>
      </c>
      <c r="Y89" s="234">
        <f>Ruimtestaat[[#This Row],[uren / jaar werkdagen]]*Tariefsopbouw!$D$38</f>
        <v>0</v>
      </c>
      <c r="Z89" s="33"/>
      <c r="AA89" s="33">
        <f>IF(Ruimtestaat[[#This Row],[Frequentie weekend]]&gt;0,VALUE(LEFT(Z89,1))*S89,0)</f>
        <v>0</v>
      </c>
      <c r="AB89" s="33">
        <f>IF($AA89&gt;0,VLOOKUP($K89,Ruimtegroepen[],3,FALSE)*VLOOKUP($M89,Vloersoorten[],3,FALSE)*VLOOKUP($Z89,Frequenties[],3,FALSE)*VLOOKUP(#REF!,Locaties[],3,FALSE),0)</f>
        <v>0</v>
      </c>
      <c r="AC89" s="33"/>
      <c r="AD89" s="33"/>
      <c r="AE89" s="33">
        <f>Ruimtestaat[[#This Row],[uren / jaar weekend]]*Tariefsopbouw!$D$40</f>
        <v>0</v>
      </c>
      <c r="AF89" s="79">
        <f>Ruimtestaat[[#This Row],[Prest. (m2 /jaar) weekend]]+Ruimtestaat[[#This Row],[Prest. (m2 /jaar) werkdagen]]</f>
        <v>12000</v>
      </c>
      <c r="AG89" s="79">
        <f>Ruimtestaat[[#This Row],[uren / jaar weekend]]+Ruimtestaat[[#This Row],[uren / jaar werkdagen]]</f>
        <v>0</v>
      </c>
      <c r="AH89" s="80">
        <f>Ruimtestaat[[#This Row],[kosten / jaar weekend]]+Ruimtestaat[[#This Row],[kosten / jaar werkdagen]]</f>
        <v>0</v>
      </c>
      <c r="AI89" s="104"/>
      <c r="HM89" s="78"/>
    </row>
    <row r="90" spans="1:221" ht="15" customHeight="1">
      <c r="A90" s="119">
        <v>1</v>
      </c>
      <c r="B90" s="21" t="str">
        <f>VLOOKUP(Ruimtestaat[[#This Row],[Code]],Locaties[#All],2,FALSE)</f>
        <v>IJburg College</v>
      </c>
      <c r="C90" s="21" t="str">
        <f>VLOOKUP(Ruimtestaat[[#This Row],[Code]],Locaties[#All],4,FALSE)</f>
        <v>Pampuslaan 1</v>
      </c>
      <c r="D90" s="21" t="str">
        <f>VLOOKUP(Ruimtestaat[[#This Row],[Code]],Locaties[#All],5,FALSE)</f>
        <v>1087 HP</v>
      </c>
      <c r="E90" s="180" t="str">
        <f>VLOOKUP(Ruimtestaat[[#This Row],[Code]],Locaties[#All],6,FALSE)</f>
        <v>Amsterdam</v>
      </c>
      <c r="F90" s="180"/>
      <c r="G90" s="180" t="s">
        <v>645</v>
      </c>
      <c r="H90" s="180" t="s">
        <v>577</v>
      </c>
      <c r="I90" s="180" t="s">
        <v>572</v>
      </c>
      <c r="J90" s="224" t="s">
        <v>625</v>
      </c>
      <c r="K90" s="180">
        <v>11</v>
      </c>
      <c r="L90" s="224" t="str">
        <f>VLOOKUP(Ruimtestaat[[#This Row],[Ruimte code]],Ruimtegroepen[#All],2,FALSE)</f>
        <v>Praktijklokaal</v>
      </c>
      <c r="M90" s="195" t="s">
        <v>111</v>
      </c>
      <c r="N90" s="180" t="s">
        <v>557</v>
      </c>
      <c r="O90" s="181">
        <v>91.85</v>
      </c>
      <c r="P90" s="193"/>
      <c r="Q90" s="223" t="str">
        <f>VLOOKUP(Ruimtestaat[[#This Row],[Ruimte code]],Ruimtegroepen[#All],4,FALSE)</f>
        <v>L  (Lesruimte)</v>
      </c>
      <c r="R90" s="194"/>
      <c r="S90" s="195">
        <v>40</v>
      </c>
      <c r="T90" s="195" t="s">
        <v>2</v>
      </c>
      <c r="U90" s="195">
        <f>IF(S90&gt;0,IF(RIGHT(Ruimtestaat[[#This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0" s="195">
        <f>IF(U90&gt;0,VLOOKUP($K90,Ruimtegroepen[],3,FALSE)*VLOOKUP($M90,Vloersoorten[],3,FALSE)*VLOOKUP($T90,Frequenties[],3,FALSE)*VLOOKUP($A90,Locaties[],3,FALSE),0)</f>
        <v>0</v>
      </c>
      <c r="W90" s="195">
        <f>Ruimtestaat[[#This Row],[Uitvoeringen werkdagen]]*Ruimtestaat[[#This Row],[Oppervlak (netto)]]</f>
        <v>18370</v>
      </c>
      <c r="X90" s="233">
        <f>IF(V90&gt;0,Ruimtestaat[[#This Row],[Prest. (m2 /jaar) werkdagen]]/Ruimtestaat[[#This Row],[Norm (m2/uur) werkdagen]],0)</f>
        <v>0</v>
      </c>
      <c r="Y90" s="234">
        <f>Ruimtestaat[[#This Row],[uren / jaar werkdagen]]*Tariefsopbouw!$D$38</f>
        <v>0</v>
      </c>
      <c r="Z90" s="33"/>
      <c r="AA90" s="33">
        <f>IF(Ruimtestaat[[#This Row],[Frequentie weekend]]&gt;0,VALUE(LEFT(Z90,1))*S90,0)</f>
        <v>0</v>
      </c>
      <c r="AB90" s="33">
        <f>IF($AA90&gt;0,VLOOKUP($K90,Ruimtegroepen[],3,FALSE)*VLOOKUP($M90,Vloersoorten[],3,FALSE)*VLOOKUP($Z90,Frequenties[],3,FALSE)*VLOOKUP(#REF!,Locaties[],3,FALSE),0)</f>
        <v>0</v>
      </c>
      <c r="AC90" s="33"/>
      <c r="AD90" s="33"/>
      <c r="AE90" s="33">
        <f>Ruimtestaat[[#This Row],[uren / jaar weekend]]*Tariefsopbouw!$D$40</f>
        <v>0</v>
      </c>
      <c r="AF90" s="79">
        <f>Ruimtestaat[[#This Row],[Prest. (m2 /jaar) weekend]]+Ruimtestaat[[#This Row],[Prest. (m2 /jaar) werkdagen]]</f>
        <v>18370</v>
      </c>
      <c r="AG90" s="79">
        <f>Ruimtestaat[[#This Row],[uren / jaar weekend]]+Ruimtestaat[[#This Row],[uren / jaar werkdagen]]</f>
        <v>0</v>
      </c>
      <c r="AH90" s="80">
        <f>Ruimtestaat[[#This Row],[kosten / jaar weekend]]+Ruimtestaat[[#This Row],[kosten / jaar werkdagen]]</f>
        <v>0</v>
      </c>
      <c r="AI90" s="104"/>
      <c r="HM90" s="78"/>
    </row>
    <row r="91" spans="1:221" ht="15" customHeight="1">
      <c r="A91" s="119">
        <v>1</v>
      </c>
      <c r="B91" s="21" t="str">
        <f>VLOOKUP(Ruimtestaat[[#This Row],[Code]],Locaties[#All],2,FALSE)</f>
        <v>IJburg College</v>
      </c>
      <c r="C91" s="21" t="str">
        <f>VLOOKUP(Ruimtestaat[[#This Row],[Code]],Locaties[#All],4,FALSE)</f>
        <v>Pampuslaan 1</v>
      </c>
      <c r="D91" s="21" t="str">
        <f>VLOOKUP(Ruimtestaat[[#This Row],[Code]],Locaties[#All],5,FALSE)</f>
        <v>1087 HP</v>
      </c>
      <c r="E91" s="180" t="str">
        <f>VLOOKUP(Ruimtestaat[[#This Row],[Code]],Locaties[#All],6,FALSE)</f>
        <v>Amsterdam</v>
      </c>
      <c r="F91" s="180"/>
      <c r="G91" s="180" t="s">
        <v>645</v>
      </c>
      <c r="H91" s="180" t="s">
        <v>578</v>
      </c>
      <c r="I91" s="180" t="s">
        <v>573</v>
      </c>
      <c r="J91" s="224" t="s">
        <v>625</v>
      </c>
      <c r="K91" s="180">
        <v>11</v>
      </c>
      <c r="L91" s="224" t="str">
        <f>VLOOKUP(Ruimtestaat[[#This Row],[Ruimte code]],Ruimtegroepen[#All],2,FALSE)</f>
        <v>Praktijklokaal</v>
      </c>
      <c r="M91" s="195" t="s">
        <v>111</v>
      </c>
      <c r="N91" s="180" t="s">
        <v>557</v>
      </c>
      <c r="O91" s="181">
        <v>117.8</v>
      </c>
      <c r="P91" s="193"/>
      <c r="Q91" s="223" t="str">
        <f>VLOOKUP(Ruimtestaat[[#This Row],[Ruimte code]],Ruimtegroepen[#All],4,FALSE)</f>
        <v>L  (Lesruimte)</v>
      </c>
      <c r="R91" s="194"/>
      <c r="S91" s="195">
        <v>40</v>
      </c>
      <c r="T91" s="195" t="s">
        <v>2</v>
      </c>
      <c r="U91" s="195">
        <f>IF(S91&gt;0,IF(RIGHT(Ruimtestaat[[#This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1" s="195">
        <f>IF(U91&gt;0,VLOOKUP($K91,Ruimtegroepen[],3,FALSE)*VLOOKUP($M91,Vloersoorten[],3,FALSE)*VLOOKUP($T91,Frequenties[],3,FALSE)*VLOOKUP($A91,Locaties[],3,FALSE),0)</f>
        <v>0</v>
      </c>
      <c r="W91" s="195">
        <f>Ruimtestaat[[#This Row],[Uitvoeringen werkdagen]]*Ruimtestaat[[#This Row],[Oppervlak (netto)]]</f>
        <v>23560</v>
      </c>
      <c r="X91" s="233">
        <f>IF(V91&gt;0,Ruimtestaat[[#This Row],[Prest. (m2 /jaar) werkdagen]]/Ruimtestaat[[#This Row],[Norm (m2/uur) werkdagen]],0)</f>
        <v>0</v>
      </c>
      <c r="Y91" s="234">
        <f>Ruimtestaat[[#This Row],[uren / jaar werkdagen]]*Tariefsopbouw!$D$38</f>
        <v>0</v>
      </c>
      <c r="Z91" s="33"/>
      <c r="AA91" s="33">
        <f>IF(Ruimtestaat[[#This Row],[Frequentie weekend]]&gt;0,VALUE(LEFT(Z91,1))*S91,0)</f>
        <v>0</v>
      </c>
      <c r="AB91" s="33">
        <f>IF($AA91&gt;0,VLOOKUP($K91,Ruimtegroepen[],3,FALSE)*VLOOKUP($M91,Vloersoorten[],3,FALSE)*VLOOKUP($Z91,Frequenties[],3,FALSE)*VLOOKUP(#REF!,Locaties[],3,FALSE),0)</f>
        <v>0</v>
      </c>
      <c r="AC91" s="33"/>
      <c r="AD91" s="33"/>
      <c r="AE91" s="33">
        <f>Ruimtestaat[[#This Row],[uren / jaar weekend]]*Tariefsopbouw!$D$40</f>
        <v>0</v>
      </c>
      <c r="AF91" s="79">
        <f>Ruimtestaat[[#This Row],[Prest. (m2 /jaar) weekend]]+Ruimtestaat[[#This Row],[Prest. (m2 /jaar) werkdagen]]</f>
        <v>23560</v>
      </c>
      <c r="AG91" s="79">
        <f>Ruimtestaat[[#This Row],[uren / jaar weekend]]+Ruimtestaat[[#This Row],[uren / jaar werkdagen]]</f>
        <v>0</v>
      </c>
      <c r="AH91" s="80">
        <f>Ruimtestaat[[#This Row],[kosten / jaar weekend]]+Ruimtestaat[[#This Row],[kosten / jaar werkdagen]]</f>
        <v>0</v>
      </c>
      <c r="HM91" s="78"/>
    </row>
    <row r="92" spans="1:221" ht="15" customHeight="1">
      <c r="A92" s="119">
        <v>1</v>
      </c>
      <c r="B92" s="21" t="str">
        <f>VLOOKUP(Ruimtestaat[[#This Row],[Code]],Locaties[#All],2,FALSE)</f>
        <v>IJburg College</v>
      </c>
      <c r="C92" s="21" t="str">
        <f>VLOOKUP(Ruimtestaat[[#This Row],[Code]],Locaties[#All],4,FALSE)</f>
        <v>Pampuslaan 1</v>
      </c>
      <c r="D92" s="21" t="str">
        <f>VLOOKUP(Ruimtestaat[[#This Row],[Code]],Locaties[#All],5,FALSE)</f>
        <v>1087 HP</v>
      </c>
      <c r="E92" s="180" t="str">
        <f>VLOOKUP(Ruimtestaat[[#This Row],[Code]],Locaties[#All],6,FALSE)</f>
        <v>Amsterdam</v>
      </c>
      <c r="F92" s="180"/>
      <c r="G92" s="180" t="s">
        <v>645</v>
      </c>
      <c r="H92" s="180" t="s">
        <v>816</v>
      </c>
      <c r="I92" s="180" t="s">
        <v>574</v>
      </c>
      <c r="J92" s="224" t="s">
        <v>626</v>
      </c>
      <c r="K92" s="180">
        <v>6</v>
      </c>
      <c r="L92" s="224" t="str">
        <f>VLOOKUP(Ruimtestaat[[#This Row],[Ruimte code]],Ruimtegroepen[#All],2,FALSE)</f>
        <v>Gangen/hallen</v>
      </c>
      <c r="M92" s="195" t="s">
        <v>111</v>
      </c>
      <c r="N92" s="180" t="s">
        <v>557</v>
      </c>
      <c r="O92" s="181">
        <v>116.7</v>
      </c>
      <c r="P92" s="193"/>
      <c r="Q92" s="223" t="str">
        <f>VLOOKUP(Ruimtestaat[[#This Row],[Ruimte code]],Ruimtegroepen[#All],4,FALSE)</f>
        <v>V  (Verkeersruimte)</v>
      </c>
      <c r="R92" s="194"/>
      <c r="S92" s="195">
        <v>40</v>
      </c>
      <c r="T92" s="195" t="s">
        <v>2</v>
      </c>
      <c r="U92" s="195">
        <f>IF(S92&gt;0,IF(RIGHT(Ruimtestaat[[#This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2" s="195">
        <f>IF(U92&gt;0,VLOOKUP($K92,Ruimtegroepen[],3,FALSE)*VLOOKUP($M92,Vloersoorten[],3,FALSE)*VLOOKUP($T92,Frequenties[],3,FALSE)*VLOOKUP($A92,Locaties[],3,FALSE),0)</f>
        <v>0</v>
      </c>
      <c r="W92" s="195">
        <f>Ruimtestaat[[#This Row],[Uitvoeringen werkdagen]]*Ruimtestaat[[#This Row],[Oppervlak (netto)]]</f>
        <v>23340</v>
      </c>
      <c r="X92" s="233">
        <f>IF(V92&gt;0,Ruimtestaat[[#This Row],[Prest. (m2 /jaar) werkdagen]]/Ruimtestaat[[#This Row],[Norm (m2/uur) werkdagen]],0)</f>
        <v>0</v>
      </c>
      <c r="Y92" s="234">
        <f>Ruimtestaat[[#This Row],[uren / jaar werkdagen]]*Tariefsopbouw!$D$38</f>
        <v>0</v>
      </c>
      <c r="Z92" s="33"/>
      <c r="AA92" s="33">
        <f>IF(Ruimtestaat[[#This Row],[Frequentie weekend]]&gt;0,VALUE(LEFT(Z92,1))*S92,0)</f>
        <v>0</v>
      </c>
      <c r="AB92" s="33">
        <f>IF($AA92&gt;0,VLOOKUP($K92,Ruimtegroepen[],3,FALSE)*VLOOKUP($M92,Vloersoorten[],3,FALSE)*VLOOKUP($Z92,Frequenties[],3,FALSE)*VLOOKUP(#REF!,Locaties[],3,FALSE),0)</f>
        <v>0</v>
      </c>
      <c r="AC92" s="33"/>
      <c r="AD92" s="33"/>
      <c r="AE92" s="33">
        <f>Ruimtestaat[[#This Row],[uren / jaar weekend]]*Tariefsopbouw!$D$40</f>
        <v>0</v>
      </c>
      <c r="AF92" s="79">
        <f>Ruimtestaat[[#This Row],[Prest. (m2 /jaar) weekend]]+Ruimtestaat[[#This Row],[Prest. (m2 /jaar) werkdagen]]</f>
        <v>23340</v>
      </c>
      <c r="AG92" s="79">
        <f>Ruimtestaat[[#This Row],[uren / jaar weekend]]+Ruimtestaat[[#This Row],[uren / jaar werkdagen]]</f>
        <v>0</v>
      </c>
      <c r="AH92" s="80">
        <f>Ruimtestaat[[#This Row],[kosten / jaar weekend]]+Ruimtestaat[[#This Row],[kosten / jaar werkdagen]]</f>
        <v>0</v>
      </c>
      <c r="HM92" s="78"/>
    </row>
    <row r="93" spans="1:221" ht="15" customHeight="1">
      <c r="A93" s="119">
        <v>1</v>
      </c>
      <c r="B93" s="21" t="str">
        <f>VLOOKUP(Ruimtestaat[[#This Row],[Code]],Locaties[#All],2,FALSE)</f>
        <v>IJburg College</v>
      </c>
      <c r="C93" s="21" t="str">
        <f>VLOOKUP(Ruimtestaat[[#This Row],[Code]],Locaties[#All],4,FALSE)</f>
        <v>Pampuslaan 1</v>
      </c>
      <c r="D93" s="21" t="str">
        <f>VLOOKUP(Ruimtestaat[[#This Row],[Code]],Locaties[#All],5,FALSE)</f>
        <v>1087 HP</v>
      </c>
      <c r="E93" s="180" t="str">
        <f>VLOOKUP(Ruimtestaat[[#This Row],[Code]],Locaties[#All],6,FALSE)</f>
        <v>Amsterdam</v>
      </c>
      <c r="F93" s="180"/>
      <c r="G93" s="180" t="s">
        <v>645</v>
      </c>
      <c r="H93" s="180" t="s">
        <v>559</v>
      </c>
      <c r="I93" s="180" t="s">
        <v>575</v>
      </c>
      <c r="J93" s="224" t="s">
        <v>625</v>
      </c>
      <c r="K93" s="180">
        <v>11</v>
      </c>
      <c r="L93" s="224" t="str">
        <f>VLOOKUP(Ruimtestaat[[#This Row],[Ruimte code]],Ruimtegroepen[#All],2,FALSE)</f>
        <v>Praktijklokaal</v>
      </c>
      <c r="M93" s="195" t="s">
        <v>111</v>
      </c>
      <c r="N93" s="180" t="s">
        <v>557</v>
      </c>
      <c r="O93" s="181">
        <v>170.65</v>
      </c>
      <c r="P93" s="193"/>
      <c r="Q93" s="223" t="str">
        <f>VLOOKUP(Ruimtestaat[[#This Row],[Ruimte code]],Ruimtegroepen[#All],4,FALSE)</f>
        <v>L  (Lesruimte)</v>
      </c>
      <c r="R93" s="194"/>
      <c r="S93" s="195">
        <v>40</v>
      </c>
      <c r="T93" s="195" t="s">
        <v>2</v>
      </c>
      <c r="U93" s="195">
        <f>IF(S93&gt;0,IF(RIGHT(Ruimtestaat[[#This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3" s="195">
        <f>IF(U93&gt;0,VLOOKUP($K93,Ruimtegroepen[],3,FALSE)*VLOOKUP($M93,Vloersoorten[],3,FALSE)*VLOOKUP($T93,Frequenties[],3,FALSE)*VLOOKUP($A93,Locaties[],3,FALSE),0)</f>
        <v>0</v>
      </c>
      <c r="W93" s="195">
        <f>Ruimtestaat[[#This Row],[Uitvoeringen werkdagen]]*Ruimtestaat[[#This Row],[Oppervlak (netto)]]</f>
        <v>34130</v>
      </c>
      <c r="X93" s="233">
        <f>IF(V93&gt;0,Ruimtestaat[[#This Row],[Prest. (m2 /jaar) werkdagen]]/Ruimtestaat[[#This Row],[Norm (m2/uur) werkdagen]],0)</f>
        <v>0</v>
      </c>
      <c r="Y93" s="234">
        <f>Ruimtestaat[[#This Row],[uren / jaar werkdagen]]*Tariefsopbouw!$D$38</f>
        <v>0</v>
      </c>
      <c r="Z93" s="33"/>
      <c r="AA93" s="33">
        <f>IF(Ruimtestaat[[#This Row],[Frequentie weekend]]&gt;0,VALUE(LEFT(Z93,1))*S93,0)</f>
        <v>0</v>
      </c>
      <c r="AB93" s="33">
        <f>IF($AA93&gt;0,VLOOKUP($K93,Ruimtegroepen[],3,FALSE)*VLOOKUP($M93,Vloersoorten[],3,FALSE)*VLOOKUP($Z93,Frequenties[],3,FALSE)*VLOOKUP(#REF!,Locaties[],3,FALSE),0)</f>
        <v>0</v>
      </c>
      <c r="AC93" s="33"/>
      <c r="AD93" s="33"/>
      <c r="AE93" s="33">
        <f>Ruimtestaat[[#This Row],[uren / jaar weekend]]*Tariefsopbouw!$D$40</f>
        <v>0</v>
      </c>
      <c r="AF93" s="79">
        <f>Ruimtestaat[[#This Row],[Prest. (m2 /jaar) weekend]]+Ruimtestaat[[#This Row],[Prest. (m2 /jaar) werkdagen]]</f>
        <v>34130</v>
      </c>
      <c r="AG93" s="79">
        <f>Ruimtestaat[[#This Row],[uren / jaar weekend]]+Ruimtestaat[[#This Row],[uren / jaar werkdagen]]</f>
        <v>0</v>
      </c>
      <c r="AH93" s="80">
        <f>Ruimtestaat[[#This Row],[kosten / jaar weekend]]+Ruimtestaat[[#This Row],[kosten / jaar werkdagen]]</f>
        <v>0</v>
      </c>
      <c r="HM93" s="78"/>
    </row>
    <row r="94" spans="1:221" ht="15" customHeight="1">
      <c r="A94" s="119">
        <v>1</v>
      </c>
      <c r="B94" s="21" t="str">
        <f>VLOOKUP(Ruimtestaat[[#This Row],[Code]],Locaties[#All],2,FALSE)</f>
        <v>IJburg College</v>
      </c>
      <c r="C94" s="21" t="str">
        <f>VLOOKUP(Ruimtestaat[[#This Row],[Code]],Locaties[#All],4,FALSE)</f>
        <v>Pampuslaan 1</v>
      </c>
      <c r="D94" s="21" t="str">
        <f>VLOOKUP(Ruimtestaat[[#This Row],[Code]],Locaties[#All],5,FALSE)</f>
        <v>1087 HP</v>
      </c>
      <c r="E94" s="180" t="str">
        <f>VLOOKUP(Ruimtestaat[[#This Row],[Code]],Locaties[#All],6,FALSE)</f>
        <v>Amsterdam</v>
      </c>
      <c r="F94" s="180"/>
      <c r="G94" s="180" t="s">
        <v>645</v>
      </c>
      <c r="H94" s="180" t="s">
        <v>817</v>
      </c>
      <c r="I94" s="180" t="s">
        <v>576</v>
      </c>
      <c r="J94" s="224" t="s">
        <v>627</v>
      </c>
      <c r="K94" s="180">
        <v>21</v>
      </c>
      <c r="L94" s="224" t="str">
        <f>VLOOKUP(Ruimtestaat[[#This Row],[Ruimte code]],Ruimtegroepen[#All],2,FALSE)</f>
        <v>Niet in onderhoud</v>
      </c>
      <c r="M94" s="195" t="s">
        <v>111</v>
      </c>
      <c r="N94" s="180" t="s">
        <v>557</v>
      </c>
      <c r="O94" s="181"/>
      <c r="P94" s="181">
        <v>17.3</v>
      </c>
      <c r="Q94" s="223" t="str">
        <f>VLOOKUP(Ruimtestaat[[#This Row],[Ruimte code]],Ruimtegroepen[#All],4,FALSE)</f>
        <v>Niet in onderhoud</v>
      </c>
      <c r="R94" s="194"/>
      <c r="S94" s="195"/>
      <c r="T94" s="195"/>
      <c r="U94" s="195">
        <f>IF(S94&gt;0,IF(RIGHT(Ruimtestaat[[#This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4" s="195">
        <f>IF(U94&gt;0,VLOOKUP($K94,Ruimtegroepen[],3,FALSE)*VLOOKUP($M94,Vloersoorten[],3,FALSE)*VLOOKUP($T94,Frequenties[],3,FALSE)*VLOOKUP($A94,Locaties[],3,FALSE),0)</f>
        <v>0</v>
      </c>
      <c r="W94" s="195">
        <f>Ruimtestaat[[#This Row],[Uitvoeringen werkdagen]]*Ruimtestaat[[#This Row],[Oppervlak (netto)]]</f>
        <v>0</v>
      </c>
      <c r="X94" s="233">
        <f>IF(V94&gt;0,Ruimtestaat[[#This Row],[Prest. (m2 /jaar) werkdagen]]/Ruimtestaat[[#This Row],[Norm (m2/uur) werkdagen]],0)</f>
        <v>0</v>
      </c>
      <c r="Y94" s="234">
        <f>Ruimtestaat[[#This Row],[uren / jaar werkdagen]]*Tariefsopbouw!$D$38</f>
        <v>0</v>
      </c>
      <c r="Z94" s="33"/>
      <c r="AA94" s="33">
        <f>IF(Ruimtestaat[[#This Row],[Frequentie weekend]]&gt;0,VALUE(LEFT(Z94,1))*S94,0)</f>
        <v>0</v>
      </c>
      <c r="AB94" s="33">
        <f>IF($AA94&gt;0,VLOOKUP($K94,Ruimtegroepen[],3,FALSE)*VLOOKUP($M94,Vloersoorten[],3,FALSE)*VLOOKUP($Z94,Frequenties[],3,FALSE)*VLOOKUP(#REF!,Locaties[],3,FALSE),0)</f>
        <v>0</v>
      </c>
      <c r="AC94" s="33"/>
      <c r="AD94" s="33"/>
      <c r="AE94" s="33">
        <f>Ruimtestaat[[#This Row],[uren / jaar weekend]]*Tariefsopbouw!$D$40</f>
        <v>0</v>
      </c>
      <c r="AF94" s="79">
        <f>Ruimtestaat[[#This Row],[Prest. (m2 /jaar) weekend]]+Ruimtestaat[[#This Row],[Prest. (m2 /jaar) werkdagen]]</f>
        <v>0</v>
      </c>
      <c r="AG94" s="79">
        <f>Ruimtestaat[[#This Row],[uren / jaar weekend]]+Ruimtestaat[[#This Row],[uren / jaar werkdagen]]</f>
        <v>0</v>
      </c>
      <c r="AH94" s="80">
        <f>Ruimtestaat[[#This Row],[kosten / jaar weekend]]+Ruimtestaat[[#This Row],[kosten / jaar werkdagen]]</f>
        <v>0</v>
      </c>
      <c r="HM94" s="78"/>
    </row>
    <row r="95" spans="1:221" ht="15" customHeight="1">
      <c r="A95" s="119">
        <v>1</v>
      </c>
      <c r="B95" s="21" t="str">
        <f>VLOOKUP(Ruimtestaat[[#This Row],[Code]],Locaties[#All],2,FALSE)</f>
        <v>IJburg College</v>
      </c>
      <c r="C95" s="21" t="str">
        <f>VLOOKUP(Ruimtestaat[[#This Row],[Code]],Locaties[#All],4,FALSE)</f>
        <v>Pampuslaan 1</v>
      </c>
      <c r="D95" s="21" t="str">
        <f>VLOOKUP(Ruimtestaat[[#This Row],[Code]],Locaties[#All],5,FALSE)</f>
        <v>1087 HP</v>
      </c>
      <c r="E95" s="180" t="str">
        <f>VLOOKUP(Ruimtestaat[[#This Row],[Code]],Locaties[#All],6,FALSE)</f>
        <v>Amsterdam</v>
      </c>
      <c r="F95" s="180"/>
      <c r="G95" s="180" t="s">
        <v>645</v>
      </c>
      <c r="H95" s="180" t="s">
        <v>608</v>
      </c>
      <c r="I95" s="180" t="s">
        <v>577</v>
      </c>
      <c r="J95" s="224" t="s">
        <v>542</v>
      </c>
      <c r="K95" s="180">
        <v>5</v>
      </c>
      <c r="L95" s="224" t="str">
        <f>VLOOKUP(Ruimtestaat[[#This Row],[Ruimte code]],Ruimtegroepen[#All],2,FALSE)</f>
        <v>Sanitair</v>
      </c>
      <c r="M95" s="195" t="s">
        <v>111</v>
      </c>
      <c r="N95" s="180" t="s">
        <v>558</v>
      </c>
      <c r="O95" s="181">
        <v>21.15</v>
      </c>
      <c r="P95" s="193"/>
      <c r="Q95" s="223" t="str">
        <f>VLOOKUP(Ruimtestaat[[#This Row],[Ruimte code]],Ruimtegroepen[#All],4,FALSE)</f>
        <v>S  (Sanitair)</v>
      </c>
      <c r="R95" s="194"/>
      <c r="S95" s="195">
        <v>40</v>
      </c>
      <c r="T95" s="195" t="s">
        <v>2</v>
      </c>
      <c r="U95" s="195">
        <f>IF(S95&gt;0,IF(RIGHT(Ruimtestaat[[#This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5" s="195">
        <f>IF(U95&gt;0,VLOOKUP($K95,Ruimtegroepen[],3,FALSE)*VLOOKUP($M95,Vloersoorten[],3,FALSE)*VLOOKUP($T95,Frequenties[],3,FALSE)*VLOOKUP($A95,Locaties[],3,FALSE),0)</f>
        <v>0</v>
      </c>
      <c r="W95" s="195">
        <f>Ruimtestaat[[#This Row],[Uitvoeringen werkdagen]]*Ruimtestaat[[#This Row],[Oppervlak (netto)]]</f>
        <v>4230</v>
      </c>
      <c r="X95" s="233">
        <f>IF(V95&gt;0,Ruimtestaat[[#This Row],[Prest. (m2 /jaar) werkdagen]]/Ruimtestaat[[#This Row],[Norm (m2/uur) werkdagen]],0)</f>
        <v>0</v>
      </c>
      <c r="Y95" s="234">
        <f>Ruimtestaat[[#This Row],[uren / jaar werkdagen]]*Tariefsopbouw!$D$38</f>
        <v>0</v>
      </c>
      <c r="Z95" s="33"/>
      <c r="AA95" s="33">
        <f>IF(Ruimtestaat[[#This Row],[Frequentie weekend]]&gt;0,VALUE(LEFT(Z95,1))*S95,0)</f>
        <v>0</v>
      </c>
      <c r="AB95" s="33">
        <f>IF($AA95&gt;0,VLOOKUP($K95,Ruimtegroepen[],3,FALSE)*VLOOKUP($M95,Vloersoorten[],3,FALSE)*VLOOKUP($Z95,Frequenties[],3,FALSE)*VLOOKUP(#REF!,Locaties[],3,FALSE),0)</f>
        <v>0</v>
      </c>
      <c r="AC95" s="33"/>
      <c r="AD95" s="33"/>
      <c r="AE95" s="33">
        <f>Ruimtestaat[[#This Row],[uren / jaar weekend]]*Tariefsopbouw!$D$40</f>
        <v>0</v>
      </c>
      <c r="AF95" s="79">
        <f>Ruimtestaat[[#This Row],[Prest. (m2 /jaar) weekend]]+Ruimtestaat[[#This Row],[Prest. (m2 /jaar) werkdagen]]</f>
        <v>4230</v>
      </c>
      <c r="AG95" s="79">
        <f>Ruimtestaat[[#This Row],[uren / jaar weekend]]+Ruimtestaat[[#This Row],[uren / jaar werkdagen]]</f>
        <v>0</v>
      </c>
      <c r="AH95" s="80">
        <f>Ruimtestaat[[#This Row],[kosten / jaar weekend]]+Ruimtestaat[[#This Row],[kosten / jaar werkdagen]]</f>
        <v>0</v>
      </c>
      <c r="HM95" s="78"/>
    </row>
    <row r="96" spans="1:221" ht="15" customHeight="1">
      <c r="A96" s="119">
        <v>1</v>
      </c>
      <c r="B96" s="21" t="str">
        <f>VLOOKUP(Ruimtestaat[[#This Row],[Code]],Locaties[#All],2,FALSE)</f>
        <v>IJburg College</v>
      </c>
      <c r="C96" s="21" t="str">
        <f>VLOOKUP(Ruimtestaat[[#This Row],[Code]],Locaties[#All],4,FALSE)</f>
        <v>Pampuslaan 1</v>
      </c>
      <c r="D96" s="21" t="str">
        <f>VLOOKUP(Ruimtestaat[[#This Row],[Code]],Locaties[#All],5,FALSE)</f>
        <v>1087 HP</v>
      </c>
      <c r="E96" s="180" t="str">
        <f>VLOOKUP(Ruimtestaat[[#This Row],[Code]],Locaties[#All],6,FALSE)</f>
        <v>Amsterdam</v>
      </c>
      <c r="F96" s="180"/>
      <c r="G96" s="180" t="s">
        <v>645</v>
      </c>
      <c r="H96" s="180" t="s">
        <v>609</v>
      </c>
      <c r="I96" s="180" t="s">
        <v>578</v>
      </c>
      <c r="J96" s="224" t="s">
        <v>543</v>
      </c>
      <c r="K96" s="180">
        <v>5</v>
      </c>
      <c r="L96" s="224" t="str">
        <f>VLOOKUP(Ruimtestaat[[#This Row],[Ruimte code]],Ruimtegroepen[#All],2,FALSE)</f>
        <v>Sanitair</v>
      </c>
      <c r="M96" s="195" t="s">
        <v>111</v>
      </c>
      <c r="N96" s="180" t="s">
        <v>558</v>
      </c>
      <c r="O96" s="181">
        <v>21.44</v>
      </c>
      <c r="P96" s="193"/>
      <c r="Q96" s="223" t="str">
        <f>VLOOKUP(Ruimtestaat[[#This Row],[Ruimte code]],Ruimtegroepen[#All],4,FALSE)</f>
        <v>S  (Sanitair)</v>
      </c>
      <c r="R96" s="194"/>
      <c r="S96" s="195">
        <v>40</v>
      </c>
      <c r="T96" s="195" t="s">
        <v>2</v>
      </c>
      <c r="U96" s="195">
        <f>IF(S96&gt;0,IF(RIGHT(Ruimtestaat[[#This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6" s="195">
        <f>IF(U96&gt;0,VLOOKUP($K96,Ruimtegroepen[],3,FALSE)*VLOOKUP($M96,Vloersoorten[],3,FALSE)*VLOOKUP($T96,Frequenties[],3,FALSE)*VLOOKUP($A96,Locaties[],3,FALSE),0)</f>
        <v>0</v>
      </c>
      <c r="W96" s="195">
        <f>Ruimtestaat[[#This Row],[Uitvoeringen werkdagen]]*Ruimtestaat[[#This Row],[Oppervlak (netto)]]</f>
        <v>4288</v>
      </c>
      <c r="X96" s="233">
        <f>IF(V96&gt;0,Ruimtestaat[[#This Row],[Prest. (m2 /jaar) werkdagen]]/Ruimtestaat[[#This Row],[Norm (m2/uur) werkdagen]],0)</f>
        <v>0</v>
      </c>
      <c r="Y96" s="234">
        <f>Ruimtestaat[[#This Row],[uren / jaar werkdagen]]*Tariefsopbouw!$D$38</f>
        <v>0</v>
      </c>
      <c r="Z96" s="33"/>
      <c r="AA96" s="33">
        <f>IF(Ruimtestaat[[#This Row],[Frequentie weekend]]&gt;0,VALUE(LEFT(Z96,1))*S96,0)</f>
        <v>0</v>
      </c>
      <c r="AB96" s="33">
        <f>IF($AA96&gt;0,VLOOKUP($K96,Ruimtegroepen[],3,FALSE)*VLOOKUP($M96,Vloersoorten[],3,FALSE)*VLOOKUP($Z96,Frequenties[],3,FALSE)*VLOOKUP(#REF!,Locaties[],3,FALSE),0)</f>
        <v>0</v>
      </c>
      <c r="AC96" s="33"/>
      <c r="AD96" s="33"/>
      <c r="AE96" s="33">
        <f>Ruimtestaat[[#This Row],[uren / jaar weekend]]*Tariefsopbouw!$D$40</f>
        <v>0</v>
      </c>
      <c r="AF96" s="79">
        <f>Ruimtestaat[[#This Row],[Prest. (m2 /jaar) weekend]]+Ruimtestaat[[#This Row],[Prest. (m2 /jaar) werkdagen]]</f>
        <v>4288</v>
      </c>
      <c r="AG96" s="79">
        <f>Ruimtestaat[[#This Row],[uren / jaar weekend]]+Ruimtestaat[[#This Row],[uren / jaar werkdagen]]</f>
        <v>0</v>
      </c>
      <c r="AH96" s="80">
        <f>Ruimtestaat[[#This Row],[kosten / jaar weekend]]+Ruimtestaat[[#This Row],[kosten / jaar werkdagen]]</f>
        <v>0</v>
      </c>
      <c r="HM96" s="78"/>
    </row>
    <row r="97" spans="1:221" ht="15" customHeight="1">
      <c r="A97" s="119">
        <v>1</v>
      </c>
      <c r="B97" s="21" t="str">
        <f>VLOOKUP(Ruimtestaat[[#This Row],[Code]],Locaties[#All],2,FALSE)</f>
        <v>IJburg College</v>
      </c>
      <c r="C97" s="21" t="str">
        <f>VLOOKUP(Ruimtestaat[[#This Row],[Code]],Locaties[#All],4,FALSE)</f>
        <v>Pampuslaan 1</v>
      </c>
      <c r="D97" s="21" t="str">
        <f>VLOOKUP(Ruimtestaat[[#This Row],[Code]],Locaties[#All],5,FALSE)</f>
        <v>1087 HP</v>
      </c>
      <c r="E97" s="180" t="str">
        <f>VLOOKUP(Ruimtestaat[[#This Row],[Code]],Locaties[#All],6,FALSE)</f>
        <v>Amsterdam</v>
      </c>
      <c r="F97" s="180"/>
      <c r="G97" s="180" t="s">
        <v>645</v>
      </c>
      <c r="H97" s="180">
        <v>1111</v>
      </c>
      <c r="I97" s="180" t="s">
        <v>579</v>
      </c>
      <c r="J97" s="224" t="s">
        <v>628</v>
      </c>
      <c r="K97" s="180">
        <v>10</v>
      </c>
      <c r="L97" s="224" t="str">
        <f>VLOOKUP(Ruimtestaat[[#This Row],[Ruimte code]],Ruimtegroepen[#All],2,FALSE)</f>
        <v>Trappenhuizen/lift</v>
      </c>
      <c r="M97" s="195" t="s">
        <v>111</v>
      </c>
      <c r="N97" s="180" t="s">
        <v>714</v>
      </c>
      <c r="O97" s="181">
        <v>35</v>
      </c>
      <c r="P97" s="193"/>
      <c r="Q97" s="223" t="str">
        <f>VLOOKUP(Ruimtestaat[[#This Row],[Ruimte code]],Ruimtegroepen[#All],4,FALSE)</f>
        <v>V  (Verkeersruimte)</v>
      </c>
      <c r="R97" s="194"/>
      <c r="S97" s="195">
        <v>40</v>
      </c>
      <c r="T97" s="195" t="s">
        <v>2</v>
      </c>
      <c r="U97" s="195">
        <f>IF(S97&gt;0,IF(RIGHT(Ruimtestaat[[#This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7" s="195">
        <f>IF(U97&gt;0,VLOOKUP($K97,Ruimtegroepen[],3,FALSE)*VLOOKUP($M97,Vloersoorten[],3,FALSE)*VLOOKUP($T97,Frequenties[],3,FALSE)*VLOOKUP($A97,Locaties[],3,FALSE),0)</f>
        <v>0</v>
      </c>
      <c r="W97" s="195">
        <f>Ruimtestaat[[#This Row],[Uitvoeringen werkdagen]]*Ruimtestaat[[#This Row],[Oppervlak (netto)]]</f>
        <v>7000</v>
      </c>
      <c r="X97" s="233">
        <f>IF(V97&gt;0,Ruimtestaat[[#This Row],[Prest. (m2 /jaar) werkdagen]]/Ruimtestaat[[#This Row],[Norm (m2/uur) werkdagen]],0)</f>
        <v>0</v>
      </c>
      <c r="Y97" s="234">
        <f>Ruimtestaat[[#This Row],[uren / jaar werkdagen]]*Tariefsopbouw!$D$38</f>
        <v>0</v>
      </c>
      <c r="Z97" s="33"/>
      <c r="AA97" s="33">
        <f>IF(Ruimtestaat[[#This Row],[Frequentie weekend]]&gt;0,VALUE(LEFT(Z97,1))*S97,0)</f>
        <v>0</v>
      </c>
      <c r="AB97" s="33">
        <f>IF($AA97&gt;0,VLOOKUP($K97,Ruimtegroepen[],3,FALSE)*VLOOKUP($M97,Vloersoorten[],3,FALSE)*VLOOKUP($Z97,Frequenties[],3,FALSE)*VLOOKUP(#REF!,Locaties[],3,FALSE),0)</f>
        <v>0</v>
      </c>
      <c r="AC97" s="33"/>
      <c r="AD97" s="33"/>
      <c r="AE97" s="33">
        <f>Ruimtestaat[[#This Row],[uren / jaar weekend]]*Tariefsopbouw!$D$40</f>
        <v>0</v>
      </c>
      <c r="AF97" s="79">
        <f>Ruimtestaat[[#This Row],[Prest. (m2 /jaar) weekend]]+Ruimtestaat[[#This Row],[Prest. (m2 /jaar) werkdagen]]</f>
        <v>7000</v>
      </c>
      <c r="AG97" s="79">
        <f>Ruimtestaat[[#This Row],[uren / jaar weekend]]+Ruimtestaat[[#This Row],[uren / jaar werkdagen]]</f>
        <v>0</v>
      </c>
      <c r="AH97" s="80">
        <f>Ruimtestaat[[#This Row],[kosten / jaar weekend]]+Ruimtestaat[[#This Row],[kosten / jaar werkdagen]]</f>
        <v>0</v>
      </c>
      <c r="HM97" s="78"/>
    </row>
    <row r="98" spans="1:221" ht="15" customHeight="1">
      <c r="A98" s="119">
        <v>1</v>
      </c>
      <c r="B98" s="21" t="str">
        <f>VLOOKUP(Ruimtestaat[[#This Row],[Code]],Locaties[#All],2,FALSE)</f>
        <v>IJburg College</v>
      </c>
      <c r="C98" s="21" t="str">
        <f>VLOOKUP(Ruimtestaat[[#This Row],[Code]],Locaties[#All],4,FALSE)</f>
        <v>Pampuslaan 1</v>
      </c>
      <c r="D98" s="21" t="str">
        <f>VLOOKUP(Ruimtestaat[[#This Row],[Code]],Locaties[#All],5,FALSE)</f>
        <v>1087 HP</v>
      </c>
      <c r="E98" s="180" t="str">
        <f>VLOOKUP(Ruimtestaat[[#This Row],[Code]],Locaties[#All],6,FALSE)</f>
        <v>Amsterdam</v>
      </c>
      <c r="F98" s="180"/>
      <c r="G98" s="180" t="s">
        <v>645</v>
      </c>
      <c r="H98" s="180">
        <v>1110</v>
      </c>
      <c r="I98" s="180" t="s">
        <v>580</v>
      </c>
      <c r="J98" s="224" t="s">
        <v>629</v>
      </c>
      <c r="K98" s="180">
        <v>21</v>
      </c>
      <c r="L98" s="224" t="str">
        <f>VLOOKUP(Ruimtestaat[[#This Row],[Ruimte code]],Ruimtegroepen[#All],2,FALSE)</f>
        <v>Niet in onderhoud</v>
      </c>
      <c r="M98" s="195"/>
      <c r="N98" s="180"/>
      <c r="O98" s="181"/>
      <c r="P98" s="193"/>
      <c r="Q98" s="223" t="str">
        <f>VLOOKUP(Ruimtestaat[[#This Row],[Ruimte code]],Ruimtegroepen[#All],4,FALSE)</f>
        <v>Niet in onderhoud</v>
      </c>
      <c r="R98" s="194"/>
      <c r="S98" s="195"/>
      <c r="T98" s="195"/>
      <c r="U98" s="195">
        <f>IF(S98&gt;0,IF(RIGHT(Ruimtestaat[[#This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8" s="195">
        <f>IF(U98&gt;0,VLOOKUP($K98,Ruimtegroepen[],3,FALSE)*VLOOKUP($M98,Vloersoorten[],3,FALSE)*VLOOKUP($T98,Frequenties[],3,FALSE)*VLOOKUP($A98,Locaties[],3,FALSE),0)</f>
        <v>0</v>
      </c>
      <c r="W98" s="195">
        <f>Ruimtestaat[[#This Row],[Uitvoeringen werkdagen]]*Ruimtestaat[[#This Row],[Oppervlak (netto)]]</f>
        <v>0</v>
      </c>
      <c r="X98" s="233">
        <f>IF(V98&gt;0,Ruimtestaat[[#This Row],[Prest. (m2 /jaar) werkdagen]]/Ruimtestaat[[#This Row],[Norm (m2/uur) werkdagen]],0)</f>
        <v>0</v>
      </c>
      <c r="Y98" s="234">
        <f>Ruimtestaat[[#This Row],[uren / jaar werkdagen]]*Tariefsopbouw!$D$38</f>
        <v>0</v>
      </c>
      <c r="Z98" s="33"/>
      <c r="AA98" s="33">
        <f>IF(Ruimtestaat[[#This Row],[Frequentie weekend]]&gt;0,VALUE(LEFT(Z98,1))*S98,0)</f>
        <v>0</v>
      </c>
      <c r="AB98" s="33">
        <f>IF($AA98&gt;0,VLOOKUP($K98,Ruimtegroepen[],3,FALSE)*VLOOKUP($M98,Vloersoorten[],3,FALSE)*VLOOKUP($Z98,Frequenties[],3,FALSE)*VLOOKUP(#REF!,Locaties[],3,FALSE),0)</f>
        <v>0</v>
      </c>
      <c r="AC98" s="33"/>
      <c r="AD98" s="33"/>
      <c r="AE98" s="33">
        <f>Ruimtestaat[[#This Row],[uren / jaar weekend]]*Tariefsopbouw!$D$40</f>
        <v>0</v>
      </c>
      <c r="AF98" s="79">
        <f>Ruimtestaat[[#This Row],[Prest. (m2 /jaar) weekend]]+Ruimtestaat[[#This Row],[Prest. (m2 /jaar) werkdagen]]</f>
        <v>0</v>
      </c>
      <c r="AG98" s="79">
        <f>Ruimtestaat[[#This Row],[uren / jaar weekend]]+Ruimtestaat[[#This Row],[uren / jaar werkdagen]]</f>
        <v>0</v>
      </c>
      <c r="AH98" s="80">
        <f>Ruimtestaat[[#This Row],[kosten / jaar weekend]]+Ruimtestaat[[#This Row],[kosten / jaar werkdagen]]</f>
        <v>0</v>
      </c>
      <c r="HM98" s="78"/>
    </row>
    <row r="99" spans="1:221" ht="15" customHeight="1">
      <c r="A99" s="119">
        <v>1</v>
      </c>
      <c r="B99" s="21" t="str">
        <f>VLOOKUP(Ruimtestaat[[#This Row],[Code]],Locaties[#All],2,FALSE)</f>
        <v>IJburg College</v>
      </c>
      <c r="C99" s="21" t="str">
        <f>VLOOKUP(Ruimtestaat[[#This Row],[Code]],Locaties[#All],4,FALSE)</f>
        <v>Pampuslaan 1</v>
      </c>
      <c r="D99" s="21" t="str">
        <f>VLOOKUP(Ruimtestaat[[#This Row],[Code]],Locaties[#All],5,FALSE)</f>
        <v>1087 HP</v>
      </c>
      <c r="E99" s="180" t="str">
        <f>VLOOKUP(Ruimtestaat[[#This Row],[Code]],Locaties[#All],6,FALSE)</f>
        <v>Amsterdam</v>
      </c>
      <c r="F99" s="180"/>
      <c r="G99" s="180" t="s">
        <v>645</v>
      </c>
      <c r="H99" s="180" t="s">
        <v>818</v>
      </c>
      <c r="I99" s="180" t="s">
        <v>581</v>
      </c>
      <c r="J99" s="224" t="s">
        <v>627</v>
      </c>
      <c r="K99" s="180">
        <v>21</v>
      </c>
      <c r="L99" s="224" t="str">
        <f>VLOOKUP(Ruimtestaat[[#This Row],[Ruimte code]],Ruimtegroepen[#All],2,FALSE)</f>
        <v>Niet in onderhoud</v>
      </c>
      <c r="M99" s="195" t="s">
        <v>111</v>
      </c>
      <c r="N99" s="180" t="s">
        <v>557</v>
      </c>
      <c r="O99" s="181"/>
      <c r="P99" s="181">
        <v>5.9</v>
      </c>
      <c r="Q99" s="223" t="str">
        <f>VLOOKUP(Ruimtestaat[[#This Row],[Ruimte code]],Ruimtegroepen[#All],4,FALSE)</f>
        <v>Niet in onderhoud</v>
      </c>
      <c r="R99" s="194"/>
      <c r="S99" s="195"/>
      <c r="T99" s="195"/>
      <c r="U99" s="195">
        <f>IF(S99&gt;0,IF(RIGHT(Ruimtestaat[[#This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9" s="195">
        <f>IF(U99&gt;0,VLOOKUP($K99,Ruimtegroepen[],3,FALSE)*VLOOKUP($M99,Vloersoorten[],3,FALSE)*VLOOKUP($T99,Frequenties[],3,FALSE)*VLOOKUP($A99,Locaties[],3,FALSE),0)</f>
        <v>0</v>
      </c>
      <c r="W99" s="195">
        <f>Ruimtestaat[[#This Row],[Uitvoeringen werkdagen]]*Ruimtestaat[[#This Row],[Oppervlak (netto)]]</f>
        <v>0</v>
      </c>
      <c r="X99" s="233">
        <f>IF(V99&gt;0,Ruimtestaat[[#This Row],[Prest. (m2 /jaar) werkdagen]]/Ruimtestaat[[#This Row],[Norm (m2/uur) werkdagen]],0)</f>
        <v>0</v>
      </c>
      <c r="Y99" s="234">
        <f>Ruimtestaat[[#This Row],[uren / jaar werkdagen]]*Tariefsopbouw!$D$38</f>
        <v>0</v>
      </c>
      <c r="Z99" s="33"/>
      <c r="AA99" s="33">
        <f>IF(Ruimtestaat[[#This Row],[Frequentie weekend]]&gt;0,VALUE(LEFT(Z99,1))*S99,0)</f>
        <v>0</v>
      </c>
      <c r="AB99" s="33">
        <f>IF($AA99&gt;0,VLOOKUP($K99,Ruimtegroepen[],3,FALSE)*VLOOKUP($M99,Vloersoorten[],3,FALSE)*VLOOKUP($Z99,Frequenties[],3,FALSE)*VLOOKUP(#REF!,Locaties[],3,FALSE),0)</f>
        <v>0</v>
      </c>
      <c r="AC99" s="33"/>
      <c r="AD99" s="33"/>
      <c r="AE99" s="33">
        <f>Ruimtestaat[[#This Row],[uren / jaar weekend]]*Tariefsopbouw!$D$40</f>
        <v>0</v>
      </c>
      <c r="AF99" s="79">
        <f>Ruimtestaat[[#This Row],[Prest. (m2 /jaar) weekend]]+Ruimtestaat[[#This Row],[Prest. (m2 /jaar) werkdagen]]</f>
        <v>0</v>
      </c>
      <c r="AG99" s="79">
        <f>Ruimtestaat[[#This Row],[uren / jaar weekend]]+Ruimtestaat[[#This Row],[uren / jaar werkdagen]]</f>
        <v>0</v>
      </c>
      <c r="AH99" s="80">
        <f>Ruimtestaat[[#This Row],[kosten / jaar weekend]]+Ruimtestaat[[#This Row],[kosten / jaar werkdagen]]</f>
        <v>0</v>
      </c>
      <c r="HM99" s="78"/>
    </row>
    <row r="100" spans="1:221" ht="15" customHeight="1">
      <c r="A100" s="119">
        <v>1</v>
      </c>
      <c r="B100" s="21" t="str">
        <f>VLOOKUP(Ruimtestaat[[#This Row],[Code]],Locaties[#All],2,FALSE)</f>
        <v>IJburg College</v>
      </c>
      <c r="C100" s="21" t="str">
        <f>VLOOKUP(Ruimtestaat[[#This Row],[Code]],Locaties[#All],4,FALSE)</f>
        <v>Pampuslaan 1</v>
      </c>
      <c r="D100" s="21" t="str">
        <f>VLOOKUP(Ruimtestaat[[#This Row],[Code]],Locaties[#All],5,FALSE)</f>
        <v>1087 HP</v>
      </c>
      <c r="E100" s="180" t="str">
        <f>VLOOKUP(Ruimtestaat[[#This Row],[Code]],Locaties[#All],6,FALSE)</f>
        <v>Amsterdam</v>
      </c>
      <c r="F100" s="180"/>
      <c r="G100" s="180" t="s">
        <v>645</v>
      </c>
      <c r="H100" s="180" t="s">
        <v>819</v>
      </c>
      <c r="I100" s="180" t="s">
        <v>582</v>
      </c>
      <c r="J100" s="224" t="s">
        <v>622</v>
      </c>
      <c r="K100" s="180">
        <v>2</v>
      </c>
      <c r="L100" s="224" t="str">
        <f>VLOOKUP(Ruimtestaat[[#This Row],[Ruimte code]],Ruimtegroepen[#All],2,FALSE)</f>
        <v>Kantoren</v>
      </c>
      <c r="M100" s="195" t="s">
        <v>111</v>
      </c>
      <c r="N100" s="180" t="s">
        <v>557</v>
      </c>
      <c r="O100" s="181">
        <v>22.5</v>
      </c>
      <c r="P100" s="193"/>
      <c r="Q100" s="223" t="str">
        <f>VLOOKUP(Ruimtestaat[[#This Row],[Ruimte code]],Ruimtegroepen[#All],4,FALSE)</f>
        <v>B  (Bureauruimte)</v>
      </c>
      <c r="R100" s="194"/>
      <c r="S100" s="195">
        <v>40</v>
      </c>
      <c r="T100" s="195" t="s">
        <v>17</v>
      </c>
      <c r="U100" s="195">
        <f>IF(S100&gt;0,IF(RIGHT(Ruimtestaat[[#This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00" s="195">
        <f>IF(U100&gt;0,VLOOKUP($K100,Ruimtegroepen[],3,FALSE)*VLOOKUP($M100,Vloersoorten[],3,FALSE)*VLOOKUP($T100,Frequenties[],3,FALSE)*VLOOKUP($A100,Locaties[],3,FALSE),0)</f>
        <v>0</v>
      </c>
      <c r="W100" s="195">
        <f>Ruimtestaat[[#This Row],[Uitvoeringen werkdagen]]*Ruimtestaat[[#This Row],[Oppervlak (netto)]]</f>
        <v>1800</v>
      </c>
      <c r="X100" s="233">
        <f>IF(V100&gt;0,Ruimtestaat[[#This Row],[Prest. (m2 /jaar) werkdagen]]/Ruimtestaat[[#This Row],[Norm (m2/uur) werkdagen]],0)</f>
        <v>0</v>
      </c>
      <c r="Y100" s="234">
        <f>Ruimtestaat[[#This Row],[uren / jaar werkdagen]]*Tariefsopbouw!$D$38</f>
        <v>0</v>
      </c>
      <c r="Z100" s="33"/>
      <c r="AA100" s="33">
        <f>IF(Ruimtestaat[[#This Row],[Frequentie weekend]]&gt;0,VALUE(LEFT(Z100,1))*S100,0)</f>
        <v>0</v>
      </c>
      <c r="AB100" s="33">
        <f>IF($AA100&gt;0,VLOOKUP($K100,Ruimtegroepen[],3,FALSE)*VLOOKUP($M100,Vloersoorten[],3,FALSE)*VLOOKUP($Z100,Frequenties[],3,FALSE)*VLOOKUP(#REF!,Locaties[],3,FALSE),0)</f>
        <v>0</v>
      </c>
      <c r="AC100" s="33"/>
      <c r="AD100" s="33"/>
      <c r="AE100" s="33">
        <f>Ruimtestaat[[#This Row],[uren / jaar weekend]]*Tariefsopbouw!$D$40</f>
        <v>0</v>
      </c>
      <c r="AF100" s="79">
        <f>Ruimtestaat[[#This Row],[Prest. (m2 /jaar) weekend]]+Ruimtestaat[[#This Row],[Prest. (m2 /jaar) werkdagen]]</f>
        <v>1800</v>
      </c>
      <c r="AG100" s="79">
        <f>Ruimtestaat[[#This Row],[uren / jaar weekend]]+Ruimtestaat[[#This Row],[uren / jaar werkdagen]]</f>
        <v>0</v>
      </c>
      <c r="AH100" s="80">
        <f>Ruimtestaat[[#This Row],[kosten / jaar weekend]]+Ruimtestaat[[#This Row],[kosten / jaar werkdagen]]</f>
        <v>0</v>
      </c>
      <c r="HM100" s="78"/>
    </row>
    <row r="101" spans="1:221" ht="15" customHeight="1">
      <c r="A101" s="119">
        <v>1</v>
      </c>
      <c r="B101" s="21" t="str">
        <f>VLOOKUP(Ruimtestaat[[#This Row],[Code]],Locaties[#All],2,FALSE)</f>
        <v>IJburg College</v>
      </c>
      <c r="C101" s="21" t="str">
        <f>VLOOKUP(Ruimtestaat[[#This Row],[Code]],Locaties[#All],4,FALSE)</f>
        <v>Pampuslaan 1</v>
      </c>
      <c r="D101" s="21" t="str">
        <f>VLOOKUP(Ruimtestaat[[#This Row],[Code]],Locaties[#All],5,FALSE)</f>
        <v>1087 HP</v>
      </c>
      <c r="E101" s="180" t="str">
        <f>VLOOKUP(Ruimtestaat[[#This Row],[Code]],Locaties[#All],6,FALSE)</f>
        <v>Amsterdam</v>
      </c>
      <c r="F101" s="180"/>
      <c r="G101" s="180" t="s">
        <v>645</v>
      </c>
      <c r="H101" s="180" t="s">
        <v>583</v>
      </c>
      <c r="I101" s="180" t="s">
        <v>583</v>
      </c>
      <c r="J101" s="224" t="s">
        <v>630</v>
      </c>
      <c r="K101" s="180">
        <v>2</v>
      </c>
      <c r="L101" s="224" t="str">
        <f>VLOOKUP(Ruimtestaat[[#This Row],[Ruimte code]],Ruimtegroepen[#All],2,FALSE)</f>
        <v>Kantoren</v>
      </c>
      <c r="M101" s="195" t="s">
        <v>111</v>
      </c>
      <c r="N101" s="180" t="s">
        <v>557</v>
      </c>
      <c r="O101" s="181">
        <v>22.5</v>
      </c>
      <c r="P101" s="193"/>
      <c r="Q101" s="223" t="str">
        <f>VLOOKUP(Ruimtestaat[[#This Row],[Ruimte code]],Ruimtegroepen[#All],4,FALSE)</f>
        <v>B  (Bureauruimte)</v>
      </c>
      <c r="R101" s="194"/>
      <c r="S101" s="195">
        <v>40</v>
      </c>
      <c r="T101" s="195" t="s">
        <v>17</v>
      </c>
      <c r="U101" s="195">
        <f>IF(S101&gt;0,IF(RIGHT(Ruimtestaat[[#This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01" s="195">
        <f>IF(U101&gt;0,VLOOKUP($K101,Ruimtegroepen[],3,FALSE)*VLOOKUP($M101,Vloersoorten[],3,FALSE)*VLOOKUP($T101,Frequenties[],3,FALSE)*VLOOKUP($A101,Locaties[],3,FALSE),0)</f>
        <v>0</v>
      </c>
      <c r="W101" s="195">
        <f>Ruimtestaat[[#This Row],[Uitvoeringen werkdagen]]*Ruimtestaat[[#This Row],[Oppervlak (netto)]]</f>
        <v>1800</v>
      </c>
      <c r="X101" s="233">
        <f>IF(V101&gt;0,Ruimtestaat[[#This Row],[Prest. (m2 /jaar) werkdagen]]/Ruimtestaat[[#This Row],[Norm (m2/uur) werkdagen]],0)</f>
        <v>0</v>
      </c>
      <c r="Y101" s="234">
        <f>Ruimtestaat[[#This Row],[uren / jaar werkdagen]]*Tariefsopbouw!$D$38</f>
        <v>0</v>
      </c>
      <c r="Z101" s="33"/>
      <c r="AA101" s="33">
        <f>IF(Ruimtestaat[[#This Row],[Frequentie weekend]]&gt;0,VALUE(LEFT(Z101,1))*S101,0)</f>
        <v>0</v>
      </c>
      <c r="AB101" s="33">
        <f>IF($AA101&gt;0,VLOOKUP($K101,Ruimtegroepen[],3,FALSE)*VLOOKUP($M101,Vloersoorten[],3,FALSE)*VLOOKUP($Z101,Frequenties[],3,FALSE)*VLOOKUP(#REF!,Locaties[],3,FALSE),0)</f>
        <v>0</v>
      </c>
      <c r="AC101" s="33"/>
      <c r="AD101" s="33"/>
      <c r="AE101" s="33">
        <f>Ruimtestaat[[#This Row],[uren / jaar weekend]]*Tariefsopbouw!$D$40</f>
        <v>0</v>
      </c>
      <c r="AF101" s="79">
        <f>Ruimtestaat[[#This Row],[Prest. (m2 /jaar) weekend]]+Ruimtestaat[[#This Row],[Prest. (m2 /jaar) werkdagen]]</f>
        <v>1800</v>
      </c>
      <c r="AG101" s="79">
        <f>Ruimtestaat[[#This Row],[uren / jaar weekend]]+Ruimtestaat[[#This Row],[uren / jaar werkdagen]]</f>
        <v>0</v>
      </c>
      <c r="AH101" s="80">
        <f>Ruimtestaat[[#This Row],[kosten / jaar weekend]]+Ruimtestaat[[#This Row],[kosten / jaar werkdagen]]</f>
        <v>0</v>
      </c>
      <c r="HM101" s="78"/>
    </row>
    <row r="102" spans="1:221" ht="15" customHeight="1">
      <c r="A102" s="119">
        <v>1</v>
      </c>
      <c r="B102" s="21" t="str">
        <f>VLOOKUP(Ruimtestaat[[#This Row],[Code]],Locaties[#All],2,FALSE)</f>
        <v>IJburg College</v>
      </c>
      <c r="C102" s="21" t="str">
        <f>VLOOKUP(Ruimtestaat[[#This Row],[Code]],Locaties[#All],4,FALSE)</f>
        <v>Pampuslaan 1</v>
      </c>
      <c r="D102" s="21" t="str">
        <f>VLOOKUP(Ruimtestaat[[#This Row],[Code]],Locaties[#All],5,FALSE)</f>
        <v>1087 HP</v>
      </c>
      <c r="E102" s="180" t="str">
        <f>VLOOKUP(Ruimtestaat[[#This Row],[Code]],Locaties[#All],6,FALSE)</f>
        <v>Amsterdam</v>
      </c>
      <c r="F102" s="180"/>
      <c r="G102" s="180" t="s">
        <v>645</v>
      </c>
      <c r="H102" s="180" t="s">
        <v>584</v>
      </c>
      <c r="I102" s="235" t="s">
        <v>584</v>
      </c>
      <c r="J102" s="224" t="s">
        <v>630</v>
      </c>
      <c r="K102" s="180">
        <v>2</v>
      </c>
      <c r="L102" s="224" t="str">
        <f>VLOOKUP(Ruimtestaat[[#This Row],[Ruimte code]],Ruimtegroepen[#All],2,FALSE)</f>
        <v>Kantoren</v>
      </c>
      <c r="M102" s="195" t="s">
        <v>111</v>
      </c>
      <c r="N102" s="180" t="s">
        <v>557</v>
      </c>
      <c r="O102" s="181">
        <v>22.5</v>
      </c>
      <c r="P102" s="193"/>
      <c r="Q102" s="223" t="str">
        <f>VLOOKUP(Ruimtestaat[[#This Row],[Ruimte code]],Ruimtegroepen[#All],4,FALSE)</f>
        <v>B  (Bureauruimte)</v>
      </c>
      <c r="R102" s="194"/>
      <c r="S102" s="195">
        <v>40</v>
      </c>
      <c r="T102" s="195" t="s">
        <v>17</v>
      </c>
      <c r="U102" s="195">
        <f>IF(S102&gt;0,IF(RIGHT(Ruimtestaat[[#This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02" s="195">
        <f>IF(U102&gt;0,VLOOKUP($K102,Ruimtegroepen[],3,FALSE)*VLOOKUP($M102,Vloersoorten[],3,FALSE)*VLOOKUP($T102,Frequenties[],3,FALSE)*VLOOKUP($A102,Locaties[],3,FALSE),0)</f>
        <v>0</v>
      </c>
      <c r="W102" s="195">
        <f>Ruimtestaat[[#This Row],[Uitvoeringen werkdagen]]*Ruimtestaat[[#This Row],[Oppervlak (netto)]]</f>
        <v>1800</v>
      </c>
      <c r="X102" s="233">
        <f>IF(V102&gt;0,Ruimtestaat[[#This Row],[Prest. (m2 /jaar) werkdagen]]/Ruimtestaat[[#This Row],[Norm (m2/uur) werkdagen]],0)</f>
        <v>0</v>
      </c>
      <c r="Y102" s="234">
        <f>Ruimtestaat[[#This Row],[uren / jaar werkdagen]]*Tariefsopbouw!$D$38</f>
        <v>0</v>
      </c>
      <c r="Z102" s="33"/>
      <c r="AA102" s="33">
        <f>IF(Ruimtestaat[[#This Row],[Frequentie weekend]]&gt;0,VALUE(LEFT(Z102,1))*S102,0)</f>
        <v>0</v>
      </c>
      <c r="AB102" s="33">
        <f>IF($AA102&gt;0,VLOOKUP($K102,Ruimtegroepen[],3,FALSE)*VLOOKUP($M102,Vloersoorten[],3,FALSE)*VLOOKUP($Z102,Frequenties[],3,FALSE)*VLOOKUP(#REF!,Locaties[],3,FALSE),0)</f>
        <v>0</v>
      </c>
      <c r="AC102" s="33"/>
      <c r="AD102" s="33"/>
      <c r="AE102" s="33">
        <f>Ruimtestaat[[#This Row],[uren / jaar weekend]]*Tariefsopbouw!$D$40</f>
        <v>0</v>
      </c>
      <c r="AF102" s="79">
        <f>Ruimtestaat[[#This Row],[Prest. (m2 /jaar) weekend]]+Ruimtestaat[[#This Row],[Prest. (m2 /jaar) werkdagen]]</f>
        <v>1800</v>
      </c>
      <c r="AG102" s="79">
        <f>Ruimtestaat[[#This Row],[uren / jaar weekend]]+Ruimtestaat[[#This Row],[uren / jaar werkdagen]]</f>
        <v>0</v>
      </c>
      <c r="AH102" s="80">
        <f>Ruimtestaat[[#This Row],[kosten / jaar weekend]]+Ruimtestaat[[#This Row],[kosten / jaar werkdagen]]</f>
        <v>0</v>
      </c>
      <c r="HM102" s="78"/>
    </row>
    <row r="103" spans="1:221" ht="15" customHeight="1">
      <c r="A103" s="119">
        <v>1</v>
      </c>
      <c r="B103" s="21" t="str">
        <f>VLOOKUP(Ruimtestaat[[#This Row],[Code]],Locaties[#All],2,FALSE)</f>
        <v>IJburg College</v>
      </c>
      <c r="C103" s="21" t="str">
        <f>VLOOKUP(Ruimtestaat[[#This Row],[Code]],Locaties[#All],4,FALSE)</f>
        <v>Pampuslaan 1</v>
      </c>
      <c r="D103" s="21" t="str">
        <f>VLOOKUP(Ruimtestaat[[#This Row],[Code]],Locaties[#All],5,FALSE)</f>
        <v>1087 HP</v>
      </c>
      <c r="E103" s="180" t="str">
        <f>VLOOKUP(Ruimtestaat[[#This Row],[Code]],Locaties[#All],6,FALSE)</f>
        <v>Amsterdam</v>
      </c>
      <c r="F103" s="180"/>
      <c r="G103" s="180" t="s">
        <v>645</v>
      </c>
      <c r="H103" s="180" t="s">
        <v>560</v>
      </c>
      <c r="I103" s="180" t="s">
        <v>585</v>
      </c>
      <c r="J103" s="224" t="s">
        <v>631</v>
      </c>
      <c r="K103" s="180">
        <v>16</v>
      </c>
      <c r="L103" s="224" t="str">
        <f>VLOOKUP(Ruimtestaat[[#This Row],[Ruimte code]],Ruimtegroepen[#All],2,FALSE)</f>
        <v>Lokaal</v>
      </c>
      <c r="M103" s="195" t="s">
        <v>111</v>
      </c>
      <c r="N103" s="180" t="s">
        <v>557</v>
      </c>
      <c r="O103" s="181">
        <v>94.26</v>
      </c>
      <c r="P103" s="193"/>
      <c r="Q103" s="223" t="str">
        <f>VLOOKUP(Ruimtestaat[[#This Row],[Ruimte code]],Ruimtegroepen[#All],4,FALSE)</f>
        <v>L  (Lesruimte)</v>
      </c>
      <c r="R103" s="194"/>
      <c r="S103" s="195">
        <v>40</v>
      </c>
      <c r="T103" s="195" t="s">
        <v>2</v>
      </c>
      <c r="U103" s="195">
        <f>IF(S103&gt;0,IF(RIGHT(Ruimtestaat[[#This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3" s="195">
        <f>IF(U103&gt;0,VLOOKUP($K103,Ruimtegroepen[],3,FALSE)*VLOOKUP($M103,Vloersoorten[],3,FALSE)*VLOOKUP($T103,Frequenties[],3,FALSE)*VLOOKUP($A103,Locaties[],3,FALSE),0)</f>
        <v>0</v>
      </c>
      <c r="W103" s="195">
        <f>Ruimtestaat[[#This Row],[Uitvoeringen werkdagen]]*Ruimtestaat[[#This Row],[Oppervlak (netto)]]</f>
        <v>18852</v>
      </c>
      <c r="X103" s="233">
        <f>IF(V103&gt;0,Ruimtestaat[[#This Row],[Prest. (m2 /jaar) werkdagen]]/Ruimtestaat[[#This Row],[Norm (m2/uur) werkdagen]],0)</f>
        <v>0</v>
      </c>
      <c r="Y103" s="234">
        <f>Ruimtestaat[[#This Row],[uren / jaar werkdagen]]*Tariefsopbouw!$D$38</f>
        <v>0</v>
      </c>
      <c r="Z103" s="33"/>
      <c r="AA103" s="33">
        <f>IF(Ruimtestaat[[#This Row],[Frequentie weekend]]&gt;0,VALUE(LEFT(Z103,1))*S103,0)</f>
        <v>0</v>
      </c>
      <c r="AB103" s="33">
        <f>IF($AA103&gt;0,VLOOKUP($K103,Ruimtegroepen[],3,FALSE)*VLOOKUP($M103,Vloersoorten[],3,FALSE)*VLOOKUP($Z103,Frequenties[],3,FALSE)*VLOOKUP(#REF!,Locaties[],3,FALSE),0)</f>
        <v>0</v>
      </c>
      <c r="AC103" s="33"/>
      <c r="AD103" s="33"/>
      <c r="AE103" s="33">
        <f>Ruimtestaat[[#This Row],[uren / jaar weekend]]*Tariefsopbouw!$D$40</f>
        <v>0</v>
      </c>
      <c r="AF103" s="79">
        <f>Ruimtestaat[[#This Row],[Prest. (m2 /jaar) weekend]]+Ruimtestaat[[#This Row],[Prest. (m2 /jaar) werkdagen]]</f>
        <v>18852</v>
      </c>
      <c r="AG103" s="79">
        <f>Ruimtestaat[[#This Row],[uren / jaar weekend]]+Ruimtestaat[[#This Row],[uren / jaar werkdagen]]</f>
        <v>0</v>
      </c>
      <c r="AH103" s="80">
        <f>Ruimtestaat[[#This Row],[kosten / jaar weekend]]+Ruimtestaat[[#This Row],[kosten / jaar werkdagen]]</f>
        <v>0</v>
      </c>
      <c r="HM103" s="78"/>
    </row>
    <row r="104" spans="1:221" ht="15" customHeight="1">
      <c r="A104" s="119">
        <v>1</v>
      </c>
      <c r="B104" s="21" t="str">
        <f>VLOOKUP(Ruimtestaat[[#This Row],[Code]],Locaties[#All],2,FALSE)</f>
        <v>IJburg College</v>
      </c>
      <c r="C104" s="21" t="str">
        <f>VLOOKUP(Ruimtestaat[[#This Row],[Code]],Locaties[#All],4,FALSE)</f>
        <v>Pampuslaan 1</v>
      </c>
      <c r="D104" s="21" t="str">
        <f>VLOOKUP(Ruimtestaat[[#This Row],[Code]],Locaties[#All],5,FALSE)</f>
        <v>1087 HP</v>
      </c>
      <c r="E104" s="180" t="str">
        <f>VLOOKUP(Ruimtestaat[[#This Row],[Code]],Locaties[#All],6,FALSE)</f>
        <v>Amsterdam</v>
      </c>
      <c r="F104" s="180"/>
      <c r="G104" s="180" t="s">
        <v>645</v>
      </c>
      <c r="H104" s="180" t="s">
        <v>581</v>
      </c>
      <c r="I104" s="180" t="s">
        <v>586</v>
      </c>
      <c r="J104" s="224" t="s">
        <v>632</v>
      </c>
      <c r="K104" s="180">
        <v>2</v>
      </c>
      <c r="L104" s="224" t="str">
        <f>VLOOKUP(Ruimtestaat[[#This Row],[Ruimte code]],Ruimtegroepen[#All],2,FALSE)</f>
        <v>Kantoren</v>
      </c>
      <c r="M104" s="195" t="s">
        <v>111</v>
      </c>
      <c r="N104" s="180" t="s">
        <v>557</v>
      </c>
      <c r="O104" s="181">
        <v>12</v>
      </c>
      <c r="P104" s="193"/>
      <c r="Q104" s="223" t="str">
        <f>VLOOKUP(Ruimtestaat[[#This Row],[Ruimte code]],Ruimtegroepen[#All],4,FALSE)</f>
        <v>B  (Bureauruimte)</v>
      </c>
      <c r="R104" s="194"/>
      <c r="S104" s="195">
        <v>40</v>
      </c>
      <c r="T104" s="195" t="s">
        <v>17</v>
      </c>
      <c r="U104" s="195">
        <f>IF(S104&gt;0,IF(RIGHT(Ruimtestaat[[#This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04" s="195">
        <f>IF(U104&gt;0,VLOOKUP($K104,Ruimtegroepen[],3,FALSE)*VLOOKUP($M104,Vloersoorten[],3,FALSE)*VLOOKUP($T104,Frequenties[],3,FALSE)*VLOOKUP($A104,Locaties[],3,FALSE),0)</f>
        <v>0</v>
      </c>
      <c r="W104" s="195">
        <f>Ruimtestaat[[#This Row],[Uitvoeringen werkdagen]]*Ruimtestaat[[#This Row],[Oppervlak (netto)]]</f>
        <v>960</v>
      </c>
      <c r="X104" s="233">
        <f>IF(V104&gt;0,Ruimtestaat[[#This Row],[Prest. (m2 /jaar) werkdagen]]/Ruimtestaat[[#This Row],[Norm (m2/uur) werkdagen]],0)</f>
        <v>0</v>
      </c>
      <c r="Y104" s="234">
        <f>Ruimtestaat[[#This Row],[uren / jaar werkdagen]]*Tariefsopbouw!$D$38</f>
        <v>0</v>
      </c>
      <c r="Z104" s="33"/>
      <c r="AA104" s="33">
        <f>IF(Ruimtestaat[[#This Row],[Frequentie weekend]]&gt;0,VALUE(LEFT(Z104,1))*S104,0)</f>
        <v>0</v>
      </c>
      <c r="AB104" s="33">
        <f>IF($AA104&gt;0,VLOOKUP($K104,Ruimtegroepen[],3,FALSE)*VLOOKUP($M104,Vloersoorten[],3,FALSE)*VLOOKUP($Z104,Frequenties[],3,FALSE)*VLOOKUP(#REF!,Locaties[],3,FALSE),0)</f>
        <v>0</v>
      </c>
      <c r="AC104" s="33"/>
      <c r="AD104" s="33"/>
      <c r="AE104" s="33">
        <f>Ruimtestaat[[#This Row],[uren / jaar weekend]]*Tariefsopbouw!$D$40</f>
        <v>0</v>
      </c>
      <c r="AF104" s="79">
        <f>Ruimtestaat[[#This Row],[Prest. (m2 /jaar) weekend]]+Ruimtestaat[[#This Row],[Prest. (m2 /jaar) werkdagen]]</f>
        <v>960</v>
      </c>
      <c r="AG104" s="79">
        <f>Ruimtestaat[[#This Row],[uren / jaar weekend]]+Ruimtestaat[[#This Row],[uren / jaar werkdagen]]</f>
        <v>0</v>
      </c>
      <c r="AH104" s="80">
        <f>Ruimtestaat[[#This Row],[kosten / jaar weekend]]+Ruimtestaat[[#This Row],[kosten / jaar werkdagen]]</f>
        <v>0</v>
      </c>
      <c r="HM104" s="78"/>
    </row>
    <row r="105" spans="1:221" ht="15" customHeight="1">
      <c r="A105" s="119">
        <v>1</v>
      </c>
      <c r="B105" s="21" t="str">
        <f>VLOOKUP(Ruimtestaat[[#This Row],[Code]],Locaties[#All],2,FALSE)</f>
        <v>IJburg College</v>
      </c>
      <c r="C105" s="21" t="str">
        <f>VLOOKUP(Ruimtestaat[[#This Row],[Code]],Locaties[#All],4,FALSE)</f>
        <v>Pampuslaan 1</v>
      </c>
      <c r="D105" s="21" t="str">
        <f>VLOOKUP(Ruimtestaat[[#This Row],[Code]],Locaties[#All],5,FALSE)</f>
        <v>1087 HP</v>
      </c>
      <c r="E105" s="180" t="str">
        <f>VLOOKUP(Ruimtestaat[[#This Row],[Code]],Locaties[#All],6,FALSE)</f>
        <v>Amsterdam</v>
      </c>
      <c r="F105" s="180"/>
      <c r="G105" s="180" t="s">
        <v>645</v>
      </c>
      <c r="H105" s="180" t="s">
        <v>579</v>
      </c>
      <c r="I105" s="180" t="s">
        <v>587</v>
      </c>
      <c r="J105" s="224" t="s">
        <v>633</v>
      </c>
      <c r="K105" s="180">
        <v>8</v>
      </c>
      <c r="L105" s="224" t="str">
        <f>VLOOKUP(Ruimtestaat[[#This Row],[Ruimte code]],Ruimtegroepen[#All],2,FALSE)</f>
        <v>Multifunctionele ruimte</v>
      </c>
      <c r="M105" s="195" t="s">
        <v>111</v>
      </c>
      <c r="N105" s="180" t="s">
        <v>557</v>
      </c>
      <c r="O105" s="181">
        <v>50.8</v>
      </c>
      <c r="P105" s="193"/>
      <c r="Q105" s="223" t="str">
        <f>VLOOKUP(Ruimtestaat[[#This Row],[Ruimte code]],Ruimtegroepen[#All],4,FALSE)</f>
        <v>L  (Lesruimte)</v>
      </c>
      <c r="R105" s="194"/>
      <c r="S105" s="195">
        <v>40</v>
      </c>
      <c r="T105" s="195" t="s">
        <v>2</v>
      </c>
      <c r="U105" s="195">
        <f>IF(S105&gt;0,IF(RIGHT(Ruimtestaat[[#This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5" s="195">
        <f>IF(U105&gt;0,VLOOKUP($K105,Ruimtegroepen[],3,FALSE)*VLOOKUP($M105,Vloersoorten[],3,FALSE)*VLOOKUP($T105,Frequenties[],3,FALSE)*VLOOKUP($A105,Locaties[],3,FALSE),0)</f>
        <v>0</v>
      </c>
      <c r="W105" s="195">
        <f>Ruimtestaat[[#This Row],[Uitvoeringen werkdagen]]*Ruimtestaat[[#This Row],[Oppervlak (netto)]]</f>
        <v>10160</v>
      </c>
      <c r="X105" s="233">
        <f>IF(V105&gt;0,Ruimtestaat[[#This Row],[Prest. (m2 /jaar) werkdagen]]/Ruimtestaat[[#This Row],[Norm (m2/uur) werkdagen]],0)</f>
        <v>0</v>
      </c>
      <c r="Y105" s="234">
        <f>Ruimtestaat[[#This Row],[uren / jaar werkdagen]]*Tariefsopbouw!$D$38</f>
        <v>0</v>
      </c>
      <c r="Z105" s="33"/>
      <c r="AA105" s="33">
        <f>IF(Ruimtestaat[[#This Row],[Frequentie weekend]]&gt;0,VALUE(LEFT(Z105,1))*S105,0)</f>
        <v>0</v>
      </c>
      <c r="AB105" s="33">
        <f>IF($AA105&gt;0,VLOOKUP($K105,Ruimtegroepen[],3,FALSE)*VLOOKUP($M105,Vloersoorten[],3,FALSE)*VLOOKUP($Z105,Frequenties[],3,FALSE)*VLOOKUP(#REF!,Locaties[],3,FALSE),0)</f>
        <v>0</v>
      </c>
      <c r="AC105" s="33"/>
      <c r="AD105" s="33"/>
      <c r="AE105" s="33">
        <f>Ruimtestaat[[#This Row],[uren / jaar weekend]]*Tariefsopbouw!$D$40</f>
        <v>0</v>
      </c>
      <c r="AF105" s="79">
        <f>Ruimtestaat[[#This Row],[Prest. (m2 /jaar) weekend]]+Ruimtestaat[[#This Row],[Prest. (m2 /jaar) werkdagen]]</f>
        <v>10160</v>
      </c>
      <c r="AG105" s="79">
        <f>Ruimtestaat[[#This Row],[uren / jaar weekend]]+Ruimtestaat[[#This Row],[uren / jaar werkdagen]]</f>
        <v>0</v>
      </c>
      <c r="AH105" s="80">
        <f>Ruimtestaat[[#This Row],[kosten / jaar weekend]]+Ruimtestaat[[#This Row],[kosten / jaar werkdagen]]</f>
        <v>0</v>
      </c>
      <c r="HM105" s="78"/>
    </row>
    <row r="106" spans="1:221" ht="15" customHeight="1">
      <c r="A106" s="119">
        <v>1</v>
      </c>
      <c r="B106" s="21" t="str">
        <f>VLOOKUP(Ruimtestaat[[#This Row],[Code]],Locaties[#All],2,FALSE)</f>
        <v>IJburg College</v>
      </c>
      <c r="C106" s="21" t="str">
        <f>VLOOKUP(Ruimtestaat[[#This Row],[Code]],Locaties[#All],4,FALSE)</f>
        <v>Pampuslaan 1</v>
      </c>
      <c r="D106" s="21" t="str">
        <f>VLOOKUP(Ruimtestaat[[#This Row],[Code]],Locaties[#All],5,FALSE)</f>
        <v>1087 HP</v>
      </c>
      <c r="E106" s="180" t="str">
        <f>VLOOKUP(Ruimtestaat[[#This Row],[Code]],Locaties[#All],6,FALSE)</f>
        <v>Amsterdam</v>
      </c>
      <c r="F106" s="180"/>
      <c r="G106" s="180" t="s">
        <v>645</v>
      </c>
      <c r="H106" s="180"/>
      <c r="I106" s="180" t="s">
        <v>588</v>
      </c>
      <c r="J106" s="224" t="s">
        <v>533</v>
      </c>
      <c r="K106" s="180">
        <v>21</v>
      </c>
      <c r="L106" s="224" t="str">
        <f>VLOOKUP(Ruimtestaat[[#This Row],[Ruimte code]],Ruimtegroepen[#All],2,FALSE)</f>
        <v>Niet in onderhoud</v>
      </c>
      <c r="M106" s="195" t="s">
        <v>111</v>
      </c>
      <c r="N106" s="180" t="s">
        <v>557</v>
      </c>
      <c r="O106" s="181"/>
      <c r="P106" s="193">
        <v>4</v>
      </c>
      <c r="Q106" s="223" t="str">
        <f>VLOOKUP(Ruimtestaat[[#This Row],[Ruimte code]],Ruimtegroepen[#All],4,FALSE)</f>
        <v>Niet in onderhoud</v>
      </c>
      <c r="R106" s="194"/>
      <c r="S106" s="195"/>
      <c r="T106" s="195"/>
      <c r="U106" s="195">
        <f>IF(S106&gt;0,IF(RIGHT(Ruimtestaat[[#This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6" s="195">
        <f>IF(U106&gt;0,VLOOKUP($K106,Ruimtegroepen[],3,FALSE)*VLOOKUP($M106,Vloersoorten[],3,FALSE)*VLOOKUP($T106,Frequenties[],3,FALSE)*VLOOKUP($A106,Locaties[],3,FALSE),0)</f>
        <v>0</v>
      </c>
      <c r="W106" s="195">
        <f>Ruimtestaat[[#This Row],[Uitvoeringen werkdagen]]*Ruimtestaat[[#This Row],[Oppervlak (netto)]]</f>
        <v>0</v>
      </c>
      <c r="X106" s="233">
        <f>IF(V106&gt;0,Ruimtestaat[[#This Row],[Prest. (m2 /jaar) werkdagen]]/Ruimtestaat[[#This Row],[Norm (m2/uur) werkdagen]],0)</f>
        <v>0</v>
      </c>
      <c r="Y106" s="234">
        <f>Ruimtestaat[[#This Row],[uren / jaar werkdagen]]*Tariefsopbouw!$D$38</f>
        <v>0</v>
      </c>
      <c r="Z106" s="33"/>
      <c r="AA106" s="33">
        <f>IF(Ruimtestaat[[#This Row],[Frequentie weekend]]&gt;0,VALUE(LEFT(Z106,1))*S106,0)</f>
        <v>0</v>
      </c>
      <c r="AB106" s="33">
        <f>IF($AA106&gt;0,VLOOKUP($K106,Ruimtegroepen[],3,FALSE)*VLOOKUP($M106,Vloersoorten[],3,FALSE)*VLOOKUP($Z106,Frequenties[],3,FALSE)*VLOOKUP(#REF!,Locaties[],3,FALSE),0)</f>
        <v>0</v>
      </c>
      <c r="AC106" s="33"/>
      <c r="AD106" s="33"/>
      <c r="AE106" s="33">
        <f>Ruimtestaat[[#This Row],[uren / jaar weekend]]*Tariefsopbouw!$D$40</f>
        <v>0</v>
      </c>
      <c r="AF106" s="79">
        <f>Ruimtestaat[[#This Row],[Prest. (m2 /jaar) weekend]]+Ruimtestaat[[#This Row],[Prest. (m2 /jaar) werkdagen]]</f>
        <v>0</v>
      </c>
      <c r="AG106" s="79">
        <f>Ruimtestaat[[#This Row],[uren / jaar weekend]]+Ruimtestaat[[#This Row],[uren / jaar werkdagen]]</f>
        <v>0</v>
      </c>
      <c r="AH106" s="80">
        <f>Ruimtestaat[[#This Row],[kosten / jaar weekend]]+Ruimtestaat[[#This Row],[kosten / jaar werkdagen]]</f>
        <v>0</v>
      </c>
      <c r="HM106" s="78"/>
    </row>
    <row r="107" spans="1:221" ht="15" customHeight="1">
      <c r="A107" s="119">
        <v>1</v>
      </c>
      <c r="B107" s="21" t="str">
        <f>VLOOKUP(Ruimtestaat[[#This Row],[Code]],Locaties[#All],2,FALSE)</f>
        <v>IJburg College</v>
      </c>
      <c r="C107" s="21" t="str">
        <f>VLOOKUP(Ruimtestaat[[#This Row],[Code]],Locaties[#All],4,FALSE)</f>
        <v>Pampuslaan 1</v>
      </c>
      <c r="D107" s="21" t="str">
        <f>VLOOKUP(Ruimtestaat[[#This Row],[Code]],Locaties[#All],5,FALSE)</f>
        <v>1087 HP</v>
      </c>
      <c r="E107" s="180" t="str">
        <f>VLOOKUP(Ruimtestaat[[#This Row],[Code]],Locaties[#All],6,FALSE)</f>
        <v>Amsterdam</v>
      </c>
      <c r="F107" s="180"/>
      <c r="G107" s="180" t="s">
        <v>645</v>
      </c>
      <c r="H107" s="180" t="s">
        <v>590</v>
      </c>
      <c r="I107" s="180" t="s">
        <v>589</v>
      </c>
      <c r="J107" s="224" t="s">
        <v>634</v>
      </c>
      <c r="K107" s="180">
        <v>3</v>
      </c>
      <c r="L107" s="224" t="str">
        <f>VLOOKUP(Ruimtestaat[[#This Row],[Ruimte code]],Ruimtegroepen[#All],2,FALSE)</f>
        <v>Reproruimte</v>
      </c>
      <c r="M107" s="195" t="s">
        <v>111</v>
      </c>
      <c r="N107" s="180" t="s">
        <v>557</v>
      </c>
      <c r="O107" s="181">
        <v>31.8</v>
      </c>
      <c r="P107" s="182"/>
      <c r="Q107" s="223" t="str">
        <f>VLOOKUP(Ruimtestaat[[#This Row],[Ruimte code]],Ruimtegroepen[#All],4,FALSE)</f>
        <v>V  (Verkeersruimte)</v>
      </c>
      <c r="R107" s="194"/>
      <c r="S107" s="195">
        <v>40</v>
      </c>
      <c r="T107" s="195" t="s">
        <v>2</v>
      </c>
      <c r="U107" s="195">
        <f>IF(S107&gt;0,IF(RIGHT(Ruimtestaat[[#This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7" s="195">
        <f>IF(U107&gt;0,VLOOKUP($K107,Ruimtegroepen[],3,FALSE)*VLOOKUP($M107,Vloersoorten[],3,FALSE)*VLOOKUP($T107,Frequenties[],3,FALSE)*VLOOKUP($A107,Locaties[],3,FALSE),0)</f>
        <v>0</v>
      </c>
      <c r="W107" s="195">
        <f>Ruimtestaat[[#This Row],[Uitvoeringen werkdagen]]*Ruimtestaat[[#This Row],[Oppervlak (netto)]]</f>
        <v>6360</v>
      </c>
      <c r="X107" s="233">
        <f>IF(V107&gt;0,Ruimtestaat[[#This Row],[Prest. (m2 /jaar) werkdagen]]/Ruimtestaat[[#This Row],[Norm (m2/uur) werkdagen]],0)</f>
        <v>0</v>
      </c>
      <c r="Y107" s="234">
        <f>Ruimtestaat[[#This Row],[uren / jaar werkdagen]]*Tariefsopbouw!$D$38</f>
        <v>0</v>
      </c>
      <c r="Z107" s="33"/>
      <c r="AA107" s="33">
        <f>IF(Ruimtestaat[[#This Row],[Frequentie weekend]]&gt;0,VALUE(LEFT(Z107,1))*S107,0)</f>
        <v>0</v>
      </c>
      <c r="AB107" s="33">
        <f>IF($AA107&gt;0,VLOOKUP($K107,Ruimtegroepen[],3,FALSE)*VLOOKUP($M107,Vloersoorten[],3,FALSE)*VLOOKUP($Z107,Frequenties[],3,FALSE)*VLOOKUP(#REF!,Locaties[],3,FALSE),0)</f>
        <v>0</v>
      </c>
      <c r="AC107" s="33"/>
      <c r="AD107" s="33"/>
      <c r="AE107" s="33">
        <f>Ruimtestaat[[#This Row],[uren / jaar weekend]]*Tariefsopbouw!$D$40</f>
        <v>0</v>
      </c>
      <c r="AF107" s="79">
        <f>Ruimtestaat[[#This Row],[Prest. (m2 /jaar) weekend]]+Ruimtestaat[[#This Row],[Prest. (m2 /jaar) werkdagen]]</f>
        <v>6360</v>
      </c>
      <c r="AG107" s="79">
        <f>Ruimtestaat[[#This Row],[uren / jaar weekend]]+Ruimtestaat[[#This Row],[uren / jaar werkdagen]]</f>
        <v>0</v>
      </c>
      <c r="AH107" s="80">
        <f>Ruimtestaat[[#This Row],[kosten / jaar weekend]]+Ruimtestaat[[#This Row],[kosten / jaar werkdagen]]</f>
        <v>0</v>
      </c>
      <c r="HM107" s="78"/>
    </row>
    <row r="108" spans="1:221" ht="15" customHeight="1">
      <c r="A108" s="119">
        <v>1</v>
      </c>
      <c r="B108" s="21" t="str">
        <f>VLOOKUP(Ruimtestaat[[#This Row],[Code]],Locaties[#All],2,FALSE)</f>
        <v>IJburg College</v>
      </c>
      <c r="C108" s="21" t="str">
        <f>VLOOKUP(Ruimtestaat[[#This Row],[Code]],Locaties[#All],4,FALSE)</f>
        <v>Pampuslaan 1</v>
      </c>
      <c r="D108" s="21" t="str">
        <f>VLOOKUP(Ruimtestaat[[#This Row],[Code]],Locaties[#All],5,FALSE)</f>
        <v>1087 HP</v>
      </c>
      <c r="E108" s="180" t="str">
        <f>VLOOKUP(Ruimtestaat[[#This Row],[Code]],Locaties[#All],6,FALSE)</f>
        <v>Amsterdam</v>
      </c>
      <c r="F108" s="180"/>
      <c r="G108" s="180" t="s">
        <v>645</v>
      </c>
      <c r="H108" s="180" t="s">
        <v>820</v>
      </c>
      <c r="I108" s="180" t="s">
        <v>590</v>
      </c>
      <c r="J108" s="224" t="s">
        <v>635</v>
      </c>
      <c r="K108" s="180">
        <v>6</v>
      </c>
      <c r="L108" s="224" t="str">
        <f>VLOOKUP(Ruimtestaat[[#This Row],[Ruimte code]],Ruimtegroepen[#All],2,FALSE)</f>
        <v>Gangen/hallen</v>
      </c>
      <c r="M108" s="195" t="s">
        <v>111</v>
      </c>
      <c r="N108" s="180" t="s">
        <v>557</v>
      </c>
      <c r="O108" s="181">
        <v>44.8</v>
      </c>
      <c r="P108" s="193"/>
      <c r="Q108" s="223" t="str">
        <f>VLOOKUP(Ruimtestaat[[#This Row],[Ruimte code]],Ruimtegroepen[#All],4,FALSE)</f>
        <v>V  (Verkeersruimte)</v>
      </c>
      <c r="R108" s="194"/>
      <c r="S108" s="195">
        <v>40</v>
      </c>
      <c r="T108" s="195" t="s">
        <v>2</v>
      </c>
      <c r="U108" s="195">
        <f>IF(S108&gt;0,IF(RIGHT(Ruimtestaat[[#This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8" s="195">
        <f>IF(U108&gt;0,VLOOKUP($K108,Ruimtegroepen[],3,FALSE)*VLOOKUP($M108,Vloersoorten[],3,FALSE)*VLOOKUP($T108,Frequenties[],3,FALSE)*VLOOKUP($A108,Locaties[],3,FALSE),0)</f>
        <v>0</v>
      </c>
      <c r="W108" s="195">
        <f>Ruimtestaat[[#This Row],[Uitvoeringen werkdagen]]*Ruimtestaat[[#This Row],[Oppervlak (netto)]]</f>
        <v>8960</v>
      </c>
      <c r="X108" s="233">
        <f>IF(V108&gt;0,Ruimtestaat[[#This Row],[Prest. (m2 /jaar) werkdagen]]/Ruimtestaat[[#This Row],[Norm (m2/uur) werkdagen]],0)</f>
        <v>0</v>
      </c>
      <c r="Y108" s="234">
        <f>Ruimtestaat[[#This Row],[uren / jaar werkdagen]]*Tariefsopbouw!$D$38</f>
        <v>0</v>
      </c>
      <c r="Z108" s="33"/>
      <c r="AA108" s="33">
        <f>IF(Ruimtestaat[[#This Row],[Frequentie weekend]]&gt;0,VALUE(LEFT(Z108,1))*S108,0)</f>
        <v>0</v>
      </c>
      <c r="AB108" s="33">
        <f>IF($AA108&gt;0,VLOOKUP($K108,Ruimtegroepen[],3,FALSE)*VLOOKUP($M108,Vloersoorten[],3,FALSE)*VLOOKUP($Z108,Frequenties[],3,FALSE)*VLOOKUP(#REF!,Locaties[],3,FALSE),0)</f>
        <v>0</v>
      </c>
      <c r="AC108" s="33"/>
      <c r="AD108" s="33"/>
      <c r="AE108" s="33">
        <f>Ruimtestaat[[#This Row],[uren / jaar weekend]]*Tariefsopbouw!$D$40</f>
        <v>0</v>
      </c>
      <c r="AF108" s="79">
        <f>Ruimtestaat[[#This Row],[Prest. (m2 /jaar) weekend]]+Ruimtestaat[[#This Row],[Prest. (m2 /jaar) werkdagen]]</f>
        <v>8960</v>
      </c>
      <c r="AG108" s="79">
        <f>Ruimtestaat[[#This Row],[uren / jaar weekend]]+Ruimtestaat[[#This Row],[uren / jaar werkdagen]]</f>
        <v>0</v>
      </c>
      <c r="AH108" s="80">
        <f>Ruimtestaat[[#This Row],[kosten / jaar weekend]]+Ruimtestaat[[#This Row],[kosten / jaar werkdagen]]</f>
        <v>0</v>
      </c>
      <c r="HM108" s="78"/>
    </row>
    <row r="109" spans="1:221" ht="15" customHeight="1">
      <c r="A109" s="119">
        <v>1</v>
      </c>
      <c r="B109" s="21" t="str">
        <f>VLOOKUP(Ruimtestaat[[#This Row],[Code]],Locaties[#All],2,FALSE)</f>
        <v>IJburg College</v>
      </c>
      <c r="C109" s="21" t="str">
        <f>VLOOKUP(Ruimtestaat[[#This Row],[Code]],Locaties[#All],4,FALSE)</f>
        <v>Pampuslaan 1</v>
      </c>
      <c r="D109" s="21" t="str">
        <f>VLOOKUP(Ruimtestaat[[#This Row],[Code]],Locaties[#All],5,FALSE)</f>
        <v>1087 HP</v>
      </c>
      <c r="E109" s="180" t="str">
        <f>VLOOKUP(Ruimtestaat[[#This Row],[Code]],Locaties[#All],6,FALSE)</f>
        <v>Amsterdam</v>
      </c>
      <c r="F109" s="180"/>
      <c r="G109" s="180" t="s">
        <v>645</v>
      </c>
      <c r="H109" s="180"/>
      <c r="I109" s="180" t="s">
        <v>591</v>
      </c>
      <c r="J109" s="224" t="s">
        <v>636</v>
      </c>
      <c r="K109" s="180">
        <v>10</v>
      </c>
      <c r="L109" s="224" t="str">
        <f>VLOOKUP(Ruimtestaat[[#This Row],[Ruimte code]],Ruimtegroepen[#All],2,FALSE)</f>
        <v>Trappenhuizen/lift</v>
      </c>
      <c r="M109" s="195" t="s">
        <v>111</v>
      </c>
      <c r="N109" s="180" t="s">
        <v>557</v>
      </c>
      <c r="O109" s="181">
        <v>100</v>
      </c>
      <c r="P109" s="193"/>
      <c r="Q109" s="223" t="str">
        <f>VLOOKUP(Ruimtestaat[[#This Row],[Ruimte code]],Ruimtegroepen[#All],4,FALSE)</f>
        <v>V  (Verkeersruimte)</v>
      </c>
      <c r="R109" s="194"/>
      <c r="S109" s="195">
        <v>40</v>
      </c>
      <c r="T109" s="195" t="s">
        <v>2</v>
      </c>
      <c r="U109" s="195">
        <f>IF(S109&gt;0,IF(RIGHT(Ruimtestaat[[#This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9" s="195">
        <f>IF(U109&gt;0,VLOOKUP($K109,Ruimtegroepen[],3,FALSE)*VLOOKUP($M109,Vloersoorten[],3,FALSE)*VLOOKUP($T109,Frequenties[],3,FALSE)*VLOOKUP($A109,Locaties[],3,FALSE),0)</f>
        <v>0</v>
      </c>
      <c r="W109" s="195">
        <f>Ruimtestaat[[#This Row],[Uitvoeringen werkdagen]]*Ruimtestaat[[#This Row],[Oppervlak (netto)]]</f>
        <v>20000</v>
      </c>
      <c r="X109" s="233">
        <f>IF(V109&gt;0,Ruimtestaat[[#This Row],[Prest. (m2 /jaar) werkdagen]]/Ruimtestaat[[#This Row],[Norm (m2/uur) werkdagen]],0)</f>
        <v>0</v>
      </c>
      <c r="Y109" s="234">
        <f>Ruimtestaat[[#This Row],[uren / jaar werkdagen]]*Tariefsopbouw!$D$38</f>
        <v>0</v>
      </c>
      <c r="Z109" s="33"/>
      <c r="AA109" s="33">
        <f>IF(Ruimtestaat[[#This Row],[Frequentie weekend]]&gt;0,VALUE(LEFT(Z109,1))*S109,0)</f>
        <v>0</v>
      </c>
      <c r="AB109" s="33">
        <f>IF($AA109&gt;0,VLOOKUP($K109,Ruimtegroepen[],3,FALSE)*VLOOKUP($M109,Vloersoorten[],3,FALSE)*VLOOKUP($Z109,Frequenties[],3,FALSE)*VLOOKUP(#REF!,Locaties[],3,FALSE),0)</f>
        <v>0</v>
      </c>
      <c r="AC109" s="33"/>
      <c r="AD109" s="33"/>
      <c r="AE109" s="33">
        <f>Ruimtestaat[[#This Row],[uren / jaar weekend]]*Tariefsopbouw!$D$40</f>
        <v>0</v>
      </c>
      <c r="AF109" s="79">
        <f>Ruimtestaat[[#This Row],[Prest. (m2 /jaar) weekend]]+Ruimtestaat[[#This Row],[Prest. (m2 /jaar) werkdagen]]</f>
        <v>20000</v>
      </c>
      <c r="AG109" s="79">
        <f>Ruimtestaat[[#This Row],[uren / jaar weekend]]+Ruimtestaat[[#This Row],[uren / jaar werkdagen]]</f>
        <v>0</v>
      </c>
      <c r="AH109" s="80">
        <f>Ruimtestaat[[#This Row],[kosten / jaar weekend]]+Ruimtestaat[[#This Row],[kosten / jaar werkdagen]]</f>
        <v>0</v>
      </c>
      <c r="HM109" s="78"/>
    </row>
    <row r="110" spans="1:221" ht="15" customHeight="1">
      <c r="A110" s="119">
        <v>1</v>
      </c>
      <c r="B110" s="21" t="str">
        <f>VLOOKUP(Ruimtestaat[[#This Row],[Code]],Locaties[#All],2,FALSE)</f>
        <v>IJburg College</v>
      </c>
      <c r="C110" s="21" t="str">
        <f>VLOOKUP(Ruimtestaat[[#This Row],[Code]],Locaties[#All],4,FALSE)</f>
        <v>Pampuslaan 1</v>
      </c>
      <c r="D110" s="21" t="str">
        <f>VLOOKUP(Ruimtestaat[[#This Row],[Code]],Locaties[#All],5,FALSE)</f>
        <v>1087 HP</v>
      </c>
      <c r="E110" s="180" t="str">
        <f>VLOOKUP(Ruimtestaat[[#This Row],[Code]],Locaties[#All],6,FALSE)</f>
        <v>Amsterdam</v>
      </c>
      <c r="F110" s="180"/>
      <c r="G110" s="180" t="s">
        <v>645</v>
      </c>
      <c r="H110" s="180" t="s">
        <v>821</v>
      </c>
      <c r="I110" s="180" t="s">
        <v>592</v>
      </c>
      <c r="J110" s="224" t="s">
        <v>637</v>
      </c>
      <c r="K110" s="180">
        <v>8</v>
      </c>
      <c r="L110" s="224" t="str">
        <f>VLOOKUP(Ruimtestaat[[#This Row],[Ruimte code]],Ruimtegroepen[#All],2,FALSE)</f>
        <v>Multifunctionele ruimte</v>
      </c>
      <c r="M110" s="195" t="s">
        <v>111</v>
      </c>
      <c r="N110" s="180" t="s">
        <v>557</v>
      </c>
      <c r="O110" s="181">
        <v>409.35</v>
      </c>
      <c r="P110" s="193"/>
      <c r="Q110" s="223" t="str">
        <f>VLOOKUP(Ruimtestaat[[#This Row],[Ruimte code]],Ruimtegroepen[#All],4,FALSE)</f>
        <v>L  (Lesruimte)</v>
      </c>
      <c r="R110" s="194"/>
      <c r="S110" s="195">
        <v>40</v>
      </c>
      <c r="T110" s="195" t="s">
        <v>2</v>
      </c>
      <c r="U110" s="195">
        <f>IF(S110&gt;0,IF(RIGHT(Ruimtestaat[[#This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0" s="195">
        <f>IF(U110&gt;0,VLOOKUP($K110,Ruimtegroepen[],3,FALSE)*VLOOKUP($M110,Vloersoorten[],3,FALSE)*VLOOKUP($T110,Frequenties[],3,FALSE)*VLOOKUP($A110,Locaties[],3,FALSE),0)</f>
        <v>0</v>
      </c>
      <c r="W110" s="195">
        <f>Ruimtestaat[[#This Row],[Uitvoeringen werkdagen]]*Ruimtestaat[[#This Row],[Oppervlak (netto)]]</f>
        <v>81870</v>
      </c>
      <c r="X110" s="233">
        <f>IF(V110&gt;0,Ruimtestaat[[#This Row],[Prest. (m2 /jaar) werkdagen]]/Ruimtestaat[[#This Row],[Norm (m2/uur) werkdagen]],0)</f>
        <v>0</v>
      </c>
      <c r="Y110" s="234">
        <f>Ruimtestaat[[#This Row],[uren / jaar werkdagen]]*Tariefsopbouw!$D$38</f>
        <v>0</v>
      </c>
      <c r="Z110" s="33"/>
      <c r="AA110" s="33">
        <f>IF(Ruimtestaat[[#This Row],[Frequentie weekend]]&gt;0,VALUE(LEFT(Z110,1))*S110,0)</f>
        <v>0</v>
      </c>
      <c r="AB110" s="33">
        <f>IF($AA110&gt;0,VLOOKUP($K110,Ruimtegroepen[],3,FALSE)*VLOOKUP($M110,Vloersoorten[],3,FALSE)*VLOOKUP($Z110,Frequenties[],3,FALSE)*VLOOKUP(#REF!,Locaties[],3,FALSE),0)</f>
        <v>0</v>
      </c>
      <c r="AC110" s="33"/>
      <c r="AD110" s="33"/>
      <c r="AE110" s="33">
        <f>Ruimtestaat[[#This Row],[uren / jaar weekend]]*Tariefsopbouw!$D$40</f>
        <v>0</v>
      </c>
      <c r="AF110" s="79">
        <f>Ruimtestaat[[#This Row],[Prest. (m2 /jaar) weekend]]+Ruimtestaat[[#This Row],[Prest. (m2 /jaar) werkdagen]]</f>
        <v>81870</v>
      </c>
      <c r="AG110" s="79">
        <f>Ruimtestaat[[#This Row],[uren / jaar weekend]]+Ruimtestaat[[#This Row],[uren / jaar werkdagen]]</f>
        <v>0</v>
      </c>
      <c r="AH110" s="80">
        <f>Ruimtestaat[[#This Row],[kosten / jaar weekend]]+Ruimtestaat[[#This Row],[kosten / jaar werkdagen]]</f>
        <v>0</v>
      </c>
      <c r="HM110" s="78"/>
    </row>
    <row r="111" spans="1:221" ht="15" customHeight="1">
      <c r="A111" s="119">
        <v>1</v>
      </c>
      <c r="B111" s="21" t="str">
        <f>VLOOKUP(Ruimtestaat[[#This Row],[Code]],Locaties[#All],2,FALSE)</f>
        <v>IJburg College</v>
      </c>
      <c r="C111" s="21" t="str">
        <f>VLOOKUP(Ruimtestaat[[#This Row],[Code]],Locaties[#All],4,FALSE)</f>
        <v>Pampuslaan 1</v>
      </c>
      <c r="D111" s="21" t="str">
        <f>VLOOKUP(Ruimtestaat[[#This Row],[Code]],Locaties[#All],5,FALSE)</f>
        <v>1087 HP</v>
      </c>
      <c r="E111" s="180" t="str">
        <f>VLOOKUP(Ruimtestaat[[#This Row],[Code]],Locaties[#All],6,FALSE)</f>
        <v>Amsterdam</v>
      </c>
      <c r="F111" s="180"/>
      <c r="G111" s="180" t="s">
        <v>645</v>
      </c>
      <c r="H111" s="180" t="s">
        <v>580</v>
      </c>
      <c r="I111" s="180" t="s">
        <v>593</v>
      </c>
      <c r="J111" s="224" t="s">
        <v>638</v>
      </c>
      <c r="K111" s="180">
        <v>2</v>
      </c>
      <c r="L111" s="224" t="str">
        <f>VLOOKUP(Ruimtestaat[[#This Row],[Ruimte code]],Ruimtegroepen[#All],2,FALSE)</f>
        <v>Kantoren</v>
      </c>
      <c r="M111" s="195" t="s">
        <v>111</v>
      </c>
      <c r="N111" s="180" t="s">
        <v>557</v>
      </c>
      <c r="O111" s="181">
        <v>24</v>
      </c>
      <c r="P111" s="193"/>
      <c r="Q111" s="223" t="str">
        <f>VLOOKUP(Ruimtestaat[[#This Row],[Ruimte code]],Ruimtegroepen[#All],4,FALSE)</f>
        <v>B  (Bureauruimte)</v>
      </c>
      <c r="R111" s="194"/>
      <c r="S111" s="195">
        <v>40</v>
      </c>
      <c r="T111" s="195" t="s">
        <v>17</v>
      </c>
      <c r="U111" s="195">
        <f>IF(S111&gt;0,IF(RIGHT(Ruimtestaat[[#This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11" s="195">
        <f>IF(U111&gt;0,VLOOKUP($K111,Ruimtegroepen[],3,FALSE)*VLOOKUP($M111,Vloersoorten[],3,FALSE)*VLOOKUP($T111,Frequenties[],3,FALSE)*VLOOKUP($A111,Locaties[],3,FALSE),0)</f>
        <v>0</v>
      </c>
      <c r="W111" s="195">
        <f>Ruimtestaat[[#This Row],[Uitvoeringen werkdagen]]*Ruimtestaat[[#This Row],[Oppervlak (netto)]]</f>
        <v>1920</v>
      </c>
      <c r="X111" s="233">
        <f>IF(V111&gt;0,Ruimtestaat[[#This Row],[Prest. (m2 /jaar) werkdagen]]/Ruimtestaat[[#This Row],[Norm (m2/uur) werkdagen]],0)</f>
        <v>0</v>
      </c>
      <c r="Y111" s="234">
        <f>Ruimtestaat[[#This Row],[uren / jaar werkdagen]]*Tariefsopbouw!$D$38</f>
        <v>0</v>
      </c>
      <c r="Z111" s="33"/>
      <c r="AA111" s="33">
        <f>IF(Ruimtestaat[[#This Row],[Frequentie weekend]]&gt;0,VALUE(LEFT(Z111,1))*S111,0)</f>
        <v>0</v>
      </c>
      <c r="AB111" s="33">
        <f>IF($AA111&gt;0,VLOOKUP($K111,Ruimtegroepen[],3,FALSE)*VLOOKUP($M111,Vloersoorten[],3,FALSE)*VLOOKUP($Z111,Frequenties[],3,FALSE)*VLOOKUP(#REF!,Locaties[],3,FALSE),0)</f>
        <v>0</v>
      </c>
      <c r="AC111" s="33"/>
      <c r="AD111" s="33"/>
      <c r="AE111" s="33">
        <f>Ruimtestaat[[#This Row],[uren / jaar weekend]]*Tariefsopbouw!$D$40</f>
        <v>0</v>
      </c>
      <c r="AF111" s="79">
        <f>Ruimtestaat[[#This Row],[Prest. (m2 /jaar) weekend]]+Ruimtestaat[[#This Row],[Prest. (m2 /jaar) werkdagen]]</f>
        <v>1920</v>
      </c>
      <c r="AG111" s="79">
        <f>Ruimtestaat[[#This Row],[uren / jaar weekend]]+Ruimtestaat[[#This Row],[uren / jaar werkdagen]]</f>
        <v>0</v>
      </c>
      <c r="AH111" s="80">
        <f>Ruimtestaat[[#This Row],[kosten / jaar weekend]]+Ruimtestaat[[#This Row],[kosten / jaar werkdagen]]</f>
        <v>0</v>
      </c>
      <c r="HM111" s="78"/>
    </row>
    <row r="112" spans="1:221" ht="15" customHeight="1">
      <c r="A112" s="119">
        <v>1</v>
      </c>
      <c r="B112" s="21" t="str">
        <f>VLOOKUP(Ruimtestaat[[#This Row],[Code]],Locaties[#All],2,FALSE)</f>
        <v>IJburg College</v>
      </c>
      <c r="C112" s="21" t="str">
        <f>VLOOKUP(Ruimtestaat[[#This Row],[Code]],Locaties[#All],4,FALSE)</f>
        <v>Pampuslaan 1</v>
      </c>
      <c r="D112" s="21" t="str">
        <f>VLOOKUP(Ruimtestaat[[#This Row],[Code]],Locaties[#All],5,FALSE)</f>
        <v>1087 HP</v>
      </c>
      <c r="E112" s="180" t="str">
        <f>VLOOKUP(Ruimtestaat[[#This Row],[Code]],Locaties[#All],6,FALSE)</f>
        <v>Amsterdam</v>
      </c>
      <c r="F112" s="180"/>
      <c r="G112" s="180" t="s">
        <v>645</v>
      </c>
      <c r="H112" s="180" t="s">
        <v>588</v>
      </c>
      <c r="I112" s="180" t="s">
        <v>594</v>
      </c>
      <c r="J112" s="224" t="s">
        <v>639</v>
      </c>
      <c r="K112" s="180">
        <v>16</v>
      </c>
      <c r="L112" s="224" t="str">
        <f>VLOOKUP(Ruimtestaat[[#This Row],[Ruimte code]],Ruimtegroepen[#All],2,FALSE)</f>
        <v>Lokaal</v>
      </c>
      <c r="M112" s="195" t="s">
        <v>111</v>
      </c>
      <c r="N112" s="180" t="s">
        <v>557</v>
      </c>
      <c r="O112" s="181">
        <v>61.15</v>
      </c>
      <c r="P112" s="193"/>
      <c r="Q112" s="223" t="str">
        <f>VLOOKUP(Ruimtestaat[[#This Row],[Ruimte code]],Ruimtegroepen[#All],4,FALSE)</f>
        <v>L  (Lesruimte)</v>
      </c>
      <c r="R112" s="194"/>
      <c r="S112" s="195">
        <v>40</v>
      </c>
      <c r="T112" s="195" t="s">
        <v>2</v>
      </c>
      <c r="U112" s="195">
        <f>IF(S112&gt;0,IF(RIGHT(Ruimtestaat[[#This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2" s="195">
        <f>IF(U112&gt;0,VLOOKUP($K112,Ruimtegroepen[],3,FALSE)*VLOOKUP($M112,Vloersoorten[],3,FALSE)*VLOOKUP($T112,Frequenties[],3,FALSE)*VLOOKUP($A112,Locaties[],3,FALSE),0)</f>
        <v>0</v>
      </c>
      <c r="W112" s="195">
        <f>Ruimtestaat[[#This Row],[Uitvoeringen werkdagen]]*Ruimtestaat[[#This Row],[Oppervlak (netto)]]</f>
        <v>12230</v>
      </c>
      <c r="X112" s="233">
        <f>IF(V112&gt;0,Ruimtestaat[[#This Row],[Prest. (m2 /jaar) werkdagen]]/Ruimtestaat[[#This Row],[Norm (m2/uur) werkdagen]],0)</f>
        <v>0</v>
      </c>
      <c r="Y112" s="234">
        <f>Ruimtestaat[[#This Row],[uren / jaar werkdagen]]*Tariefsopbouw!$D$38</f>
        <v>0</v>
      </c>
      <c r="Z112" s="33"/>
      <c r="AA112" s="33">
        <f>IF(Ruimtestaat[[#This Row],[Frequentie weekend]]&gt;0,VALUE(LEFT(Z112,1))*S112,0)</f>
        <v>0</v>
      </c>
      <c r="AB112" s="33">
        <f>IF($AA112&gt;0,VLOOKUP($K112,Ruimtegroepen[],3,FALSE)*VLOOKUP($M112,Vloersoorten[],3,FALSE)*VLOOKUP($Z112,Frequenties[],3,FALSE)*VLOOKUP(#REF!,Locaties[],3,FALSE),0)</f>
        <v>0</v>
      </c>
      <c r="AC112" s="33"/>
      <c r="AD112" s="33"/>
      <c r="AE112" s="33">
        <f>Ruimtestaat[[#This Row],[uren / jaar weekend]]*Tariefsopbouw!$D$40</f>
        <v>0</v>
      </c>
      <c r="AF112" s="79">
        <f>Ruimtestaat[[#This Row],[Prest. (m2 /jaar) weekend]]+Ruimtestaat[[#This Row],[Prest. (m2 /jaar) werkdagen]]</f>
        <v>12230</v>
      </c>
      <c r="AG112" s="79">
        <f>Ruimtestaat[[#This Row],[uren / jaar weekend]]+Ruimtestaat[[#This Row],[uren / jaar werkdagen]]</f>
        <v>0</v>
      </c>
      <c r="AH112" s="80">
        <f>Ruimtestaat[[#This Row],[kosten / jaar weekend]]+Ruimtestaat[[#This Row],[kosten / jaar werkdagen]]</f>
        <v>0</v>
      </c>
      <c r="HM112" s="78"/>
    </row>
    <row r="113" spans="1:221" ht="15" customHeight="1">
      <c r="A113" s="119">
        <v>1</v>
      </c>
      <c r="B113" s="21" t="str">
        <f>VLOOKUP(Ruimtestaat[[#This Row],[Code]],Locaties[#All],2,FALSE)</f>
        <v>IJburg College</v>
      </c>
      <c r="C113" s="21" t="str">
        <f>VLOOKUP(Ruimtestaat[[#This Row],[Code]],Locaties[#All],4,FALSE)</f>
        <v>Pampuslaan 1</v>
      </c>
      <c r="D113" s="21" t="str">
        <f>VLOOKUP(Ruimtestaat[[#This Row],[Code]],Locaties[#All],5,FALSE)</f>
        <v>1087 HP</v>
      </c>
      <c r="E113" s="180" t="str">
        <f>VLOOKUP(Ruimtestaat[[#This Row],[Code]],Locaties[#All],6,FALSE)</f>
        <v>Amsterdam</v>
      </c>
      <c r="F113" s="180"/>
      <c r="G113" s="180" t="s">
        <v>645</v>
      </c>
      <c r="H113" s="180" t="s">
        <v>561</v>
      </c>
      <c r="I113" s="180" t="s">
        <v>595</v>
      </c>
      <c r="J113" s="224" t="s">
        <v>631</v>
      </c>
      <c r="K113" s="180">
        <v>16</v>
      </c>
      <c r="L113" s="224" t="str">
        <f>VLOOKUP(Ruimtestaat[[#This Row],[Ruimte code]],Ruimtegroepen[#All],2,FALSE)</f>
        <v>Lokaal</v>
      </c>
      <c r="M113" s="195" t="s">
        <v>111</v>
      </c>
      <c r="N113" s="180" t="s">
        <v>557</v>
      </c>
      <c r="O113" s="181">
        <v>65</v>
      </c>
      <c r="P113" s="193"/>
      <c r="Q113" s="223" t="str">
        <f>VLOOKUP(Ruimtestaat[[#This Row],[Ruimte code]],Ruimtegroepen[#All],4,FALSE)</f>
        <v>L  (Lesruimte)</v>
      </c>
      <c r="R113" s="194"/>
      <c r="S113" s="195">
        <v>40</v>
      </c>
      <c r="T113" s="195" t="s">
        <v>2</v>
      </c>
      <c r="U113" s="195">
        <f>IF(S113&gt;0,IF(RIGHT(Ruimtestaat[[#This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3" s="195">
        <f>IF(U113&gt;0,VLOOKUP($K113,Ruimtegroepen[],3,FALSE)*VLOOKUP($M113,Vloersoorten[],3,FALSE)*VLOOKUP($T113,Frequenties[],3,FALSE)*VLOOKUP($A113,Locaties[],3,FALSE),0)</f>
        <v>0</v>
      </c>
      <c r="W113" s="195">
        <f>Ruimtestaat[[#This Row],[Uitvoeringen werkdagen]]*Ruimtestaat[[#This Row],[Oppervlak (netto)]]</f>
        <v>13000</v>
      </c>
      <c r="X113" s="233">
        <f>IF(V113&gt;0,Ruimtestaat[[#This Row],[Prest. (m2 /jaar) werkdagen]]/Ruimtestaat[[#This Row],[Norm (m2/uur) werkdagen]],0)</f>
        <v>0</v>
      </c>
      <c r="Y113" s="234">
        <f>Ruimtestaat[[#This Row],[uren / jaar werkdagen]]*Tariefsopbouw!$D$38</f>
        <v>0</v>
      </c>
      <c r="Z113" s="33"/>
      <c r="AA113" s="33">
        <f>IF(Ruimtestaat[[#This Row],[Frequentie weekend]]&gt;0,VALUE(LEFT(Z113,1))*S113,0)</f>
        <v>0</v>
      </c>
      <c r="AB113" s="33">
        <f>IF($AA113&gt;0,VLOOKUP($K113,Ruimtegroepen[],3,FALSE)*VLOOKUP($M113,Vloersoorten[],3,FALSE)*VLOOKUP($Z113,Frequenties[],3,FALSE)*VLOOKUP(#REF!,Locaties[],3,FALSE),0)</f>
        <v>0</v>
      </c>
      <c r="AC113" s="33"/>
      <c r="AD113" s="33"/>
      <c r="AE113" s="33">
        <f>Ruimtestaat[[#This Row],[uren / jaar weekend]]*Tariefsopbouw!$D$40</f>
        <v>0</v>
      </c>
      <c r="AF113" s="79">
        <f>Ruimtestaat[[#This Row],[Prest. (m2 /jaar) weekend]]+Ruimtestaat[[#This Row],[Prest. (m2 /jaar) werkdagen]]</f>
        <v>13000</v>
      </c>
      <c r="AG113" s="79">
        <f>Ruimtestaat[[#This Row],[uren / jaar weekend]]+Ruimtestaat[[#This Row],[uren / jaar werkdagen]]</f>
        <v>0</v>
      </c>
      <c r="AH113" s="80">
        <f>Ruimtestaat[[#This Row],[kosten / jaar weekend]]+Ruimtestaat[[#This Row],[kosten / jaar werkdagen]]</f>
        <v>0</v>
      </c>
      <c r="HM113" s="78"/>
    </row>
    <row r="114" spans="1:221" ht="15" customHeight="1">
      <c r="A114" s="119">
        <v>1</v>
      </c>
      <c r="B114" s="21" t="str">
        <f>VLOOKUP(Ruimtestaat[[#This Row],[Code]],Locaties[#All],2,FALSE)</f>
        <v>IJburg College</v>
      </c>
      <c r="C114" s="21" t="str">
        <f>VLOOKUP(Ruimtestaat[[#This Row],[Code]],Locaties[#All],4,FALSE)</f>
        <v>Pampuslaan 1</v>
      </c>
      <c r="D114" s="21" t="str">
        <f>VLOOKUP(Ruimtestaat[[#This Row],[Code]],Locaties[#All],5,FALSE)</f>
        <v>1087 HP</v>
      </c>
      <c r="E114" s="180" t="str">
        <f>VLOOKUP(Ruimtestaat[[#This Row],[Code]],Locaties[#All],6,FALSE)</f>
        <v>Amsterdam</v>
      </c>
      <c r="F114" s="180"/>
      <c r="G114" s="180" t="s">
        <v>645</v>
      </c>
      <c r="H114" s="180" t="s">
        <v>589</v>
      </c>
      <c r="I114" s="180" t="s">
        <v>596</v>
      </c>
      <c r="J114" s="224" t="s">
        <v>640</v>
      </c>
      <c r="K114" s="180">
        <v>4</v>
      </c>
      <c r="L114" s="224" t="str">
        <f>VLOOKUP(Ruimtestaat[[#This Row],[Ruimte code]],Ruimtegroepen[#All],2,FALSE)</f>
        <v>Vergader/spreekkamers</v>
      </c>
      <c r="M114" s="195" t="s">
        <v>111</v>
      </c>
      <c r="N114" s="180" t="s">
        <v>557</v>
      </c>
      <c r="O114" s="181">
        <v>31</v>
      </c>
      <c r="P114" s="193"/>
      <c r="Q114" s="223" t="str">
        <f>VLOOKUP(Ruimtestaat[[#This Row],[Ruimte code]],Ruimtegroepen[#All],4,FALSE)</f>
        <v>B  (Bureauruimte)</v>
      </c>
      <c r="R114" s="194"/>
      <c r="S114" s="195">
        <v>40</v>
      </c>
      <c r="T114" s="195" t="s">
        <v>2</v>
      </c>
      <c r="U114" s="195">
        <f>IF(S114&gt;0,IF(RIGHT(Ruimtestaat[[#This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" s="195">
        <f>IF(U114&gt;0,VLOOKUP($K114,Ruimtegroepen[],3,FALSE)*VLOOKUP($M114,Vloersoorten[],3,FALSE)*VLOOKUP($T114,Frequenties[],3,FALSE)*VLOOKUP($A114,Locaties[],3,FALSE),0)</f>
        <v>0</v>
      </c>
      <c r="W114" s="195">
        <f>Ruimtestaat[[#This Row],[Uitvoeringen werkdagen]]*Ruimtestaat[[#This Row],[Oppervlak (netto)]]</f>
        <v>6200</v>
      </c>
      <c r="X114" s="233">
        <f>IF(V114&gt;0,Ruimtestaat[[#This Row],[Prest. (m2 /jaar) werkdagen]]/Ruimtestaat[[#This Row],[Norm (m2/uur) werkdagen]],0)</f>
        <v>0</v>
      </c>
      <c r="Y114" s="234">
        <f>Ruimtestaat[[#This Row],[uren / jaar werkdagen]]*Tariefsopbouw!$D$38</f>
        <v>0</v>
      </c>
      <c r="Z114" s="33"/>
      <c r="AA114" s="33">
        <f>IF(Ruimtestaat[[#This Row],[Frequentie weekend]]&gt;0,VALUE(LEFT(Z114,1))*S114,0)</f>
        <v>0</v>
      </c>
      <c r="AB114" s="33">
        <f>IF($AA114&gt;0,VLOOKUP($K114,Ruimtegroepen[],3,FALSE)*VLOOKUP($M114,Vloersoorten[],3,FALSE)*VLOOKUP($Z114,Frequenties[],3,FALSE)*VLOOKUP(#REF!,Locaties[],3,FALSE),0)</f>
        <v>0</v>
      </c>
      <c r="AC114" s="33"/>
      <c r="AD114" s="33"/>
      <c r="AE114" s="33">
        <f>Ruimtestaat[[#This Row],[uren / jaar weekend]]*Tariefsopbouw!$D$40</f>
        <v>0</v>
      </c>
      <c r="AF114" s="79">
        <f>Ruimtestaat[[#This Row],[Prest. (m2 /jaar) weekend]]+Ruimtestaat[[#This Row],[Prest. (m2 /jaar) werkdagen]]</f>
        <v>6200</v>
      </c>
      <c r="AG114" s="79">
        <f>Ruimtestaat[[#This Row],[uren / jaar weekend]]+Ruimtestaat[[#This Row],[uren / jaar werkdagen]]</f>
        <v>0</v>
      </c>
      <c r="AH114" s="80">
        <f>Ruimtestaat[[#This Row],[kosten / jaar weekend]]+Ruimtestaat[[#This Row],[kosten / jaar werkdagen]]</f>
        <v>0</v>
      </c>
      <c r="HM114" s="78"/>
    </row>
    <row r="115" spans="1:221" ht="15" customHeight="1">
      <c r="A115" s="119">
        <v>1</v>
      </c>
      <c r="B115" s="21" t="str">
        <f>VLOOKUP(Ruimtestaat[[#This Row],[Code]],Locaties[#All],2,FALSE)</f>
        <v>IJburg College</v>
      </c>
      <c r="C115" s="21" t="str">
        <f>VLOOKUP(Ruimtestaat[[#This Row],[Code]],Locaties[#All],4,FALSE)</f>
        <v>Pampuslaan 1</v>
      </c>
      <c r="D115" s="21" t="str">
        <f>VLOOKUP(Ruimtestaat[[#This Row],[Code]],Locaties[#All],5,FALSE)</f>
        <v>1087 HP</v>
      </c>
      <c r="E115" s="180" t="str">
        <f>VLOOKUP(Ruimtestaat[[#This Row],[Code]],Locaties[#All],6,FALSE)</f>
        <v>Amsterdam</v>
      </c>
      <c r="F115" s="180"/>
      <c r="G115" s="180" t="s">
        <v>645</v>
      </c>
      <c r="H115" s="180">
        <v>1102</v>
      </c>
      <c r="I115" s="180" t="s">
        <v>597</v>
      </c>
      <c r="J115" s="224" t="s">
        <v>628</v>
      </c>
      <c r="K115" s="180">
        <v>10</v>
      </c>
      <c r="L115" s="224" t="str">
        <f>VLOOKUP(Ruimtestaat[[#This Row],[Ruimte code]],Ruimtegroepen[#All],2,FALSE)</f>
        <v>Trappenhuizen/lift</v>
      </c>
      <c r="M115" s="195" t="s">
        <v>111</v>
      </c>
      <c r="N115" s="180" t="s">
        <v>714</v>
      </c>
      <c r="O115" s="181">
        <v>32</v>
      </c>
      <c r="P115" s="193"/>
      <c r="Q115" s="223" t="str">
        <f>VLOOKUP(Ruimtestaat[[#This Row],[Ruimte code]],Ruimtegroepen[#All],4,FALSE)</f>
        <v>V  (Verkeersruimte)</v>
      </c>
      <c r="R115" s="194"/>
      <c r="S115" s="195">
        <v>40</v>
      </c>
      <c r="T115" s="195" t="s">
        <v>2</v>
      </c>
      <c r="U115" s="195">
        <f>IF(S115&gt;0,IF(RIGHT(Ruimtestaat[[#This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5" s="195">
        <f>IF(U115&gt;0,VLOOKUP($K115,Ruimtegroepen[],3,FALSE)*VLOOKUP($M115,Vloersoorten[],3,FALSE)*VLOOKUP($T115,Frequenties[],3,FALSE)*VLOOKUP($A115,Locaties[],3,FALSE),0)</f>
        <v>0</v>
      </c>
      <c r="W115" s="195">
        <f>Ruimtestaat[[#This Row],[Uitvoeringen werkdagen]]*Ruimtestaat[[#This Row],[Oppervlak (netto)]]</f>
        <v>6400</v>
      </c>
      <c r="X115" s="233">
        <f>IF(V115&gt;0,Ruimtestaat[[#This Row],[Prest. (m2 /jaar) werkdagen]]/Ruimtestaat[[#This Row],[Norm (m2/uur) werkdagen]],0)</f>
        <v>0</v>
      </c>
      <c r="Y115" s="234">
        <f>Ruimtestaat[[#This Row],[uren / jaar werkdagen]]*Tariefsopbouw!$D$38</f>
        <v>0</v>
      </c>
      <c r="Z115" s="33"/>
      <c r="AA115" s="33">
        <f>IF(Ruimtestaat[[#This Row],[Frequentie weekend]]&gt;0,VALUE(LEFT(Z115,1))*S115,0)</f>
        <v>0</v>
      </c>
      <c r="AB115" s="33">
        <f>IF($AA115&gt;0,VLOOKUP($K115,Ruimtegroepen[],3,FALSE)*VLOOKUP($M115,Vloersoorten[],3,FALSE)*VLOOKUP($Z115,Frequenties[],3,FALSE)*VLOOKUP(#REF!,Locaties[],3,FALSE),0)</f>
        <v>0</v>
      </c>
      <c r="AC115" s="33"/>
      <c r="AD115" s="33"/>
      <c r="AE115" s="33">
        <f>Ruimtestaat[[#This Row],[uren / jaar weekend]]*Tariefsopbouw!$D$40</f>
        <v>0</v>
      </c>
      <c r="AF115" s="79">
        <f>Ruimtestaat[[#This Row],[Prest. (m2 /jaar) weekend]]+Ruimtestaat[[#This Row],[Prest. (m2 /jaar) werkdagen]]</f>
        <v>6400</v>
      </c>
      <c r="AG115" s="79">
        <f>Ruimtestaat[[#This Row],[uren / jaar weekend]]+Ruimtestaat[[#This Row],[uren / jaar werkdagen]]</f>
        <v>0</v>
      </c>
      <c r="AH115" s="80">
        <f>Ruimtestaat[[#This Row],[kosten / jaar weekend]]+Ruimtestaat[[#This Row],[kosten / jaar werkdagen]]</f>
        <v>0</v>
      </c>
      <c r="HM115" s="78"/>
    </row>
    <row r="116" spans="1:221" ht="15" customHeight="1">
      <c r="A116" s="119">
        <v>1</v>
      </c>
      <c r="B116" s="21" t="str">
        <f>VLOOKUP(Ruimtestaat[[#This Row],[Code]],Locaties[#All],2,FALSE)</f>
        <v>IJburg College</v>
      </c>
      <c r="C116" s="21" t="str">
        <f>VLOOKUP(Ruimtestaat[[#This Row],[Code]],Locaties[#All],4,FALSE)</f>
        <v>Pampuslaan 1</v>
      </c>
      <c r="D116" s="21" t="str">
        <f>VLOOKUP(Ruimtestaat[[#This Row],[Code]],Locaties[#All],5,FALSE)</f>
        <v>1087 HP</v>
      </c>
      <c r="E116" s="180" t="str">
        <f>VLOOKUP(Ruimtestaat[[#This Row],[Code]],Locaties[#All],6,FALSE)</f>
        <v>Amsterdam</v>
      </c>
      <c r="F116" s="180"/>
      <c r="G116" s="180" t="s">
        <v>645</v>
      </c>
      <c r="H116" s="180" t="s">
        <v>562</v>
      </c>
      <c r="I116" s="180" t="s">
        <v>598</v>
      </c>
      <c r="J116" s="224" t="s">
        <v>631</v>
      </c>
      <c r="K116" s="180">
        <v>16</v>
      </c>
      <c r="L116" s="224" t="str">
        <f>VLOOKUP(Ruimtestaat[[#This Row],[Ruimte code]],Ruimtegroepen[#All],2,FALSE)</f>
        <v>Lokaal</v>
      </c>
      <c r="M116" s="195" t="s">
        <v>111</v>
      </c>
      <c r="N116" s="180" t="s">
        <v>557</v>
      </c>
      <c r="O116" s="181">
        <v>63</v>
      </c>
      <c r="P116" s="193"/>
      <c r="Q116" s="223" t="str">
        <f>VLOOKUP(Ruimtestaat[[#This Row],[Ruimte code]],Ruimtegroepen[#All],4,FALSE)</f>
        <v>L  (Lesruimte)</v>
      </c>
      <c r="R116" s="194"/>
      <c r="S116" s="195">
        <v>40</v>
      </c>
      <c r="T116" s="195" t="s">
        <v>2</v>
      </c>
      <c r="U116" s="195">
        <f>IF(S116&gt;0,IF(RIGHT(Ruimtestaat[[#This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6" s="195">
        <f>IF(U116&gt;0,VLOOKUP($K116,Ruimtegroepen[],3,FALSE)*VLOOKUP($M116,Vloersoorten[],3,FALSE)*VLOOKUP($T116,Frequenties[],3,FALSE)*VLOOKUP($A116,Locaties[],3,FALSE),0)</f>
        <v>0</v>
      </c>
      <c r="W116" s="195">
        <f>Ruimtestaat[[#This Row],[Uitvoeringen werkdagen]]*Ruimtestaat[[#This Row],[Oppervlak (netto)]]</f>
        <v>12600</v>
      </c>
      <c r="X116" s="233">
        <f>IF(V116&gt;0,Ruimtestaat[[#This Row],[Prest. (m2 /jaar) werkdagen]]/Ruimtestaat[[#This Row],[Norm (m2/uur) werkdagen]],0)</f>
        <v>0</v>
      </c>
      <c r="Y116" s="234">
        <f>Ruimtestaat[[#This Row],[uren / jaar werkdagen]]*Tariefsopbouw!$D$38</f>
        <v>0</v>
      </c>
      <c r="Z116" s="33"/>
      <c r="AA116" s="33">
        <f>IF(Ruimtestaat[[#This Row],[Frequentie weekend]]&gt;0,VALUE(LEFT(Z116,1))*S116,0)</f>
        <v>0</v>
      </c>
      <c r="AB116" s="33">
        <f>IF($AA116&gt;0,VLOOKUP($K116,Ruimtegroepen[],3,FALSE)*VLOOKUP($M116,Vloersoorten[],3,FALSE)*VLOOKUP($Z116,Frequenties[],3,FALSE)*VLOOKUP(#REF!,Locaties[],3,FALSE),0)</f>
        <v>0</v>
      </c>
      <c r="AC116" s="33"/>
      <c r="AD116" s="33"/>
      <c r="AE116" s="33">
        <f>Ruimtestaat[[#This Row],[uren / jaar weekend]]*Tariefsopbouw!$D$40</f>
        <v>0</v>
      </c>
      <c r="AF116" s="79">
        <f>Ruimtestaat[[#This Row],[Prest. (m2 /jaar) weekend]]+Ruimtestaat[[#This Row],[Prest. (m2 /jaar) werkdagen]]</f>
        <v>12600</v>
      </c>
      <c r="AG116" s="79">
        <f>Ruimtestaat[[#This Row],[uren / jaar weekend]]+Ruimtestaat[[#This Row],[uren / jaar werkdagen]]</f>
        <v>0</v>
      </c>
      <c r="AH116" s="80">
        <f>Ruimtestaat[[#This Row],[kosten / jaar weekend]]+Ruimtestaat[[#This Row],[kosten / jaar werkdagen]]</f>
        <v>0</v>
      </c>
      <c r="HM116" s="78"/>
    </row>
    <row r="117" spans="1:221" ht="15" customHeight="1">
      <c r="A117" s="119">
        <v>1</v>
      </c>
      <c r="B117" s="21" t="str">
        <f>VLOOKUP(Ruimtestaat[[#This Row],[Code]],Locaties[#All],2,FALSE)</f>
        <v>IJburg College</v>
      </c>
      <c r="C117" s="21" t="str">
        <f>VLOOKUP(Ruimtestaat[[#This Row],[Code]],Locaties[#All],4,FALSE)</f>
        <v>Pampuslaan 1</v>
      </c>
      <c r="D117" s="21" t="str">
        <f>VLOOKUP(Ruimtestaat[[#This Row],[Code]],Locaties[#All],5,FALSE)</f>
        <v>1087 HP</v>
      </c>
      <c r="E117" s="180" t="str">
        <f>VLOOKUP(Ruimtestaat[[#This Row],[Code]],Locaties[#All],6,FALSE)</f>
        <v>Amsterdam</v>
      </c>
      <c r="F117" s="180"/>
      <c r="G117" s="180" t="s">
        <v>645</v>
      </c>
      <c r="H117" s="180" t="s">
        <v>563</v>
      </c>
      <c r="I117" s="180" t="s">
        <v>599</v>
      </c>
      <c r="J117" s="224" t="s">
        <v>631</v>
      </c>
      <c r="K117" s="180">
        <v>16</v>
      </c>
      <c r="L117" s="224" t="str">
        <f>VLOOKUP(Ruimtestaat[[#This Row],[Ruimte code]],Ruimtegroepen[#All],2,FALSE)</f>
        <v>Lokaal</v>
      </c>
      <c r="M117" s="195" t="s">
        <v>111</v>
      </c>
      <c r="N117" s="180" t="s">
        <v>557</v>
      </c>
      <c r="O117" s="181">
        <v>65</v>
      </c>
      <c r="P117" s="193"/>
      <c r="Q117" s="223" t="str">
        <f>VLOOKUP(Ruimtestaat[[#This Row],[Ruimte code]],Ruimtegroepen[#All],4,FALSE)</f>
        <v>L  (Lesruimte)</v>
      </c>
      <c r="R117" s="194"/>
      <c r="S117" s="195">
        <v>40</v>
      </c>
      <c r="T117" s="195" t="s">
        <v>2</v>
      </c>
      <c r="U117" s="195">
        <f>IF(S117&gt;0,IF(RIGHT(Ruimtestaat[[#This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7" s="195">
        <f>IF(U117&gt;0,VLOOKUP($K117,Ruimtegroepen[],3,FALSE)*VLOOKUP($M117,Vloersoorten[],3,FALSE)*VLOOKUP($T117,Frequenties[],3,FALSE)*VLOOKUP($A117,Locaties[],3,FALSE),0)</f>
        <v>0</v>
      </c>
      <c r="W117" s="195">
        <f>Ruimtestaat[[#This Row],[Uitvoeringen werkdagen]]*Ruimtestaat[[#This Row],[Oppervlak (netto)]]</f>
        <v>13000</v>
      </c>
      <c r="X117" s="233">
        <f>IF(V117&gt;0,Ruimtestaat[[#This Row],[Prest. (m2 /jaar) werkdagen]]/Ruimtestaat[[#This Row],[Norm (m2/uur) werkdagen]],0)</f>
        <v>0</v>
      </c>
      <c r="Y117" s="234">
        <f>Ruimtestaat[[#This Row],[uren / jaar werkdagen]]*Tariefsopbouw!$D$38</f>
        <v>0</v>
      </c>
      <c r="Z117" s="33"/>
      <c r="AA117" s="33">
        <f>IF(Ruimtestaat[[#This Row],[Frequentie weekend]]&gt;0,VALUE(LEFT(Z117,1))*S117,0)</f>
        <v>0</v>
      </c>
      <c r="AB117" s="33">
        <f>IF($AA117&gt;0,VLOOKUP($K117,Ruimtegroepen[],3,FALSE)*VLOOKUP($M117,Vloersoorten[],3,FALSE)*VLOOKUP($Z117,Frequenties[],3,FALSE)*VLOOKUP(#REF!,Locaties[],3,FALSE),0)</f>
        <v>0</v>
      </c>
      <c r="AC117" s="33"/>
      <c r="AD117" s="33"/>
      <c r="AE117" s="33">
        <f>Ruimtestaat[[#This Row],[uren / jaar weekend]]*Tariefsopbouw!$D$40</f>
        <v>0</v>
      </c>
      <c r="AF117" s="79">
        <f>Ruimtestaat[[#This Row],[Prest. (m2 /jaar) weekend]]+Ruimtestaat[[#This Row],[Prest. (m2 /jaar) werkdagen]]</f>
        <v>13000</v>
      </c>
      <c r="AG117" s="79">
        <f>Ruimtestaat[[#This Row],[uren / jaar weekend]]+Ruimtestaat[[#This Row],[uren / jaar werkdagen]]</f>
        <v>0</v>
      </c>
      <c r="AH117" s="80">
        <f>Ruimtestaat[[#This Row],[kosten / jaar weekend]]+Ruimtestaat[[#This Row],[kosten / jaar werkdagen]]</f>
        <v>0</v>
      </c>
      <c r="HM117" s="78"/>
    </row>
    <row r="118" spans="1:221" ht="15" customHeight="1">
      <c r="A118" s="119">
        <v>1</v>
      </c>
      <c r="B118" s="21" t="str">
        <f>VLOOKUP(Ruimtestaat[[#This Row],[Code]],Locaties[#All],2,FALSE)</f>
        <v>IJburg College</v>
      </c>
      <c r="C118" s="21" t="str">
        <f>VLOOKUP(Ruimtestaat[[#This Row],[Code]],Locaties[#All],4,FALSE)</f>
        <v>Pampuslaan 1</v>
      </c>
      <c r="D118" s="21" t="str">
        <f>VLOOKUP(Ruimtestaat[[#This Row],[Code]],Locaties[#All],5,FALSE)</f>
        <v>1087 HP</v>
      </c>
      <c r="E118" s="180" t="str">
        <f>VLOOKUP(Ruimtestaat[[#This Row],[Code]],Locaties[#All],6,FALSE)</f>
        <v>Amsterdam</v>
      </c>
      <c r="F118" s="180"/>
      <c r="G118" s="180" t="s">
        <v>645</v>
      </c>
      <c r="H118" s="180" t="s">
        <v>564</v>
      </c>
      <c r="I118" s="180" t="s">
        <v>600</v>
      </c>
      <c r="J118" s="224" t="s">
        <v>631</v>
      </c>
      <c r="K118" s="180">
        <v>16</v>
      </c>
      <c r="L118" s="224" t="str">
        <f>VLOOKUP(Ruimtestaat[[#This Row],[Ruimte code]],Ruimtegroepen[#All],2,FALSE)</f>
        <v>Lokaal</v>
      </c>
      <c r="M118" s="195" t="s">
        <v>111</v>
      </c>
      <c r="N118" s="180" t="s">
        <v>557</v>
      </c>
      <c r="O118" s="181">
        <v>98</v>
      </c>
      <c r="P118" s="193"/>
      <c r="Q118" s="223" t="str">
        <f>VLOOKUP(Ruimtestaat[[#This Row],[Ruimte code]],Ruimtegroepen[#All],4,FALSE)</f>
        <v>L  (Lesruimte)</v>
      </c>
      <c r="R118" s="194"/>
      <c r="S118" s="195">
        <v>40</v>
      </c>
      <c r="T118" s="195" t="s">
        <v>2</v>
      </c>
      <c r="U118" s="195">
        <f>IF(S118&gt;0,IF(RIGHT(Ruimtestaat[[#This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8" s="195">
        <f>IF(U118&gt;0,VLOOKUP($K118,Ruimtegroepen[],3,FALSE)*VLOOKUP($M118,Vloersoorten[],3,FALSE)*VLOOKUP($T118,Frequenties[],3,FALSE)*VLOOKUP($A118,Locaties[],3,FALSE),0)</f>
        <v>0</v>
      </c>
      <c r="W118" s="195">
        <f>Ruimtestaat[[#This Row],[Uitvoeringen werkdagen]]*Ruimtestaat[[#This Row],[Oppervlak (netto)]]</f>
        <v>19600</v>
      </c>
      <c r="X118" s="233">
        <f>IF(V118&gt;0,Ruimtestaat[[#This Row],[Prest. (m2 /jaar) werkdagen]]/Ruimtestaat[[#This Row],[Norm (m2/uur) werkdagen]],0)</f>
        <v>0</v>
      </c>
      <c r="Y118" s="234">
        <f>Ruimtestaat[[#This Row],[uren / jaar werkdagen]]*Tariefsopbouw!$D$38</f>
        <v>0</v>
      </c>
      <c r="Z118" s="33"/>
      <c r="AA118" s="33">
        <f>IF(Ruimtestaat[[#This Row],[Frequentie weekend]]&gt;0,VALUE(LEFT(Z118,1))*S118,0)</f>
        <v>0</v>
      </c>
      <c r="AB118" s="33">
        <f>IF($AA118&gt;0,VLOOKUP($K118,Ruimtegroepen[],3,FALSE)*VLOOKUP($M118,Vloersoorten[],3,FALSE)*VLOOKUP($Z118,Frequenties[],3,FALSE)*VLOOKUP(#REF!,Locaties[],3,FALSE),0)</f>
        <v>0</v>
      </c>
      <c r="AC118" s="33"/>
      <c r="AD118" s="33"/>
      <c r="AE118" s="33">
        <f>Ruimtestaat[[#This Row],[uren / jaar weekend]]*Tariefsopbouw!$D$40</f>
        <v>0</v>
      </c>
      <c r="AF118" s="79">
        <f>Ruimtestaat[[#This Row],[Prest. (m2 /jaar) weekend]]+Ruimtestaat[[#This Row],[Prest. (m2 /jaar) werkdagen]]</f>
        <v>19600</v>
      </c>
      <c r="AG118" s="79">
        <f>Ruimtestaat[[#This Row],[uren / jaar weekend]]+Ruimtestaat[[#This Row],[uren / jaar werkdagen]]</f>
        <v>0</v>
      </c>
      <c r="AH118" s="80">
        <f>Ruimtestaat[[#This Row],[kosten / jaar weekend]]+Ruimtestaat[[#This Row],[kosten / jaar werkdagen]]</f>
        <v>0</v>
      </c>
      <c r="HM118" s="78"/>
    </row>
    <row r="119" spans="1:221" ht="15" customHeight="1">
      <c r="A119" s="119">
        <v>1</v>
      </c>
      <c r="B119" s="21" t="str">
        <f>VLOOKUP(Ruimtestaat[[#This Row],[Code]],Locaties[#All],2,FALSE)</f>
        <v>IJburg College</v>
      </c>
      <c r="C119" s="21" t="str">
        <f>VLOOKUP(Ruimtestaat[[#This Row],[Code]],Locaties[#All],4,FALSE)</f>
        <v>Pampuslaan 1</v>
      </c>
      <c r="D119" s="21" t="str">
        <f>VLOOKUP(Ruimtestaat[[#This Row],[Code]],Locaties[#All],5,FALSE)</f>
        <v>1087 HP</v>
      </c>
      <c r="E119" s="180" t="str">
        <f>VLOOKUP(Ruimtestaat[[#This Row],[Code]],Locaties[#All],6,FALSE)</f>
        <v>Amsterdam</v>
      </c>
      <c r="F119" s="180"/>
      <c r="G119" s="180" t="s">
        <v>645</v>
      </c>
      <c r="H119" s="180" t="s">
        <v>565</v>
      </c>
      <c r="I119" s="180" t="s">
        <v>601</v>
      </c>
      <c r="J119" s="224" t="s">
        <v>622</v>
      </c>
      <c r="K119" s="180">
        <v>2</v>
      </c>
      <c r="L119" s="224" t="str">
        <f>VLOOKUP(Ruimtestaat[[#This Row],[Ruimte code]],Ruimtegroepen[#All],2,FALSE)</f>
        <v>Kantoren</v>
      </c>
      <c r="M119" s="195" t="s">
        <v>111</v>
      </c>
      <c r="N119" s="180" t="s">
        <v>557</v>
      </c>
      <c r="O119" s="181">
        <v>32.5</v>
      </c>
      <c r="P119" s="193"/>
      <c r="Q119" s="223" t="str">
        <f>VLOOKUP(Ruimtestaat[[#This Row],[Ruimte code]],Ruimtegroepen[#All],4,FALSE)</f>
        <v>B  (Bureauruimte)</v>
      </c>
      <c r="R119" s="194"/>
      <c r="S119" s="195">
        <v>42</v>
      </c>
      <c r="T119" s="195" t="s">
        <v>17</v>
      </c>
      <c r="U119" s="195">
        <f>IF(S119&gt;0,IF(RIGHT(Ruimtestaat[[#This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84</v>
      </c>
      <c r="V119" s="195">
        <f>IF(U119&gt;0,VLOOKUP($K119,Ruimtegroepen[],3,FALSE)*VLOOKUP($M119,Vloersoorten[],3,FALSE)*VLOOKUP($T119,Frequenties[],3,FALSE)*VLOOKUP($A119,Locaties[],3,FALSE),0)</f>
        <v>0</v>
      </c>
      <c r="W119" s="195">
        <f>Ruimtestaat[[#This Row],[Uitvoeringen werkdagen]]*Ruimtestaat[[#This Row],[Oppervlak (netto)]]</f>
        <v>2730</v>
      </c>
      <c r="X119" s="233">
        <f>IF(V119&gt;0,Ruimtestaat[[#This Row],[Prest. (m2 /jaar) werkdagen]]/Ruimtestaat[[#This Row],[Norm (m2/uur) werkdagen]],0)</f>
        <v>0</v>
      </c>
      <c r="Y119" s="234">
        <f>Ruimtestaat[[#This Row],[uren / jaar werkdagen]]*Tariefsopbouw!$D$38</f>
        <v>0</v>
      </c>
      <c r="Z119" s="33"/>
      <c r="AA119" s="33">
        <f>IF(Ruimtestaat[[#This Row],[Frequentie weekend]]&gt;0,VALUE(LEFT(Z119,1))*S119,0)</f>
        <v>0</v>
      </c>
      <c r="AB119" s="33">
        <f>IF($AA119&gt;0,VLOOKUP($K119,Ruimtegroepen[],3,FALSE)*VLOOKUP($M119,Vloersoorten[],3,FALSE)*VLOOKUP($Z119,Frequenties[],3,FALSE)*VLOOKUP(#REF!,Locaties[],3,FALSE),0)</f>
        <v>0</v>
      </c>
      <c r="AC119" s="33"/>
      <c r="AD119" s="33"/>
      <c r="AE119" s="33">
        <f>Ruimtestaat[[#This Row],[uren / jaar weekend]]*Tariefsopbouw!$D$40</f>
        <v>0</v>
      </c>
      <c r="AF119" s="79">
        <f>Ruimtestaat[[#This Row],[Prest. (m2 /jaar) weekend]]+Ruimtestaat[[#This Row],[Prest. (m2 /jaar) werkdagen]]</f>
        <v>2730</v>
      </c>
      <c r="AG119" s="79">
        <f>Ruimtestaat[[#This Row],[uren / jaar weekend]]+Ruimtestaat[[#This Row],[uren / jaar werkdagen]]</f>
        <v>0</v>
      </c>
      <c r="AH119" s="80">
        <f>Ruimtestaat[[#This Row],[kosten / jaar weekend]]+Ruimtestaat[[#This Row],[kosten / jaar werkdagen]]</f>
        <v>0</v>
      </c>
      <c r="HM119" s="78"/>
    </row>
    <row r="120" spans="1:221" ht="15" customHeight="1">
      <c r="A120" s="119">
        <v>1</v>
      </c>
      <c r="B120" s="21" t="str">
        <f>VLOOKUP(Ruimtestaat[[#This Row],[Code]],Locaties[#All],2,FALSE)</f>
        <v>IJburg College</v>
      </c>
      <c r="C120" s="21" t="str">
        <f>VLOOKUP(Ruimtestaat[[#This Row],[Code]],Locaties[#All],4,FALSE)</f>
        <v>Pampuslaan 1</v>
      </c>
      <c r="D120" s="21" t="str">
        <f>VLOOKUP(Ruimtestaat[[#This Row],[Code]],Locaties[#All],5,FALSE)</f>
        <v>1087 HP</v>
      </c>
      <c r="E120" s="180" t="str">
        <f>VLOOKUP(Ruimtestaat[[#This Row],[Code]],Locaties[#All],6,FALSE)</f>
        <v>Amsterdam</v>
      </c>
      <c r="F120" s="180"/>
      <c r="G120" s="180" t="s">
        <v>645</v>
      </c>
      <c r="H120" s="180" t="s">
        <v>566</v>
      </c>
      <c r="I120" s="180" t="s">
        <v>602</v>
      </c>
      <c r="J120" s="224" t="s">
        <v>631</v>
      </c>
      <c r="K120" s="180">
        <v>16</v>
      </c>
      <c r="L120" s="224" t="str">
        <f>VLOOKUP(Ruimtestaat[[#This Row],[Ruimte code]],Ruimtegroepen[#All],2,FALSE)</f>
        <v>Lokaal</v>
      </c>
      <c r="M120" s="195" t="s">
        <v>111</v>
      </c>
      <c r="N120" s="180" t="s">
        <v>557</v>
      </c>
      <c r="O120" s="181">
        <v>64.900000000000006</v>
      </c>
      <c r="P120" s="193"/>
      <c r="Q120" s="223" t="str">
        <f>VLOOKUP(Ruimtestaat[[#This Row],[Ruimte code]],Ruimtegroepen[#All],4,FALSE)</f>
        <v>L  (Lesruimte)</v>
      </c>
      <c r="R120" s="194"/>
      <c r="S120" s="195">
        <v>40</v>
      </c>
      <c r="T120" s="195" t="s">
        <v>2</v>
      </c>
      <c r="U120" s="195">
        <f>IF(S120&gt;0,IF(RIGHT(Ruimtestaat[[#This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0" s="195">
        <f>IF(U120&gt;0,VLOOKUP($K120,Ruimtegroepen[],3,FALSE)*VLOOKUP($M120,Vloersoorten[],3,FALSE)*VLOOKUP($T120,Frequenties[],3,FALSE)*VLOOKUP($A120,Locaties[],3,FALSE),0)</f>
        <v>0</v>
      </c>
      <c r="W120" s="195">
        <f>Ruimtestaat[[#This Row],[Uitvoeringen werkdagen]]*Ruimtestaat[[#This Row],[Oppervlak (netto)]]</f>
        <v>12980.000000000002</v>
      </c>
      <c r="X120" s="233">
        <f>IF(V120&gt;0,Ruimtestaat[[#This Row],[Prest. (m2 /jaar) werkdagen]]/Ruimtestaat[[#This Row],[Norm (m2/uur) werkdagen]],0)</f>
        <v>0</v>
      </c>
      <c r="Y120" s="234">
        <f>Ruimtestaat[[#This Row],[uren / jaar werkdagen]]*Tariefsopbouw!$D$38</f>
        <v>0</v>
      </c>
      <c r="Z120" s="33"/>
      <c r="AA120" s="33">
        <f>IF(Ruimtestaat[[#This Row],[Frequentie weekend]]&gt;0,VALUE(LEFT(Z120,1))*S120,0)</f>
        <v>0</v>
      </c>
      <c r="AB120" s="33">
        <f>IF($AA120&gt;0,VLOOKUP($K120,Ruimtegroepen[],3,FALSE)*VLOOKUP($M120,Vloersoorten[],3,FALSE)*VLOOKUP($Z120,Frequenties[],3,FALSE)*VLOOKUP(#REF!,Locaties[],3,FALSE),0)</f>
        <v>0</v>
      </c>
      <c r="AC120" s="33"/>
      <c r="AD120" s="33"/>
      <c r="AE120" s="33">
        <f>Ruimtestaat[[#This Row],[uren / jaar weekend]]*Tariefsopbouw!$D$40</f>
        <v>0</v>
      </c>
      <c r="AF120" s="79">
        <f>Ruimtestaat[[#This Row],[Prest. (m2 /jaar) weekend]]+Ruimtestaat[[#This Row],[Prest. (m2 /jaar) werkdagen]]</f>
        <v>12980.000000000002</v>
      </c>
      <c r="AG120" s="79">
        <f>Ruimtestaat[[#This Row],[uren / jaar weekend]]+Ruimtestaat[[#This Row],[uren / jaar werkdagen]]</f>
        <v>0</v>
      </c>
      <c r="AH120" s="80">
        <f>Ruimtestaat[[#This Row],[kosten / jaar weekend]]+Ruimtestaat[[#This Row],[kosten / jaar werkdagen]]</f>
        <v>0</v>
      </c>
      <c r="HM120" s="78"/>
    </row>
    <row r="121" spans="1:221" ht="15" customHeight="1">
      <c r="A121" s="119">
        <v>1</v>
      </c>
      <c r="B121" s="21" t="str">
        <f>VLOOKUP(Ruimtestaat[[#This Row],[Code]],Locaties[#All],2,FALSE)</f>
        <v>IJburg College</v>
      </c>
      <c r="C121" s="21" t="str">
        <f>VLOOKUP(Ruimtestaat[[#This Row],[Code]],Locaties[#All],4,FALSE)</f>
        <v>Pampuslaan 1</v>
      </c>
      <c r="D121" s="21" t="str">
        <f>VLOOKUP(Ruimtestaat[[#This Row],[Code]],Locaties[#All],5,FALSE)</f>
        <v>1087 HP</v>
      </c>
      <c r="E121" s="180" t="str">
        <f>VLOOKUP(Ruimtestaat[[#This Row],[Code]],Locaties[#All],6,FALSE)</f>
        <v>Amsterdam</v>
      </c>
      <c r="F121" s="180"/>
      <c r="G121" s="180" t="s">
        <v>645</v>
      </c>
      <c r="H121" s="180" t="s">
        <v>610</v>
      </c>
      <c r="I121" s="180" t="s">
        <v>603</v>
      </c>
      <c r="J121" s="224" t="s">
        <v>641</v>
      </c>
      <c r="K121" s="180">
        <v>6</v>
      </c>
      <c r="L121" s="224" t="str">
        <f>VLOOKUP(Ruimtestaat[[#This Row],[Ruimte code]],Ruimtegroepen[#All],2,FALSE)</f>
        <v>Gangen/hallen</v>
      </c>
      <c r="M121" s="195" t="s">
        <v>111</v>
      </c>
      <c r="N121" s="180" t="s">
        <v>557</v>
      </c>
      <c r="O121" s="181">
        <v>17</v>
      </c>
      <c r="P121" s="193"/>
      <c r="Q121" s="223" t="str">
        <f>VLOOKUP(Ruimtestaat[[#This Row],[Ruimte code]],Ruimtegroepen[#All],4,FALSE)</f>
        <v>V  (Verkeersruimte)</v>
      </c>
      <c r="R121" s="194"/>
      <c r="S121" s="195">
        <v>40</v>
      </c>
      <c r="T121" s="195" t="s">
        <v>2</v>
      </c>
      <c r="U121" s="195">
        <f>IF(S121&gt;0,IF(RIGHT(Ruimtestaat[[#This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1" s="195">
        <f>IF(U121&gt;0,VLOOKUP($K121,Ruimtegroepen[],3,FALSE)*VLOOKUP($M121,Vloersoorten[],3,FALSE)*VLOOKUP($T121,Frequenties[],3,FALSE)*VLOOKUP($A121,Locaties[],3,FALSE),0)</f>
        <v>0</v>
      </c>
      <c r="W121" s="195">
        <f>Ruimtestaat[[#This Row],[Uitvoeringen werkdagen]]*Ruimtestaat[[#This Row],[Oppervlak (netto)]]</f>
        <v>3400</v>
      </c>
      <c r="X121" s="233">
        <f>IF(V121&gt;0,Ruimtestaat[[#This Row],[Prest. (m2 /jaar) werkdagen]]/Ruimtestaat[[#This Row],[Norm (m2/uur) werkdagen]],0)</f>
        <v>0</v>
      </c>
      <c r="Y121" s="234">
        <f>Ruimtestaat[[#This Row],[uren / jaar werkdagen]]*Tariefsopbouw!$D$38</f>
        <v>0</v>
      </c>
      <c r="Z121" s="33"/>
      <c r="AA121" s="33">
        <f>IF(Ruimtestaat[[#This Row],[Frequentie weekend]]&gt;0,VALUE(LEFT(Z121,1))*S121,0)</f>
        <v>0</v>
      </c>
      <c r="AB121" s="33">
        <f>IF($AA121&gt;0,VLOOKUP($K121,Ruimtegroepen[],3,FALSE)*VLOOKUP($M121,Vloersoorten[],3,FALSE)*VLOOKUP($Z121,Frequenties[],3,FALSE)*VLOOKUP(#REF!,Locaties[],3,FALSE),0)</f>
        <v>0</v>
      </c>
      <c r="AC121" s="33"/>
      <c r="AD121" s="33"/>
      <c r="AE121" s="33">
        <f>Ruimtestaat[[#This Row],[uren / jaar weekend]]*Tariefsopbouw!$D$40</f>
        <v>0</v>
      </c>
      <c r="AF121" s="79">
        <f>Ruimtestaat[[#This Row],[Prest. (m2 /jaar) weekend]]+Ruimtestaat[[#This Row],[Prest. (m2 /jaar) werkdagen]]</f>
        <v>3400</v>
      </c>
      <c r="AG121" s="79">
        <f>Ruimtestaat[[#This Row],[uren / jaar weekend]]+Ruimtestaat[[#This Row],[uren / jaar werkdagen]]</f>
        <v>0</v>
      </c>
      <c r="AH121" s="80">
        <f>Ruimtestaat[[#This Row],[kosten / jaar weekend]]+Ruimtestaat[[#This Row],[kosten / jaar werkdagen]]</f>
        <v>0</v>
      </c>
      <c r="HM121" s="78"/>
    </row>
    <row r="122" spans="1:221" ht="15" customHeight="1">
      <c r="A122" s="119">
        <v>1</v>
      </c>
      <c r="B122" s="21" t="str">
        <f>VLOOKUP(Ruimtestaat[[#This Row],[Code]],Locaties[#All],2,FALSE)</f>
        <v>IJburg College</v>
      </c>
      <c r="C122" s="21" t="str">
        <f>VLOOKUP(Ruimtestaat[[#This Row],[Code]],Locaties[#All],4,FALSE)</f>
        <v>Pampuslaan 1</v>
      </c>
      <c r="D122" s="21" t="str">
        <f>VLOOKUP(Ruimtestaat[[#This Row],[Code]],Locaties[#All],5,FALSE)</f>
        <v>1087 HP</v>
      </c>
      <c r="E122" s="180" t="str">
        <f>VLOOKUP(Ruimtestaat[[#This Row],[Code]],Locaties[#All],6,FALSE)</f>
        <v>Amsterdam</v>
      </c>
      <c r="F122" s="180"/>
      <c r="G122" s="180" t="s">
        <v>645</v>
      </c>
      <c r="H122" s="180" t="s">
        <v>611</v>
      </c>
      <c r="I122" s="180" t="s">
        <v>604</v>
      </c>
      <c r="J122" s="224" t="s">
        <v>543</v>
      </c>
      <c r="K122" s="180">
        <v>5</v>
      </c>
      <c r="L122" s="224" t="str">
        <f>VLOOKUP(Ruimtestaat[[#This Row],[Ruimte code]],Ruimtegroepen[#All],2,FALSE)</f>
        <v>Sanitair</v>
      </c>
      <c r="M122" s="195" t="s">
        <v>111</v>
      </c>
      <c r="N122" s="180" t="s">
        <v>558</v>
      </c>
      <c r="O122" s="181">
        <v>13.8</v>
      </c>
      <c r="P122" s="193"/>
      <c r="Q122" s="223" t="str">
        <f>VLOOKUP(Ruimtestaat[[#This Row],[Ruimte code]],Ruimtegroepen[#All],4,FALSE)</f>
        <v>S  (Sanitair)</v>
      </c>
      <c r="R122" s="194"/>
      <c r="S122" s="195">
        <v>42</v>
      </c>
      <c r="T122" s="195" t="s">
        <v>2</v>
      </c>
      <c r="U122" s="195">
        <f>IF(S122&gt;0,IF(RIGHT(Ruimtestaat[[#This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210</v>
      </c>
      <c r="V122" s="195">
        <f>IF(U122&gt;0,VLOOKUP($K122,Ruimtegroepen[],3,FALSE)*VLOOKUP($M122,Vloersoorten[],3,FALSE)*VLOOKUP($T122,Frequenties[],3,FALSE)*VLOOKUP($A122,Locaties[],3,FALSE),0)</f>
        <v>0</v>
      </c>
      <c r="W122" s="195">
        <f>Ruimtestaat[[#This Row],[Uitvoeringen werkdagen]]*Ruimtestaat[[#This Row],[Oppervlak (netto)]]</f>
        <v>2898</v>
      </c>
      <c r="X122" s="233">
        <f>IF(V122&gt;0,Ruimtestaat[[#This Row],[Prest. (m2 /jaar) werkdagen]]/Ruimtestaat[[#This Row],[Norm (m2/uur) werkdagen]],0)</f>
        <v>0</v>
      </c>
      <c r="Y122" s="234">
        <f>Ruimtestaat[[#This Row],[uren / jaar werkdagen]]*Tariefsopbouw!$D$38</f>
        <v>0</v>
      </c>
      <c r="Z122" s="33"/>
      <c r="AA122" s="33">
        <f>IF(Ruimtestaat[[#This Row],[Frequentie weekend]]&gt;0,VALUE(LEFT(Z122,1))*S122,0)</f>
        <v>0</v>
      </c>
      <c r="AB122" s="33">
        <f>IF($AA122&gt;0,VLOOKUP($K122,Ruimtegroepen[],3,FALSE)*VLOOKUP($M122,Vloersoorten[],3,FALSE)*VLOOKUP($Z122,Frequenties[],3,FALSE)*VLOOKUP(#REF!,Locaties[],3,FALSE),0)</f>
        <v>0</v>
      </c>
      <c r="AC122" s="33"/>
      <c r="AD122" s="33"/>
      <c r="AE122" s="33">
        <f>Ruimtestaat[[#This Row],[uren / jaar weekend]]*Tariefsopbouw!$D$40</f>
        <v>0</v>
      </c>
      <c r="AF122" s="79">
        <f>Ruimtestaat[[#This Row],[Prest. (m2 /jaar) weekend]]+Ruimtestaat[[#This Row],[Prest. (m2 /jaar) werkdagen]]</f>
        <v>2898</v>
      </c>
      <c r="AG122" s="79">
        <f>Ruimtestaat[[#This Row],[uren / jaar weekend]]+Ruimtestaat[[#This Row],[uren / jaar werkdagen]]</f>
        <v>0</v>
      </c>
      <c r="AH122" s="80">
        <f>Ruimtestaat[[#This Row],[kosten / jaar weekend]]+Ruimtestaat[[#This Row],[kosten / jaar werkdagen]]</f>
        <v>0</v>
      </c>
      <c r="HM122" s="78"/>
    </row>
    <row r="123" spans="1:221" ht="15" customHeight="1">
      <c r="A123" s="119">
        <v>1</v>
      </c>
      <c r="B123" s="21" t="str">
        <f>VLOOKUP(Ruimtestaat[[#This Row],[Code]],Locaties[#All],2,FALSE)</f>
        <v>IJburg College</v>
      </c>
      <c r="C123" s="21" t="str">
        <f>VLOOKUP(Ruimtestaat[[#This Row],[Code]],Locaties[#All],4,FALSE)</f>
        <v>Pampuslaan 1</v>
      </c>
      <c r="D123" s="223" t="str">
        <f>VLOOKUP(Ruimtestaat[[#This Row],[Code]],Locaties[#All],5,FALSE)</f>
        <v>1087 HP</v>
      </c>
      <c r="E123" s="223" t="str">
        <f>VLOOKUP(Ruimtestaat[[#This Row],[Code]],Locaties[#All],6,FALSE)</f>
        <v>Amsterdam</v>
      </c>
      <c r="F123" s="180"/>
      <c r="G123" s="180" t="s">
        <v>645</v>
      </c>
      <c r="H123" s="180" t="s">
        <v>612</v>
      </c>
      <c r="I123" s="180" t="s">
        <v>605</v>
      </c>
      <c r="J123" s="224" t="s">
        <v>543</v>
      </c>
      <c r="K123" s="180">
        <v>5</v>
      </c>
      <c r="L123" s="236" t="str">
        <f>VLOOKUP(Ruimtestaat[[#This Row],[Ruimte code]],Ruimtegroepen[#All],2,FALSE)</f>
        <v>Sanitair</v>
      </c>
      <c r="M123" s="195" t="s">
        <v>111</v>
      </c>
      <c r="N123" s="180" t="s">
        <v>558</v>
      </c>
      <c r="O123" s="181">
        <v>13.8</v>
      </c>
      <c r="P123" s="193"/>
      <c r="Q123" s="223" t="str">
        <f>VLOOKUP(Ruimtestaat[[#This Row],[Ruimte code]],Ruimtegroepen[#All],4,FALSE)</f>
        <v>S  (Sanitair)</v>
      </c>
      <c r="R123" s="194"/>
      <c r="S123" s="195">
        <v>40</v>
      </c>
      <c r="T123" s="195" t="s">
        <v>2</v>
      </c>
      <c r="U123" s="195">
        <f>IF(S123&gt;0,IF(RIGHT(Ruimtestaat[[#This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3" s="195">
        <f>IF(U123&gt;0,VLOOKUP($K123,Ruimtegroepen[],3,FALSE)*VLOOKUP($M123,Vloersoorten[],3,FALSE)*VLOOKUP($T123,Frequenties[],3,FALSE)*VLOOKUP($A123,Locaties[],3,FALSE),0)</f>
        <v>0</v>
      </c>
      <c r="W123" s="195">
        <f>Ruimtestaat[[#This Row],[Uitvoeringen werkdagen]]*Ruimtestaat[[#This Row],[Oppervlak (netto)]]</f>
        <v>2760</v>
      </c>
      <c r="X123" s="233">
        <f>IF(V123&gt;0,Ruimtestaat[[#This Row],[Prest. (m2 /jaar) werkdagen]]/Ruimtestaat[[#This Row],[Norm (m2/uur) werkdagen]],0)</f>
        <v>0</v>
      </c>
      <c r="Y123" s="234">
        <f>Ruimtestaat[[#This Row],[uren / jaar werkdagen]]*Tariefsopbouw!$D$38</f>
        <v>0</v>
      </c>
      <c r="Z123" s="33"/>
      <c r="AA123" s="33">
        <f>IF(Ruimtestaat[[#This Row],[Frequentie weekend]]&gt;0,VALUE(LEFT(Z123,1))*S123,0)</f>
        <v>0</v>
      </c>
      <c r="AB123" s="33">
        <f>IF($AA123&gt;0,VLOOKUP($K123,Ruimtegroepen[],3,FALSE)*VLOOKUP($M123,Vloersoorten[],3,FALSE)*VLOOKUP($Z123,Frequenties[],3,FALSE)*VLOOKUP(#REF!,Locaties[],3,FALSE),0)</f>
        <v>0</v>
      </c>
      <c r="AC123" s="33"/>
      <c r="AD123" s="33"/>
      <c r="AE123" s="33">
        <f>Ruimtestaat[[#This Row],[uren / jaar weekend]]*Tariefsopbouw!$D$40</f>
        <v>0</v>
      </c>
      <c r="AF123" s="79">
        <f>Ruimtestaat[[#This Row],[Prest. (m2 /jaar) weekend]]+Ruimtestaat[[#This Row],[Prest. (m2 /jaar) werkdagen]]</f>
        <v>2760</v>
      </c>
      <c r="AG123" s="79">
        <f>Ruimtestaat[[#This Row],[uren / jaar weekend]]+Ruimtestaat[[#This Row],[uren / jaar werkdagen]]</f>
        <v>0</v>
      </c>
      <c r="AH123" s="80">
        <f>Ruimtestaat[[#This Row],[kosten / jaar weekend]]+Ruimtestaat[[#This Row],[kosten / jaar werkdagen]]</f>
        <v>0</v>
      </c>
      <c r="HM123" s="78"/>
    </row>
    <row r="124" spans="1:221" ht="15" customHeight="1">
      <c r="A124" s="119">
        <v>1</v>
      </c>
      <c r="B124" s="21" t="str">
        <f>VLOOKUP(Ruimtestaat[[#This Row],[Code]],Locaties[#All],2,FALSE)</f>
        <v>IJburg College</v>
      </c>
      <c r="C124" s="21" t="str">
        <f>VLOOKUP(Ruimtestaat[[#This Row],[Code]],Locaties[#All],4,FALSE)</f>
        <v>Pampuslaan 1</v>
      </c>
      <c r="D124" s="223" t="str">
        <f>VLOOKUP(Ruimtestaat[[#This Row],[Code]],Locaties[#All],5,FALSE)</f>
        <v>1087 HP</v>
      </c>
      <c r="E124" s="223" t="str">
        <f>VLOOKUP(Ruimtestaat[[#This Row],[Code]],Locaties[#All],6,FALSE)</f>
        <v>Amsterdam</v>
      </c>
      <c r="F124" s="180"/>
      <c r="G124" s="180" t="s">
        <v>645</v>
      </c>
      <c r="H124" s="180" t="s">
        <v>613</v>
      </c>
      <c r="I124" s="180" t="s">
        <v>606</v>
      </c>
      <c r="J124" s="224" t="s">
        <v>542</v>
      </c>
      <c r="K124" s="180">
        <v>5</v>
      </c>
      <c r="L124" s="236" t="str">
        <f>VLOOKUP(Ruimtestaat[[#This Row],[Ruimte code]],Ruimtegroepen[#All],2,FALSE)</f>
        <v>Sanitair</v>
      </c>
      <c r="M124" s="195" t="s">
        <v>111</v>
      </c>
      <c r="N124" s="180" t="s">
        <v>558</v>
      </c>
      <c r="O124" s="181">
        <v>13.8</v>
      </c>
      <c r="P124" s="193"/>
      <c r="Q124" s="223" t="str">
        <f>VLOOKUP(Ruimtestaat[[#This Row],[Ruimte code]],Ruimtegroepen[#All],4,FALSE)</f>
        <v>S  (Sanitair)</v>
      </c>
      <c r="R124" s="194"/>
      <c r="S124" s="195">
        <v>40</v>
      </c>
      <c r="T124" s="195" t="s">
        <v>2</v>
      </c>
      <c r="U124" s="195">
        <f>IF(S124&gt;0,IF(RIGHT(Ruimtestaat[[#This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4" s="195">
        <f>IF(U124&gt;0,VLOOKUP($K124,Ruimtegroepen[],3,FALSE)*VLOOKUP($M124,Vloersoorten[],3,FALSE)*VLOOKUP($T124,Frequenties[],3,FALSE)*VLOOKUP($A124,Locaties[],3,FALSE),0)</f>
        <v>0</v>
      </c>
      <c r="W124" s="195">
        <f>Ruimtestaat[[#This Row],[Uitvoeringen werkdagen]]*Ruimtestaat[[#This Row],[Oppervlak (netto)]]</f>
        <v>2760</v>
      </c>
      <c r="X124" s="233">
        <f>IF(V124&gt;0,Ruimtestaat[[#This Row],[Prest. (m2 /jaar) werkdagen]]/Ruimtestaat[[#This Row],[Norm (m2/uur) werkdagen]],0)</f>
        <v>0</v>
      </c>
      <c r="Y124" s="234">
        <f>Ruimtestaat[[#This Row],[uren / jaar werkdagen]]*Tariefsopbouw!$D$38</f>
        <v>0</v>
      </c>
      <c r="Z124" s="33"/>
      <c r="AA124" s="33">
        <f>IF(Ruimtestaat[[#This Row],[Frequentie weekend]]&gt;0,VALUE(LEFT(Z124,1))*S124,0)</f>
        <v>0</v>
      </c>
      <c r="AB124" s="33">
        <f>IF($AA124&gt;0,VLOOKUP($K124,Ruimtegroepen[],3,FALSE)*VLOOKUP($M124,Vloersoorten[],3,FALSE)*VLOOKUP($Z124,Frequenties[],3,FALSE)*VLOOKUP(#REF!,Locaties[],3,FALSE),0)</f>
        <v>0</v>
      </c>
      <c r="AC124" s="33"/>
      <c r="AD124" s="33"/>
      <c r="AE124" s="33">
        <f>Ruimtestaat[[#This Row],[uren / jaar weekend]]*Tariefsopbouw!$D$40</f>
        <v>0</v>
      </c>
      <c r="AF124" s="79">
        <f>Ruimtestaat[[#This Row],[Prest. (m2 /jaar) weekend]]+Ruimtestaat[[#This Row],[Prest. (m2 /jaar) werkdagen]]</f>
        <v>2760</v>
      </c>
      <c r="AG124" s="79">
        <f>Ruimtestaat[[#This Row],[uren / jaar weekend]]+Ruimtestaat[[#This Row],[uren / jaar werkdagen]]</f>
        <v>0</v>
      </c>
      <c r="AH124" s="80">
        <f>Ruimtestaat[[#This Row],[kosten / jaar weekend]]+Ruimtestaat[[#This Row],[kosten / jaar werkdagen]]</f>
        <v>0</v>
      </c>
      <c r="HM124" s="78"/>
    </row>
    <row r="125" spans="1:221" ht="15" customHeight="1">
      <c r="A125" s="119">
        <v>1</v>
      </c>
      <c r="B125" s="21" t="str">
        <f>VLOOKUP(Ruimtestaat[[#This Row],[Code]],Locaties[#All],2,FALSE)</f>
        <v>IJburg College</v>
      </c>
      <c r="C125" s="21" t="str">
        <f>VLOOKUP(Ruimtestaat[[#This Row],[Code]],Locaties[#All],4,FALSE)</f>
        <v>Pampuslaan 1</v>
      </c>
      <c r="D125" s="223" t="str">
        <f>VLOOKUP(Ruimtestaat[[#This Row],[Code]],Locaties[#All],5,FALSE)</f>
        <v>1087 HP</v>
      </c>
      <c r="E125" s="223" t="str">
        <f>VLOOKUP(Ruimtestaat[[#This Row],[Code]],Locaties[#All],6,FALSE)</f>
        <v>Amsterdam</v>
      </c>
      <c r="F125" s="180"/>
      <c r="G125" s="180" t="s">
        <v>645</v>
      </c>
      <c r="H125" s="180" t="s">
        <v>614</v>
      </c>
      <c r="I125" s="180" t="s">
        <v>607</v>
      </c>
      <c r="J125" s="224" t="s">
        <v>542</v>
      </c>
      <c r="K125" s="180">
        <v>5</v>
      </c>
      <c r="L125" s="236" t="str">
        <f>VLOOKUP(Ruimtestaat[[#This Row],[Ruimte code]],Ruimtegroepen[#All],2,FALSE)</f>
        <v>Sanitair</v>
      </c>
      <c r="M125" s="195" t="s">
        <v>111</v>
      </c>
      <c r="N125" s="180" t="s">
        <v>558</v>
      </c>
      <c r="O125" s="181">
        <v>13.8</v>
      </c>
      <c r="P125" s="193"/>
      <c r="Q125" s="223" t="str">
        <f>VLOOKUP(Ruimtestaat[[#This Row],[Ruimte code]],Ruimtegroepen[#All],4,FALSE)</f>
        <v>S  (Sanitair)</v>
      </c>
      <c r="R125" s="194"/>
      <c r="S125" s="195">
        <v>40</v>
      </c>
      <c r="T125" s="195" t="s">
        <v>2</v>
      </c>
      <c r="U125" s="195">
        <f>IF(S125&gt;0,IF(RIGHT(Ruimtestaat[[#This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5" s="195">
        <f>IF(U125&gt;0,VLOOKUP($K125,Ruimtegroepen[],3,FALSE)*VLOOKUP($M125,Vloersoorten[],3,FALSE)*VLOOKUP($T125,Frequenties[],3,FALSE)*VLOOKUP($A125,Locaties[],3,FALSE),0)</f>
        <v>0</v>
      </c>
      <c r="W125" s="195">
        <f>Ruimtestaat[[#This Row],[Uitvoeringen werkdagen]]*Ruimtestaat[[#This Row],[Oppervlak (netto)]]</f>
        <v>2760</v>
      </c>
      <c r="X125" s="233">
        <f>IF(V125&gt;0,Ruimtestaat[[#This Row],[Prest. (m2 /jaar) werkdagen]]/Ruimtestaat[[#This Row],[Norm (m2/uur) werkdagen]],0)</f>
        <v>0</v>
      </c>
      <c r="Y125" s="234">
        <f>Ruimtestaat[[#This Row],[uren / jaar werkdagen]]*Tariefsopbouw!$D$38</f>
        <v>0</v>
      </c>
      <c r="Z125" s="33"/>
      <c r="AA125" s="33">
        <f>IF(Ruimtestaat[[#This Row],[Frequentie weekend]]&gt;0,VALUE(LEFT(Z125,1))*S125,0)</f>
        <v>0</v>
      </c>
      <c r="AB125" s="33">
        <f>IF($AA125&gt;0,VLOOKUP($K125,Ruimtegroepen[],3,FALSE)*VLOOKUP($M125,Vloersoorten[],3,FALSE)*VLOOKUP($Z125,Frequenties[],3,FALSE)*VLOOKUP(#REF!,Locaties[],3,FALSE),0)</f>
        <v>0</v>
      </c>
      <c r="AC125" s="33"/>
      <c r="AD125" s="33"/>
      <c r="AE125" s="33">
        <f>Ruimtestaat[[#This Row],[uren / jaar weekend]]*Tariefsopbouw!$D$40</f>
        <v>0</v>
      </c>
      <c r="AF125" s="79">
        <f>Ruimtestaat[[#This Row],[Prest. (m2 /jaar) weekend]]+Ruimtestaat[[#This Row],[Prest. (m2 /jaar) werkdagen]]</f>
        <v>2760</v>
      </c>
      <c r="AG125" s="79">
        <f>Ruimtestaat[[#This Row],[uren / jaar weekend]]+Ruimtestaat[[#This Row],[uren / jaar werkdagen]]</f>
        <v>0</v>
      </c>
      <c r="AH125" s="80">
        <f>Ruimtestaat[[#This Row],[kosten / jaar weekend]]+Ruimtestaat[[#This Row],[kosten / jaar werkdagen]]</f>
        <v>0</v>
      </c>
      <c r="HM125" s="78"/>
    </row>
    <row r="126" spans="1:221" ht="15" customHeight="1">
      <c r="A126" s="119">
        <v>1</v>
      </c>
      <c r="B126" s="21" t="str">
        <f>VLOOKUP(Ruimtestaat[[#This Row],[Code]],Locaties[#All],2,FALSE)</f>
        <v>IJburg College</v>
      </c>
      <c r="C126" s="21" t="str">
        <f>VLOOKUP(Ruimtestaat[[#This Row],[Code]],Locaties[#All],4,FALSE)</f>
        <v>Pampuslaan 1</v>
      </c>
      <c r="D126" s="223" t="str">
        <f>VLOOKUP(Ruimtestaat[[#This Row],[Code]],Locaties[#All],5,FALSE)</f>
        <v>1087 HP</v>
      </c>
      <c r="E126" s="223" t="str">
        <f>VLOOKUP(Ruimtestaat[[#This Row],[Code]],Locaties[#All],6,FALSE)</f>
        <v>Amsterdam</v>
      </c>
      <c r="F126" s="180"/>
      <c r="G126" s="180" t="s">
        <v>645</v>
      </c>
      <c r="H126" s="180" t="s">
        <v>615</v>
      </c>
      <c r="I126" s="180" t="s">
        <v>608</v>
      </c>
      <c r="J126" s="224" t="s">
        <v>642</v>
      </c>
      <c r="K126" s="180">
        <v>9</v>
      </c>
      <c r="L126" s="236" t="str">
        <f>VLOOKUP(Ruimtestaat[[#This Row],[Ruimte code]],Ruimtegroepen[#All],2,FALSE)</f>
        <v>Garderobe</v>
      </c>
      <c r="M126" s="195" t="s">
        <v>111</v>
      </c>
      <c r="N126" s="180" t="s">
        <v>557</v>
      </c>
      <c r="O126" s="181">
        <v>426.65</v>
      </c>
      <c r="P126" s="193"/>
      <c r="Q126" s="223" t="str">
        <f>VLOOKUP(Ruimtestaat[[#This Row],[Ruimte code]],Ruimtegroepen[#All],4,FALSE)</f>
        <v>V  (Verkeersruimte)</v>
      </c>
      <c r="R126" s="194"/>
      <c r="S126" s="195">
        <v>40</v>
      </c>
      <c r="T126" s="195" t="s">
        <v>2</v>
      </c>
      <c r="U126" s="195">
        <f>IF(S126&gt;0,IF(RIGHT(Ruimtestaat[[#This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6" s="195">
        <f>IF(U126&gt;0,VLOOKUP($K126,Ruimtegroepen[],3,FALSE)*VLOOKUP($M126,Vloersoorten[],3,FALSE)*VLOOKUP($T126,Frequenties[],3,FALSE)*VLOOKUP($A126,Locaties[],3,FALSE),0)</f>
        <v>0</v>
      </c>
      <c r="W126" s="195">
        <f>Ruimtestaat[[#This Row],[Uitvoeringen werkdagen]]*Ruimtestaat[[#This Row],[Oppervlak (netto)]]</f>
        <v>85330</v>
      </c>
      <c r="X126" s="233">
        <f>IF(V126&gt;0,Ruimtestaat[[#This Row],[Prest. (m2 /jaar) werkdagen]]/Ruimtestaat[[#This Row],[Norm (m2/uur) werkdagen]],0)</f>
        <v>0</v>
      </c>
      <c r="Y126" s="234">
        <f>Ruimtestaat[[#This Row],[uren / jaar werkdagen]]*Tariefsopbouw!$D$38</f>
        <v>0</v>
      </c>
      <c r="Z126" s="33"/>
      <c r="AA126" s="33">
        <f>IF(Ruimtestaat[[#This Row],[Frequentie weekend]]&gt;0,VALUE(LEFT(Z126,1))*S126,0)</f>
        <v>0</v>
      </c>
      <c r="AB126" s="33">
        <f>IF($AA126&gt;0,VLOOKUP($K126,Ruimtegroepen[],3,FALSE)*VLOOKUP($M126,Vloersoorten[],3,FALSE)*VLOOKUP($Z126,Frequenties[],3,FALSE)*VLOOKUP(#REF!,Locaties[],3,FALSE),0)</f>
        <v>0</v>
      </c>
      <c r="AC126" s="33"/>
      <c r="AD126" s="33"/>
      <c r="AE126" s="33">
        <f>Ruimtestaat[[#This Row],[uren / jaar weekend]]*Tariefsopbouw!$D$40</f>
        <v>0</v>
      </c>
      <c r="AF126" s="79">
        <f>Ruimtestaat[[#This Row],[Prest. (m2 /jaar) weekend]]+Ruimtestaat[[#This Row],[Prest. (m2 /jaar) werkdagen]]</f>
        <v>85330</v>
      </c>
      <c r="AG126" s="79">
        <f>Ruimtestaat[[#This Row],[uren / jaar weekend]]+Ruimtestaat[[#This Row],[uren / jaar werkdagen]]</f>
        <v>0</v>
      </c>
      <c r="AH126" s="80">
        <f>Ruimtestaat[[#This Row],[kosten / jaar weekend]]+Ruimtestaat[[#This Row],[kosten / jaar werkdagen]]</f>
        <v>0</v>
      </c>
      <c r="HM126" s="78"/>
    </row>
    <row r="127" spans="1:221" ht="15" customHeight="1">
      <c r="A127" s="119">
        <v>1</v>
      </c>
      <c r="B127" s="21" t="str">
        <f>VLOOKUP(Ruimtestaat[[#This Row],[Code]],Locaties[#All],2,FALSE)</f>
        <v>IJburg College</v>
      </c>
      <c r="C127" s="21" t="str">
        <f>VLOOKUP(Ruimtestaat[[#This Row],[Code]],Locaties[#All],4,FALSE)</f>
        <v>Pampuslaan 1</v>
      </c>
      <c r="D127" s="223" t="str">
        <f>VLOOKUP(Ruimtestaat[[#This Row],[Code]],Locaties[#All],5,FALSE)</f>
        <v>1087 HP</v>
      </c>
      <c r="E127" s="223" t="str">
        <f>VLOOKUP(Ruimtestaat[[#This Row],[Code]],Locaties[#All],6,FALSE)</f>
        <v>Amsterdam</v>
      </c>
      <c r="F127" s="180"/>
      <c r="G127" s="180" t="s">
        <v>645</v>
      </c>
      <c r="H127" s="180" t="s">
        <v>616</v>
      </c>
      <c r="I127" s="180" t="s">
        <v>609</v>
      </c>
      <c r="J127" s="224" t="s">
        <v>638</v>
      </c>
      <c r="K127" s="180">
        <v>2</v>
      </c>
      <c r="L127" s="236" t="str">
        <f>VLOOKUP(Ruimtestaat[[#This Row],[Ruimte code]],Ruimtegroepen[#All],2,FALSE)</f>
        <v>Kantoren</v>
      </c>
      <c r="M127" s="195" t="s">
        <v>111</v>
      </c>
      <c r="N127" s="180" t="s">
        <v>557</v>
      </c>
      <c r="O127" s="181">
        <v>12</v>
      </c>
      <c r="P127" s="193"/>
      <c r="Q127" s="223" t="str">
        <f>VLOOKUP(Ruimtestaat[[#This Row],[Ruimte code]],Ruimtegroepen[#All],4,FALSE)</f>
        <v>B  (Bureauruimte)</v>
      </c>
      <c r="R127" s="194"/>
      <c r="S127" s="195">
        <v>40</v>
      </c>
      <c r="T127" s="195" t="s">
        <v>17</v>
      </c>
      <c r="U127" s="195">
        <f>IF(S127&gt;0,IF(RIGHT(Ruimtestaat[[#This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27" s="195">
        <f>IF(U127&gt;0,VLOOKUP($K127,Ruimtegroepen[],3,FALSE)*VLOOKUP($M127,Vloersoorten[],3,FALSE)*VLOOKUP($T127,Frequenties[],3,FALSE)*VLOOKUP($A127,Locaties[],3,FALSE),0)</f>
        <v>0</v>
      </c>
      <c r="W127" s="195">
        <f>Ruimtestaat[[#This Row],[Uitvoeringen werkdagen]]*Ruimtestaat[[#This Row],[Oppervlak (netto)]]</f>
        <v>960</v>
      </c>
      <c r="X127" s="233">
        <f>IF(V127&gt;0,Ruimtestaat[[#This Row],[Prest. (m2 /jaar) werkdagen]]/Ruimtestaat[[#This Row],[Norm (m2/uur) werkdagen]],0)</f>
        <v>0</v>
      </c>
      <c r="Y127" s="234">
        <f>Ruimtestaat[[#This Row],[uren / jaar werkdagen]]*Tariefsopbouw!$D$38</f>
        <v>0</v>
      </c>
      <c r="Z127" s="33"/>
      <c r="AA127" s="33">
        <f>IF(Ruimtestaat[[#This Row],[Frequentie weekend]]&gt;0,VALUE(LEFT(Z127,1))*S127,0)</f>
        <v>0</v>
      </c>
      <c r="AB127" s="33">
        <f>IF($AA127&gt;0,VLOOKUP($K127,Ruimtegroepen[],3,FALSE)*VLOOKUP($M127,Vloersoorten[],3,FALSE)*VLOOKUP($Z127,Frequenties[],3,FALSE)*VLOOKUP(#REF!,Locaties[],3,FALSE),0)</f>
        <v>0</v>
      </c>
      <c r="AC127" s="33"/>
      <c r="AD127" s="33"/>
      <c r="AE127" s="33">
        <f>Ruimtestaat[[#This Row],[uren / jaar weekend]]*Tariefsopbouw!$D$40</f>
        <v>0</v>
      </c>
      <c r="AF127" s="79">
        <f>Ruimtestaat[[#This Row],[Prest. (m2 /jaar) weekend]]+Ruimtestaat[[#This Row],[Prest. (m2 /jaar) werkdagen]]</f>
        <v>960</v>
      </c>
      <c r="AG127" s="79">
        <f>Ruimtestaat[[#This Row],[uren / jaar weekend]]+Ruimtestaat[[#This Row],[uren / jaar werkdagen]]</f>
        <v>0</v>
      </c>
      <c r="AH127" s="80">
        <f>Ruimtestaat[[#This Row],[kosten / jaar weekend]]+Ruimtestaat[[#This Row],[kosten / jaar werkdagen]]</f>
        <v>0</v>
      </c>
      <c r="HM127" s="78"/>
    </row>
    <row r="128" spans="1:221" ht="15" customHeight="1">
      <c r="A128" s="119">
        <v>1</v>
      </c>
      <c r="B128" s="21" t="str">
        <f>VLOOKUP(Ruimtestaat[[#This Row],[Code]],Locaties[#All],2,FALSE)</f>
        <v>IJburg College</v>
      </c>
      <c r="C128" s="21" t="str">
        <f>VLOOKUP(Ruimtestaat[[#This Row],[Code]],Locaties[#All],4,FALSE)</f>
        <v>Pampuslaan 1</v>
      </c>
      <c r="D128" s="223" t="str">
        <f>VLOOKUP(Ruimtestaat[[#This Row],[Code]],Locaties[#All],5,FALSE)</f>
        <v>1087 HP</v>
      </c>
      <c r="E128" s="223" t="str">
        <f>VLOOKUP(Ruimtestaat[[#This Row],[Code]],Locaties[#All],6,FALSE)</f>
        <v>Amsterdam</v>
      </c>
      <c r="F128" s="180"/>
      <c r="G128" s="180" t="s">
        <v>645</v>
      </c>
      <c r="H128" s="180" t="s">
        <v>567</v>
      </c>
      <c r="I128" s="180" t="s">
        <v>610</v>
      </c>
      <c r="J128" s="224" t="s">
        <v>631</v>
      </c>
      <c r="K128" s="180">
        <v>16</v>
      </c>
      <c r="L128" s="236" t="str">
        <f>VLOOKUP(Ruimtestaat[[#This Row],[Ruimte code]],Ruimtegroepen[#All],2,FALSE)</f>
        <v>Lokaal</v>
      </c>
      <c r="M128" s="195" t="s">
        <v>111</v>
      </c>
      <c r="N128" s="180" t="s">
        <v>557</v>
      </c>
      <c r="O128" s="181">
        <v>67.2</v>
      </c>
      <c r="P128" s="193"/>
      <c r="Q128" s="223" t="str">
        <f>VLOOKUP(Ruimtestaat[[#This Row],[Ruimte code]],Ruimtegroepen[#All],4,FALSE)</f>
        <v>L  (Lesruimte)</v>
      </c>
      <c r="R128" s="194"/>
      <c r="S128" s="195">
        <v>40</v>
      </c>
      <c r="T128" s="195" t="s">
        <v>2</v>
      </c>
      <c r="U128" s="195">
        <f>IF(S128&gt;0,IF(RIGHT(Ruimtestaat[[#This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8" s="195">
        <f>IF(U128&gt;0,VLOOKUP($K128,Ruimtegroepen[],3,FALSE)*VLOOKUP($M128,Vloersoorten[],3,FALSE)*VLOOKUP($T128,Frequenties[],3,FALSE)*VLOOKUP($A128,Locaties[],3,FALSE),0)</f>
        <v>0</v>
      </c>
      <c r="W128" s="195">
        <f>Ruimtestaat[[#This Row],[Uitvoeringen werkdagen]]*Ruimtestaat[[#This Row],[Oppervlak (netto)]]</f>
        <v>13440</v>
      </c>
      <c r="X128" s="233">
        <f>IF(V128&gt;0,Ruimtestaat[[#This Row],[Prest. (m2 /jaar) werkdagen]]/Ruimtestaat[[#This Row],[Norm (m2/uur) werkdagen]],0)</f>
        <v>0</v>
      </c>
      <c r="Y128" s="234">
        <f>Ruimtestaat[[#This Row],[uren / jaar werkdagen]]*Tariefsopbouw!$D$38</f>
        <v>0</v>
      </c>
      <c r="Z128" s="33"/>
      <c r="AA128" s="33">
        <f>IF(Ruimtestaat[[#This Row],[Frequentie weekend]]&gt;0,VALUE(LEFT(Z128,1))*S128,0)</f>
        <v>0</v>
      </c>
      <c r="AB128" s="33">
        <f>IF($AA128&gt;0,VLOOKUP($K128,Ruimtegroepen[],3,FALSE)*VLOOKUP($M128,Vloersoorten[],3,FALSE)*VLOOKUP($Z128,Frequenties[],3,FALSE)*VLOOKUP(#REF!,Locaties[],3,FALSE),0)</f>
        <v>0</v>
      </c>
      <c r="AC128" s="33"/>
      <c r="AD128" s="33"/>
      <c r="AE128" s="33">
        <f>Ruimtestaat[[#This Row],[uren / jaar weekend]]*Tariefsopbouw!$D$40</f>
        <v>0</v>
      </c>
      <c r="AF128" s="79">
        <f>Ruimtestaat[[#This Row],[Prest. (m2 /jaar) weekend]]+Ruimtestaat[[#This Row],[Prest. (m2 /jaar) werkdagen]]</f>
        <v>13440</v>
      </c>
      <c r="AG128" s="79">
        <f>Ruimtestaat[[#This Row],[uren / jaar weekend]]+Ruimtestaat[[#This Row],[uren / jaar werkdagen]]</f>
        <v>0</v>
      </c>
      <c r="AH128" s="80">
        <f>Ruimtestaat[[#This Row],[kosten / jaar weekend]]+Ruimtestaat[[#This Row],[kosten / jaar werkdagen]]</f>
        <v>0</v>
      </c>
      <c r="HM128" s="78"/>
    </row>
    <row r="129" spans="1:221" ht="15" customHeight="1">
      <c r="A129" s="119">
        <v>1</v>
      </c>
      <c r="B129" s="21" t="str">
        <f>VLOOKUP(Ruimtestaat[[#This Row],[Code]],Locaties[#All],2,FALSE)</f>
        <v>IJburg College</v>
      </c>
      <c r="C129" s="21" t="str">
        <f>VLOOKUP(Ruimtestaat[[#This Row],[Code]],Locaties[#All],4,FALSE)</f>
        <v>Pampuslaan 1</v>
      </c>
      <c r="D129" s="223" t="str">
        <f>VLOOKUP(Ruimtestaat[[#This Row],[Code]],Locaties[#All],5,FALSE)</f>
        <v>1087 HP</v>
      </c>
      <c r="E129" s="223" t="str">
        <f>VLOOKUP(Ruimtestaat[[#This Row],[Code]],Locaties[#All],6,FALSE)</f>
        <v>Amsterdam</v>
      </c>
      <c r="F129" s="180"/>
      <c r="G129" s="180" t="s">
        <v>645</v>
      </c>
      <c r="H129" s="180" t="s">
        <v>568</v>
      </c>
      <c r="I129" s="180" t="s">
        <v>611</v>
      </c>
      <c r="J129" s="224" t="s">
        <v>640</v>
      </c>
      <c r="K129" s="180">
        <v>4</v>
      </c>
      <c r="L129" s="236" t="str">
        <f>VLOOKUP(Ruimtestaat[[#This Row],[Ruimte code]],Ruimtegroepen[#All],2,FALSE)</f>
        <v>Vergader/spreekkamers</v>
      </c>
      <c r="M129" s="195" t="s">
        <v>111</v>
      </c>
      <c r="N129" s="180" t="s">
        <v>557</v>
      </c>
      <c r="O129" s="181">
        <v>29.5</v>
      </c>
      <c r="P129" s="193"/>
      <c r="Q129" s="223" t="str">
        <f>VLOOKUP(Ruimtestaat[[#This Row],[Ruimte code]],Ruimtegroepen[#All],4,FALSE)</f>
        <v>B  (Bureauruimte)</v>
      </c>
      <c r="R129" s="194"/>
      <c r="S129" s="195">
        <v>40</v>
      </c>
      <c r="T129" s="195" t="s">
        <v>2</v>
      </c>
      <c r="U129" s="195">
        <f>IF(S129&gt;0,IF(RIGHT(Ruimtestaat[[#This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9" s="195">
        <f>IF(U129&gt;0,VLOOKUP($K129,Ruimtegroepen[],3,FALSE)*VLOOKUP($M129,Vloersoorten[],3,FALSE)*VLOOKUP($T129,Frequenties[],3,FALSE)*VLOOKUP($A129,Locaties[],3,FALSE),0)</f>
        <v>0</v>
      </c>
      <c r="W129" s="195">
        <f>Ruimtestaat[[#This Row],[Uitvoeringen werkdagen]]*Ruimtestaat[[#This Row],[Oppervlak (netto)]]</f>
        <v>5900</v>
      </c>
      <c r="X129" s="233">
        <f>IF(V129&gt;0,Ruimtestaat[[#This Row],[Prest. (m2 /jaar) werkdagen]]/Ruimtestaat[[#This Row],[Norm (m2/uur) werkdagen]],0)</f>
        <v>0</v>
      </c>
      <c r="Y129" s="234">
        <f>Ruimtestaat[[#This Row],[uren / jaar werkdagen]]*Tariefsopbouw!$D$38</f>
        <v>0</v>
      </c>
      <c r="Z129" s="33"/>
      <c r="AA129" s="33">
        <f>IF(Ruimtestaat[[#This Row],[Frequentie weekend]]&gt;0,VALUE(LEFT(Z129,1))*S129,0)</f>
        <v>0</v>
      </c>
      <c r="AB129" s="33">
        <f>IF($AA129&gt;0,VLOOKUP($K129,Ruimtegroepen[],3,FALSE)*VLOOKUP($M129,Vloersoorten[],3,FALSE)*VLOOKUP($Z129,Frequenties[],3,FALSE)*VLOOKUP(#REF!,Locaties[],3,FALSE),0)</f>
        <v>0</v>
      </c>
      <c r="AC129" s="33"/>
      <c r="AD129" s="33"/>
      <c r="AE129" s="33">
        <f>Ruimtestaat[[#This Row],[uren / jaar weekend]]*Tariefsopbouw!$D$40</f>
        <v>0</v>
      </c>
      <c r="AF129" s="79">
        <f>Ruimtestaat[[#This Row],[Prest. (m2 /jaar) weekend]]+Ruimtestaat[[#This Row],[Prest. (m2 /jaar) werkdagen]]</f>
        <v>5900</v>
      </c>
      <c r="AG129" s="79">
        <f>Ruimtestaat[[#This Row],[uren / jaar weekend]]+Ruimtestaat[[#This Row],[uren / jaar werkdagen]]</f>
        <v>0</v>
      </c>
      <c r="AH129" s="80">
        <f>Ruimtestaat[[#This Row],[kosten / jaar weekend]]+Ruimtestaat[[#This Row],[kosten / jaar werkdagen]]</f>
        <v>0</v>
      </c>
      <c r="HM129" s="78"/>
    </row>
    <row r="130" spans="1:221" ht="15" customHeight="1">
      <c r="A130" s="119">
        <v>1</v>
      </c>
      <c r="B130" s="21" t="str">
        <f>VLOOKUP(Ruimtestaat[[#This Row],[Code]],Locaties[#All],2,FALSE)</f>
        <v>IJburg College</v>
      </c>
      <c r="C130" s="21" t="str">
        <f>VLOOKUP(Ruimtestaat[[#This Row],[Code]],Locaties[#All],4,FALSE)</f>
        <v>Pampuslaan 1</v>
      </c>
      <c r="D130" s="223" t="str">
        <f>VLOOKUP(Ruimtestaat[[#This Row],[Code]],Locaties[#All],5,FALSE)</f>
        <v>1087 HP</v>
      </c>
      <c r="E130" s="223" t="str">
        <f>VLOOKUP(Ruimtestaat[[#This Row],[Code]],Locaties[#All],6,FALSE)</f>
        <v>Amsterdam</v>
      </c>
      <c r="F130" s="180"/>
      <c r="G130" s="180" t="s">
        <v>645</v>
      </c>
      <c r="H130" s="180" t="s">
        <v>569</v>
      </c>
      <c r="I130" s="180" t="s">
        <v>612</v>
      </c>
      <c r="J130" s="224" t="s">
        <v>631</v>
      </c>
      <c r="K130" s="180">
        <v>16</v>
      </c>
      <c r="L130" s="236" t="str">
        <f>VLOOKUP(Ruimtestaat[[#This Row],[Ruimte code]],Ruimtegroepen[#All],2,FALSE)</f>
        <v>Lokaal</v>
      </c>
      <c r="M130" s="195" t="s">
        <v>111</v>
      </c>
      <c r="N130" s="180" t="s">
        <v>557</v>
      </c>
      <c r="O130" s="181">
        <v>65</v>
      </c>
      <c r="P130" s="193"/>
      <c r="Q130" s="223" t="str">
        <f>VLOOKUP(Ruimtestaat[[#This Row],[Ruimte code]],Ruimtegroepen[#All],4,FALSE)</f>
        <v>L  (Lesruimte)</v>
      </c>
      <c r="R130" s="194"/>
      <c r="S130" s="195">
        <v>40</v>
      </c>
      <c r="T130" s="195" t="s">
        <v>2</v>
      </c>
      <c r="U130" s="195">
        <f>IF(S130&gt;0,IF(RIGHT(Ruimtestaat[[#This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0" s="195">
        <f>IF(U130&gt;0,VLOOKUP($K130,Ruimtegroepen[],3,FALSE)*VLOOKUP($M130,Vloersoorten[],3,FALSE)*VLOOKUP($T130,Frequenties[],3,FALSE)*VLOOKUP($A130,Locaties[],3,FALSE),0)</f>
        <v>0</v>
      </c>
      <c r="W130" s="195">
        <f>Ruimtestaat[[#This Row],[Uitvoeringen werkdagen]]*Ruimtestaat[[#This Row],[Oppervlak (netto)]]</f>
        <v>13000</v>
      </c>
      <c r="X130" s="233">
        <f>IF(V130&gt;0,Ruimtestaat[[#This Row],[Prest. (m2 /jaar) werkdagen]]/Ruimtestaat[[#This Row],[Norm (m2/uur) werkdagen]],0)</f>
        <v>0</v>
      </c>
      <c r="Y130" s="234">
        <f>Ruimtestaat[[#This Row],[uren / jaar werkdagen]]*Tariefsopbouw!$D$38</f>
        <v>0</v>
      </c>
      <c r="Z130" s="33"/>
      <c r="AA130" s="33">
        <f>IF(Ruimtestaat[[#This Row],[Frequentie weekend]]&gt;0,VALUE(LEFT(Z130,1))*S130,0)</f>
        <v>0</v>
      </c>
      <c r="AB130" s="33">
        <f>IF($AA130&gt;0,VLOOKUP($K130,Ruimtegroepen[],3,FALSE)*VLOOKUP($M130,Vloersoorten[],3,FALSE)*VLOOKUP($Z130,Frequenties[],3,FALSE)*VLOOKUP(#REF!,Locaties[],3,FALSE),0)</f>
        <v>0</v>
      </c>
      <c r="AC130" s="33"/>
      <c r="AD130" s="33"/>
      <c r="AE130" s="33">
        <f>Ruimtestaat[[#This Row],[uren / jaar weekend]]*Tariefsopbouw!$D$40</f>
        <v>0</v>
      </c>
      <c r="AF130" s="79">
        <f>Ruimtestaat[[#This Row],[Prest. (m2 /jaar) weekend]]+Ruimtestaat[[#This Row],[Prest. (m2 /jaar) werkdagen]]</f>
        <v>13000</v>
      </c>
      <c r="AG130" s="79">
        <f>Ruimtestaat[[#This Row],[uren / jaar weekend]]+Ruimtestaat[[#This Row],[uren / jaar werkdagen]]</f>
        <v>0</v>
      </c>
      <c r="AH130" s="80">
        <f>Ruimtestaat[[#This Row],[kosten / jaar weekend]]+Ruimtestaat[[#This Row],[kosten / jaar werkdagen]]</f>
        <v>0</v>
      </c>
      <c r="HM130" s="78"/>
    </row>
    <row r="131" spans="1:221" ht="15" customHeight="1">
      <c r="A131" s="119">
        <v>1</v>
      </c>
      <c r="B131" s="21" t="str">
        <f>VLOOKUP(Ruimtestaat[[#This Row],[Code]],Locaties[#All],2,FALSE)</f>
        <v>IJburg College</v>
      </c>
      <c r="C131" s="21" t="str">
        <f>VLOOKUP(Ruimtestaat[[#This Row],[Code]],Locaties[#All],4,FALSE)</f>
        <v>Pampuslaan 1</v>
      </c>
      <c r="D131" s="223" t="str">
        <f>VLOOKUP(Ruimtestaat[[#This Row],[Code]],Locaties[#All],5,FALSE)</f>
        <v>1087 HP</v>
      </c>
      <c r="E131" s="223" t="str">
        <f>VLOOKUP(Ruimtestaat[[#This Row],[Code]],Locaties[#All],6,FALSE)</f>
        <v>Amsterdam</v>
      </c>
      <c r="F131" s="180"/>
      <c r="G131" s="180" t="s">
        <v>645</v>
      </c>
      <c r="H131" s="180" t="s">
        <v>570</v>
      </c>
      <c r="I131" s="180" t="s">
        <v>613</v>
      </c>
      <c r="J131" s="224" t="s">
        <v>631</v>
      </c>
      <c r="K131" s="180">
        <v>16</v>
      </c>
      <c r="L131" s="236" t="str">
        <f>VLOOKUP(Ruimtestaat[[#This Row],[Ruimte code]],Ruimtegroepen[#All],2,FALSE)</f>
        <v>Lokaal</v>
      </c>
      <c r="M131" s="195" t="s">
        <v>111</v>
      </c>
      <c r="N131" s="180" t="s">
        <v>557</v>
      </c>
      <c r="O131" s="181">
        <v>65</v>
      </c>
      <c r="P131" s="193"/>
      <c r="Q131" s="223" t="str">
        <f>VLOOKUP(Ruimtestaat[[#This Row],[Ruimte code]],Ruimtegroepen[#All],4,FALSE)</f>
        <v>L  (Lesruimte)</v>
      </c>
      <c r="R131" s="194"/>
      <c r="S131" s="195">
        <v>40</v>
      </c>
      <c r="T131" s="195" t="s">
        <v>2</v>
      </c>
      <c r="U131" s="195">
        <f>IF(S131&gt;0,IF(RIGHT(Ruimtestaat[[#This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1" s="195">
        <f>IF(U131&gt;0,VLOOKUP($K131,Ruimtegroepen[],3,FALSE)*VLOOKUP($M131,Vloersoorten[],3,FALSE)*VLOOKUP($T131,Frequenties[],3,FALSE)*VLOOKUP($A131,Locaties[],3,FALSE),0)</f>
        <v>0</v>
      </c>
      <c r="W131" s="195">
        <f>Ruimtestaat[[#This Row],[Uitvoeringen werkdagen]]*Ruimtestaat[[#This Row],[Oppervlak (netto)]]</f>
        <v>13000</v>
      </c>
      <c r="X131" s="233">
        <f>IF(V131&gt;0,Ruimtestaat[[#This Row],[Prest. (m2 /jaar) werkdagen]]/Ruimtestaat[[#This Row],[Norm (m2/uur) werkdagen]],0)</f>
        <v>0</v>
      </c>
      <c r="Y131" s="234">
        <f>Ruimtestaat[[#This Row],[uren / jaar werkdagen]]*Tariefsopbouw!$D$38</f>
        <v>0</v>
      </c>
      <c r="Z131" s="33"/>
      <c r="AA131" s="33">
        <f>IF(Ruimtestaat[[#This Row],[Frequentie weekend]]&gt;0,VALUE(LEFT(Z131,1))*S131,0)</f>
        <v>0</v>
      </c>
      <c r="AB131" s="33">
        <f>IF($AA131&gt;0,VLOOKUP($K131,Ruimtegroepen[],3,FALSE)*VLOOKUP($M131,Vloersoorten[],3,FALSE)*VLOOKUP($Z131,Frequenties[],3,FALSE)*VLOOKUP(#REF!,Locaties[],3,FALSE),0)</f>
        <v>0</v>
      </c>
      <c r="AC131" s="33"/>
      <c r="AD131" s="33"/>
      <c r="AE131" s="33">
        <f>Ruimtestaat[[#This Row],[uren / jaar weekend]]*Tariefsopbouw!$D$40</f>
        <v>0</v>
      </c>
      <c r="AF131" s="79">
        <f>Ruimtestaat[[#This Row],[Prest. (m2 /jaar) weekend]]+Ruimtestaat[[#This Row],[Prest. (m2 /jaar) werkdagen]]</f>
        <v>13000</v>
      </c>
      <c r="AG131" s="79">
        <f>Ruimtestaat[[#This Row],[uren / jaar weekend]]+Ruimtestaat[[#This Row],[uren / jaar werkdagen]]</f>
        <v>0</v>
      </c>
      <c r="AH131" s="80">
        <f>Ruimtestaat[[#This Row],[kosten / jaar weekend]]+Ruimtestaat[[#This Row],[kosten / jaar werkdagen]]</f>
        <v>0</v>
      </c>
      <c r="HM131" s="78"/>
    </row>
    <row r="132" spans="1:221" ht="15" customHeight="1">
      <c r="A132" s="119">
        <v>1</v>
      </c>
      <c r="B132" s="21" t="str">
        <f>VLOOKUP(Ruimtestaat[[#This Row],[Code]],Locaties[#All],2,FALSE)</f>
        <v>IJburg College</v>
      </c>
      <c r="C132" s="21" t="str">
        <f>VLOOKUP(Ruimtestaat[[#This Row],[Code]],Locaties[#All],4,FALSE)</f>
        <v>Pampuslaan 1</v>
      </c>
      <c r="D132" s="223" t="str">
        <f>VLOOKUP(Ruimtestaat[[#This Row],[Code]],Locaties[#All],5,FALSE)</f>
        <v>1087 HP</v>
      </c>
      <c r="E132" s="223" t="str">
        <f>VLOOKUP(Ruimtestaat[[#This Row],[Code]],Locaties[#All],6,FALSE)</f>
        <v>Amsterdam</v>
      </c>
      <c r="F132" s="180"/>
      <c r="G132" s="180" t="s">
        <v>645</v>
      </c>
      <c r="H132" s="180">
        <v>1103</v>
      </c>
      <c r="I132" s="180" t="s">
        <v>614</v>
      </c>
      <c r="J132" s="224" t="s">
        <v>628</v>
      </c>
      <c r="K132" s="180">
        <v>10</v>
      </c>
      <c r="L132" s="236" t="str">
        <f>VLOOKUP(Ruimtestaat[[#This Row],[Ruimte code]],Ruimtegroepen[#All],2,FALSE)</f>
        <v>Trappenhuizen/lift</v>
      </c>
      <c r="M132" s="195" t="s">
        <v>111</v>
      </c>
      <c r="N132" s="180" t="s">
        <v>714</v>
      </c>
      <c r="O132" s="181">
        <v>32</v>
      </c>
      <c r="P132" s="193"/>
      <c r="Q132" s="223" t="str">
        <f>VLOOKUP(Ruimtestaat[[#This Row],[Ruimte code]],Ruimtegroepen[#All],4,FALSE)</f>
        <v>V  (Verkeersruimte)</v>
      </c>
      <c r="R132" s="194"/>
      <c r="S132" s="195">
        <v>40</v>
      </c>
      <c r="T132" s="195" t="s">
        <v>2</v>
      </c>
      <c r="U132" s="195">
        <f>IF(S132&gt;0,IF(RIGHT(Ruimtestaat[[#This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2" s="195">
        <f>IF(U132&gt;0,VLOOKUP($K132,Ruimtegroepen[],3,FALSE)*VLOOKUP($M132,Vloersoorten[],3,FALSE)*VLOOKUP($T132,Frequenties[],3,FALSE)*VLOOKUP($A132,Locaties[],3,FALSE),0)</f>
        <v>0</v>
      </c>
      <c r="W132" s="195">
        <f>Ruimtestaat[[#This Row],[Uitvoeringen werkdagen]]*Ruimtestaat[[#This Row],[Oppervlak (netto)]]</f>
        <v>6400</v>
      </c>
      <c r="X132" s="233">
        <f>IF(V132&gt;0,Ruimtestaat[[#This Row],[Prest. (m2 /jaar) werkdagen]]/Ruimtestaat[[#This Row],[Norm (m2/uur) werkdagen]],0)</f>
        <v>0</v>
      </c>
      <c r="Y132" s="234">
        <f>Ruimtestaat[[#This Row],[uren / jaar werkdagen]]*Tariefsopbouw!$D$38</f>
        <v>0</v>
      </c>
      <c r="Z132" s="33"/>
      <c r="AA132" s="33">
        <f>IF(Ruimtestaat[[#This Row],[Frequentie weekend]]&gt;0,VALUE(LEFT(Z132,1))*S132,0)</f>
        <v>0</v>
      </c>
      <c r="AB132" s="33">
        <f>IF($AA132&gt;0,VLOOKUP($K132,Ruimtegroepen[],3,FALSE)*VLOOKUP($M132,Vloersoorten[],3,FALSE)*VLOOKUP($Z132,Frequenties[],3,FALSE)*VLOOKUP(#REF!,Locaties[],3,FALSE),0)</f>
        <v>0</v>
      </c>
      <c r="AC132" s="33"/>
      <c r="AD132" s="33"/>
      <c r="AE132" s="33">
        <f>Ruimtestaat[[#This Row],[uren / jaar weekend]]*Tariefsopbouw!$D$40</f>
        <v>0</v>
      </c>
      <c r="AF132" s="79">
        <f>Ruimtestaat[[#This Row],[Prest. (m2 /jaar) weekend]]+Ruimtestaat[[#This Row],[Prest. (m2 /jaar) werkdagen]]</f>
        <v>6400</v>
      </c>
      <c r="AG132" s="79">
        <f>Ruimtestaat[[#This Row],[uren / jaar weekend]]+Ruimtestaat[[#This Row],[uren / jaar werkdagen]]</f>
        <v>0</v>
      </c>
      <c r="AH132" s="80">
        <f>Ruimtestaat[[#This Row],[kosten / jaar weekend]]+Ruimtestaat[[#This Row],[kosten / jaar werkdagen]]</f>
        <v>0</v>
      </c>
      <c r="HM132" s="78"/>
    </row>
    <row r="133" spans="1:221" ht="15" customHeight="1">
      <c r="A133" s="119">
        <v>1</v>
      </c>
      <c r="B133" s="21" t="str">
        <f>VLOOKUP(Ruimtestaat[[#This Row],[Code]],Locaties[#All],2,FALSE)</f>
        <v>IJburg College</v>
      </c>
      <c r="C133" s="21" t="str">
        <f>VLOOKUP(Ruimtestaat[[#This Row],[Code]],Locaties[#All],4,FALSE)</f>
        <v>Pampuslaan 1</v>
      </c>
      <c r="D133" s="223" t="str">
        <f>VLOOKUP(Ruimtestaat[[#This Row],[Code]],Locaties[#All],5,FALSE)</f>
        <v>1087 HP</v>
      </c>
      <c r="E133" s="223" t="str">
        <f>VLOOKUP(Ruimtestaat[[#This Row],[Code]],Locaties[#All],6,FALSE)</f>
        <v>Amsterdam</v>
      </c>
      <c r="F133" s="180"/>
      <c r="G133" s="180" t="s">
        <v>645</v>
      </c>
      <c r="H133" s="180" t="s">
        <v>571</v>
      </c>
      <c r="I133" s="180" t="s">
        <v>615</v>
      </c>
      <c r="J133" s="224" t="s">
        <v>643</v>
      </c>
      <c r="K133" s="180">
        <v>14</v>
      </c>
      <c r="L133" s="236" t="str">
        <f>VLOOKUP(Ruimtestaat[[#This Row],[Ruimte code]],Ruimtegroepen[#All],2,FALSE)</f>
        <v>Personeelsruimte</v>
      </c>
      <c r="M133" s="195" t="s">
        <v>111</v>
      </c>
      <c r="N133" s="180" t="s">
        <v>557</v>
      </c>
      <c r="O133" s="181">
        <v>52</v>
      </c>
      <c r="P133" s="193"/>
      <c r="Q133" s="223" t="str">
        <f>VLOOKUP(Ruimtestaat[[#This Row],[Ruimte code]],Ruimtegroepen[#All],4,FALSE)</f>
        <v>V  (Verkeersruimte)</v>
      </c>
      <c r="R133" s="194"/>
      <c r="S133" s="195">
        <v>40</v>
      </c>
      <c r="T133" s="195" t="s">
        <v>2</v>
      </c>
      <c r="U133" s="195">
        <f>IF(S133&gt;0,IF(RIGHT(Ruimtestaat[[#This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3" s="195">
        <f>IF(U133&gt;0,VLOOKUP($K133,Ruimtegroepen[],3,FALSE)*VLOOKUP($M133,Vloersoorten[],3,FALSE)*VLOOKUP($T133,Frequenties[],3,FALSE)*VLOOKUP($A133,Locaties[],3,FALSE),0)</f>
        <v>0</v>
      </c>
      <c r="W133" s="195">
        <f>Ruimtestaat[[#This Row],[Uitvoeringen werkdagen]]*Ruimtestaat[[#This Row],[Oppervlak (netto)]]</f>
        <v>10400</v>
      </c>
      <c r="X133" s="233">
        <f>IF(V133&gt;0,Ruimtestaat[[#This Row],[Prest. (m2 /jaar) werkdagen]]/Ruimtestaat[[#This Row],[Norm (m2/uur) werkdagen]],0)</f>
        <v>0</v>
      </c>
      <c r="Y133" s="234">
        <f>Ruimtestaat[[#This Row],[uren / jaar werkdagen]]*Tariefsopbouw!$D$38</f>
        <v>0</v>
      </c>
      <c r="Z133" s="33"/>
      <c r="AA133" s="33">
        <f>IF(Ruimtestaat[[#This Row],[Frequentie weekend]]&gt;0,VALUE(LEFT(Z133,1))*S133,0)</f>
        <v>0</v>
      </c>
      <c r="AB133" s="33">
        <f>IF($AA133&gt;0,VLOOKUP($K133,Ruimtegroepen[],3,FALSE)*VLOOKUP($M133,Vloersoorten[],3,FALSE)*VLOOKUP($Z133,Frequenties[],3,FALSE)*VLOOKUP(#REF!,Locaties[],3,FALSE),0)</f>
        <v>0</v>
      </c>
      <c r="AC133" s="33"/>
      <c r="AD133" s="33"/>
      <c r="AE133" s="33">
        <f>Ruimtestaat[[#This Row],[uren / jaar weekend]]*Tariefsopbouw!$D$40</f>
        <v>0</v>
      </c>
      <c r="AF133" s="79">
        <f>Ruimtestaat[[#This Row],[Prest. (m2 /jaar) weekend]]+Ruimtestaat[[#This Row],[Prest. (m2 /jaar) werkdagen]]</f>
        <v>10400</v>
      </c>
      <c r="AG133" s="79">
        <f>Ruimtestaat[[#This Row],[uren / jaar weekend]]+Ruimtestaat[[#This Row],[uren / jaar werkdagen]]</f>
        <v>0</v>
      </c>
      <c r="AH133" s="80">
        <f>Ruimtestaat[[#This Row],[kosten / jaar weekend]]+Ruimtestaat[[#This Row],[kosten / jaar werkdagen]]</f>
        <v>0</v>
      </c>
      <c r="HM133" s="78"/>
    </row>
    <row r="134" spans="1:221" s="178" customFormat="1" ht="15" customHeight="1">
      <c r="A134" s="119">
        <v>1</v>
      </c>
      <c r="B134" s="21" t="str">
        <f>VLOOKUP(Ruimtestaat[[#This Row],[Code]],Locaties[#All],2,FALSE)</f>
        <v>IJburg College</v>
      </c>
      <c r="C134" s="21" t="str">
        <f>VLOOKUP(Ruimtestaat[[#This Row],[Code]],Locaties[#All],4,FALSE)</f>
        <v>Pampuslaan 1</v>
      </c>
      <c r="D134" s="223" t="str">
        <f>VLOOKUP(Ruimtestaat[[#This Row],[Code]],Locaties[#All],5,FALSE)</f>
        <v>1087 HP</v>
      </c>
      <c r="E134" s="223" t="str">
        <f>VLOOKUP(Ruimtestaat[[#This Row],[Code]],Locaties[#All],6,FALSE)</f>
        <v>Amsterdam</v>
      </c>
      <c r="F134" s="180"/>
      <c r="G134" s="180" t="s">
        <v>645</v>
      </c>
      <c r="H134" s="180" t="s">
        <v>591</v>
      </c>
      <c r="I134" s="180" t="s">
        <v>616</v>
      </c>
      <c r="J134" s="224" t="s">
        <v>631</v>
      </c>
      <c r="K134" s="180">
        <v>16</v>
      </c>
      <c r="L134" s="236" t="str">
        <f>VLOOKUP(Ruimtestaat[[#This Row],[Ruimte code]],Ruimtegroepen[#All],2,FALSE)</f>
        <v>Lokaal</v>
      </c>
      <c r="M134" s="195" t="s">
        <v>111</v>
      </c>
      <c r="N134" s="180" t="s">
        <v>557</v>
      </c>
      <c r="O134" s="181">
        <v>74.2</v>
      </c>
      <c r="P134" s="193"/>
      <c r="Q134" s="223" t="str">
        <f>VLOOKUP(Ruimtestaat[[#This Row],[Ruimte code]],Ruimtegroepen[#All],4,FALSE)</f>
        <v>L  (Lesruimte)</v>
      </c>
      <c r="R134" s="194"/>
      <c r="S134" s="195">
        <v>40</v>
      </c>
      <c r="T134" s="195" t="s">
        <v>2</v>
      </c>
      <c r="U134" s="195">
        <f>IF(S134&gt;0,IF(RIGHT(Ruimtestaat[[#This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4" s="195">
        <f>IF(U134&gt;0,VLOOKUP($K134,Ruimtegroepen[],3,FALSE)*VLOOKUP($M134,Vloersoorten[],3,FALSE)*VLOOKUP($T134,Frequenties[],3,FALSE)*VLOOKUP($A134,Locaties[],3,FALSE),0)</f>
        <v>0</v>
      </c>
      <c r="W134" s="195">
        <f>Ruimtestaat[[#This Row],[Uitvoeringen werkdagen]]*Ruimtestaat[[#This Row],[Oppervlak (netto)]]</f>
        <v>14840</v>
      </c>
      <c r="X134" s="233">
        <f>IF(V134&gt;0,Ruimtestaat[[#This Row],[Prest. (m2 /jaar) werkdagen]]/Ruimtestaat[[#This Row],[Norm (m2/uur) werkdagen]],0)</f>
        <v>0</v>
      </c>
      <c r="Y134" s="234">
        <f>Ruimtestaat[[#This Row],[uren / jaar werkdagen]]*Tariefsopbouw!$D$38</f>
        <v>0</v>
      </c>
      <c r="Z134" s="33"/>
      <c r="AA134" s="33">
        <f>IF(Ruimtestaat[[#This Row],[Frequentie weekend]]&gt;0,VALUE(LEFT(Z134,1))*S134,0)</f>
        <v>0</v>
      </c>
      <c r="AB134" s="33">
        <f>IF($AA134&gt;0,VLOOKUP($K134,Ruimtegroepen[],3,FALSE)*VLOOKUP($M134,Vloersoorten[],3,FALSE)*VLOOKUP($Z134,Frequenties[],3,FALSE)*VLOOKUP(#REF!,Locaties[],3,FALSE),0)</f>
        <v>0</v>
      </c>
      <c r="AC134" s="33"/>
      <c r="AD134" s="33"/>
      <c r="AE134" s="33">
        <f>Ruimtestaat[[#This Row],[uren / jaar weekend]]*Tariefsopbouw!$D$40</f>
        <v>0</v>
      </c>
      <c r="AF134" s="79">
        <f>Ruimtestaat[[#This Row],[Prest. (m2 /jaar) weekend]]+Ruimtestaat[[#This Row],[Prest. (m2 /jaar) werkdagen]]</f>
        <v>14840</v>
      </c>
      <c r="AG134" s="79">
        <f>Ruimtestaat[[#This Row],[uren / jaar weekend]]+Ruimtestaat[[#This Row],[uren / jaar werkdagen]]</f>
        <v>0</v>
      </c>
      <c r="AH134" s="80">
        <f>Ruimtestaat[[#This Row],[kosten / jaar weekend]]+Ruimtestaat[[#This Row],[kosten / jaar werkdagen]]</f>
        <v>0</v>
      </c>
    </row>
    <row r="135" spans="1:221" ht="15" customHeight="1">
      <c r="A135" s="119">
        <v>1</v>
      </c>
      <c r="B135" s="21" t="str">
        <f>VLOOKUP(Ruimtestaat[[#This Row],[Code]],Locaties[#All],2,FALSE)</f>
        <v>IJburg College</v>
      </c>
      <c r="C135" s="21" t="str">
        <f>VLOOKUP(Ruimtestaat[[#This Row],[Code]],Locaties[#All],4,FALSE)</f>
        <v>Pampuslaan 1</v>
      </c>
      <c r="D135" s="223" t="str">
        <f>VLOOKUP(Ruimtestaat[[#This Row],[Code]],Locaties[#All],5,FALSE)</f>
        <v>1087 HP</v>
      </c>
      <c r="E135" s="223" t="str">
        <f>VLOOKUP(Ruimtestaat[[#This Row],[Code]],Locaties[#All],6,FALSE)</f>
        <v>Amsterdam</v>
      </c>
      <c r="F135" s="180"/>
      <c r="G135" s="180" t="s">
        <v>645</v>
      </c>
      <c r="H135" s="180" t="s">
        <v>572</v>
      </c>
      <c r="I135" s="180" t="s">
        <v>617</v>
      </c>
      <c r="J135" s="224" t="s">
        <v>631</v>
      </c>
      <c r="K135" s="180">
        <v>16</v>
      </c>
      <c r="L135" s="236" t="str">
        <f>VLOOKUP(Ruimtestaat[[#This Row],[Ruimte code]],Ruimtegroepen[#All],2,FALSE)</f>
        <v>Lokaal</v>
      </c>
      <c r="M135" s="195" t="s">
        <v>111</v>
      </c>
      <c r="N135" s="180" t="s">
        <v>557</v>
      </c>
      <c r="O135" s="181">
        <v>57.5</v>
      </c>
      <c r="P135" s="193"/>
      <c r="Q135" s="223" t="str">
        <f>VLOOKUP(Ruimtestaat[[#This Row],[Ruimte code]],Ruimtegroepen[#All],4,FALSE)</f>
        <v>L  (Lesruimte)</v>
      </c>
      <c r="R135" s="194"/>
      <c r="S135" s="195">
        <v>40</v>
      </c>
      <c r="T135" s="195" t="s">
        <v>2</v>
      </c>
      <c r="U135" s="195">
        <f>IF(S135&gt;0,IF(RIGHT(Ruimtestaat[[#This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5" s="195">
        <f>IF(U135&gt;0,VLOOKUP($K135,Ruimtegroepen[],3,FALSE)*VLOOKUP($M135,Vloersoorten[],3,FALSE)*VLOOKUP($T135,Frequenties[],3,FALSE)*VLOOKUP($A135,Locaties[],3,FALSE),0)</f>
        <v>0</v>
      </c>
      <c r="W135" s="195">
        <f>Ruimtestaat[[#This Row],[Uitvoeringen werkdagen]]*Ruimtestaat[[#This Row],[Oppervlak (netto)]]</f>
        <v>11500</v>
      </c>
      <c r="X135" s="233">
        <f>IF(V135&gt;0,Ruimtestaat[[#This Row],[Prest. (m2 /jaar) werkdagen]]/Ruimtestaat[[#This Row],[Norm (m2/uur) werkdagen]],0)</f>
        <v>0</v>
      </c>
      <c r="Y135" s="234">
        <f>Ruimtestaat[[#This Row],[uren / jaar werkdagen]]*Tariefsopbouw!$D$38</f>
        <v>0</v>
      </c>
      <c r="Z135" s="33"/>
      <c r="AA135" s="33">
        <f>IF(Ruimtestaat[[#This Row],[Frequentie weekend]]&gt;0,VALUE(LEFT(Z135,1))*S135,0)</f>
        <v>0</v>
      </c>
      <c r="AB135" s="33">
        <f>IF($AA135&gt;0,VLOOKUP($K135,Ruimtegroepen[],3,FALSE)*VLOOKUP($M135,Vloersoorten[],3,FALSE)*VLOOKUP($Z135,Frequenties[],3,FALSE)*VLOOKUP(#REF!,Locaties[],3,FALSE),0)</f>
        <v>0</v>
      </c>
      <c r="AC135" s="33"/>
      <c r="AD135" s="33"/>
      <c r="AE135" s="33">
        <f>Ruimtestaat[[#This Row],[uren / jaar weekend]]*Tariefsopbouw!$D$40</f>
        <v>0</v>
      </c>
      <c r="AF135" s="79">
        <f>Ruimtestaat[[#This Row],[Prest. (m2 /jaar) weekend]]+Ruimtestaat[[#This Row],[Prest. (m2 /jaar) werkdagen]]</f>
        <v>11500</v>
      </c>
      <c r="AG135" s="79">
        <f>Ruimtestaat[[#This Row],[uren / jaar weekend]]+Ruimtestaat[[#This Row],[uren / jaar werkdagen]]</f>
        <v>0</v>
      </c>
      <c r="AH135" s="80">
        <f>Ruimtestaat[[#This Row],[kosten / jaar weekend]]+Ruimtestaat[[#This Row],[kosten / jaar werkdagen]]</f>
        <v>0</v>
      </c>
      <c r="HM135" s="78"/>
    </row>
    <row r="136" spans="1:221" ht="15" customHeight="1">
      <c r="A136" s="119">
        <v>1</v>
      </c>
      <c r="B136" s="21" t="str">
        <f>VLOOKUP(Ruimtestaat[[#This Row],[Code]],Locaties[#All],2,FALSE)</f>
        <v>IJburg College</v>
      </c>
      <c r="C136" s="21" t="str">
        <f>VLOOKUP(Ruimtestaat[[#This Row],[Code]],Locaties[#All],4,FALSE)</f>
        <v>Pampuslaan 1</v>
      </c>
      <c r="D136" s="223" t="str">
        <f>VLOOKUP(Ruimtestaat[[#This Row],[Code]],Locaties[#All],5,FALSE)</f>
        <v>1087 HP</v>
      </c>
      <c r="E136" s="223" t="str">
        <f>VLOOKUP(Ruimtestaat[[#This Row],[Code]],Locaties[#All],6,FALSE)</f>
        <v>Amsterdam</v>
      </c>
      <c r="F136" s="180"/>
      <c r="G136" s="180" t="s">
        <v>645</v>
      </c>
      <c r="H136" s="180" t="s">
        <v>613</v>
      </c>
      <c r="I136" s="180" t="s">
        <v>618</v>
      </c>
      <c r="J136" s="224" t="s">
        <v>644</v>
      </c>
      <c r="K136" s="180">
        <v>10</v>
      </c>
      <c r="L136" s="236" t="str">
        <f>VLOOKUP(Ruimtestaat[[#This Row],[Ruimte code]],Ruimtegroepen[#All],2,FALSE)</f>
        <v>Trappenhuizen/lift</v>
      </c>
      <c r="M136" s="195" t="s">
        <v>111</v>
      </c>
      <c r="N136" s="180" t="s">
        <v>714</v>
      </c>
      <c r="O136" s="181">
        <v>32</v>
      </c>
      <c r="P136" s="193"/>
      <c r="Q136" s="223" t="str">
        <f>VLOOKUP(Ruimtestaat[[#This Row],[Ruimte code]],Ruimtegroepen[#All],4,FALSE)</f>
        <v>V  (Verkeersruimte)</v>
      </c>
      <c r="R136" s="194"/>
      <c r="S136" s="195">
        <v>40</v>
      </c>
      <c r="T136" s="195" t="s">
        <v>2</v>
      </c>
      <c r="U136" s="195">
        <f>IF(S136&gt;0,IF(RIGHT(Ruimtestaat[[#This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6" s="195">
        <f>IF(U136&gt;0,VLOOKUP($K136,Ruimtegroepen[],3,FALSE)*VLOOKUP($M136,Vloersoorten[],3,FALSE)*VLOOKUP($T136,Frequenties[],3,FALSE)*VLOOKUP($A136,Locaties[],3,FALSE),0)</f>
        <v>0</v>
      </c>
      <c r="W136" s="195">
        <f>Ruimtestaat[[#This Row],[Uitvoeringen werkdagen]]*Ruimtestaat[[#This Row],[Oppervlak (netto)]]</f>
        <v>6400</v>
      </c>
      <c r="X136" s="233">
        <f>IF(V136&gt;0,Ruimtestaat[[#This Row],[Prest. (m2 /jaar) werkdagen]]/Ruimtestaat[[#This Row],[Norm (m2/uur) werkdagen]],0)</f>
        <v>0</v>
      </c>
      <c r="Y136" s="234">
        <f>Ruimtestaat[[#This Row],[uren / jaar werkdagen]]*Tariefsopbouw!$D$38</f>
        <v>0</v>
      </c>
      <c r="Z136" s="33"/>
      <c r="AA136" s="33">
        <f>IF(Ruimtestaat[[#This Row],[Frequentie weekend]]&gt;0,VALUE(LEFT(Z136,1))*S136,0)</f>
        <v>0</v>
      </c>
      <c r="AB136" s="33">
        <f>IF($AA136&gt;0,VLOOKUP($K136,Ruimtegroepen[],3,FALSE)*VLOOKUP($M136,Vloersoorten[],3,FALSE)*VLOOKUP($Z136,Frequenties[],3,FALSE)*VLOOKUP(#REF!,Locaties[],3,FALSE),0)</f>
        <v>0</v>
      </c>
      <c r="AC136" s="33"/>
      <c r="AD136" s="33"/>
      <c r="AE136" s="33">
        <f>Ruimtestaat[[#This Row],[uren / jaar weekend]]*Tariefsopbouw!$D$40</f>
        <v>0</v>
      </c>
      <c r="AF136" s="79">
        <f>Ruimtestaat[[#This Row],[Prest. (m2 /jaar) weekend]]+Ruimtestaat[[#This Row],[Prest. (m2 /jaar) werkdagen]]</f>
        <v>6400</v>
      </c>
      <c r="AG136" s="79">
        <f>Ruimtestaat[[#This Row],[uren / jaar weekend]]+Ruimtestaat[[#This Row],[uren / jaar werkdagen]]</f>
        <v>0</v>
      </c>
      <c r="AH136" s="80">
        <f>Ruimtestaat[[#This Row],[kosten / jaar weekend]]+Ruimtestaat[[#This Row],[kosten / jaar werkdagen]]</f>
        <v>0</v>
      </c>
      <c r="HM136" s="78"/>
    </row>
    <row r="137" spans="1:221" ht="15" customHeight="1">
      <c r="A137" s="119">
        <v>1</v>
      </c>
      <c r="B137" s="21" t="str">
        <f>VLOOKUP(Ruimtestaat[[#This Row],[Code]],Locaties[#All],2,FALSE)</f>
        <v>IJburg College</v>
      </c>
      <c r="C137" s="21" t="str">
        <f>VLOOKUP(Ruimtestaat[[#This Row],[Code]],Locaties[#All],4,FALSE)</f>
        <v>Pampuslaan 1</v>
      </c>
      <c r="D137" s="223" t="str">
        <f>VLOOKUP(Ruimtestaat[[#This Row],[Code]],Locaties[#All],5,FALSE)</f>
        <v>1087 HP</v>
      </c>
      <c r="E137" s="223" t="str">
        <f>VLOOKUP(Ruimtestaat[[#This Row],[Code]],Locaties[#All],6,FALSE)</f>
        <v>Amsterdam</v>
      </c>
      <c r="F137" s="180"/>
      <c r="G137" s="180" t="s">
        <v>715</v>
      </c>
      <c r="H137" s="180" t="s">
        <v>796</v>
      </c>
      <c r="I137" s="180" t="s">
        <v>646</v>
      </c>
      <c r="J137" s="224" t="s">
        <v>697</v>
      </c>
      <c r="K137" s="180">
        <v>10</v>
      </c>
      <c r="L137" s="236" t="str">
        <f>VLOOKUP(Ruimtestaat[[#This Row],[Ruimte code]],Ruimtegroepen[#All],2,FALSE)</f>
        <v>Trappenhuizen/lift</v>
      </c>
      <c r="M137" s="195" t="s">
        <v>111</v>
      </c>
      <c r="N137" s="180" t="s">
        <v>557</v>
      </c>
      <c r="O137" s="181">
        <v>97.5</v>
      </c>
      <c r="P137" s="193"/>
      <c r="Q137" s="223" t="str">
        <f>VLOOKUP(Ruimtestaat[[#This Row],[Ruimte code]],Ruimtegroepen[#All],4,FALSE)</f>
        <v>V  (Verkeersruimte)</v>
      </c>
      <c r="R137" s="194"/>
      <c r="S137" s="195">
        <v>40</v>
      </c>
      <c r="T137" s="195" t="s">
        <v>2</v>
      </c>
      <c r="U137" s="195">
        <f>IF(S137&gt;0,IF(RIGHT(Ruimtestaat[[#This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7" s="195">
        <f>IF(U137&gt;0,VLOOKUP($K137,Ruimtegroepen[],3,FALSE)*VLOOKUP($M137,Vloersoorten[],3,FALSE)*VLOOKUP($T137,Frequenties[],3,FALSE)*VLOOKUP($A137,Locaties[],3,FALSE),0)</f>
        <v>0</v>
      </c>
      <c r="W137" s="195">
        <f>Ruimtestaat[[#This Row],[Uitvoeringen werkdagen]]*Ruimtestaat[[#This Row],[Oppervlak (netto)]]</f>
        <v>19500</v>
      </c>
      <c r="X137" s="233">
        <f>IF(V137&gt;0,Ruimtestaat[[#This Row],[Prest. (m2 /jaar) werkdagen]]/Ruimtestaat[[#This Row],[Norm (m2/uur) werkdagen]],0)</f>
        <v>0</v>
      </c>
      <c r="Y137" s="234">
        <f>Ruimtestaat[[#This Row],[uren / jaar werkdagen]]*Tariefsopbouw!$D$38</f>
        <v>0</v>
      </c>
      <c r="Z137" s="33"/>
      <c r="AA137" s="33">
        <f>IF(Ruimtestaat[[#This Row],[Frequentie weekend]]&gt;0,VALUE(LEFT(Z137,1))*S137,0)</f>
        <v>0</v>
      </c>
      <c r="AB137" s="33">
        <f>IF($AA137&gt;0,VLOOKUP($K137,Ruimtegroepen[],3,FALSE)*VLOOKUP($M137,Vloersoorten[],3,FALSE)*VLOOKUP($Z137,Frequenties[],3,FALSE)*VLOOKUP(#REF!,Locaties[],3,FALSE),0)</f>
        <v>0</v>
      </c>
      <c r="AC137" s="33"/>
      <c r="AD137" s="33"/>
      <c r="AE137" s="33">
        <f>Ruimtestaat[[#This Row],[uren / jaar weekend]]*Tariefsopbouw!$D$40</f>
        <v>0</v>
      </c>
      <c r="AF137" s="79">
        <f>Ruimtestaat[[#This Row],[Prest. (m2 /jaar) weekend]]+Ruimtestaat[[#This Row],[Prest. (m2 /jaar) werkdagen]]</f>
        <v>19500</v>
      </c>
      <c r="AG137" s="79">
        <f>Ruimtestaat[[#This Row],[uren / jaar weekend]]+Ruimtestaat[[#This Row],[uren / jaar werkdagen]]</f>
        <v>0</v>
      </c>
      <c r="AH137" s="80">
        <f>Ruimtestaat[[#This Row],[kosten / jaar weekend]]+Ruimtestaat[[#This Row],[kosten / jaar werkdagen]]</f>
        <v>0</v>
      </c>
      <c r="HM137" s="78"/>
    </row>
    <row r="138" spans="1:221" ht="15" customHeight="1">
      <c r="A138" s="119">
        <v>1</v>
      </c>
      <c r="B138" s="21" t="str">
        <f>VLOOKUP(Ruimtestaat[[#This Row],[Code]],Locaties[#All],2,FALSE)</f>
        <v>IJburg College</v>
      </c>
      <c r="C138" s="21" t="str">
        <f>VLOOKUP(Ruimtestaat[[#This Row],[Code]],Locaties[#All],4,FALSE)</f>
        <v>Pampuslaan 1</v>
      </c>
      <c r="D138" s="223" t="str">
        <f>VLOOKUP(Ruimtestaat[[#This Row],[Code]],Locaties[#All],5,FALSE)</f>
        <v>1087 HP</v>
      </c>
      <c r="E138" s="223" t="str">
        <f>VLOOKUP(Ruimtestaat[[#This Row],[Code]],Locaties[#All],6,FALSE)</f>
        <v>Amsterdam</v>
      </c>
      <c r="F138" s="180"/>
      <c r="G138" s="180" t="s">
        <v>715</v>
      </c>
      <c r="H138" s="180" t="s">
        <v>797</v>
      </c>
      <c r="I138" s="180" t="s">
        <v>647</v>
      </c>
      <c r="J138" s="224" t="s">
        <v>543</v>
      </c>
      <c r="K138" s="180">
        <v>5</v>
      </c>
      <c r="L138" s="236" t="str">
        <f>VLOOKUP(Ruimtestaat[[#This Row],[Ruimte code]],Ruimtegroepen[#All],2,FALSE)</f>
        <v>Sanitair</v>
      </c>
      <c r="M138" s="195" t="s">
        <v>111</v>
      </c>
      <c r="N138" s="180" t="s">
        <v>558</v>
      </c>
      <c r="O138" s="181">
        <v>12.4</v>
      </c>
      <c r="P138" s="193"/>
      <c r="Q138" s="223" t="str">
        <f>VLOOKUP(Ruimtestaat[[#This Row],[Ruimte code]],Ruimtegroepen[#All],4,FALSE)</f>
        <v>S  (Sanitair)</v>
      </c>
      <c r="R138" s="194"/>
      <c r="S138" s="195">
        <v>40</v>
      </c>
      <c r="T138" s="195" t="s">
        <v>2</v>
      </c>
      <c r="U138" s="195">
        <f>IF(S138&gt;0,IF(RIGHT(Ruimtestaat[[#This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8" s="195">
        <f>IF(U138&gt;0,VLOOKUP($K138,Ruimtegroepen[],3,FALSE)*VLOOKUP($M138,Vloersoorten[],3,FALSE)*VLOOKUP($T138,Frequenties[],3,FALSE)*VLOOKUP($A138,Locaties[],3,FALSE),0)</f>
        <v>0</v>
      </c>
      <c r="W138" s="195">
        <f>Ruimtestaat[[#This Row],[Uitvoeringen werkdagen]]*Ruimtestaat[[#This Row],[Oppervlak (netto)]]</f>
        <v>2480</v>
      </c>
      <c r="X138" s="233">
        <f>IF(V138&gt;0,Ruimtestaat[[#This Row],[Prest. (m2 /jaar) werkdagen]]/Ruimtestaat[[#This Row],[Norm (m2/uur) werkdagen]],0)</f>
        <v>0</v>
      </c>
      <c r="Y138" s="234">
        <f>Ruimtestaat[[#This Row],[uren / jaar werkdagen]]*Tariefsopbouw!$D$38</f>
        <v>0</v>
      </c>
      <c r="Z138" s="33"/>
      <c r="AA138" s="33">
        <f>IF(Ruimtestaat[[#This Row],[Frequentie weekend]]&gt;0,VALUE(LEFT(Z138,1))*S138,0)</f>
        <v>0</v>
      </c>
      <c r="AB138" s="33">
        <f>IF($AA138&gt;0,VLOOKUP($K138,Ruimtegroepen[],3,FALSE)*VLOOKUP($M138,Vloersoorten[],3,FALSE)*VLOOKUP($Z138,Frequenties[],3,FALSE)*VLOOKUP(#REF!,Locaties[],3,FALSE),0)</f>
        <v>0</v>
      </c>
      <c r="AC138" s="33"/>
      <c r="AD138" s="33"/>
      <c r="AE138" s="33">
        <f>Ruimtestaat[[#This Row],[uren / jaar weekend]]*Tariefsopbouw!$D$40</f>
        <v>0</v>
      </c>
      <c r="AF138" s="79">
        <f>Ruimtestaat[[#This Row],[Prest. (m2 /jaar) weekend]]+Ruimtestaat[[#This Row],[Prest. (m2 /jaar) werkdagen]]</f>
        <v>2480</v>
      </c>
      <c r="AG138" s="79">
        <f>Ruimtestaat[[#This Row],[uren / jaar weekend]]+Ruimtestaat[[#This Row],[uren / jaar werkdagen]]</f>
        <v>0</v>
      </c>
      <c r="AH138" s="80">
        <f>Ruimtestaat[[#This Row],[kosten / jaar weekend]]+Ruimtestaat[[#This Row],[kosten / jaar werkdagen]]</f>
        <v>0</v>
      </c>
      <c r="HM138" s="78"/>
    </row>
    <row r="139" spans="1:221" ht="15" customHeight="1">
      <c r="A139" s="119">
        <v>1</v>
      </c>
      <c r="B139" s="21" t="str">
        <f>VLOOKUP(Ruimtestaat[[#This Row],[Code]],Locaties[#All],2,FALSE)</f>
        <v>IJburg College</v>
      </c>
      <c r="C139" s="21" t="str">
        <f>VLOOKUP(Ruimtestaat[[#This Row],[Code]],Locaties[#All],4,FALSE)</f>
        <v>Pampuslaan 1</v>
      </c>
      <c r="D139" s="223" t="str">
        <f>VLOOKUP(Ruimtestaat[[#This Row],[Code]],Locaties[#All],5,FALSE)</f>
        <v>1087 HP</v>
      </c>
      <c r="E139" s="223" t="str">
        <f>VLOOKUP(Ruimtestaat[[#This Row],[Code]],Locaties[#All],6,FALSE)</f>
        <v>Amsterdam</v>
      </c>
      <c r="F139" s="180"/>
      <c r="G139" s="180" t="s">
        <v>715</v>
      </c>
      <c r="H139" s="180" t="s">
        <v>798</v>
      </c>
      <c r="I139" s="180" t="s">
        <v>648</v>
      </c>
      <c r="J139" s="224" t="s">
        <v>540</v>
      </c>
      <c r="K139" s="180">
        <v>5</v>
      </c>
      <c r="L139" s="236" t="str">
        <f>VLOOKUP(Ruimtestaat[[#This Row],[Ruimte code]],Ruimtegroepen[#All],2,FALSE)</f>
        <v>Sanitair</v>
      </c>
      <c r="M139" s="195" t="s">
        <v>111</v>
      </c>
      <c r="N139" s="180" t="s">
        <v>558</v>
      </c>
      <c r="O139" s="181">
        <v>4.3</v>
      </c>
      <c r="P139" s="193"/>
      <c r="Q139" s="223" t="str">
        <f>VLOOKUP(Ruimtestaat[[#This Row],[Ruimte code]],Ruimtegroepen[#All],4,FALSE)</f>
        <v>S  (Sanitair)</v>
      </c>
      <c r="R139" s="194"/>
      <c r="S139" s="195">
        <v>40</v>
      </c>
      <c r="T139" s="195" t="s">
        <v>2</v>
      </c>
      <c r="U139" s="195">
        <f>IF(S139&gt;0,IF(RIGHT(Ruimtestaat[[#This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9" s="195">
        <f>IF(U139&gt;0,VLOOKUP($K139,Ruimtegroepen[],3,FALSE)*VLOOKUP($M139,Vloersoorten[],3,FALSE)*VLOOKUP($T139,Frequenties[],3,FALSE)*VLOOKUP($A139,Locaties[],3,FALSE),0)</f>
        <v>0</v>
      </c>
      <c r="W139" s="195">
        <f>Ruimtestaat[[#This Row],[Uitvoeringen werkdagen]]*Ruimtestaat[[#This Row],[Oppervlak (netto)]]</f>
        <v>860</v>
      </c>
      <c r="X139" s="233">
        <f>IF(V139&gt;0,Ruimtestaat[[#This Row],[Prest. (m2 /jaar) werkdagen]]/Ruimtestaat[[#This Row],[Norm (m2/uur) werkdagen]],0)</f>
        <v>0</v>
      </c>
      <c r="Y139" s="234">
        <f>Ruimtestaat[[#This Row],[uren / jaar werkdagen]]*Tariefsopbouw!$D$38</f>
        <v>0</v>
      </c>
      <c r="Z139" s="33"/>
      <c r="AA139" s="33">
        <f>IF(Ruimtestaat[[#This Row],[Frequentie weekend]]&gt;0,VALUE(LEFT(Z139,1))*S139,0)</f>
        <v>0</v>
      </c>
      <c r="AB139" s="33">
        <f>IF($AA139&gt;0,VLOOKUP($K139,Ruimtegroepen[],3,FALSE)*VLOOKUP($M139,Vloersoorten[],3,FALSE)*VLOOKUP($Z139,Frequenties[],3,FALSE)*VLOOKUP(#REF!,Locaties[],3,FALSE),0)</f>
        <v>0</v>
      </c>
      <c r="AC139" s="33"/>
      <c r="AD139" s="33"/>
      <c r="AE139" s="33">
        <f>Ruimtestaat[[#This Row],[uren / jaar weekend]]*Tariefsopbouw!$D$40</f>
        <v>0</v>
      </c>
      <c r="AF139" s="79">
        <f>Ruimtestaat[[#This Row],[Prest. (m2 /jaar) weekend]]+Ruimtestaat[[#This Row],[Prest. (m2 /jaar) werkdagen]]</f>
        <v>860</v>
      </c>
      <c r="AG139" s="79">
        <f>Ruimtestaat[[#This Row],[uren / jaar weekend]]+Ruimtestaat[[#This Row],[uren / jaar werkdagen]]</f>
        <v>0</v>
      </c>
      <c r="AH139" s="80">
        <f>Ruimtestaat[[#This Row],[kosten / jaar weekend]]+Ruimtestaat[[#This Row],[kosten / jaar werkdagen]]</f>
        <v>0</v>
      </c>
      <c r="HM139" s="78"/>
    </row>
    <row r="140" spans="1:221" ht="15" customHeight="1">
      <c r="A140" s="119">
        <v>1</v>
      </c>
      <c r="B140" s="21" t="str">
        <f>VLOOKUP(Ruimtestaat[[#This Row],[Code]],Locaties[#All],2,FALSE)</f>
        <v>IJburg College</v>
      </c>
      <c r="C140" s="21" t="str">
        <f>VLOOKUP(Ruimtestaat[[#This Row],[Code]],Locaties[#All],4,FALSE)</f>
        <v>Pampuslaan 1</v>
      </c>
      <c r="D140" s="223" t="str">
        <f>VLOOKUP(Ruimtestaat[[#This Row],[Code]],Locaties[#All],5,FALSE)</f>
        <v>1087 HP</v>
      </c>
      <c r="E140" s="223" t="str">
        <f>VLOOKUP(Ruimtestaat[[#This Row],[Code]],Locaties[#All],6,FALSE)</f>
        <v>Amsterdam</v>
      </c>
      <c r="F140" s="180"/>
      <c r="G140" s="180" t="s">
        <v>715</v>
      </c>
      <c r="H140" s="180" t="s">
        <v>799</v>
      </c>
      <c r="I140" s="180" t="s">
        <v>649</v>
      </c>
      <c r="J140" s="224" t="s">
        <v>542</v>
      </c>
      <c r="K140" s="180">
        <v>5</v>
      </c>
      <c r="L140" s="236" t="str">
        <f>VLOOKUP(Ruimtestaat[[#This Row],[Ruimte code]],Ruimtegroepen[#All],2,FALSE)</f>
        <v>Sanitair</v>
      </c>
      <c r="M140" s="195" t="s">
        <v>111</v>
      </c>
      <c r="N140" s="180" t="s">
        <v>558</v>
      </c>
      <c r="O140" s="181">
        <v>7.2</v>
      </c>
      <c r="P140" s="193"/>
      <c r="Q140" s="223" t="str">
        <f>VLOOKUP(Ruimtestaat[[#This Row],[Ruimte code]],Ruimtegroepen[#All],4,FALSE)</f>
        <v>S  (Sanitair)</v>
      </c>
      <c r="R140" s="194"/>
      <c r="S140" s="195">
        <v>42</v>
      </c>
      <c r="T140" s="195" t="s">
        <v>2</v>
      </c>
      <c r="U140" s="195">
        <f>IF(S140&gt;0,IF(RIGHT(Ruimtestaat[[#This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210</v>
      </c>
      <c r="V140" s="195">
        <f>IF(U140&gt;0,VLOOKUP($K140,Ruimtegroepen[],3,FALSE)*VLOOKUP($M140,Vloersoorten[],3,FALSE)*VLOOKUP($T140,Frequenties[],3,FALSE)*VLOOKUP($A140,Locaties[],3,FALSE),0)</f>
        <v>0</v>
      </c>
      <c r="W140" s="195">
        <f>Ruimtestaat[[#This Row],[Uitvoeringen werkdagen]]*Ruimtestaat[[#This Row],[Oppervlak (netto)]]</f>
        <v>1512</v>
      </c>
      <c r="X140" s="233">
        <f>IF(V140&gt;0,Ruimtestaat[[#This Row],[Prest. (m2 /jaar) werkdagen]]/Ruimtestaat[[#This Row],[Norm (m2/uur) werkdagen]],0)</f>
        <v>0</v>
      </c>
      <c r="Y140" s="234">
        <f>Ruimtestaat[[#This Row],[uren / jaar werkdagen]]*Tariefsopbouw!$D$38</f>
        <v>0</v>
      </c>
      <c r="Z140" s="33"/>
      <c r="AA140" s="33">
        <f>IF(Ruimtestaat[[#This Row],[Frequentie weekend]]&gt;0,VALUE(LEFT(Z140,1))*S140,0)</f>
        <v>0</v>
      </c>
      <c r="AB140" s="33">
        <f>IF($AA140&gt;0,VLOOKUP($K140,Ruimtegroepen[],3,FALSE)*VLOOKUP($M140,Vloersoorten[],3,FALSE)*VLOOKUP($Z140,Frequenties[],3,FALSE)*VLOOKUP(#REF!,Locaties[],3,FALSE),0)</f>
        <v>0</v>
      </c>
      <c r="AC140" s="33"/>
      <c r="AD140" s="33"/>
      <c r="AE140" s="33">
        <f>Ruimtestaat[[#This Row],[uren / jaar weekend]]*Tariefsopbouw!$D$40</f>
        <v>0</v>
      </c>
      <c r="AF140" s="79">
        <f>Ruimtestaat[[#This Row],[Prest. (m2 /jaar) weekend]]+Ruimtestaat[[#This Row],[Prest. (m2 /jaar) werkdagen]]</f>
        <v>1512</v>
      </c>
      <c r="AG140" s="79">
        <f>Ruimtestaat[[#This Row],[uren / jaar weekend]]+Ruimtestaat[[#This Row],[uren / jaar werkdagen]]</f>
        <v>0</v>
      </c>
      <c r="AH140" s="80">
        <f>Ruimtestaat[[#This Row],[kosten / jaar weekend]]+Ruimtestaat[[#This Row],[kosten / jaar werkdagen]]</f>
        <v>0</v>
      </c>
      <c r="HM140" s="78"/>
    </row>
    <row r="141" spans="1:221" ht="15" customHeight="1">
      <c r="A141" s="119">
        <v>1</v>
      </c>
      <c r="B141" s="21" t="str">
        <f>VLOOKUP(Ruimtestaat[[#This Row],[Code]],Locaties[#All],2,FALSE)</f>
        <v>IJburg College</v>
      </c>
      <c r="C141" s="21" t="str">
        <f>VLOOKUP(Ruimtestaat[[#This Row],[Code]],Locaties[#All],4,FALSE)</f>
        <v>Pampuslaan 1</v>
      </c>
      <c r="D141" s="223" t="str">
        <f>VLOOKUP(Ruimtestaat[[#This Row],[Code]],Locaties[#All],5,FALSE)</f>
        <v>1087 HP</v>
      </c>
      <c r="E141" s="223" t="str">
        <f>VLOOKUP(Ruimtestaat[[#This Row],[Code]],Locaties[#All],6,FALSE)</f>
        <v>Amsterdam</v>
      </c>
      <c r="F141" s="180"/>
      <c r="G141" s="180" t="s">
        <v>715</v>
      </c>
      <c r="H141" s="180" t="s">
        <v>800</v>
      </c>
      <c r="I141" s="180" t="s">
        <v>650</v>
      </c>
      <c r="J141" s="224" t="s">
        <v>629</v>
      </c>
      <c r="K141" s="180">
        <v>21</v>
      </c>
      <c r="L141" s="236" t="str">
        <f>VLOOKUP(Ruimtestaat[[#This Row],[Ruimte code]],Ruimtegroepen[#All],2,FALSE)</f>
        <v>Niet in onderhoud</v>
      </c>
      <c r="M141" s="195"/>
      <c r="N141" s="180"/>
      <c r="O141" s="181"/>
      <c r="P141" s="193">
        <v>1.2</v>
      </c>
      <c r="Q141" s="223" t="str">
        <f>VLOOKUP(Ruimtestaat[[#This Row],[Ruimte code]],Ruimtegroepen[#All],4,FALSE)</f>
        <v>Niet in onderhoud</v>
      </c>
      <c r="R141" s="194"/>
      <c r="S141" s="195"/>
      <c r="T141" s="195"/>
      <c r="U141" s="195">
        <f>IF(S141&gt;0,IF(RIGHT(Ruimtestaat[[#This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41" s="195">
        <f>IF(U141&gt;0,VLOOKUP($K141,Ruimtegroepen[],3,FALSE)*VLOOKUP($M141,Vloersoorten[],3,FALSE)*VLOOKUP($T141,Frequenties[],3,FALSE)*VLOOKUP($A141,Locaties[],3,FALSE),0)</f>
        <v>0</v>
      </c>
      <c r="W141" s="195">
        <f>Ruimtestaat[[#This Row],[Uitvoeringen werkdagen]]*Ruimtestaat[[#This Row],[Oppervlak (netto)]]</f>
        <v>0</v>
      </c>
      <c r="X141" s="233">
        <f>IF(V141&gt;0,Ruimtestaat[[#This Row],[Prest. (m2 /jaar) werkdagen]]/Ruimtestaat[[#This Row],[Norm (m2/uur) werkdagen]],0)</f>
        <v>0</v>
      </c>
      <c r="Y141" s="234">
        <f>Ruimtestaat[[#This Row],[uren / jaar werkdagen]]*Tariefsopbouw!$D$38</f>
        <v>0</v>
      </c>
      <c r="Z141" s="33"/>
      <c r="AA141" s="33">
        <f>IF(Ruimtestaat[[#This Row],[Frequentie weekend]]&gt;0,VALUE(LEFT(Z141,1))*S141,0)</f>
        <v>0</v>
      </c>
      <c r="AB141" s="33">
        <f>IF($AA141&gt;0,VLOOKUP($K141,Ruimtegroepen[],3,FALSE)*VLOOKUP($M141,Vloersoorten[],3,FALSE)*VLOOKUP($Z141,Frequenties[],3,FALSE)*VLOOKUP(#REF!,Locaties[],3,FALSE),0)</f>
        <v>0</v>
      </c>
      <c r="AC141" s="33"/>
      <c r="AD141" s="33"/>
      <c r="AE141" s="33">
        <f>Ruimtestaat[[#This Row],[uren / jaar weekend]]*Tariefsopbouw!$D$40</f>
        <v>0</v>
      </c>
      <c r="AF141" s="79">
        <f>Ruimtestaat[[#This Row],[Prest. (m2 /jaar) weekend]]+Ruimtestaat[[#This Row],[Prest. (m2 /jaar) werkdagen]]</f>
        <v>0</v>
      </c>
      <c r="AG141" s="79">
        <f>Ruimtestaat[[#This Row],[uren / jaar weekend]]+Ruimtestaat[[#This Row],[uren / jaar werkdagen]]</f>
        <v>0</v>
      </c>
      <c r="AH141" s="80">
        <f>Ruimtestaat[[#This Row],[kosten / jaar weekend]]+Ruimtestaat[[#This Row],[kosten / jaar werkdagen]]</f>
        <v>0</v>
      </c>
      <c r="HM141" s="78"/>
    </row>
    <row r="142" spans="1:221" ht="15" customHeight="1">
      <c r="A142" s="119">
        <v>1</v>
      </c>
      <c r="B142" s="21" t="str">
        <f>VLOOKUP(Ruimtestaat[[#This Row],[Code]],Locaties[#All],2,FALSE)</f>
        <v>IJburg College</v>
      </c>
      <c r="C142" s="21" t="str">
        <f>VLOOKUP(Ruimtestaat[[#This Row],[Code]],Locaties[#All],4,FALSE)</f>
        <v>Pampuslaan 1</v>
      </c>
      <c r="D142" s="223" t="str">
        <f>VLOOKUP(Ruimtestaat[[#This Row],[Code]],Locaties[#All],5,FALSE)</f>
        <v>1087 HP</v>
      </c>
      <c r="E142" s="223" t="str">
        <f>VLOOKUP(Ruimtestaat[[#This Row],[Code]],Locaties[#All],6,FALSE)</f>
        <v>Amsterdam</v>
      </c>
      <c r="F142" s="180"/>
      <c r="G142" s="180" t="s">
        <v>715</v>
      </c>
      <c r="H142" s="180" t="s">
        <v>660</v>
      </c>
      <c r="I142" s="180" t="s">
        <v>651</v>
      </c>
      <c r="J142" s="224" t="s">
        <v>698</v>
      </c>
      <c r="K142" s="180">
        <v>8</v>
      </c>
      <c r="L142" s="236" t="str">
        <f>VLOOKUP(Ruimtestaat[[#This Row],[Ruimte code]],Ruimtegroepen[#All],2,FALSE)</f>
        <v>Multifunctionele ruimte</v>
      </c>
      <c r="M142" s="195" t="s">
        <v>111</v>
      </c>
      <c r="N142" s="180" t="s">
        <v>557</v>
      </c>
      <c r="O142" s="181">
        <v>98.25</v>
      </c>
      <c r="P142" s="193"/>
      <c r="Q142" s="223" t="str">
        <f>VLOOKUP(Ruimtestaat[[#This Row],[Ruimte code]],Ruimtegroepen[#All],4,FALSE)</f>
        <v>L  (Lesruimte)</v>
      </c>
      <c r="R142" s="194"/>
      <c r="S142" s="195">
        <v>40</v>
      </c>
      <c r="T142" s="195" t="s">
        <v>2</v>
      </c>
      <c r="U142" s="195">
        <f>IF(S142&gt;0,IF(RIGHT(Ruimtestaat[[#This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2" s="195">
        <f>IF(U142&gt;0,VLOOKUP($K142,Ruimtegroepen[],3,FALSE)*VLOOKUP($M142,Vloersoorten[],3,FALSE)*VLOOKUP($T142,Frequenties[],3,FALSE)*VLOOKUP($A142,Locaties[],3,FALSE),0)</f>
        <v>0</v>
      </c>
      <c r="W142" s="195">
        <f>Ruimtestaat[[#This Row],[Uitvoeringen werkdagen]]*Ruimtestaat[[#This Row],[Oppervlak (netto)]]</f>
        <v>19650</v>
      </c>
      <c r="X142" s="233">
        <f>IF(V142&gt;0,Ruimtestaat[[#This Row],[Prest. (m2 /jaar) werkdagen]]/Ruimtestaat[[#This Row],[Norm (m2/uur) werkdagen]],0)</f>
        <v>0</v>
      </c>
      <c r="Y142" s="234">
        <f>Ruimtestaat[[#This Row],[uren / jaar werkdagen]]*Tariefsopbouw!$D$38</f>
        <v>0</v>
      </c>
      <c r="Z142" s="33"/>
      <c r="AA142" s="33">
        <f>IF(Ruimtestaat[[#This Row],[Frequentie weekend]]&gt;0,VALUE(LEFT(Z142,1))*S142,0)</f>
        <v>0</v>
      </c>
      <c r="AB142" s="33">
        <f>IF($AA142&gt;0,VLOOKUP($K142,Ruimtegroepen[],3,FALSE)*VLOOKUP($M142,Vloersoorten[],3,FALSE)*VLOOKUP($Z142,Frequenties[],3,FALSE)*VLOOKUP(#REF!,Locaties[],3,FALSE),0)</f>
        <v>0</v>
      </c>
      <c r="AC142" s="33"/>
      <c r="AD142" s="33"/>
      <c r="AE142" s="33">
        <f>Ruimtestaat[[#This Row],[uren / jaar weekend]]*Tariefsopbouw!$D$40</f>
        <v>0</v>
      </c>
      <c r="AF142" s="79">
        <f>Ruimtestaat[[#This Row],[Prest. (m2 /jaar) weekend]]+Ruimtestaat[[#This Row],[Prest. (m2 /jaar) werkdagen]]</f>
        <v>19650</v>
      </c>
      <c r="AG142" s="79">
        <f>Ruimtestaat[[#This Row],[uren / jaar weekend]]+Ruimtestaat[[#This Row],[uren / jaar werkdagen]]</f>
        <v>0</v>
      </c>
      <c r="AH142" s="80">
        <f>Ruimtestaat[[#This Row],[kosten / jaar weekend]]+Ruimtestaat[[#This Row],[kosten / jaar werkdagen]]</f>
        <v>0</v>
      </c>
      <c r="HM142" s="78"/>
    </row>
    <row r="143" spans="1:221" ht="15" customHeight="1">
      <c r="A143" s="119">
        <v>1</v>
      </c>
      <c r="B143" s="21" t="str">
        <f>VLOOKUP(Ruimtestaat[[#This Row],[Code]],Locaties[#All],2,FALSE)</f>
        <v>IJburg College</v>
      </c>
      <c r="C143" s="21" t="str">
        <f>VLOOKUP(Ruimtestaat[[#This Row],[Code]],Locaties[#All],4,FALSE)</f>
        <v>Pampuslaan 1</v>
      </c>
      <c r="D143" s="223" t="str">
        <f>VLOOKUP(Ruimtestaat[[#This Row],[Code]],Locaties[#All],5,FALSE)</f>
        <v>1087 HP</v>
      </c>
      <c r="E143" s="223" t="str">
        <f>VLOOKUP(Ruimtestaat[[#This Row],[Code]],Locaties[#All],6,FALSE)</f>
        <v>Amsterdam</v>
      </c>
      <c r="F143" s="180"/>
      <c r="G143" s="180" t="s">
        <v>715</v>
      </c>
      <c r="H143" s="180" t="s">
        <v>661</v>
      </c>
      <c r="I143" s="180" t="s">
        <v>652</v>
      </c>
      <c r="J143" s="224" t="s">
        <v>699</v>
      </c>
      <c r="K143" s="180">
        <v>2</v>
      </c>
      <c r="L143" s="236" t="str">
        <f>VLOOKUP(Ruimtestaat[[#This Row],[Ruimte code]],Ruimtegroepen[#All],2,FALSE)</f>
        <v>Kantoren</v>
      </c>
      <c r="M143" s="195" t="s">
        <v>111</v>
      </c>
      <c r="N143" s="180" t="s">
        <v>557</v>
      </c>
      <c r="O143" s="181">
        <v>30</v>
      </c>
      <c r="P143" s="193"/>
      <c r="Q143" s="223" t="str">
        <f>VLOOKUP(Ruimtestaat[[#This Row],[Ruimte code]],Ruimtegroepen[#All],4,FALSE)</f>
        <v>B  (Bureauruimte)</v>
      </c>
      <c r="R143" s="194"/>
      <c r="S143" s="195">
        <v>40</v>
      </c>
      <c r="T143" s="195" t="s">
        <v>17</v>
      </c>
      <c r="U143" s="195">
        <f>IF(S143&gt;0,IF(RIGHT(Ruimtestaat[[#This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43" s="195">
        <f>IF(U143&gt;0,VLOOKUP($K143,Ruimtegroepen[],3,FALSE)*VLOOKUP($M143,Vloersoorten[],3,FALSE)*VLOOKUP($T143,Frequenties[],3,FALSE)*VLOOKUP($A143,Locaties[],3,FALSE),0)</f>
        <v>0</v>
      </c>
      <c r="W143" s="195">
        <f>Ruimtestaat[[#This Row],[Uitvoeringen werkdagen]]*Ruimtestaat[[#This Row],[Oppervlak (netto)]]</f>
        <v>2400</v>
      </c>
      <c r="X143" s="233">
        <f>IF(V143&gt;0,Ruimtestaat[[#This Row],[Prest. (m2 /jaar) werkdagen]]/Ruimtestaat[[#This Row],[Norm (m2/uur) werkdagen]],0)</f>
        <v>0</v>
      </c>
      <c r="Y143" s="234">
        <f>Ruimtestaat[[#This Row],[uren / jaar werkdagen]]*Tariefsopbouw!$D$38</f>
        <v>0</v>
      </c>
      <c r="Z143" s="33"/>
      <c r="AA143" s="33">
        <f>IF(Ruimtestaat[[#This Row],[Frequentie weekend]]&gt;0,VALUE(LEFT(Z143,1))*S143,0)</f>
        <v>0</v>
      </c>
      <c r="AB143" s="33">
        <f>IF($AA143&gt;0,VLOOKUP($K143,Ruimtegroepen[],3,FALSE)*VLOOKUP($M143,Vloersoorten[],3,FALSE)*VLOOKUP($Z143,Frequenties[],3,FALSE)*VLOOKUP(#REF!,Locaties[],3,FALSE),0)</f>
        <v>0</v>
      </c>
      <c r="AC143" s="33"/>
      <c r="AD143" s="33"/>
      <c r="AE143" s="33">
        <f>Ruimtestaat[[#This Row],[uren / jaar weekend]]*Tariefsopbouw!$D$40</f>
        <v>0</v>
      </c>
      <c r="AF143" s="79">
        <f>Ruimtestaat[[#This Row],[Prest. (m2 /jaar) weekend]]+Ruimtestaat[[#This Row],[Prest. (m2 /jaar) werkdagen]]</f>
        <v>2400</v>
      </c>
      <c r="AG143" s="79">
        <f>Ruimtestaat[[#This Row],[uren / jaar weekend]]+Ruimtestaat[[#This Row],[uren / jaar werkdagen]]</f>
        <v>0</v>
      </c>
      <c r="AH143" s="80">
        <f>Ruimtestaat[[#This Row],[kosten / jaar weekend]]+Ruimtestaat[[#This Row],[kosten / jaar werkdagen]]</f>
        <v>0</v>
      </c>
      <c r="HM143" s="78"/>
    </row>
    <row r="144" spans="1:221" ht="15" customHeight="1">
      <c r="A144" s="119">
        <v>1</v>
      </c>
      <c r="B144" s="21" t="str">
        <f>VLOOKUP(Ruimtestaat[[#This Row],[Code]],Locaties[#All],2,FALSE)</f>
        <v>IJburg College</v>
      </c>
      <c r="C144" s="21" t="str">
        <f>VLOOKUP(Ruimtestaat[[#This Row],[Code]],Locaties[#All],4,FALSE)</f>
        <v>Pampuslaan 1</v>
      </c>
      <c r="D144" s="223" t="str">
        <f>VLOOKUP(Ruimtestaat[[#This Row],[Code]],Locaties[#All],5,FALSE)</f>
        <v>1087 HP</v>
      </c>
      <c r="E144" s="223" t="str">
        <f>VLOOKUP(Ruimtestaat[[#This Row],[Code]],Locaties[#All],6,FALSE)</f>
        <v>Amsterdam</v>
      </c>
      <c r="F144" s="180"/>
      <c r="G144" s="180" t="s">
        <v>715</v>
      </c>
      <c r="H144" s="180" t="s">
        <v>801</v>
      </c>
      <c r="I144" s="180" t="s">
        <v>653</v>
      </c>
      <c r="J144" s="224" t="s">
        <v>700</v>
      </c>
      <c r="K144" s="180">
        <v>6</v>
      </c>
      <c r="L144" s="236" t="str">
        <f>VLOOKUP(Ruimtestaat[[#This Row],[Ruimte code]],Ruimtegroepen[#All],2,FALSE)</f>
        <v>Gangen/hallen</v>
      </c>
      <c r="M144" s="195" t="s">
        <v>111</v>
      </c>
      <c r="N144" s="180" t="s">
        <v>557</v>
      </c>
      <c r="O144" s="181">
        <v>196.5</v>
      </c>
      <c r="P144" s="193"/>
      <c r="Q144" s="223" t="str">
        <f>VLOOKUP(Ruimtestaat[[#This Row],[Ruimte code]],Ruimtegroepen[#All],4,FALSE)</f>
        <v>V  (Verkeersruimte)</v>
      </c>
      <c r="R144" s="194"/>
      <c r="S144" s="195">
        <v>40</v>
      </c>
      <c r="T144" s="195" t="s">
        <v>2</v>
      </c>
      <c r="U144" s="195">
        <f>IF(S144&gt;0,IF(RIGHT(Ruimtestaat[[#This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4" s="195">
        <f>IF(U144&gt;0,VLOOKUP($K144,Ruimtegroepen[],3,FALSE)*VLOOKUP($M144,Vloersoorten[],3,FALSE)*VLOOKUP($T144,Frequenties[],3,FALSE)*VLOOKUP($A144,Locaties[],3,FALSE),0)</f>
        <v>0</v>
      </c>
      <c r="W144" s="195">
        <f>Ruimtestaat[[#This Row],[Uitvoeringen werkdagen]]*Ruimtestaat[[#This Row],[Oppervlak (netto)]]</f>
        <v>39300</v>
      </c>
      <c r="X144" s="233">
        <f>IF(V144&gt;0,Ruimtestaat[[#This Row],[Prest. (m2 /jaar) werkdagen]]/Ruimtestaat[[#This Row],[Norm (m2/uur) werkdagen]],0)</f>
        <v>0</v>
      </c>
      <c r="Y144" s="234">
        <f>Ruimtestaat[[#This Row],[uren / jaar werkdagen]]*Tariefsopbouw!$D$38</f>
        <v>0</v>
      </c>
      <c r="Z144" s="33"/>
      <c r="AA144" s="33">
        <f>IF(Ruimtestaat[[#This Row],[Frequentie weekend]]&gt;0,VALUE(LEFT(Z144,1))*S144,0)</f>
        <v>0</v>
      </c>
      <c r="AB144" s="33">
        <f>IF($AA144&gt;0,VLOOKUP($K144,Ruimtegroepen[],3,FALSE)*VLOOKUP($M144,Vloersoorten[],3,FALSE)*VLOOKUP($Z144,Frequenties[],3,FALSE)*VLOOKUP(#REF!,Locaties[],3,FALSE),0)</f>
        <v>0</v>
      </c>
      <c r="AC144" s="33"/>
      <c r="AD144" s="33"/>
      <c r="AE144" s="33">
        <f>Ruimtestaat[[#This Row],[uren / jaar weekend]]*Tariefsopbouw!$D$40</f>
        <v>0</v>
      </c>
      <c r="AF144" s="79">
        <f>Ruimtestaat[[#This Row],[Prest. (m2 /jaar) weekend]]+Ruimtestaat[[#This Row],[Prest. (m2 /jaar) werkdagen]]</f>
        <v>39300</v>
      </c>
      <c r="AG144" s="79">
        <f>Ruimtestaat[[#This Row],[uren / jaar weekend]]+Ruimtestaat[[#This Row],[uren / jaar werkdagen]]</f>
        <v>0</v>
      </c>
      <c r="AH144" s="80">
        <f>Ruimtestaat[[#This Row],[kosten / jaar weekend]]+Ruimtestaat[[#This Row],[kosten / jaar werkdagen]]</f>
        <v>0</v>
      </c>
      <c r="HM144" s="78"/>
    </row>
    <row r="145" spans="1:221" ht="15" customHeight="1">
      <c r="A145" s="119">
        <v>1</v>
      </c>
      <c r="B145" s="21" t="str">
        <f>VLOOKUP(Ruimtestaat[[#This Row],[Code]],Locaties[#All],2,FALSE)</f>
        <v>IJburg College</v>
      </c>
      <c r="C145" s="21" t="str">
        <f>VLOOKUP(Ruimtestaat[[#This Row],[Code]],Locaties[#All],4,FALSE)</f>
        <v>Pampuslaan 1</v>
      </c>
      <c r="D145" s="223" t="str">
        <f>VLOOKUP(Ruimtestaat[[#This Row],[Code]],Locaties[#All],5,FALSE)</f>
        <v>1087 HP</v>
      </c>
      <c r="E145" s="223" t="str">
        <f>VLOOKUP(Ruimtestaat[[#This Row],[Code]],Locaties[#All],6,FALSE)</f>
        <v>Amsterdam</v>
      </c>
      <c r="F145" s="180"/>
      <c r="G145" s="180" t="s">
        <v>715</v>
      </c>
      <c r="H145" s="180" t="s">
        <v>662</v>
      </c>
      <c r="I145" s="180" t="s">
        <v>654</v>
      </c>
      <c r="J145" s="224" t="s">
        <v>701</v>
      </c>
      <c r="K145" s="180">
        <v>20</v>
      </c>
      <c r="L145" s="236" t="str">
        <f>VLOOKUP(Ruimtestaat[[#This Row],[Ruimte code]],Ruimtegroepen[#All],2,FALSE)</f>
        <v>Beroepspraktijklokalen</v>
      </c>
      <c r="M145" s="195" t="s">
        <v>111</v>
      </c>
      <c r="N145" s="180" t="s">
        <v>557</v>
      </c>
      <c r="O145" s="181">
        <v>112</v>
      </c>
      <c r="P145" s="193"/>
      <c r="Q145" s="223" t="str">
        <f>VLOOKUP(Ruimtestaat[[#This Row],[Ruimte code]],Ruimtegroepen[#All],4,FALSE)</f>
        <v>L  (Lesruimte)</v>
      </c>
      <c r="R145" s="194"/>
      <c r="S145" s="195">
        <v>40</v>
      </c>
      <c r="T145" s="195" t="s">
        <v>2</v>
      </c>
      <c r="U145" s="195">
        <f>IF(S145&gt;0,IF(RIGHT(Ruimtestaat[[#This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5" s="195">
        <f>IF(U145&gt;0,VLOOKUP($K145,Ruimtegroepen[],3,FALSE)*VLOOKUP($M145,Vloersoorten[],3,FALSE)*VLOOKUP($T145,Frequenties[],3,FALSE)*VLOOKUP($A145,Locaties[],3,FALSE),0)</f>
        <v>0</v>
      </c>
      <c r="W145" s="195">
        <f>Ruimtestaat[[#This Row],[Uitvoeringen werkdagen]]*Ruimtestaat[[#This Row],[Oppervlak (netto)]]</f>
        <v>22400</v>
      </c>
      <c r="X145" s="233">
        <f>IF(V145&gt;0,Ruimtestaat[[#This Row],[Prest. (m2 /jaar) werkdagen]]/Ruimtestaat[[#This Row],[Norm (m2/uur) werkdagen]],0)</f>
        <v>0</v>
      </c>
      <c r="Y145" s="234">
        <f>Ruimtestaat[[#This Row],[uren / jaar werkdagen]]*Tariefsopbouw!$D$38</f>
        <v>0</v>
      </c>
      <c r="Z145" s="33"/>
      <c r="AA145" s="33">
        <f>IF(Ruimtestaat[[#This Row],[Frequentie weekend]]&gt;0,VALUE(LEFT(Z145,1))*S145,0)</f>
        <v>0</v>
      </c>
      <c r="AB145" s="33">
        <f>IF($AA145&gt;0,VLOOKUP($K145,Ruimtegroepen[],3,FALSE)*VLOOKUP($M145,Vloersoorten[],3,FALSE)*VLOOKUP($Z145,Frequenties[],3,FALSE)*VLOOKUP(#REF!,Locaties[],3,FALSE),0)</f>
        <v>0</v>
      </c>
      <c r="AC145" s="33"/>
      <c r="AD145" s="33"/>
      <c r="AE145" s="33">
        <f>Ruimtestaat[[#This Row],[uren / jaar weekend]]*Tariefsopbouw!$D$40</f>
        <v>0</v>
      </c>
      <c r="AF145" s="79">
        <f>Ruimtestaat[[#This Row],[Prest. (m2 /jaar) weekend]]+Ruimtestaat[[#This Row],[Prest. (m2 /jaar) werkdagen]]</f>
        <v>22400</v>
      </c>
      <c r="AG145" s="79">
        <f>Ruimtestaat[[#This Row],[uren / jaar weekend]]+Ruimtestaat[[#This Row],[uren / jaar werkdagen]]</f>
        <v>0</v>
      </c>
      <c r="AH145" s="80">
        <f>Ruimtestaat[[#This Row],[kosten / jaar weekend]]+Ruimtestaat[[#This Row],[kosten / jaar werkdagen]]</f>
        <v>0</v>
      </c>
      <c r="HM145" s="78"/>
    </row>
    <row r="146" spans="1:221" ht="15" customHeight="1">
      <c r="A146" s="119">
        <v>1</v>
      </c>
      <c r="B146" s="21" t="str">
        <f>VLOOKUP(Ruimtestaat[[#This Row],[Code]],Locaties[#All],2,FALSE)</f>
        <v>IJburg College</v>
      </c>
      <c r="C146" s="21" t="str">
        <f>VLOOKUP(Ruimtestaat[[#This Row],[Code]],Locaties[#All],4,FALSE)</f>
        <v>Pampuslaan 1</v>
      </c>
      <c r="D146" s="223" t="str">
        <f>VLOOKUP(Ruimtestaat[[#This Row],[Code]],Locaties[#All],5,FALSE)</f>
        <v>1087 HP</v>
      </c>
      <c r="E146" s="223" t="str">
        <f>VLOOKUP(Ruimtestaat[[#This Row],[Code]],Locaties[#All],6,FALSE)</f>
        <v>Amsterdam</v>
      </c>
      <c r="F146" s="180"/>
      <c r="G146" s="180" t="s">
        <v>715</v>
      </c>
      <c r="H146" s="180" t="s">
        <v>663</v>
      </c>
      <c r="I146" s="180" t="s">
        <v>655</v>
      </c>
      <c r="J146" s="224" t="s">
        <v>702</v>
      </c>
      <c r="K146" s="180">
        <v>20</v>
      </c>
      <c r="L146" s="236" t="str">
        <f>VLOOKUP(Ruimtestaat[[#This Row],[Ruimte code]],Ruimtegroepen[#All],2,FALSE)</f>
        <v>Beroepspraktijklokalen</v>
      </c>
      <c r="M146" s="195" t="s">
        <v>111</v>
      </c>
      <c r="N146" s="180" t="s">
        <v>557</v>
      </c>
      <c r="O146" s="181">
        <v>102.65</v>
      </c>
      <c r="P146" s="193"/>
      <c r="Q146" s="223" t="str">
        <f>VLOOKUP(Ruimtestaat[[#This Row],[Ruimte code]],Ruimtegroepen[#All],4,FALSE)</f>
        <v>L  (Lesruimte)</v>
      </c>
      <c r="R146" s="194"/>
      <c r="S146" s="195">
        <v>40</v>
      </c>
      <c r="T146" s="195" t="s">
        <v>2</v>
      </c>
      <c r="U146" s="195">
        <f>IF(S146&gt;0,IF(RIGHT(Ruimtestaat[[#This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6" s="195">
        <f>IF(U146&gt;0,VLOOKUP($K146,Ruimtegroepen[],3,FALSE)*VLOOKUP($M146,Vloersoorten[],3,FALSE)*VLOOKUP($T146,Frequenties[],3,FALSE)*VLOOKUP($A146,Locaties[],3,FALSE),0)</f>
        <v>0</v>
      </c>
      <c r="W146" s="195">
        <f>Ruimtestaat[[#This Row],[Uitvoeringen werkdagen]]*Ruimtestaat[[#This Row],[Oppervlak (netto)]]</f>
        <v>20530</v>
      </c>
      <c r="X146" s="233">
        <f>IF(V146&gt;0,Ruimtestaat[[#This Row],[Prest. (m2 /jaar) werkdagen]]/Ruimtestaat[[#This Row],[Norm (m2/uur) werkdagen]],0)</f>
        <v>0</v>
      </c>
      <c r="Y146" s="234">
        <f>Ruimtestaat[[#This Row],[uren / jaar werkdagen]]*Tariefsopbouw!$D$38</f>
        <v>0</v>
      </c>
      <c r="Z146" s="33"/>
      <c r="AA146" s="33">
        <f>IF(Ruimtestaat[[#This Row],[Frequentie weekend]]&gt;0,VALUE(LEFT(Z146,1))*S146,0)</f>
        <v>0</v>
      </c>
      <c r="AB146" s="33">
        <f>IF($AA146&gt;0,VLOOKUP($K146,Ruimtegroepen[],3,FALSE)*VLOOKUP($M146,Vloersoorten[],3,FALSE)*VLOOKUP($Z146,Frequenties[],3,FALSE)*VLOOKUP(#REF!,Locaties[],3,FALSE),0)</f>
        <v>0</v>
      </c>
      <c r="AC146" s="33"/>
      <c r="AD146" s="33"/>
      <c r="AE146" s="33">
        <f>Ruimtestaat[[#This Row],[uren / jaar weekend]]*Tariefsopbouw!$D$40</f>
        <v>0</v>
      </c>
      <c r="AF146" s="79">
        <f>Ruimtestaat[[#This Row],[Prest. (m2 /jaar) weekend]]+Ruimtestaat[[#This Row],[Prest. (m2 /jaar) werkdagen]]</f>
        <v>20530</v>
      </c>
      <c r="AG146" s="79">
        <f>Ruimtestaat[[#This Row],[uren / jaar weekend]]+Ruimtestaat[[#This Row],[uren / jaar werkdagen]]</f>
        <v>0</v>
      </c>
      <c r="AH146" s="80">
        <f>Ruimtestaat[[#This Row],[kosten / jaar weekend]]+Ruimtestaat[[#This Row],[kosten / jaar werkdagen]]</f>
        <v>0</v>
      </c>
      <c r="HM146" s="78"/>
    </row>
    <row r="147" spans="1:221" ht="15" customHeight="1">
      <c r="A147" s="119">
        <v>1</v>
      </c>
      <c r="B147" s="21" t="str">
        <f>VLOOKUP(Ruimtestaat[[#This Row],[Code]],Locaties[#All],2,FALSE)</f>
        <v>IJburg College</v>
      </c>
      <c r="C147" s="21" t="str">
        <f>VLOOKUP(Ruimtestaat[[#This Row],[Code]],Locaties[#All],4,FALSE)</f>
        <v>Pampuslaan 1</v>
      </c>
      <c r="D147" s="223" t="str">
        <f>VLOOKUP(Ruimtestaat[[#This Row],[Code]],Locaties[#All],5,FALSE)</f>
        <v>1087 HP</v>
      </c>
      <c r="E147" s="223" t="str">
        <f>VLOOKUP(Ruimtestaat[[#This Row],[Code]],Locaties[#All],6,FALSE)</f>
        <v>Amsterdam</v>
      </c>
      <c r="F147" s="180"/>
      <c r="G147" s="180" t="s">
        <v>715</v>
      </c>
      <c r="H147" s="180" t="s">
        <v>664</v>
      </c>
      <c r="I147" s="180" t="s">
        <v>656</v>
      </c>
      <c r="J147" s="224" t="s">
        <v>703</v>
      </c>
      <c r="K147" s="180">
        <v>16</v>
      </c>
      <c r="L147" s="236" t="str">
        <f>VLOOKUP(Ruimtestaat[[#This Row],[Ruimte code]],Ruimtegroepen[#All],2,FALSE)</f>
        <v>Lokaal</v>
      </c>
      <c r="M147" s="195" t="s">
        <v>111</v>
      </c>
      <c r="N147" s="180" t="s">
        <v>557</v>
      </c>
      <c r="O147" s="181">
        <v>94.2</v>
      </c>
      <c r="P147" s="193"/>
      <c r="Q147" s="223" t="str">
        <f>VLOOKUP(Ruimtestaat[[#This Row],[Ruimte code]],Ruimtegroepen[#All],4,FALSE)</f>
        <v>L  (Lesruimte)</v>
      </c>
      <c r="R147" s="194"/>
      <c r="S147" s="195">
        <v>40</v>
      </c>
      <c r="T147" s="195" t="s">
        <v>2</v>
      </c>
      <c r="U147" s="195">
        <f>IF(S147&gt;0,IF(RIGHT(Ruimtestaat[[#This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7" s="195">
        <f>IF(U147&gt;0,VLOOKUP($K147,Ruimtegroepen[],3,FALSE)*VLOOKUP($M147,Vloersoorten[],3,FALSE)*VLOOKUP($T147,Frequenties[],3,FALSE)*VLOOKUP($A147,Locaties[],3,FALSE),0)</f>
        <v>0</v>
      </c>
      <c r="W147" s="195">
        <f>Ruimtestaat[[#This Row],[Uitvoeringen werkdagen]]*Ruimtestaat[[#This Row],[Oppervlak (netto)]]</f>
        <v>18840</v>
      </c>
      <c r="X147" s="233">
        <f>IF(V147&gt;0,Ruimtestaat[[#This Row],[Prest. (m2 /jaar) werkdagen]]/Ruimtestaat[[#This Row],[Norm (m2/uur) werkdagen]],0)</f>
        <v>0</v>
      </c>
      <c r="Y147" s="234">
        <f>Ruimtestaat[[#This Row],[uren / jaar werkdagen]]*Tariefsopbouw!$D$38</f>
        <v>0</v>
      </c>
      <c r="Z147" s="33"/>
      <c r="AA147" s="33">
        <f>IF(Ruimtestaat[[#This Row],[Frequentie weekend]]&gt;0,VALUE(LEFT(Z147,1))*S147,0)</f>
        <v>0</v>
      </c>
      <c r="AB147" s="33">
        <f>IF($AA147&gt;0,VLOOKUP($K147,Ruimtegroepen[],3,FALSE)*VLOOKUP($M147,Vloersoorten[],3,FALSE)*VLOOKUP($Z147,Frequenties[],3,FALSE)*VLOOKUP(#REF!,Locaties[],3,FALSE),0)</f>
        <v>0</v>
      </c>
      <c r="AC147" s="33"/>
      <c r="AD147" s="33"/>
      <c r="AE147" s="33">
        <f>Ruimtestaat[[#This Row],[uren / jaar weekend]]*Tariefsopbouw!$D$40</f>
        <v>0</v>
      </c>
      <c r="AF147" s="79">
        <f>Ruimtestaat[[#This Row],[Prest. (m2 /jaar) weekend]]+Ruimtestaat[[#This Row],[Prest. (m2 /jaar) werkdagen]]</f>
        <v>18840</v>
      </c>
      <c r="AG147" s="79">
        <f>Ruimtestaat[[#This Row],[uren / jaar weekend]]+Ruimtestaat[[#This Row],[uren / jaar werkdagen]]</f>
        <v>0</v>
      </c>
      <c r="AH147" s="80">
        <f>Ruimtestaat[[#This Row],[kosten / jaar weekend]]+Ruimtestaat[[#This Row],[kosten / jaar werkdagen]]</f>
        <v>0</v>
      </c>
      <c r="HM147" s="78"/>
    </row>
    <row r="148" spans="1:221" ht="15" customHeight="1">
      <c r="A148" s="119">
        <v>1</v>
      </c>
      <c r="B148" s="21" t="str">
        <f>VLOOKUP(Ruimtestaat[[#This Row],[Code]],Locaties[#All],2,FALSE)</f>
        <v>IJburg College</v>
      </c>
      <c r="C148" s="21" t="str">
        <f>VLOOKUP(Ruimtestaat[[#This Row],[Code]],Locaties[#All],4,FALSE)</f>
        <v>Pampuslaan 1</v>
      </c>
      <c r="D148" s="223" t="str">
        <f>VLOOKUP(Ruimtestaat[[#This Row],[Code]],Locaties[#All],5,FALSE)</f>
        <v>1087 HP</v>
      </c>
      <c r="E148" s="223" t="str">
        <f>VLOOKUP(Ruimtestaat[[#This Row],[Code]],Locaties[#All],6,FALSE)</f>
        <v>Amsterdam</v>
      </c>
      <c r="F148" s="180"/>
      <c r="G148" s="180" t="s">
        <v>715</v>
      </c>
      <c r="H148" s="180" t="s">
        <v>646</v>
      </c>
      <c r="I148" s="180" t="s">
        <v>657</v>
      </c>
      <c r="J148" s="224" t="s">
        <v>704</v>
      </c>
      <c r="K148" s="180">
        <v>11</v>
      </c>
      <c r="L148" s="236" t="str">
        <f>VLOOKUP(Ruimtestaat[[#This Row],[Ruimte code]],Ruimtegroepen[#All],2,FALSE)</f>
        <v>Praktijklokaal</v>
      </c>
      <c r="M148" s="195" t="s">
        <v>111</v>
      </c>
      <c r="N148" s="180" t="s">
        <v>557</v>
      </c>
      <c r="O148" s="181">
        <v>275</v>
      </c>
      <c r="P148" s="193"/>
      <c r="Q148" s="223" t="str">
        <f>VLOOKUP(Ruimtestaat[[#This Row],[Ruimte code]],Ruimtegroepen[#All],4,FALSE)</f>
        <v>L  (Lesruimte)</v>
      </c>
      <c r="R148" s="194"/>
      <c r="S148" s="195">
        <v>40</v>
      </c>
      <c r="T148" s="195" t="s">
        <v>2</v>
      </c>
      <c r="U148" s="195">
        <f>IF(S148&gt;0,IF(RIGHT(Ruimtestaat[[#This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8" s="195">
        <f>IF(U148&gt;0,VLOOKUP($K148,Ruimtegroepen[],3,FALSE)*VLOOKUP($M148,Vloersoorten[],3,FALSE)*VLOOKUP($T148,Frequenties[],3,FALSE)*VLOOKUP($A148,Locaties[],3,FALSE),0)</f>
        <v>0</v>
      </c>
      <c r="W148" s="195">
        <f>Ruimtestaat[[#This Row],[Uitvoeringen werkdagen]]*Ruimtestaat[[#This Row],[Oppervlak (netto)]]</f>
        <v>55000</v>
      </c>
      <c r="X148" s="233">
        <f>IF(V148&gt;0,Ruimtestaat[[#This Row],[Prest. (m2 /jaar) werkdagen]]/Ruimtestaat[[#This Row],[Norm (m2/uur) werkdagen]],0)</f>
        <v>0</v>
      </c>
      <c r="Y148" s="234">
        <f>Ruimtestaat[[#This Row],[uren / jaar werkdagen]]*Tariefsopbouw!$D$38</f>
        <v>0</v>
      </c>
      <c r="Z148" s="33"/>
      <c r="AA148" s="33">
        <f>IF(Ruimtestaat[[#This Row],[Frequentie weekend]]&gt;0,VALUE(LEFT(Z148,1))*S148,0)</f>
        <v>0</v>
      </c>
      <c r="AB148" s="33">
        <f>IF($AA148&gt;0,VLOOKUP($K148,Ruimtegroepen[],3,FALSE)*VLOOKUP($M148,Vloersoorten[],3,FALSE)*VLOOKUP($Z148,Frequenties[],3,FALSE)*VLOOKUP(#REF!,Locaties[],3,FALSE),0)</f>
        <v>0</v>
      </c>
      <c r="AC148" s="33"/>
      <c r="AD148" s="33"/>
      <c r="AE148" s="33">
        <f>Ruimtestaat[[#This Row],[uren / jaar weekend]]*Tariefsopbouw!$D$40</f>
        <v>0</v>
      </c>
      <c r="AF148" s="79">
        <f>Ruimtestaat[[#This Row],[Prest. (m2 /jaar) weekend]]+Ruimtestaat[[#This Row],[Prest. (m2 /jaar) werkdagen]]</f>
        <v>55000</v>
      </c>
      <c r="AG148" s="79">
        <f>Ruimtestaat[[#This Row],[uren / jaar weekend]]+Ruimtestaat[[#This Row],[uren / jaar werkdagen]]</f>
        <v>0</v>
      </c>
      <c r="AH148" s="80">
        <f>Ruimtestaat[[#This Row],[kosten / jaar weekend]]+Ruimtestaat[[#This Row],[kosten / jaar werkdagen]]</f>
        <v>0</v>
      </c>
      <c r="HM148" s="78"/>
    </row>
    <row r="149" spans="1:221" ht="15" customHeight="1">
      <c r="A149" s="119">
        <v>1</v>
      </c>
      <c r="B149" s="21" t="str">
        <f>VLOOKUP(Ruimtestaat[[#This Row],[Code]],Locaties[#All],2,FALSE)</f>
        <v>IJburg College</v>
      </c>
      <c r="C149" s="21" t="str">
        <f>VLOOKUP(Ruimtestaat[[#This Row],[Code]],Locaties[#All],4,FALSE)</f>
        <v>Pampuslaan 1</v>
      </c>
      <c r="D149" s="223" t="str">
        <f>VLOOKUP(Ruimtestaat[[#This Row],[Code]],Locaties[#All],5,FALSE)</f>
        <v>1087 HP</v>
      </c>
      <c r="E149" s="223" t="str">
        <f>VLOOKUP(Ruimtestaat[[#This Row],[Code]],Locaties[#All],6,FALSE)</f>
        <v>Amsterdam</v>
      </c>
      <c r="F149" s="180"/>
      <c r="G149" s="180" t="s">
        <v>715</v>
      </c>
      <c r="H149" s="180" t="s">
        <v>802</v>
      </c>
      <c r="I149" s="180" t="s">
        <v>658</v>
      </c>
      <c r="J149" s="224" t="s">
        <v>705</v>
      </c>
      <c r="K149" s="180">
        <v>13</v>
      </c>
      <c r="L149" s="236" t="str">
        <f>VLOOKUP(Ruimtestaat[[#This Row],[Ruimte code]],Ruimtegroepen[#All],2,FALSE)</f>
        <v>Kabinet</v>
      </c>
      <c r="M149" s="195" t="s">
        <v>111</v>
      </c>
      <c r="N149" s="180" t="s">
        <v>557</v>
      </c>
      <c r="O149" s="181">
        <v>32.4</v>
      </c>
      <c r="P149" s="193"/>
      <c r="Q149" s="223" t="str">
        <f>VLOOKUP(Ruimtestaat[[#This Row],[Ruimte code]],Ruimtegroepen[#All],4,FALSE)</f>
        <v>V  (Verkeersruimte)</v>
      </c>
      <c r="R149" s="194"/>
      <c r="S149" s="195">
        <v>40</v>
      </c>
      <c r="T149" s="195" t="s">
        <v>2</v>
      </c>
      <c r="U149" s="195">
        <f>IF(S149&gt;0,IF(RIGHT(Ruimtestaat[[#This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9" s="195">
        <f>IF(U149&gt;0,VLOOKUP($K149,Ruimtegroepen[],3,FALSE)*VLOOKUP($M149,Vloersoorten[],3,FALSE)*VLOOKUP($T149,Frequenties[],3,FALSE)*VLOOKUP($A149,Locaties[],3,FALSE),0)</f>
        <v>0</v>
      </c>
      <c r="W149" s="195">
        <f>Ruimtestaat[[#This Row],[Uitvoeringen werkdagen]]*Ruimtestaat[[#This Row],[Oppervlak (netto)]]</f>
        <v>6480</v>
      </c>
      <c r="X149" s="233">
        <f>IF(V149&gt;0,Ruimtestaat[[#This Row],[Prest. (m2 /jaar) werkdagen]]/Ruimtestaat[[#This Row],[Norm (m2/uur) werkdagen]],0)</f>
        <v>0</v>
      </c>
      <c r="Y149" s="234">
        <f>Ruimtestaat[[#This Row],[uren / jaar werkdagen]]*Tariefsopbouw!$D$38</f>
        <v>0</v>
      </c>
      <c r="Z149" s="33"/>
      <c r="AA149" s="33">
        <f>IF(Ruimtestaat[[#This Row],[Frequentie weekend]]&gt;0,VALUE(LEFT(Z149,1))*S149,0)</f>
        <v>0</v>
      </c>
      <c r="AB149" s="33">
        <f>IF($AA149&gt;0,VLOOKUP($K149,Ruimtegroepen[],3,FALSE)*VLOOKUP($M149,Vloersoorten[],3,FALSE)*VLOOKUP($Z149,Frequenties[],3,FALSE)*VLOOKUP(#REF!,Locaties[],3,FALSE),0)</f>
        <v>0</v>
      </c>
      <c r="AC149" s="33"/>
      <c r="AD149" s="33"/>
      <c r="AE149" s="33">
        <f>Ruimtestaat[[#This Row],[uren / jaar weekend]]*Tariefsopbouw!$D$40</f>
        <v>0</v>
      </c>
      <c r="AF149" s="79">
        <f>Ruimtestaat[[#This Row],[Prest. (m2 /jaar) weekend]]+Ruimtestaat[[#This Row],[Prest. (m2 /jaar) werkdagen]]</f>
        <v>6480</v>
      </c>
      <c r="AG149" s="79">
        <f>Ruimtestaat[[#This Row],[uren / jaar weekend]]+Ruimtestaat[[#This Row],[uren / jaar werkdagen]]</f>
        <v>0</v>
      </c>
      <c r="AH149" s="80">
        <f>Ruimtestaat[[#This Row],[kosten / jaar weekend]]+Ruimtestaat[[#This Row],[kosten / jaar werkdagen]]</f>
        <v>0</v>
      </c>
      <c r="HM149" s="78"/>
    </row>
    <row r="150" spans="1:221" ht="15" customHeight="1">
      <c r="A150" s="119">
        <v>1</v>
      </c>
      <c r="B150" s="21" t="str">
        <f>VLOOKUP(Ruimtestaat[[#This Row],[Code]],Locaties[#All],2,FALSE)</f>
        <v>IJburg College</v>
      </c>
      <c r="C150" s="21" t="str">
        <f>VLOOKUP(Ruimtestaat[[#This Row],[Code]],Locaties[#All],4,FALSE)</f>
        <v>Pampuslaan 1</v>
      </c>
      <c r="D150" s="223" t="str">
        <f>VLOOKUP(Ruimtestaat[[#This Row],[Code]],Locaties[#All],5,FALSE)</f>
        <v>1087 HP</v>
      </c>
      <c r="E150" s="223" t="str">
        <f>VLOOKUP(Ruimtestaat[[#This Row],[Code]],Locaties[#All],6,FALSE)</f>
        <v>Amsterdam</v>
      </c>
      <c r="F150" s="180"/>
      <c r="G150" s="180" t="s">
        <v>715</v>
      </c>
      <c r="H150" s="180" t="s">
        <v>695</v>
      </c>
      <c r="I150" s="180" t="s">
        <v>659</v>
      </c>
      <c r="J150" s="224" t="s">
        <v>542</v>
      </c>
      <c r="K150" s="180">
        <v>5</v>
      </c>
      <c r="L150" s="236" t="str">
        <f>VLOOKUP(Ruimtestaat[[#This Row],[Ruimte code]],Ruimtegroepen[#All],2,FALSE)</f>
        <v>Sanitair</v>
      </c>
      <c r="M150" s="195" t="s">
        <v>111</v>
      </c>
      <c r="N150" s="180" t="s">
        <v>558</v>
      </c>
      <c r="O150" s="181">
        <v>21.6</v>
      </c>
      <c r="P150" s="193"/>
      <c r="Q150" s="223" t="str">
        <f>VLOOKUP(Ruimtestaat[[#This Row],[Ruimte code]],Ruimtegroepen[#All],4,FALSE)</f>
        <v>S  (Sanitair)</v>
      </c>
      <c r="R150" s="194"/>
      <c r="S150" s="195">
        <v>40</v>
      </c>
      <c r="T150" s="195" t="s">
        <v>2</v>
      </c>
      <c r="U150" s="195">
        <f>IF(S150&gt;0,IF(RIGHT(Ruimtestaat[[#This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0" s="195">
        <f>IF(U150&gt;0,VLOOKUP($K150,Ruimtegroepen[],3,FALSE)*VLOOKUP($M150,Vloersoorten[],3,FALSE)*VLOOKUP($T150,Frequenties[],3,FALSE)*VLOOKUP($A150,Locaties[],3,FALSE),0)</f>
        <v>0</v>
      </c>
      <c r="W150" s="195">
        <f>Ruimtestaat[[#This Row],[Uitvoeringen werkdagen]]*Ruimtestaat[[#This Row],[Oppervlak (netto)]]</f>
        <v>4320</v>
      </c>
      <c r="X150" s="233">
        <f>IF(V150&gt;0,Ruimtestaat[[#This Row],[Prest. (m2 /jaar) werkdagen]]/Ruimtestaat[[#This Row],[Norm (m2/uur) werkdagen]],0)</f>
        <v>0</v>
      </c>
      <c r="Y150" s="234">
        <f>Ruimtestaat[[#This Row],[uren / jaar werkdagen]]*Tariefsopbouw!$D$38</f>
        <v>0</v>
      </c>
      <c r="Z150" s="33"/>
      <c r="AA150" s="33">
        <f>IF(Ruimtestaat[[#This Row],[Frequentie weekend]]&gt;0,VALUE(LEFT(Z150,1))*S150,0)</f>
        <v>0</v>
      </c>
      <c r="AB150" s="33">
        <f>IF($AA150&gt;0,VLOOKUP($K150,Ruimtegroepen[],3,FALSE)*VLOOKUP($M150,Vloersoorten[],3,FALSE)*VLOOKUP($Z150,Frequenties[],3,FALSE)*VLOOKUP(#REF!,Locaties[],3,FALSE),0)</f>
        <v>0</v>
      </c>
      <c r="AC150" s="33"/>
      <c r="AD150" s="33"/>
      <c r="AE150" s="33">
        <f>Ruimtestaat[[#This Row],[uren / jaar weekend]]*Tariefsopbouw!$D$40</f>
        <v>0</v>
      </c>
      <c r="AF150" s="79">
        <f>Ruimtestaat[[#This Row],[Prest. (m2 /jaar) weekend]]+Ruimtestaat[[#This Row],[Prest. (m2 /jaar) werkdagen]]</f>
        <v>4320</v>
      </c>
      <c r="AG150" s="79">
        <f>Ruimtestaat[[#This Row],[uren / jaar weekend]]+Ruimtestaat[[#This Row],[uren / jaar werkdagen]]</f>
        <v>0</v>
      </c>
      <c r="AH150" s="80">
        <f>Ruimtestaat[[#This Row],[kosten / jaar weekend]]+Ruimtestaat[[#This Row],[kosten / jaar werkdagen]]</f>
        <v>0</v>
      </c>
      <c r="HM150" s="78"/>
    </row>
    <row r="151" spans="1:221" ht="15" customHeight="1">
      <c r="A151" s="119">
        <v>1</v>
      </c>
      <c r="B151" s="21" t="str">
        <f>VLOOKUP(Ruimtestaat[[#This Row],[Code]],Locaties[#All],2,FALSE)</f>
        <v>IJburg College</v>
      </c>
      <c r="C151" s="21" t="str">
        <f>VLOOKUP(Ruimtestaat[[#This Row],[Code]],Locaties[#All],4,FALSE)</f>
        <v>Pampuslaan 1</v>
      </c>
      <c r="D151" s="223" t="str">
        <f>VLOOKUP(Ruimtestaat[[#This Row],[Code]],Locaties[#All],5,FALSE)</f>
        <v>1087 HP</v>
      </c>
      <c r="E151" s="223" t="str">
        <f>VLOOKUP(Ruimtestaat[[#This Row],[Code]],Locaties[#All],6,FALSE)</f>
        <v>Amsterdam</v>
      </c>
      <c r="F151" s="180"/>
      <c r="G151" s="180" t="s">
        <v>715</v>
      </c>
      <c r="H151" s="180" t="s">
        <v>696</v>
      </c>
      <c r="I151" s="180" t="s">
        <v>660</v>
      </c>
      <c r="J151" s="224" t="s">
        <v>543</v>
      </c>
      <c r="K151" s="180">
        <v>5</v>
      </c>
      <c r="L151" s="236" t="str">
        <f>VLOOKUP(Ruimtestaat[[#This Row],[Ruimte code]],Ruimtegroepen[#All],2,FALSE)</f>
        <v>Sanitair</v>
      </c>
      <c r="M151" s="195" t="s">
        <v>111</v>
      </c>
      <c r="N151" s="180" t="s">
        <v>558</v>
      </c>
      <c r="O151" s="181">
        <v>20.7</v>
      </c>
      <c r="P151" s="193"/>
      <c r="Q151" s="223" t="str">
        <f>VLOOKUP(Ruimtestaat[[#This Row],[Ruimte code]],Ruimtegroepen[#All],4,FALSE)</f>
        <v>S  (Sanitair)</v>
      </c>
      <c r="R151" s="194"/>
      <c r="S151" s="195">
        <v>40</v>
      </c>
      <c r="T151" s="195" t="s">
        <v>2</v>
      </c>
      <c r="U151" s="195">
        <f>IF(S151&gt;0,IF(RIGHT(Ruimtestaat[[#This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1" s="195">
        <f>IF(U151&gt;0,VLOOKUP($K151,Ruimtegroepen[],3,FALSE)*VLOOKUP($M151,Vloersoorten[],3,FALSE)*VLOOKUP($T151,Frequenties[],3,FALSE)*VLOOKUP($A151,Locaties[],3,FALSE),0)</f>
        <v>0</v>
      </c>
      <c r="W151" s="195">
        <f>Ruimtestaat[[#This Row],[Uitvoeringen werkdagen]]*Ruimtestaat[[#This Row],[Oppervlak (netto)]]</f>
        <v>4140</v>
      </c>
      <c r="X151" s="233">
        <f>IF(V151&gt;0,Ruimtestaat[[#This Row],[Prest. (m2 /jaar) werkdagen]]/Ruimtestaat[[#This Row],[Norm (m2/uur) werkdagen]],0)</f>
        <v>0</v>
      </c>
      <c r="Y151" s="234">
        <f>Ruimtestaat[[#This Row],[uren / jaar werkdagen]]*Tariefsopbouw!$D$38</f>
        <v>0</v>
      </c>
      <c r="Z151" s="33"/>
      <c r="AA151" s="33">
        <f>IF(Ruimtestaat[[#This Row],[Frequentie weekend]]&gt;0,VALUE(LEFT(Z151,1))*S151,0)</f>
        <v>0</v>
      </c>
      <c r="AB151" s="33">
        <f>IF($AA151&gt;0,VLOOKUP($K151,Ruimtegroepen[],3,FALSE)*VLOOKUP($M151,Vloersoorten[],3,FALSE)*VLOOKUP($Z151,Frequenties[],3,FALSE)*VLOOKUP(#REF!,Locaties[],3,FALSE),0)</f>
        <v>0</v>
      </c>
      <c r="AC151" s="33"/>
      <c r="AD151" s="33"/>
      <c r="AE151" s="33">
        <f>Ruimtestaat[[#This Row],[uren / jaar weekend]]*Tariefsopbouw!$D$40</f>
        <v>0</v>
      </c>
      <c r="AF151" s="79">
        <f>Ruimtestaat[[#This Row],[Prest. (m2 /jaar) weekend]]+Ruimtestaat[[#This Row],[Prest. (m2 /jaar) werkdagen]]</f>
        <v>4140</v>
      </c>
      <c r="AG151" s="79">
        <f>Ruimtestaat[[#This Row],[uren / jaar weekend]]+Ruimtestaat[[#This Row],[uren / jaar werkdagen]]</f>
        <v>0</v>
      </c>
      <c r="AH151" s="80">
        <f>Ruimtestaat[[#This Row],[kosten / jaar weekend]]+Ruimtestaat[[#This Row],[kosten / jaar werkdagen]]</f>
        <v>0</v>
      </c>
      <c r="HM151" s="78"/>
    </row>
    <row r="152" spans="1:221" ht="15" customHeight="1">
      <c r="A152" s="119">
        <v>1</v>
      </c>
      <c r="B152" s="21" t="str">
        <f>VLOOKUP(Ruimtestaat[[#This Row],[Code]],Locaties[#All],2,FALSE)</f>
        <v>IJburg College</v>
      </c>
      <c r="C152" s="21" t="str">
        <f>VLOOKUP(Ruimtestaat[[#This Row],[Code]],Locaties[#All],4,FALSE)</f>
        <v>Pampuslaan 1</v>
      </c>
      <c r="D152" s="223" t="str">
        <f>VLOOKUP(Ruimtestaat[[#This Row],[Code]],Locaties[#All],5,FALSE)</f>
        <v>1087 HP</v>
      </c>
      <c r="E152" s="223" t="str">
        <f>VLOOKUP(Ruimtestaat[[#This Row],[Code]],Locaties[#All],6,FALSE)</f>
        <v>Amsterdam</v>
      </c>
      <c r="F152" s="180"/>
      <c r="G152" s="180" t="s">
        <v>715</v>
      </c>
      <c r="H152" s="180">
        <v>2101</v>
      </c>
      <c r="I152" s="180" t="s">
        <v>661</v>
      </c>
      <c r="J152" s="224" t="s">
        <v>628</v>
      </c>
      <c r="K152" s="180">
        <v>10</v>
      </c>
      <c r="L152" s="236" t="str">
        <f>VLOOKUP(Ruimtestaat[[#This Row],[Ruimte code]],Ruimtegroepen[#All],2,FALSE)</f>
        <v>Trappenhuizen/lift</v>
      </c>
      <c r="M152" s="195" t="s">
        <v>111</v>
      </c>
      <c r="N152" s="180" t="s">
        <v>557</v>
      </c>
      <c r="O152" s="181">
        <v>35</v>
      </c>
      <c r="P152" s="193"/>
      <c r="Q152" s="223" t="str">
        <f>VLOOKUP(Ruimtestaat[[#This Row],[Ruimte code]],Ruimtegroepen[#All],4,FALSE)</f>
        <v>V  (Verkeersruimte)</v>
      </c>
      <c r="R152" s="194"/>
      <c r="S152" s="195">
        <v>40</v>
      </c>
      <c r="T152" s="195" t="s">
        <v>2</v>
      </c>
      <c r="U152" s="195">
        <f>IF(S152&gt;0,IF(RIGHT(Ruimtestaat[[#This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2" s="195">
        <f>IF(U152&gt;0,VLOOKUP($K152,Ruimtegroepen[],3,FALSE)*VLOOKUP($M152,Vloersoorten[],3,FALSE)*VLOOKUP($T152,Frequenties[],3,FALSE)*VLOOKUP($A152,Locaties[],3,FALSE),0)</f>
        <v>0</v>
      </c>
      <c r="W152" s="195">
        <f>Ruimtestaat[[#This Row],[Uitvoeringen werkdagen]]*Ruimtestaat[[#This Row],[Oppervlak (netto)]]</f>
        <v>7000</v>
      </c>
      <c r="X152" s="233">
        <f>IF(V152&gt;0,Ruimtestaat[[#This Row],[Prest. (m2 /jaar) werkdagen]]/Ruimtestaat[[#This Row],[Norm (m2/uur) werkdagen]],0)</f>
        <v>0</v>
      </c>
      <c r="Y152" s="234">
        <f>Ruimtestaat[[#This Row],[uren / jaar werkdagen]]*Tariefsopbouw!$D$38</f>
        <v>0</v>
      </c>
      <c r="Z152" s="33"/>
      <c r="AA152" s="33">
        <f>IF(Ruimtestaat[[#This Row],[Frequentie weekend]]&gt;0,VALUE(LEFT(Z152,1))*S152,0)</f>
        <v>0</v>
      </c>
      <c r="AB152" s="33">
        <f>IF($AA152&gt;0,VLOOKUP($K152,Ruimtegroepen[],3,FALSE)*VLOOKUP($M152,Vloersoorten[],3,FALSE)*VLOOKUP($Z152,Frequenties[],3,FALSE)*VLOOKUP(#REF!,Locaties[],3,FALSE),0)</f>
        <v>0</v>
      </c>
      <c r="AC152" s="33"/>
      <c r="AD152" s="33"/>
      <c r="AE152" s="33">
        <f>Ruimtestaat[[#This Row],[uren / jaar weekend]]*Tariefsopbouw!$D$40</f>
        <v>0</v>
      </c>
      <c r="AF152" s="79">
        <f>Ruimtestaat[[#This Row],[Prest. (m2 /jaar) weekend]]+Ruimtestaat[[#This Row],[Prest. (m2 /jaar) werkdagen]]</f>
        <v>7000</v>
      </c>
      <c r="AG152" s="79">
        <f>Ruimtestaat[[#This Row],[uren / jaar weekend]]+Ruimtestaat[[#This Row],[uren / jaar werkdagen]]</f>
        <v>0</v>
      </c>
      <c r="AH152" s="80">
        <f>Ruimtestaat[[#This Row],[kosten / jaar weekend]]+Ruimtestaat[[#This Row],[kosten / jaar werkdagen]]</f>
        <v>0</v>
      </c>
      <c r="HM152" s="78"/>
    </row>
    <row r="153" spans="1:221" ht="15" customHeight="1">
      <c r="A153" s="119">
        <v>1</v>
      </c>
      <c r="B153" s="21" t="str">
        <f>VLOOKUP(Ruimtestaat[[#This Row],[Code]],Locaties[#All],2,FALSE)</f>
        <v>IJburg College</v>
      </c>
      <c r="C153" s="21" t="str">
        <f>VLOOKUP(Ruimtestaat[[#This Row],[Code]],Locaties[#All],4,FALSE)</f>
        <v>Pampuslaan 1</v>
      </c>
      <c r="D153" s="223" t="str">
        <f>VLOOKUP(Ruimtestaat[[#This Row],[Code]],Locaties[#All],5,FALSE)</f>
        <v>1087 HP</v>
      </c>
      <c r="E153" s="223" t="str">
        <f>VLOOKUP(Ruimtestaat[[#This Row],[Code]],Locaties[#All],6,FALSE)</f>
        <v>Amsterdam</v>
      </c>
      <c r="F153" s="180"/>
      <c r="G153" s="180" t="s">
        <v>715</v>
      </c>
      <c r="H153" s="180" t="s">
        <v>670</v>
      </c>
      <c r="I153" s="180" t="s">
        <v>662</v>
      </c>
      <c r="J153" s="224" t="s">
        <v>706</v>
      </c>
      <c r="K153" s="180">
        <v>20</v>
      </c>
      <c r="L153" s="236" t="str">
        <f>VLOOKUP(Ruimtestaat[[#This Row],[Ruimte code]],Ruimtegroepen[#All],2,FALSE)</f>
        <v>Beroepspraktijklokalen</v>
      </c>
      <c r="M153" s="195" t="s">
        <v>111</v>
      </c>
      <c r="N153" s="180" t="s">
        <v>557</v>
      </c>
      <c r="O153" s="181">
        <v>134</v>
      </c>
      <c r="P153" s="193"/>
      <c r="Q153" s="223" t="str">
        <f>VLOOKUP(Ruimtestaat[[#This Row],[Ruimte code]],Ruimtegroepen[#All],4,FALSE)</f>
        <v>L  (Lesruimte)</v>
      </c>
      <c r="R153" s="194"/>
      <c r="S153" s="195">
        <v>40</v>
      </c>
      <c r="T153" s="195" t="s">
        <v>2</v>
      </c>
      <c r="U153" s="195">
        <f>IF(S153&gt;0,IF(RIGHT(Ruimtestaat[[#This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3" s="195">
        <f>IF(U153&gt;0,VLOOKUP($K153,Ruimtegroepen[],3,FALSE)*VLOOKUP($M153,Vloersoorten[],3,FALSE)*VLOOKUP($T153,Frequenties[],3,FALSE)*VLOOKUP($A153,Locaties[],3,FALSE),0)</f>
        <v>0</v>
      </c>
      <c r="W153" s="195">
        <f>Ruimtestaat[[#This Row],[Uitvoeringen werkdagen]]*Ruimtestaat[[#This Row],[Oppervlak (netto)]]</f>
        <v>26800</v>
      </c>
      <c r="X153" s="233">
        <f>IF(V153&gt;0,Ruimtestaat[[#This Row],[Prest. (m2 /jaar) werkdagen]]/Ruimtestaat[[#This Row],[Norm (m2/uur) werkdagen]],0)</f>
        <v>0</v>
      </c>
      <c r="Y153" s="234">
        <f>Ruimtestaat[[#This Row],[uren / jaar werkdagen]]*Tariefsopbouw!$D$38</f>
        <v>0</v>
      </c>
      <c r="Z153" s="33"/>
      <c r="AA153" s="33">
        <f>IF(Ruimtestaat[[#This Row],[Frequentie weekend]]&gt;0,VALUE(LEFT(Z153,1))*S153,0)</f>
        <v>0</v>
      </c>
      <c r="AB153" s="33">
        <f>IF($AA153&gt;0,VLOOKUP($K153,Ruimtegroepen[],3,FALSE)*VLOOKUP($M153,Vloersoorten[],3,FALSE)*VLOOKUP($Z153,Frequenties[],3,FALSE)*VLOOKUP(#REF!,Locaties[],3,FALSE),0)</f>
        <v>0</v>
      </c>
      <c r="AC153" s="33"/>
      <c r="AD153" s="33"/>
      <c r="AE153" s="33">
        <f>Ruimtestaat[[#This Row],[uren / jaar weekend]]*Tariefsopbouw!$D$40</f>
        <v>0</v>
      </c>
      <c r="AF153" s="79">
        <f>Ruimtestaat[[#This Row],[Prest. (m2 /jaar) weekend]]+Ruimtestaat[[#This Row],[Prest. (m2 /jaar) werkdagen]]</f>
        <v>26800</v>
      </c>
      <c r="AG153" s="79">
        <f>Ruimtestaat[[#This Row],[uren / jaar weekend]]+Ruimtestaat[[#This Row],[uren / jaar werkdagen]]</f>
        <v>0</v>
      </c>
      <c r="AH153" s="80">
        <f>Ruimtestaat[[#This Row],[kosten / jaar weekend]]+Ruimtestaat[[#This Row],[kosten / jaar werkdagen]]</f>
        <v>0</v>
      </c>
      <c r="HM153" s="78"/>
    </row>
    <row r="154" spans="1:221" ht="15" customHeight="1">
      <c r="A154" s="119">
        <v>1</v>
      </c>
      <c r="B154" s="21" t="str">
        <f>VLOOKUP(Ruimtestaat[[#This Row],[Code]],Locaties[#All],2,FALSE)</f>
        <v>IJburg College</v>
      </c>
      <c r="C154" s="21" t="str">
        <f>VLOOKUP(Ruimtestaat[[#This Row],[Code]],Locaties[#All],4,FALSE)</f>
        <v>Pampuslaan 1</v>
      </c>
      <c r="D154" s="223" t="str">
        <f>VLOOKUP(Ruimtestaat[[#This Row],[Code]],Locaties[#All],5,FALSE)</f>
        <v>1087 HP</v>
      </c>
      <c r="E154" s="223" t="str">
        <f>VLOOKUP(Ruimtestaat[[#This Row],[Code]],Locaties[#All],6,FALSE)</f>
        <v>Amsterdam</v>
      </c>
      <c r="F154" s="180"/>
      <c r="G154" s="180" t="s">
        <v>715</v>
      </c>
      <c r="H154" s="180" t="s">
        <v>803</v>
      </c>
      <c r="I154" s="180" t="s">
        <v>663</v>
      </c>
      <c r="J154" s="224" t="s">
        <v>627</v>
      </c>
      <c r="K154" s="180">
        <v>21</v>
      </c>
      <c r="L154" s="236" t="str">
        <f>VLOOKUP(Ruimtestaat[[#This Row],[Ruimte code]],Ruimtegroepen[#All],2,FALSE)</f>
        <v>Niet in onderhoud</v>
      </c>
      <c r="M154" s="195" t="s">
        <v>111</v>
      </c>
      <c r="N154" s="180" t="s">
        <v>557</v>
      </c>
      <c r="O154" s="181"/>
      <c r="P154" s="181">
        <v>61</v>
      </c>
      <c r="Q154" s="223" t="str">
        <f>VLOOKUP(Ruimtestaat[[#This Row],[Ruimte code]],Ruimtegroepen[#All],4,FALSE)</f>
        <v>Niet in onderhoud</v>
      </c>
      <c r="R154" s="194"/>
      <c r="S154" s="195"/>
      <c r="T154" s="195"/>
      <c r="U154" s="195">
        <f>IF(S154&gt;0,IF(RIGHT(Ruimtestaat[[#This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54" s="195">
        <f>IF(U154&gt;0,VLOOKUP($K154,Ruimtegroepen[],3,FALSE)*VLOOKUP($M154,Vloersoorten[],3,FALSE)*VLOOKUP($T154,Frequenties[],3,FALSE)*VLOOKUP($A154,Locaties[],3,FALSE),0)</f>
        <v>0</v>
      </c>
      <c r="W154" s="195">
        <f>Ruimtestaat[[#This Row],[Uitvoeringen werkdagen]]*Ruimtestaat[[#This Row],[Oppervlak (netto)]]</f>
        <v>0</v>
      </c>
      <c r="X154" s="233">
        <f>IF(V154&gt;0,Ruimtestaat[[#This Row],[Prest. (m2 /jaar) werkdagen]]/Ruimtestaat[[#This Row],[Norm (m2/uur) werkdagen]],0)</f>
        <v>0</v>
      </c>
      <c r="Y154" s="234">
        <f>Ruimtestaat[[#This Row],[uren / jaar werkdagen]]*Tariefsopbouw!$D$38</f>
        <v>0</v>
      </c>
      <c r="Z154" s="33"/>
      <c r="AA154" s="33">
        <f>IF(Ruimtestaat[[#This Row],[Frequentie weekend]]&gt;0,VALUE(LEFT(Z154,1))*S154,0)</f>
        <v>0</v>
      </c>
      <c r="AB154" s="33">
        <f>IF($AA154&gt;0,VLOOKUP($K154,Ruimtegroepen[],3,FALSE)*VLOOKUP($M154,Vloersoorten[],3,FALSE)*VLOOKUP($Z154,Frequenties[],3,FALSE)*VLOOKUP(#REF!,Locaties[],3,FALSE),0)</f>
        <v>0</v>
      </c>
      <c r="AC154" s="33"/>
      <c r="AD154" s="33"/>
      <c r="AE154" s="33">
        <f>Ruimtestaat[[#This Row],[uren / jaar weekend]]*Tariefsopbouw!$D$40</f>
        <v>0</v>
      </c>
      <c r="AF154" s="79">
        <f>Ruimtestaat[[#This Row],[Prest. (m2 /jaar) weekend]]+Ruimtestaat[[#This Row],[Prest. (m2 /jaar) werkdagen]]</f>
        <v>0</v>
      </c>
      <c r="AG154" s="79">
        <f>Ruimtestaat[[#This Row],[uren / jaar weekend]]+Ruimtestaat[[#This Row],[uren / jaar werkdagen]]</f>
        <v>0</v>
      </c>
      <c r="AH154" s="80">
        <f>Ruimtestaat[[#This Row],[kosten / jaar weekend]]+Ruimtestaat[[#This Row],[kosten / jaar werkdagen]]</f>
        <v>0</v>
      </c>
      <c r="HM154" s="78"/>
    </row>
    <row r="155" spans="1:221" ht="15" customHeight="1">
      <c r="A155" s="119">
        <v>1</v>
      </c>
      <c r="B155" s="21" t="str">
        <f>VLOOKUP(Ruimtestaat[[#This Row],[Code]],Locaties[#All],2,FALSE)</f>
        <v>IJburg College</v>
      </c>
      <c r="C155" s="21" t="str">
        <f>VLOOKUP(Ruimtestaat[[#This Row],[Code]],Locaties[#All],4,FALSE)</f>
        <v>Pampuslaan 1</v>
      </c>
      <c r="D155" s="223" t="str">
        <f>VLOOKUP(Ruimtestaat[[#This Row],[Code]],Locaties[#All],5,FALSE)</f>
        <v>1087 HP</v>
      </c>
      <c r="E155" s="223" t="str">
        <f>VLOOKUP(Ruimtestaat[[#This Row],[Code]],Locaties[#All],6,FALSE)</f>
        <v>Amsterdam</v>
      </c>
      <c r="F155" s="180"/>
      <c r="G155" s="180" t="s">
        <v>715</v>
      </c>
      <c r="H155" s="180" t="s">
        <v>804</v>
      </c>
      <c r="I155" s="180" t="s">
        <v>664</v>
      </c>
      <c r="J155" s="224" t="s">
        <v>707</v>
      </c>
      <c r="K155" s="180">
        <v>21</v>
      </c>
      <c r="L155" s="236" t="str">
        <f>VLOOKUP(Ruimtestaat[[#This Row],[Ruimte code]],Ruimtegroepen[#All],2,FALSE)</f>
        <v>Niet in onderhoud</v>
      </c>
      <c r="M155" s="195" t="s">
        <v>111</v>
      </c>
      <c r="N155" s="180" t="s">
        <v>557</v>
      </c>
      <c r="O155" s="181"/>
      <c r="P155" s="193">
        <v>2</v>
      </c>
      <c r="Q155" s="223" t="str">
        <f>VLOOKUP(Ruimtestaat[[#This Row],[Ruimte code]],Ruimtegroepen[#All],4,FALSE)</f>
        <v>Niet in onderhoud</v>
      </c>
      <c r="R155" s="194"/>
      <c r="S155" s="195"/>
      <c r="T155" s="195"/>
      <c r="U155" s="195">
        <f>IF(S155&gt;0,IF(RIGHT(Ruimtestaat[[#This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55" s="195">
        <f>IF(U155&gt;0,VLOOKUP($K155,Ruimtegroepen[],3,FALSE)*VLOOKUP($M155,Vloersoorten[],3,FALSE)*VLOOKUP($T155,Frequenties[],3,FALSE)*VLOOKUP($A155,Locaties[],3,FALSE),0)</f>
        <v>0</v>
      </c>
      <c r="W155" s="195">
        <f>Ruimtestaat[[#This Row],[Uitvoeringen werkdagen]]*Ruimtestaat[[#This Row],[Oppervlak (netto)]]</f>
        <v>0</v>
      </c>
      <c r="X155" s="233">
        <f>IF(V155&gt;0,Ruimtestaat[[#This Row],[Prest. (m2 /jaar) werkdagen]]/Ruimtestaat[[#This Row],[Norm (m2/uur) werkdagen]],0)</f>
        <v>0</v>
      </c>
      <c r="Y155" s="234">
        <f>Ruimtestaat[[#This Row],[uren / jaar werkdagen]]*Tariefsopbouw!$D$38</f>
        <v>0</v>
      </c>
      <c r="Z155" s="33"/>
      <c r="AA155" s="33">
        <f>IF(Ruimtestaat[[#This Row],[Frequentie weekend]]&gt;0,VALUE(LEFT(Z155,1))*S155,0)</f>
        <v>0</v>
      </c>
      <c r="AB155" s="33">
        <f>IF($AA155&gt;0,VLOOKUP($K155,Ruimtegroepen[],3,FALSE)*VLOOKUP($M155,Vloersoorten[],3,FALSE)*VLOOKUP($Z155,Frequenties[],3,FALSE)*VLOOKUP(#REF!,Locaties[],3,FALSE),0)</f>
        <v>0</v>
      </c>
      <c r="AC155" s="33"/>
      <c r="AD155" s="33"/>
      <c r="AE155" s="33">
        <f>Ruimtestaat[[#This Row],[uren / jaar weekend]]*Tariefsopbouw!$D$40</f>
        <v>0</v>
      </c>
      <c r="AF155" s="79">
        <f>Ruimtestaat[[#This Row],[Prest. (m2 /jaar) weekend]]+Ruimtestaat[[#This Row],[Prest. (m2 /jaar) werkdagen]]</f>
        <v>0</v>
      </c>
      <c r="AG155" s="79">
        <f>Ruimtestaat[[#This Row],[uren / jaar weekend]]+Ruimtestaat[[#This Row],[uren / jaar werkdagen]]</f>
        <v>0</v>
      </c>
      <c r="AH155" s="80">
        <f>Ruimtestaat[[#This Row],[kosten / jaar weekend]]+Ruimtestaat[[#This Row],[kosten / jaar werkdagen]]</f>
        <v>0</v>
      </c>
      <c r="HM155" s="78"/>
    </row>
    <row r="156" spans="1:221" ht="15" customHeight="1">
      <c r="A156" s="119">
        <v>1</v>
      </c>
      <c r="B156" s="21" t="str">
        <f>VLOOKUP(Ruimtestaat[[#This Row],[Code]],Locaties[#All],2,FALSE)</f>
        <v>IJburg College</v>
      </c>
      <c r="C156" s="21" t="str">
        <f>VLOOKUP(Ruimtestaat[[#This Row],[Code]],Locaties[#All],4,FALSE)</f>
        <v>Pampuslaan 1</v>
      </c>
      <c r="D156" s="223" t="str">
        <f>VLOOKUP(Ruimtestaat[[#This Row],[Code]],Locaties[#All],5,FALSE)</f>
        <v>1087 HP</v>
      </c>
      <c r="E156" s="223" t="str">
        <f>VLOOKUP(Ruimtestaat[[#This Row],[Code]],Locaties[#All],6,FALSE)</f>
        <v>Amsterdam</v>
      </c>
      <c r="F156" s="180"/>
      <c r="G156" s="180" t="s">
        <v>715</v>
      </c>
      <c r="H156" s="180" t="s">
        <v>805</v>
      </c>
      <c r="I156" s="180" t="s">
        <v>665</v>
      </c>
      <c r="J156" s="224" t="s">
        <v>533</v>
      </c>
      <c r="K156" s="180">
        <v>21</v>
      </c>
      <c r="L156" s="236" t="str">
        <f>VLOOKUP(Ruimtestaat[[#This Row],[Ruimte code]],Ruimtegroepen[#All],2,FALSE)</f>
        <v>Niet in onderhoud</v>
      </c>
      <c r="M156" s="223" t="s">
        <v>111</v>
      </c>
      <c r="N156" s="180" t="s">
        <v>557</v>
      </c>
      <c r="O156" s="181"/>
      <c r="P156" s="193">
        <v>3</v>
      </c>
      <c r="Q156" s="223" t="str">
        <f>VLOOKUP(Ruimtestaat[[#This Row],[Ruimte code]],Ruimtegroepen[#All],4,FALSE)</f>
        <v>Niet in onderhoud</v>
      </c>
      <c r="R156" s="194"/>
      <c r="S156" s="195"/>
      <c r="T156" s="195"/>
      <c r="U156" s="195">
        <f>IF(S156&gt;0,IF(RIGHT(Ruimtestaat[[#This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56" s="195">
        <f>IF(U156&gt;0,VLOOKUP($K156,Ruimtegroepen[],3,FALSE)*VLOOKUP($M156,Vloersoorten[],3,FALSE)*VLOOKUP($T156,Frequenties[],3,FALSE)*VLOOKUP($A156,Locaties[],3,FALSE),0)</f>
        <v>0</v>
      </c>
      <c r="W156" s="195">
        <f>Ruimtestaat[[#This Row],[Uitvoeringen werkdagen]]*Ruimtestaat[[#This Row],[Oppervlak (netto)]]</f>
        <v>0</v>
      </c>
      <c r="X156" s="233">
        <f>IF(V156&gt;0,Ruimtestaat[[#This Row],[Prest. (m2 /jaar) werkdagen]]/Ruimtestaat[[#This Row],[Norm (m2/uur) werkdagen]],0)</f>
        <v>0</v>
      </c>
      <c r="Y156" s="234">
        <f>Ruimtestaat[[#This Row],[uren / jaar werkdagen]]*Tariefsopbouw!$D$38</f>
        <v>0</v>
      </c>
      <c r="Z156" s="33"/>
      <c r="AA156" s="33">
        <f>IF(Ruimtestaat[[#This Row],[Frequentie weekend]]&gt;0,VALUE(LEFT(Z156,1))*S156,0)</f>
        <v>0</v>
      </c>
      <c r="AB156" s="33">
        <f>IF($AA156&gt;0,VLOOKUP($K156,Ruimtegroepen[],3,FALSE)*VLOOKUP($M156,Vloersoorten[],3,FALSE)*VLOOKUP($Z156,Frequenties[],3,FALSE)*VLOOKUP(#REF!,Locaties[],3,FALSE),0)</f>
        <v>0</v>
      </c>
      <c r="AC156" s="33"/>
      <c r="AD156" s="33"/>
      <c r="AE156" s="33">
        <f>Ruimtestaat[[#This Row],[uren / jaar weekend]]*Tariefsopbouw!$D$40</f>
        <v>0</v>
      </c>
      <c r="AF156" s="79">
        <f>Ruimtestaat[[#This Row],[Prest. (m2 /jaar) weekend]]+Ruimtestaat[[#This Row],[Prest. (m2 /jaar) werkdagen]]</f>
        <v>0</v>
      </c>
      <c r="AG156" s="79">
        <f>Ruimtestaat[[#This Row],[uren / jaar weekend]]+Ruimtestaat[[#This Row],[uren / jaar werkdagen]]</f>
        <v>0</v>
      </c>
      <c r="AH156" s="80">
        <f>Ruimtestaat[[#This Row],[kosten / jaar weekend]]+Ruimtestaat[[#This Row],[kosten / jaar werkdagen]]</f>
        <v>0</v>
      </c>
      <c r="HM156" s="78"/>
    </row>
    <row r="157" spans="1:221" ht="15" customHeight="1">
      <c r="A157" s="119">
        <v>1</v>
      </c>
      <c r="B157" s="21" t="str">
        <f>VLOOKUP(Ruimtestaat[[#This Row],[Code]],Locaties[#All],2,FALSE)</f>
        <v>IJburg College</v>
      </c>
      <c r="C157" s="21" t="str">
        <f>VLOOKUP(Ruimtestaat[[#This Row],[Code]],Locaties[#All],4,FALSE)</f>
        <v>Pampuslaan 1</v>
      </c>
      <c r="D157" s="223" t="str">
        <f>VLOOKUP(Ruimtestaat[[#This Row],[Code]],Locaties[#All],5,FALSE)</f>
        <v>1087 HP</v>
      </c>
      <c r="E157" s="223" t="str">
        <f>VLOOKUP(Ruimtestaat[[#This Row],[Code]],Locaties[#All],6,FALSE)</f>
        <v>Amsterdam</v>
      </c>
      <c r="F157" s="180"/>
      <c r="G157" s="180" t="s">
        <v>715</v>
      </c>
      <c r="H157" s="180" t="s">
        <v>806</v>
      </c>
      <c r="I157" s="180" t="s">
        <v>666</v>
      </c>
      <c r="J157" s="224" t="s">
        <v>708</v>
      </c>
      <c r="K157" s="180">
        <v>6</v>
      </c>
      <c r="L157" s="236" t="str">
        <f>VLOOKUP(Ruimtestaat[[#This Row],[Ruimte code]],Ruimtegroepen[#All],2,FALSE)</f>
        <v>Gangen/hallen</v>
      </c>
      <c r="M157" s="195" t="s">
        <v>111</v>
      </c>
      <c r="N157" s="180" t="s">
        <v>557</v>
      </c>
      <c r="O157" s="181">
        <v>45</v>
      </c>
      <c r="P157" s="193"/>
      <c r="Q157" s="223" t="str">
        <f>VLOOKUP(Ruimtestaat[[#This Row],[Ruimte code]],Ruimtegroepen[#All],4,FALSE)</f>
        <v>V  (Verkeersruimte)</v>
      </c>
      <c r="R157" s="194"/>
      <c r="S157" s="195">
        <v>40</v>
      </c>
      <c r="T157" s="195" t="s">
        <v>2</v>
      </c>
      <c r="U157" s="195">
        <f>IF(S157&gt;0,IF(RIGHT(Ruimtestaat[[#This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7" s="195">
        <f>IF(U157&gt;0,VLOOKUP($K157,Ruimtegroepen[],3,FALSE)*VLOOKUP($M157,Vloersoorten[],3,FALSE)*VLOOKUP($T157,Frequenties[],3,FALSE)*VLOOKUP($A157,Locaties[],3,FALSE),0)</f>
        <v>0</v>
      </c>
      <c r="W157" s="195">
        <f>Ruimtestaat[[#This Row],[Uitvoeringen werkdagen]]*Ruimtestaat[[#This Row],[Oppervlak (netto)]]</f>
        <v>9000</v>
      </c>
      <c r="X157" s="233">
        <f>IF(V157&gt;0,Ruimtestaat[[#This Row],[Prest. (m2 /jaar) werkdagen]]/Ruimtestaat[[#This Row],[Norm (m2/uur) werkdagen]],0)</f>
        <v>0</v>
      </c>
      <c r="Y157" s="234">
        <f>Ruimtestaat[[#This Row],[uren / jaar werkdagen]]*Tariefsopbouw!$D$38</f>
        <v>0</v>
      </c>
      <c r="Z157" s="33"/>
      <c r="AA157" s="33">
        <f>IF(Ruimtestaat[[#This Row],[Frequentie weekend]]&gt;0,VALUE(LEFT(Z157,1))*S157,0)</f>
        <v>0</v>
      </c>
      <c r="AB157" s="33">
        <f>IF($AA157&gt;0,VLOOKUP($K157,Ruimtegroepen[],3,FALSE)*VLOOKUP($M157,Vloersoorten[],3,FALSE)*VLOOKUP($Z157,Frequenties[],3,FALSE)*VLOOKUP(#REF!,Locaties[],3,FALSE),0)</f>
        <v>0</v>
      </c>
      <c r="AC157" s="33"/>
      <c r="AD157" s="33"/>
      <c r="AE157" s="33">
        <f>Ruimtestaat[[#This Row],[uren / jaar weekend]]*Tariefsopbouw!$D$40</f>
        <v>0</v>
      </c>
      <c r="AF157" s="79">
        <f>Ruimtestaat[[#This Row],[Prest. (m2 /jaar) weekend]]+Ruimtestaat[[#This Row],[Prest. (m2 /jaar) werkdagen]]</f>
        <v>9000</v>
      </c>
      <c r="AG157" s="79">
        <f>Ruimtestaat[[#This Row],[uren / jaar weekend]]+Ruimtestaat[[#This Row],[uren / jaar werkdagen]]</f>
        <v>0</v>
      </c>
      <c r="AH157" s="80">
        <f>Ruimtestaat[[#This Row],[kosten / jaar weekend]]+Ruimtestaat[[#This Row],[kosten / jaar werkdagen]]</f>
        <v>0</v>
      </c>
      <c r="HM157" s="78"/>
    </row>
    <row r="158" spans="1:221" ht="15" customHeight="1">
      <c r="A158" s="119">
        <v>1</v>
      </c>
      <c r="B158" s="21" t="str">
        <f>VLOOKUP(Ruimtestaat[[#This Row],[Code]],Locaties[#All],2,FALSE)</f>
        <v>IJburg College</v>
      </c>
      <c r="C158" s="21" t="str">
        <f>VLOOKUP(Ruimtestaat[[#This Row],[Code]],Locaties[#All],4,FALSE)</f>
        <v>Pampuslaan 1</v>
      </c>
      <c r="D158" s="223" t="str">
        <f>VLOOKUP(Ruimtestaat[[#This Row],[Code]],Locaties[#All],5,FALSE)</f>
        <v>1087 HP</v>
      </c>
      <c r="E158" s="223" t="str">
        <f>VLOOKUP(Ruimtestaat[[#This Row],[Code]],Locaties[#All],6,FALSE)</f>
        <v>Amsterdam</v>
      </c>
      <c r="F158" s="180"/>
      <c r="G158" s="180" t="s">
        <v>715</v>
      </c>
      <c r="H158" s="180"/>
      <c r="I158" s="180"/>
      <c r="J158" s="224" t="s">
        <v>709</v>
      </c>
      <c r="K158" s="180">
        <v>10</v>
      </c>
      <c r="L158" s="236" t="str">
        <f>VLOOKUP(Ruimtestaat[[#This Row],[Ruimte code]],Ruimtegroepen[#All],2,FALSE)</f>
        <v>Trappenhuizen/lift</v>
      </c>
      <c r="M158" s="195" t="s">
        <v>111</v>
      </c>
      <c r="N158" s="180" t="s">
        <v>714</v>
      </c>
      <c r="O158" s="181"/>
      <c r="P158" s="193"/>
      <c r="Q158" s="223" t="str">
        <f>VLOOKUP(Ruimtestaat[[#This Row],[Ruimte code]],Ruimtegroepen[#All],4,FALSE)</f>
        <v>V  (Verkeersruimte)</v>
      </c>
      <c r="R158" s="194"/>
      <c r="S158" s="195">
        <v>40</v>
      </c>
      <c r="T158" s="195" t="s">
        <v>2</v>
      </c>
      <c r="U158" s="195">
        <f>IF(S158&gt;0,IF(RIGHT(Ruimtestaat[[#This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8" s="195">
        <f>IF(U158&gt;0,VLOOKUP($K158,Ruimtegroepen[],3,FALSE)*VLOOKUP($M158,Vloersoorten[],3,FALSE)*VLOOKUP($T158,Frequenties[],3,FALSE)*VLOOKUP($A158,Locaties[],3,FALSE),0)</f>
        <v>0</v>
      </c>
      <c r="W158" s="195">
        <f>Ruimtestaat[[#This Row],[Uitvoeringen werkdagen]]*Ruimtestaat[[#This Row],[Oppervlak (netto)]]</f>
        <v>0</v>
      </c>
      <c r="X158" s="233">
        <f>IF(V158&gt;0,Ruimtestaat[[#This Row],[Prest. (m2 /jaar) werkdagen]]/Ruimtestaat[[#This Row],[Norm (m2/uur) werkdagen]],0)</f>
        <v>0</v>
      </c>
      <c r="Y158" s="234">
        <f>Ruimtestaat[[#This Row],[uren / jaar werkdagen]]*Tariefsopbouw!$D$38</f>
        <v>0</v>
      </c>
      <c r="Z158" s="33"/>
      <c r="AA158" s="33">
        <f>IF(Ruimtestaat[[#This Row],[Frequentie weekend]]&gt;0,VALUE(LEFT(Z158,1))*S158,0)</f>
        <v>0</v>
      </c>
      <c r="AB158" s="33">
        <f>IF($AA158&gt;0,VLOOKUP($K158,Ruimtegroepen[],3,FALSE)*VLOOKUP($M158,Vloersoorten[],3,FALSE)*VLOOKUP($Z158,Frequenties[],3,FALSE)*VLOOKUP(#REF!,Locaties[],3,FALSE),0)</f>
        <v>0</v>
      </c>
      <c r="AC158" s="33"/>
      <c r="AD158" s="33"/>
      <c r="AE158" s="33">
        <f>Ruimtestaat[[#This Row],[uren / jaar weekend]]*Tariefsopbouw!$D$40</f>
        <v>0</v>
      </c>
      <c r="AF158" s="79">
        <f>Ruimtestaat[[#This Row],[Prest. (m2 /jaar) weekend]]+Ruimtestaat[[#This Row],[Prest. (m2 /jaar) werkdagen]]</f>
        <v>0</v>
      </c>
      <c r="AG158" s="79">
        <f>Ruimtestaat[[#This Row],[uren / jaar weekend]]+Ruimtestaat[[#This Row],[uren / jaar werkdagen]]</f>
        <v>0</v>
      </c>
      <c r="AH158" s="80">
        <f>Ruimtestaat[[#This Row],[kosten / jaar weekend]]+Ruimtestaat[[#This Row],[kosten / jaar werkdagen]]</f>
        <v>0</v>
      </c>
      <c r="HM158" s="78"/>
    </row>
    <row r="159" spans="1:221" ht="15" customHeight="1">
      <c r="A159" s="119">
        <v>1</v>
      </c>
      <c r="B159" s="21" t="str">
        <f>VLOOKUP(Ruimtestaat[[#This Row],[Code]],Locaties[#All],2,FALSE)</f>
        <v>IJburg College</v>
      </c>
      <c r="C159" s="21" t="str">
        <f>VLOOKUP(Ruimtestaat[[#This Row],[Code]],Locaties[#All],4,FALSE)</f>
        <v>Pampuslaan 1</v>
      </c>
      <c r="D159" s="223" t="str">
        <f>VLOOKUP(Ruimtestaat[[#This Row],[Code]],Locaties[#All],5,FALSE)</f>
        <v>1087 HP</v>
      </c>
      <c r="E159" s="223" t="str">
        <f>VLOOKUP(Ruimtestaat[[#This Row],[Code]],Locaties[#All],6,FALSE)</f>
        <v>Amsterdam</v>
      </c>
      <c r="F159" s="180"/>
      <c r="G159" s="180" t="s">
        <v>715</v>
      </c>
      <c r="H159" s="180" t="s">
        <v>807</v>
      </c>
      <c r="I159" s="180" t="s">
        <v>667</v>
      </c>
      <c r="J159" s="224" t="s">
        <v>710</v>
      </c>
      <c r="K159" s="180">
        <v>8</v>
      </c>
      <c r="L159" s="236" t="str">
        <f>VLOOKUP(Ruimtestaat[[#This Row],[Ruimte code]],Ruimtegroepen[#All],2,FALSE)</f>
        <v>Multifunctionele ruimte</v>
      </c>
      <c r="M159" s="195" t="s">
        <v>111</v>
      </c>
      <c r="N159" s="180" t="s">
        <v>557</v>
      </c>
      <c r="O159" s="181">
        <v>480</v>
      </c>
      <c r="P159" s="193"/>
      <c r="Q159" s="223" t="str">
        <f>VLOOKUP(Ruimtestaat[[#This Row],[Ruimte code]],Ruimtegroepen[#All],4,FALSE)</f>
        <v>L  (Lesruimte)</v>
      </c>
      <c r="R159" s="194"/>
      <c r="S159" s="195">
        <v>40</v>
      </c>
      <c r="T159" s="195" t="s">
        <v>2</v>
      </c>
      <c r="U159" s="195">
        <f>IF(S159&gt;0,IF(RIGHT(Ruimtestaat[[#This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9" s="195">
        <f>IF(U159&gt;0,VLOOKUP($K159,Ruimtegroepen[],3,FALSE)*VLOOKUP($M159,Vloersoorten[],3,FALSE)*VLOOKUP($T159,Frequenties[],3,FALSE)*VLOOKUP($A159,Locaties[],3,FALSE),0)</f>
        <v>0</v>
      </c>
      <c r="W159" s="195">
        <f>Ruimtestaat[[#This Row],[Uitvoeringen werkdagen]]*Ruimtestaat[[#This Row],[Oppervlak (netto)]]</f>
        <v>96000</v>
      </c>
      <c r="X159" s="233">
        <f>IF(V159&gt;0,Ruimtestaat[[#This Row],[Prest. (m2 /jaar) werkdagen]]/Ruimtestaat[[#This Row],[Norm (m2/uur) werkdagen]],0)</f>
        <v>0</v>
      </c>
      <c r="Y159" s="234">
        <f>Ruimtestaat[[#This Row],[uren / jaar werkdagen]]*Tariefsopbouw!$D$38</f>
        <v>0</v>
      </c>
      <c r="Z159" s="33"/>
      <c r="AA159" s="33">
        <f>IF(Ruimtestaat[[#This Row],[Frequentie weekend]]&gt;0,VALUE(LEFT(Z159,1))*S159,0)</f>
        <v>0</v>
      </c>
      <c r="AB159" s="33">
        <f>IF($AA159&gt;0,VLOOKUP($K159,Ruimtegroepen[],3,FALSE)*VLOOKUP($M159,Vloersoorten[],3,FALSE)*VLOOKUP($Z159,Frequenties[],3,FALSE)*VLOOKUP(#REF!,Locaties[],3,FALSE),0)</f>
        <v>0</v>
      </c>
      <c r="AC159" s="33"/>
      <c r="AD159" s="33"/>
      <c r="AE159" s="33">
        <f>Ruimtestaat[[#This Row],[uren / jaar weekend]]*Tariefsopbouw!$D$40</f>
        <v>0</v>
      </c>
      <c r="AF159" s="79">
        <f>Ruimtestaat[[#This Row],[Prest. (m2 /jaar) weekend]]+Ruimtestaat[[#This Row],[Prest. (m2 /jaar) werkdagen]]</f>
        <v>96000</v>
      </c>
      <c r="AG159" s="79">
        <f>Ruimtestaat[[#This Row],[uren / jaar weekend]]+Ruimtestaat[[#This Row],[uren / jaar werkdagen]]</f>
        <v>0</v>
      </c>
      <c r="AH159" s="80">
        <f>Ruimtestaat[[#This Row],[kosten / jaar weekend]]+Ruimtestaat[[#This Row],[kosten / jaar werkdagen]]</f>
        <v>0</v>
      </c>
      <c r="HM159" s="78"/>
    </row>
    <row r="160" spans="1:221" ht="15" customHeight="1">
      <c r="A160" s="119">
        <v>1</v>
      </c>
      <c r="B160" s="21" t="str">
        <f>VLOOKUP(Ruimtestaat[[#This Row],[Code]],Locaties[#All],2,FALSE)</f>
        <v>IJburg College</v>
      </c>
      <c r="C160" s="21" t="str">
        <f>VLOOKUP(Ruimtestaat[[#This Row],[Code]],Locaties[#All],4,FALSE)</f>
        <v>Pampuslaan 1</v>
      </c>
      <c r="D160" s="223" t="str">
        <f>VLOOKUP(Ruimtestaat[[#This Row],[Code]],Locaties[#All],5,FALSE)</f>
        <v>1087 HP</v>
      </c>
      <c r="E160" s="223" t="str">
        <f>VLOOKUP(Ruimtestaat[[#This Row],[Code]],Locaties[#All],6,FALSE)</f>
        <v>Amsterdam</v>
      </c>
      <c r="F160" s="180"/>
      <c r="G160" s="180" t="s">
        <v>715</v>
      </c>
      <c r="H160" s="180" t="s">
        <v>667</v>
      </c>
      <c r="I160" s="180" t="s">
        <v>668</v>
      </c>
      <c r="J160" s="224" t="s">
        <v>638</v>
      </c>
      <c r="K160" s="180">
        <v>2</v>
      </c>
      <c r="L160" s="236" t="str">
        <f>VLOOKUP(Ruimtestaat[[#This Row],[Ruimte code]],Ruimtegroepen[#All],2,FALSE)</f>
        <v>Kantoren</v>
      </c>
      <c r="M160" s="195" t="s">
        <v>111</v>
      </c>
      <c r="N160" s="180" t="s">
        <v>557</v>
      </c>
      <c r="O160" s="181">
        <v>20</v>
      </c>
      <c r="P160" s="193"/>
      <c r="Q160" s="223" t="str">
        <f>VLOOKUP(Ruimtestaat[[#This Row],[Ruimte code]],Ruimtegroepen[#All],4,FALSE)</f>
        <v>B  (Bureauruimte)</v>
      </c>
      <c r="R160" s="194"/>
      <c r="S160" s="195">
        <v>40</v>
      </c>
      <c r="T160" s="195" t="s">
        <v>17</v>
      </c>
      <c r="U160" s="195">
        <f>IF(S160&gt;0,IF(RIGHT(Ruimtestaat[[#This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60" s="195">
        <f>IF(U160&gt;0,VLOOKUP($K160,Ruimtegroepen[],3,FALSE)*VLOOKUP($M160,Vloersoorten[],3,FALSE)*VLOOKUP($T160,Frequenties[],3,FALSE)*VLOOKUP($A160,Locaties[],3,FALSE),0)</f>
        <v>0</v>
      </c>
      <c r="W160" s="195">
        <f>Ruimtestaat[[#This Row],[Uitvoeringen werkdagen]]*Ruimtestaat[[#This Row],[Oppervlak (netto)]]</f>
        <v>1600</v>
      </c>
      <c r="X160" s="233">
        <f>IF(V160&gt;0,Ruimtestaat[[#This Row],[Prest. (m2 /jaar) werkdagen]]/Ruimtestaat[[#This Row],[Norm (m2/uur) werkdagen]],0)</f>
        <v>0</v>
      </c>
      <c r="Y160" s="234">
        <f>Ruimtestaat[[#This Row],[uren / jaar werkdagen]]*Tariefsopbouw!$D$38</f>
        <v>0</v>
      </c>
      <c r="Z160" s="33"/>
      <c r="AA160" s="33">
        <f>IF(Ruimtestaat[[#This Row],[Frequentie weekend]]&gt;0,VALUE(LEFT(Z160,1))*S160,0)</f>
        <v>0</v>
      </c>
      <c r="AB160" s="33">
        <f>IF($AA160&gt;0,VLOOKUP($K160,Ruimtegroepen[],3,FALSE)*VLOOKUP($M160,Vloersoorten[],3,FALSE)*VLOOKUP($Z160,Frequenties[],3,FALSE)*VLOOKUP(#REF!,Locaties[],3,FALSE),0)</f>
        <v>0</v>
      </c>
      <c r="AC160" s="33"/>
      <c r="AD160" s="33"/>
      <c r="AE160" s="33">
        <f>Ruimtestaat[[#This Row],[uren / jaar weekend]]*Tariefsopbouw!$D$40</f>
        <v>0</v>
      </c>
      <c r="AF160" s="79">
        <f>Ruimtestaat[[#This Row],[Prest. (m2 /jaar) weekend]]+Ruimtestaat[[#This Row],[Prest. (m2 /jaar) werkdagen]]</f>
        <v>1600</v>
      </c>
      <c r="AG160" s="79">
        <f>Ruimtestaat[[#This Row],[uren / jaar weekend]]+Ruimtestaat[[#This Row],[uren / jaar werkdagen]]</f>
        <v>0</v>
      </c>
      <c r="AH160" s="80">
        <f>Ruimtestaat[[#This Row],[kosten / jaar weekend]]+Ruimtestaat[[#This Row],[kosten / jaar werkdagen]]</f>
        <v>0</v>
      </c>
      <c r="HM160" s="78"/>
    </row>
    <row r="161" spans="1:221" ht="15" customHeight="1">
      <c r="A161" s="119">
        <v>1</v>
      </c>
      <c r="B161" s="21" t="str">
        <f>VLOOKUP(Ruimtestaat[[#This Row],[Code]],Locaties[#All],2,FALSE)</f>
        <v>IJburg College</v>
      </c>
      <c r="C161" s="21" t="str">
        <f>VLOOKUP(Ruimtestaat[[#This Row],[Code]],Locaties[#All],4,FALSE)</f>
        <v>Pampuslaan 1</v>
      </c>
      <c r="D161" s="223" t="str">
        <f>VLOOKUP(Ruimtestaat[[#This Row],[Code]],Locaties[#All],5,FALSE)</f>
        <v>1087 HP</v>
      </c>
      <c r="E161" s="223" t="str">
        <f>VLOOKUP(Ruimtestaat[[#This Row],[Code]],Locaties[#All],6,FALSE)</f>
        <v>Amsterdam</v>
      </c>
      <c r="F161" s="180"/>
      <c r="G161" s="180" t="s">
        <v>715</v>
      </c>
      <c r="H161" s="180" t="s">
        <v>671</v>
      </c>
      <c r="I161" s="180" t="s">
        <v>669</v>
      </c>
      <c r="J161" s="224" t="s">
        <v>631</v>
      </c>
      <c r="K161" s="180">
        <v>16</v>
      </c>
      <c r="L161" s="236" t="str">
        <f>VLOOKUP(Ruimtestaat[[#This Row],[Ruimte code]],Ruimtegroepen[#All],2,FALSE)</f>
        <v>Lokaal</v>
      </c>
      <c r="M161" s="195" t="s">
        <v>111</v>
      </c>
      <c r="N161" s="180" t="s">
        <v>557</v>
      </c>
      <c r="O161" s="181">
        <v>94.5</v>
      </c>
      <c r="P161" s="193"/>
      <c r="Q161" s="223" t="str">
        <f>VLOOKUP(Ruimtestaat[[#This Row],[Ruimte code]],Ruimtegroepen[#All],4,FALSE)</f>
        <v>L  (Lesruimte)</v>
      </c>
      <c r="R161" s="194"/>
      <c r="S161" s="195">
        <v>40</v>
      </c>
      <c r="T161" s="195" t="s">
        <v>2</v>
      </c>
      <c r="U161" s="195">
        <f>IF(S161&gt;0,IF(RIGHT(Ruimtestaat[[#This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1" s="195">
        <f>IF(U161&gt;0,VLOOKUP($K161,Ruimtegroepen[],3,FALSE)*VLOOKUP($M161,Vloersoorten[],3,FALSE)*VLOOKUP($T161,Frequenties[],3,FALSE)*VLOOKUP($A161,Locaties[],3,FALSE),0)</f>
        <v>0</v>
      </c>
      <c r="W161" s="195">
        <f>Ruimtestaat[[#This Row],[Uitvoeringen werkdagen]]*Ruimtestaat[[#This Row],[Oppervlak (netto)]]</f>
        <v>18900</v>
      </c>
      <c r="X161" s="233">
        <f>IF(V161&gt;0,Ruimtestaat[[#This Row],[Prest. (m2 /jaar) werkdagen]]/Ruimtestaat[[#This Row],[Norm (m2/uur) werkdagen]],0)</f>
        <v>0</v>
      </c>
      <c r="Y161" s="234">
        <f>Ruimtestaat[[#This Row],[uren / jaar werkdagen]]*Tariefsopbouw!$D$38</f>
        <v>0</v>
      </c>
      <c r="Z161" s="33"/>
      <c r="AA161" s="33">
        <f>IF(Ruimtestaat[[#This Row],[Frequentie weekend]]&gt;0,VALUE(LEFT(Z161,1))*S161,0)</f>
        <v>0</v>
      </c>
      <c r="AB161" s="33">
        <f>IF($AA161&gt;0,VLOOKUP($K161,Ruimtegroepen[],3,FALSE)*VLOOKUP($M161,Vloersoorten[],3,FALSE)*VLOOKUP($Z161,Frequenties[],3,FALSE)*VLOOKUP(#REF!,Locaties[],3,FALSE),0)</f>
        <v>0</v>
      </c>
      <c r="AC161" s="33"/>
      <c r="AD161" s="33"/>
      <c r="AE161" s="33">
        <f>Ruimtestaat[[#This Row],[uren / jaar weekend]]*Tariefsopbouw!$D$40</f>
        <v>0</v>
      </c>
      <c r="AF161" s="79">
        <f>Ruimtestaat[[#This Row],[Prest. (m2 /jaar) weekend]]+Ruimtestaat[[#This Row],[Prest. (m2 /jaar) werkdagen]]</f>
        <v>18900</v>
      </c>
      <c r="AG161" s="79">
        <f>Ruimtestaat[[#This Row],[uren / jaar weekend]]+Ruimtestaat[[#This Row],[uren / jaar werkdagen]]</f>
        <v>0</v>
      </c>
      <c r="AH161" s="80">
        <f>Ruimtestaat[[#This Row],[kosten / jaar weekend]]+Ruimtestaat[[#This Row],[kosten / jaar werkdagen]]</f>
        <v>0</v>
      </c>
      <c r="HM161" s="78"/>
    </row>
    <row r="162" spans="1:221" ht="15" customHeight="1">
      <c r="A162" s="119">
        <v>1</v>
      </c>
      <c r="B162" s="21" t="str">
        <f>VLOOKUP(Ruimtestaat[[#This Row],[Code]],Locaties[#All],2,FALSE)</f>
        <v>IJburg College</v>
      </c>
      <c r="C162" s="21" t="str">
        <f>VLOOKUP(Ruimtestaat[[#This Row],[Code]],Locaties[#All],4,FALSE)</f>
        <v>Pampuslaan 1</v>
      </c>
      <c r="D162" s="223" t="str">
        <f>VLOOKUP(Ruimtestaat[[#This Row],[Code]],Locaties[#All],5,FALSE)</f>
        <v>1087 HP</v>
      </c>
      <c r="E162" s="223" t="str">
        <f>VLOOKUP(Ruimtestaat[[#This Row],[Code]],Locaties[#All],6,FALSE)</f>
        <v>Amsterdam</v>
      </c>
      <c r="F162" s="180"/>
      <c r="G162" s="180" t="s">
        <v>715</v>
      </c>
      <c r="H162" s="180" t="s">
        <v>647</v>
      </c>
      <c r="I162" s="180" t="s">
        <v>670</v>
      </c>
      <c r="J162" s="224" t="s">
        <v>631</v>
      </c>
      <c r="K162" s="180">
        <v>16</v>
      </c>
      <c r="L162" s="236" t="str">
        <f>VLOOKUP(Ruimtestaat[[#This Row],[Ruimte code]],Ruimtegroepen[#All],2,FALSE)</f>
        <v>Lokaal</v>
      </c>
      <c r="M162" s="195" t="s">
        <v>111</v>
      </c>
      <c r="N162" s="180" t="s">
        <v>557</v>
      </c>
      <c r="O162" s="181">
        <v>64.900000000000006</v>
      </c>
      <c r="P162" s="193"/>
      <c r="Q162" s="223" t="str">
        <f>VLOOKUP(Ruimtestaat[[#This Row],[Ruimte code]],Ruimtegroepen[#All],4,FALSE)</f>
        <v>L  (Lesruimte)</v>
      </c>
      <c r="R162" s="194"/>
      <c r="S162" s="195">
        <v>40</v>
      </c>
      <c r="T162" s="195" t="s">
        <v>2</v>
      </c>
      <c r="U162" s="195">
        <f>IF(S162&gt;0,IF(RIGHT(Ruimtestaat[[#This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2" s="195">
        <f>IF(U162&gt;0,VLOOKUP($K162,Ruimtegroepen[],3,FALSE)*VLOOKUP($M162,Vloersoorten[],3,FALSE)*VLOOKUP($T162,Frequenties[],3,FALSE)*VLOOKUP($A162,Locaties[],3,FALSE),0)</f>
        <v>0</v>
      </c>
      <c r="W162" s="195">
        <f>Ruimtestaat[[#This Row],[Uitvoeringen werkdagen]]*Ruimtestaat[[#This Row],[Oppervlak (netto)]]</f>
        <v>12980.000000000002</v>
      </c>
      <c r="X162" s="233">
        <f>IF(V162&gt;0,Ruimtestaat[[#This Row],[Prest. (m2 /jaar) werkdagen]]/Ruimtestaat[[#This Row],[Norm (m2/uur) werkdagen]],0)</f>
        <v>0</v>
      </c>
      <c r="Y162" s="234">
        <f>Ruimtestaat[[#This Row],[uren / jaar werkdagen]]*Tariefsopbouw!$D$38</f>
        <v>0</v>
      </c>
      <c r="Z162" s="33"/>
      <c r="AA162" s="33">
        <f>IF(Ruimtestaat[[#This Row],[Frequentie weekend]]&gt;0,VALUE(LEFT(Z162,1))*S162,0)</f>
        <v>0</v>
      </c>
      <c r="AB162" s="33">
        <f>IF($AA162&gt;0,VLOOKUP($K162,Ruimtegroepen[],3,FALSE)*VLOOKUP($M162,Vloersoorten[],3,FALSE)*VLOOKUP($Z162,Frequenties[],3,FALSE)*VLOOKUP(#REF!,Locaties[],3,FALSE),0)</f>
        <v>0</v>
      </c>
      <c r="AC162" s="33"/>
      <c r="AD162" s="33"/>
      <c r="AE162" s="33">
        <f>Ruimtestaat[[#This Row],[uren / jaar weekend]]*Tariefsopbouw!$D$40</f>
        <v>0</v>
      </c>
      <c r="AF162" s="79">
        <f>Ruimtestaat[[#This Row],[Prest. (m2 /jaar) weekend]]+Ruimtestaat[[#This Row],[Prest. (m2 /jaar) werkdagen]]</f>
        <v>12980.000000000002</v>
      </c>
      <c r="AG162" s="79">
        <f>Ruimtestaat[[#This Row],[uren / jaar weekend]]+Ruimtestaat[[#This Row],[uren / jaar werkdagen]]</f>
        <v>0</v>
      </c>
      <c r="AH162" s="80">
        <f>Ruimtestaat[[#This Row],[kosten / jaar weekend]]+Ruimtestaat[[#This Row],[kosten / jaar werkdagen]]</f>
        <v>0</v>
      </c>
      <c r="HM162" s="78"/>
    </row>
    <row r="163" spans="1:221" ht="15" customHeight="1">
      <c r="A163" s="119">
        <v>1</v>
      </c>
      <c r="B163" s="21" t="str">
        <f>VLOOKUP(Ruimtestaat[[#This Row],[Code]],Locaties[#All],2,FALSE)</f>
        <v>IJburg College</v>
      </c>
      <c r="C163" s="21" t="str">
        <f>VLOOKUP(Ruimtestaat[[#This Row],[Code]],Locaties[#All],4,FALSE)</f>
        <v>Pampuslaan 1</v>
      </c>
      <c r="D163" s="223" t="str">
        <f>VLOOKUP(Ruimtestaat[[#This Row],[Code]],Locaties[#All],5,FALSE)</f>
        <v>1087 HP</v>
      </c>
      <c r="E163" s="223" t="str">
        <f>VLOOKUP(Ruimtestaat[[#This Row],[Code]],Locaties[#All],6,FALSE)</f>
        <v>Amsterdam</v>
      </c>
      <c r="F163" s="180"/>
      <c r="G163" s="180" t="s">
        <v>715</v>
      </c>
      <c r="H163" s="180" t="s">
        <v>648</v>
      </c>
      <c r="I163" s="180" t="s">
        <v>671</v>
      </c>
      <c r="J163" s="224" t="s">
        <v>631</v>
      </c>
      <c r="K163" s="180">
        <v>16</v>
      </c>
      <c r="L163" s="236" t="str">
        <f>VLOOKUP(Ruimtestaat[[#This Row],[Ruimte code]],Ruimtegroepen[#All],2,FALSE)</f>
        <v>Lokaal</v>
      </c>
      <c r="M163" s="195" t="s">
        <v>111</v>
      </c>
      <c r="N163" s="180" t="s">
        <v>557</v>
      </c>
      <c r="O163" s="181">
        <v>63.9</v>
      </c>
      <c r="P163" s="193"/>
      <c r="Q163" s="223" t="str">
        <f>VLOOKUP(Ruimtestaat[[#This Row],[Ruimte code]],Ruimtegroepen[#All],4,FALSE)</f>
        <v>L  (Lesruimte)</v>
      </c>
      <c r="R163" s="194"/>
      <c r="S163" s="195">
        <v>40</v>
      </c>
      <c r="T163" s="195" t="s">
        <v>2</v>
      </c>
      <c r="U163" s="195">
        <f>IF(S163&gt;0,IF(RIGHT(Ruimtestaat[[#This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3" s="195">
        <f>IF(U163&gt;0,VLOOKUP($K163,Ruimtegroepen[],3,FALSE)*VLOOKUP($M163,Vloersoorten[],3,FALSE)*VLOOKUP($T163,Frequenties[],3,FALSE)*VLOOKUP($A163,Locaties[],3,FALSE),0)</f>
        <v>0</v>
      </c>
      <c r="W163" s="195">
        <f>Ruimtestaat[[#This Row],[Uitvoeringen werkdagen]]*Ruimtestaat[[#This Row],[Oppervlak (netto)]]</f>
        <v>12780</v>
      </c>
      <c r="X163" s="233">
        <f>IF(V163&gt;0,Ruimtestaat[[#This Row],[Prest. (m2 /jaar) werkdagen]]/Ruimtestaat[[#This Row],[Norm (m2/uur) werkdagen]],0)</f>
        <v>0</v>
      </c>
      <c r="Y163" s="234">
        <f>Ruimtestaat[[#This Row],[uren / jaar werkdagen]]*Tariefsopbouw!$D$38</f>
        <v>0</v>
      </c>
      <c r="Z163" s="33"/>
      <c r="AA163" s="33">
        <f>IF(Ruimtestaat[[#This Row],[Frequentie weekend]]&gt;0,VALUE(LEFT(Z163,1))*S163,0)</f>
        <v>0</v>
      </c>
      <c r="AB163" s="33">
        <f>IF($AA163&gt;0,VLOOKUP($K163,Ruimtegroepen[],3,FALSE)*VLOOKUP($M163,Vloersoorten[],3,FALSE)*VLOOKUP($Z163,Frequenties[],3,FALSE)*VLOOKUP(#REF!,Locaties[],3,FALSE),0)</f>
        <v>0</v>
      </c>
      <c r="AC163" s="33"/>
      <c r="AD163" s="33"/>
      <c r="AE163" s="33">
        <f>Ruimtestaat[[#This Row],[uren / jaar weekend]]*Tariefsopbouw!$D$40</f>
        <v>0</v>
      </c>
      <c r="AF163" s="79">
        <f>Ruimtestaat[[#This Row],[Prest. (m2 /jaar) weekend]]+Ruimtestaat[[#This Row],[Prest. (m2 /jaar) werkdagen]]</f>
        <v>12780</v>
      </c>
      <c r="AG163" s="79">
        <f>Ruimtestaat[[#This Row],[uren / jaar weekend]]+Ruimtestaat[[#This Row],[uren / jaar werkdagen]]</f>
        <v>0</v>
      </c>
      <c r="AH163" s="80">
        <f>Ruimtestaat[[#This Row],[kosten / jaar weekend]]+Ruimtestaat[[#This Row],[kosten / jaar werkdagen]]</f>
        <v>0</v>
      </c>
      <c r="HM163" s="78"/>
    </row>
    <row r="164" spans="1:221" ht="15" customHeight="1">
      <c r="A164" s="119">
        <v>1</v>
      </c>
      <c r="B164" s="21" t="str">
        <f>VLOOKUP(Ruimtestaat[[#This Row],[Code]],Locaties[#All],2,FALSE)</f>
        <v>IJburg College</v>
      </c>
      <c r="C164" s="21" t="str">
        <f>VLOOKUP(Ruimtestaat[[#This Row],[Code]],Locaties[#All],4,FALSE)</f>
        <v>Pampuslaan 1</v>
      </c>
      <c r="D164" s="223" t="str">
        <f>VLOOKUP(Ruimtestaat[[#This Row],[Code]],Locaties[#All],5,FALSE)</f>
        <v>1087 HP</v>
      </c>
      <c r="E164" s="223" t="str">
        <f>VLOOKUP(Ruimtestaat[[#This Row],[Code]],Locaties[#All],6,FALSE)</f>
        <v>Amsterdam</v>
      </c>
      <c r="F164" s="180"/>
      <c r="G164" s="180" t="s">
        <v>715</v>
      </c>
      <c r="H164" s="180">
        <v>2102</v>
      </c>
      <c r="I164" s="180" t="s">
        <v>672</v>
      </c>
      <c r="J164" s="224" t="s">
        <v>711</v>
      </c>
      <c r="K164" s="195">
        <v>10</v>
      </c>
      <c r="L164" s="236" t="str">
        <f>VLOOKUP(Ruimtestaat[[#This Row],[Ruimte code]],Ruimtegroepen[#All],2,FALSE)</f>
        <v>Trappenhuizen/lift</v>
      </c>
      <c r="M164" s="195" t="s">
        <v>111</v>
      </c>
      <c r="N164" s="180" t="s">
        <v>714</v>
      </c>
      <c r="O164" s="181">
        <v>32</v>
      </c>
      <c r="P164" s="193"/>
      <c r="Q164" s="223" t="str">
        <f>VLOOKUP(Ruimtestaat[[#This Row],[Ruimte code]],Ruimtegroepen[#All],4,FALSE)</f>
        <v>V  (Verkeersruimte)</v>
      </c>
      <c r="R164" s="194"/>
      <c r="S164" s="195">
        <v>40</v>
      </c>
      <c r="T164" s="195" t="s">
        <v>2</v>
      </c>
      <c r="U164" s="195">
        <f>IF(S164&gt;0,IF(RIGHT(Ruimtestaat[[#This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4" s="195">
        <f>IF(U164&gt;0,VLOOKUP($K164,Ruimtegroepen[],3,FALSE)*VLOOKUP($M164,Vloersoorten[],3,FALSE)*VLOOKUP($T164,Frequenties[],3,FALSE)*VLOOKUP($A164,Locaties[],3,FALSE),0)</f>
        <v>0</v>
      </c>
      <c r="W164" s="195">
        <f>Ruimtestaat[[#This Row],[Uitvoeringen werkdagen]]*Ruimtestaat[[#This Row],[Oppervlak (netto)]]</f>
        <v>6400</v>
      </c>
      <c r="X164" s="233">
        <f>IF(V164&gt;0,Ruimtestaat[[#This Row],[Prest. (m2 /jaar) werkdagen]]/Ruimtestaat[[#This Row],[Norm (m2/uur) werkdagen]],0)</f>
        <v>0</v>
      </c>
      <c r="Y164" s="234">
        <f>Ruimtestaat[[#This Row],[uren / jaar werkdagen]]*Tariefsopbouw!$D$38</f>
        <v>0</v>
      </c>
      <c r="Z164" s="33"/>
      <c r="AA164" s="33">
        <f>IF(Ruimtestaat[[#This Row],[Frequentie weekend]]&gt;0,VALUE(LEFT(Z164,1))*S164,0)</f>
        <v>0</v>
      </c>
      <c r="AB164" s="33">
        <f>IF($AA164&gt;0,VLOOKUP($K164,Ruimtegroepen[],3,FALSE)*VLOOKUP($M164,Vloersoorten[],3,FALSE)*VLOOKUP($Z164,Frequenties[],3,FALSE)*VLOOKUP(#REF!,Locaties[],3,FALSE),0)</f>
        <v>0</v>
      </c>
      <c r="AC164" s="33"/>
      <c r="AD164" s="33"/>
      <c r="AE164" s="33">
        <f>Ruimtestaat[[#This Row],[uren / jaar weekend]]*Tariefsopbouw!$D$40</f>
        <v>0</v>
      </c>
      <c r="AF164" s="79">
        <f>Ruimtestaat[[#This Row],[Prest. (m2 /jaar) weekend]]+Ruimtestaat[[#This Row],[Prest. (m2 /jaar) werkdagen]]</f>
        <v>6400</v>
      </c>
      <c r="AG164" s="79">
        <f>Ruimtestaat[[#This Row],[uren / jaar weekend]]+Ruimtestaat[[#This Row],[uren / jaar werkdagen]]</f>
        <v>0</v>
      </c>
      <c r="AH164" s="80">
        <f>Ruimtestaat[[#This Row],[kosten / jaar weekend]]+Ruimtestaat[[#This Row],[kosten / jaar werkdagen]]</f>
        <v>0</v>
      </c>
      <c r="HM164" s="78"/>
    </row>
    <row r="165" spans="1:221" ht="15" customHeight="1">
      <c r="A165" s="119">
        <v>1</v>
      </c>
      <c r="B165" s="21" t="str">
        <f>VLOOKUP(Ruimtestaat[[#This Row],[Code]],Locaties[#All],2,FALSE)</f>
        <v>IJburg College</v>
      </c>
      <c r="C165" s="21" t="str">
        <f>VLOOKUP(Ruimtestaat[[#This Row],[Code]],Locaties[#All],4,FALSE)</f>
        <v>Pampuslaan 1</v>
      </c>
      <c r="D165" s="223" t="str">
        <f>VLOOKUP(Ruimtestaat[[#This Row],[Code]],Locaties[#All],5,FALSE)</f>
        <v>1087 HP</v>
      </c>
      <c r="E165" s="223" t="str">
        <f>VLOOKUP(Ruimtestaat[[#This Row],[Code]],Locaties[#All],6,FALSE)</f>
        <v>Amsterdam</v>
      </c>
      <c r="F165" s="180"/>
      <c r="G165" s="180" t="s">
        <v>715</v>
      </c>
      <c r="H165" s="180" t="s">
        <v>649</v>
      </c>
      <c r="I165" s="180" t="s">
        <v>673</v>
      </c>
      <c r="J165" s="224" t="s">
        <v>631</v>
      </c>
      <c r="K165" s="180">
        <v>16</v>
      </c>
      <c r="L165" s="236" t="str">
        <f>VLOOKUP(Ruimtestaat[[#This Row],[Ruimte code]],Ruimtegroepen[#All],2,FALSE)</f>
        <v>Lokaal</v>
      </c>
      <c r="M165" s="195" t="s">
        <v>111</v>
      </c>
      <c r="N165" s="180" t="s">
        <v>714</v>
      </c>
      <c r="O165" s="181">
        <v>63.9</v>
      </c>
      <c r="P165" s="193"/>
      <c r="Q165" s="223" t="str">
        <f>VLOOKUP(Ruimtestaat[[#This Row],[Ruimte code]],Ruimtegroepen[#All],4,FALSE)</f>
        <v>L  (Lesruimte)</v>
      </c>
      <c r="R165" s="194"/>
      <c r="S165" s="195">
        <v>40</v>
      </c>
      <c r="T165" s="195" t="s">
        <v>2</v>
      </c>
      <c r="U165" s="195">
        <f>IF(S165&gt;0,IF(RIGHT(Ruimtestaat[[#This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5" s="195">
        <f>IF(U165&gt;0,VLOOKUP($K165,Ruimtegroepen[],3,FALSE)*VLOOKUP($M165,Vloersoorten[],3,FALSE)*VLOOKUP($T165,Frequenties[],3,FALSE)*VLOOKUP($A165,Locaties[],3,FALSE),0)</f>
        <v>0</v>
      </c>
      <c r="W165" s="195">
        <f>Ruimtestaat[[#This Row],[Uitvoeringen werkdagen]]*Ruimtestaat[[#This Row],[Oppervlak (netto)]]</f>
        <v>12780</v>
      </c>
      <c r="X165" s="233">
        <f>IF(V165&gt;0,Ruimtestaat[[#This Row],[Prest. (m2 /jaar) werkdagen]]/Ruimtestaat[[#This Row],[Norm (m2/uur) werkdagen]],0)</f>
        <v>0</v>
      </c>
      <c r="Y165" s="234">
        <f>Ruimtestaat[[#This Row],[uren / jaar werkdagen]]*Tariefsopbouw!$D$38</f>
        <v>0</v>
      </c>
      <c r="Z165" s="33"/>
      <c r="AA165" s="33">
        <f>IF(Ruimtestaat[[#This Row],[Frequentie weekend]]&gt;0,VALUE(LEFT(Z165,1))*S165,0)</f>
        <v>0</v>
      </c>
      <c r="AB165" s="33">
        <f>IF($AA165&gt;0,VLOOKUP($K165,Ruimtegroepen[],3,FALSE)*VLOOKUP($M165,Vloersoorten[],3,FALSE)*VLOOKUP($Z165,Frequenties[],3,FALSE)*VLOOKUP(#REF!,Locaties[],3,FALSE),0)</f>
        <v>0</v>
      </c>
      <c r="AC165" s="33"/>
      <c r="AD165" s="33"/>
      <c r="AE165" s="33">
        <f>Ruimtestaat[[#This Row],[uren / jaar weekend]]*Tariefsopbouw!$D$40</f>
        <v>0</v>
      </c>
      <c r="AF165" s="79">
        <f>Ruimtestaat[[#This Row],[Prest. (m2 /jaar) weekend]]+Ruimtestaat[[#This Row],[Prest. (m2 /jaar) werkdagen]]</f>
        <v>12780</v>
      </c>
      <c r="AG165" s="79">
        <f>Ruimtestaat[[#This Row],[uren / jaar weekend]]+Ruimtestaat[[#This Row],[uren / jaar werkdagen]]</f>
        <v>0</v>
      </c>
      <c r="AH165" s="80">
        <f>Ruimtestaat[[#This Row],[kosten / jaar weekend]]+Ruimtestaat[[#This Row],[kosten / jaar werkdagen]]</f>
        <v>0</v>
      </c>
      <c r="HM165" s="78"/>
    </row>
    <row r="166" spans="1:221" ht="15" customHeight="1">
      <c r="A166" s="119">
        <v>1</v>
      </c>
      <c r="B166" s="21" t="str">
        <f>VLOOKUP(Ruimtestaat[[#This Row],[Code]],Locaties[#All],2,FALSE)</f>
        <v>IJburg College</v>
      </c>
      <c r="C166" s="21" t="str">
        <f>VLOOKUP(Ruimtestaat[[#This Row],[Code]],Locaties[#All],4,FALSE)</f>
        <v>Pampuslaan 1</v>
      </c>
      <c r="D166" s="223" t="str">
        <f>VLOOKUP(Ruimtestaat[[#This Row],[Code]],Locaties[#All],5,FALSE)</f>
        <v>1087 HP</v>
      </c>
      <c r="E166" s="223" t="str">
        <f>VLOOKUP(Ruimtestaat[[#This Row],[Code]],Locaties[#All],6,FALSE)</f>
        <v>Amsterdam</v>
      </c>
      <c r="F166" s="180"/>
      <c r="G166" s="180" t="s">
        <v>715</v>
      </c>
      <c r="H166" s="180" t="s">
        <v>652</v>
      </c>
      <c r="I166" s="180" t="s">
        <v>674</v>
      </c>
      <c r="J166" s="224" t="s">
        <v>712</v>
      </c>
      <c r="K166" s="180">
        <v>14</v>
      </c>
      <c r="L166" s="236" t="str">
        <f>VLOOKUP(Ruimtestaat[[#This Row],[Ruimte code]],Ruimtegroepen[#All],2,FALSE)</f>
        <v>Personeelsruimte</v>
      </c>
      <c r="M166" s="195" t="s">
        <v>111</v>
      </c>
      <c r="N166" s="180" t="s">
        <v>557</v>
      </c>
      <c r="O166" s="181">
        <v>64.900000000000006</v>
      </c>
      <c r="P166" s="193"/>
      <c r="Q166" s="223" t="str">
        <f>VLOOKUP(Ruimtestaat[[#This Row],[Ruimte code]],Ruimtegroepen[#All],4,FALSE)</f>
        <v>V  (Verkeersruimte)</v>
      </c>
      <c r="R166" s="194"/>
      <c r="S166" s="195">
        <v>40</v>
      </c>
      <c r="T166" s="195" t="s">
        <v>2</v>
      </c>
      <c r="U166" s="195">
        <f>IF(S166&gt;0,IF(RIGHT(Ruimtestaat[[#This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6" s="195">
        <f>IF(U166&gt;0,VLOOKUP($K166,Ruimtegroepen[],3,FALSE)*VLOOKUP($M166,Vloersoorten[],3,FALSE)*VLOOKUP($T166,Frequenties[],3,FALSE)*VLOOKUP($A166,Locaties[],3,FALSE),0)</f>
        <v>0</v>
      </c>
      <c r="W166" s="195">
        <f>Ruimtestaat[[#This Row],[Uitvoeringen werkdagen]]*Ruimtestaat[[#This Row],[Oppervlak (netto)]]</f>
        <v>12980.000000000002</v>
      </c>
      <c r="X166" s="233">
        <f>IF(V166&gt;0,Ruimtestaat[[#This Row],[Prest. (m2 /jaar) werkdagen]]/Ruimtestaat[[#This Row],[Norm (m2/uur) werkdagen]],0)</f>
        <v>0</v>
      </c>
      <c r="Y166" s="234">
        <f>Ruimtestaat[[#This Row],[uren / jaar werkdagen]]*Tariefsopbouw!$D$38</f>
        <v>0</v>
      </c>
      <c r="Z166" s="33"/>
      <c r="AA166" s="33">
        <f>IF(Ruimtestaat[[#This Row],[Frequentie weekend]]&gt;0,VALUE(LEFT(Z166,1))*S166,0)</f>
        <v>0</v>
      </c>
      <c r="AB166" s="33">
        <f>IF($AA166&gt;0,VLOOKUP($K166,Ruimtegroepen[],3,FALSE)*VLOOKUP($M166,Vloersoorten[],3,FALSE)*VLOOKUP($Z166,Frequenties[],3,FALSE)*VLOOKUP(#REF!,Locaties[],3,FALSE),0)</f>
        <v>0</v>
      </c>
      <c r="AC166" s="33"/>
      <c r="AD166" s="33"/>
      <c r="AE166" s="33">
        <f>Ruimtestaat[[#This Row],[uren / jaar weekend]]*Tariefsopbouw!$D$40</f>
        <v>0</v>
      </c>
      <c r="AF166" s="79">
        <f>Ruimtestaat[[#This Row],[Prest. (m2 /jaar) weekend]]+Ruimtestaat[[#This Row],[Prest. (m2 /jaar) werkdagen]]</f>
        <v>12980.000000000002</v>
      </c>
      <c r="AG166" s="79">
        <f>Ruimtestaat[[#This Row],[uren / jaar weekend]]+Ruimtestaat[[#This Row],[uren / jaar werkdagen]]</f>
        <v>0</v>
      </c>
      <c r="AH166" s="80">
        <f>Ruimtestaat[[#This Row],[kosten / jaar weekend]]+Ruimtestaat[[#This Row],[kosten / jaar werkdagen]]</f>
        <v>0</v>
      </c>
      <c r="HM166" s="78"/>
    </row>
    <row r="167" spans="1:221" ht="15" customHeight="1">
      <c r="A167" s="119">
        <v>1</v>
      </c>
      <c r="B167" s="21" t="str">
        <f>VLOOKUP(Ruimtestaat[[#This Row],[Code]],Locaties[#All],2,FALSE)</f>
        <v>IJburg College</v>
      </c>
      <c r="C167" s="21" t="str">
        <f>VLOOKUP(Ruimtestaat[[#This Row],[Code]],Locaties[#All],4,FALSE)</f>
        <v>Pampuslaan 1</v>
      </c>
      <c r="D167" s="223" t="str">
        <f>VLOOKUP(Ruimtestaat[[#This Row],[Code]],Locaties[#All],5,FALSE)</f>
        <v>1087 HP</v>
      </c>
      <c r="E167" s="223" t="str">
        <f>VLOOKUP(Ruimtestaat[[#This Row],[Code]],Locaties[#All],6,FALSE)</f>
        <v>Amsterdam</v>
      </c>
      <c r="F167" s="180"/>
      <c r="G167" s="180" t="s">
        <v>715</v>
      </c>
      <c r="H167" s="180" t="s">
        <v>651</v>
      </c>
      <c r="I167" s="195" t="s">
        <v>675</v>
      </c>
      <c r="J167" s="232" t="s">
        <v>631</v>
      </c>
      <c r="K167" s="180">
        <v>16</v>
      </c>
      <c r="L167" s="238" t="str">
        <f>VLOOKUP(Ruimtestaat[[#This Row],[Ruimte code]],Ruimtegroepen[#All],2,FALSE)</f>
        <v>Lokaal</v>
      </c>
      <c r="M167" s="195" t="s">
        <v>111</v>
      </c>
      <c r="N167" s="180" t="s">
        <v>557</v>
      </c>
      <c r="O167" s="181">
        <v>98.3</v>
      </c>
      <c r="P167" s="193"/>
      <c r="Q167" s="223" t="str">
        <f>VLOOKUP(Ruimtestaat[[#This Row],[Ruimte code]],Ruimtegroepen[#All],4,FALSE)</f>
        <v>L  (Lesruimte)</v>
      </c>
      <c r="R167" s="194"/>
      <c r="S167" s="195">
        <v>40</v>
      </c>
      <c r="T167" s="195" t="s">
        <v>2</v>
      </c>
      <c r="U167" s="195">
        <f>IF(S167&gt;0,IF(RIGHT(Ruimtestaat[[#This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7" s="195">
        <f>IF(U167&gt;0,VLOOKUP($K167,Ruimtegroepen[],3,FALSE)*VLOOKUP($M167,Vloersoorten[],3,FALSE)*VLOOKUP($T167,Frequenties[],3,FALSE)*VLOOKUP($A167,Locaties[],3,FALSE),0)</f>
        <v>0</v>
      </c>
      <c r="W167" s="195">
        <f>Ruimtestaat[[#This Row],[Uitvoeringen werkdagen]]*Ruimtestaat[[#This Row],[Oppervlak (netto)]]</f>
        <v>19660</v>
      </c>
      <c r="X167" s="233">
        <f>IF(V167&gt;0,Ruimtestaat[[#This Row],[Prest. (m2 /jaar) werkdagen]]/Ruimtestaat[[#This Row],[Norm (m2/uur) werkdagen]],0)</f>
        <v>0</v>
      </c>
      <c r="Y167" s="234">
        <f>Ruimtestaat[[#This Row],[uren / jaar werkdagen]]*Tariefsopbouw!$D$38</f>
        <v>0</v>
      </c>
      <c r="Z167" s="33"/>
      <c r="AA167" s="33">
        <f>IF(Ruimtestaat[[#This Row],[Frequentie weekend]]&gt;0,VALUE(LEFT(Z167,1))*S167,0)</f>
        <v>0</v>
      </c>
      <c r="AB167" s="33">
        <f>IF($AA167&gt;0,VLOOKUP($K167,Ruimtegroepen[],3,FALSE)*VLOOKUP($M167,Vloersoorten[],3,FALSE)*VLOOKUP($Z167,Frequenties[],3,FALSE)*VLOOKUP(#REF!,Locaties[],3,FALSE),0)</f>
        <v>0</v>
      </c>
      <c r="AC167" s="33"/>
      <c r="AD167" s="33"/>
      <c r="AE167" s="33">
        <f>Ruimtestaat[[#This Row],[uren / jaar weekend]]*Tariefsopbouw!$D$40</f>
        <v>0</v>
      </c>
      <c r="AF167" s="79">
        <f>Ruimtestaat[[#This Row],[Prest. (m2 /jaar) weekend]]+Ruimtestaat[[#This Row],[Prest. (m2 /jaar) werkdagen]]</f>
        <v>19660</v>
      </c>
      <c r="AG167" s="79">
        <f>Ruimtestaat[[#This Row],[uren / jaar weekend]]+Ruimtestaat[[#This Row],[uren / jaar werkdagen]]</f>
        <v>0</v>
      </c>
      <c r="AH167" s="80">
        <f>Ruimtestaat[[#This Row],[kosten / jaar weekend]]+Ruimtestaat[[#This Row],[kosten / jaar werkdagen]]</f>
        <v>0</v>
      </c>
    </row>
    <row r="168" spans="1:221" ht="15" customHeight="1">
      <c r="A168" s="119">
        <v>1</v>
      </c>
      <c r="B168" s="21" t="str">
        <f>VLOOKUP(Ruimtestaat[[#This Row],[Code]],Locaties[#All],2,FALSE)</f>
        <v>IJburg College</v>
      </c>
      <c r="C168" s="21" t="str">
        <f>VLOOKUP(Ruimtestaat[[#This Row],[Code]],Locaties[#All],4,FALSE)</f>
        <v>Pampuslaan 1</v>
      </c>
      <c r="D168" s="223" t="str">
        <f>VLOOKUP(Ruimtestaat[[#This Row],[Code]],Locaties[#All],5,FALSE)</f>
        <v>1087 HP</v>
      </c>
      <c r="E168" s="223" t="str">
        <f>VLOOKUP(Ruimtestaat[[#This Row],[Code]],Locaties[#All],6,FALSE)</f>
        <v>Amsterdam</v>
      </c>
      <c r="F168" s="180"/>
      <c r="G168" s="180" t="s">
        <v>715</v>
      </c>
      <c r="H168" s="180" t="s">
        <v>650</v>
      </c>
      <c r="I168" s="195" t="s">
        <v>676</v>
      </c>
      <c r="J168" s="232" t="s">
        <v>639</v>
      </c>
      <c r="K168" s="180">
        <v>16</v>
      </c>
      <c r="L168" s="238" t="str">
        <f>VLOOKUP(Ruimtestaat[[#This Row],[Ruimte code]],Ruimtegroepen[#All],2,FALSE)</f>
        <v>Lokaal</v>
      </c>
      <c r="M168" s="195" t="s">
        <v>111</v>
      </c>
      <c r="N168" s="180" t="s">
        <v>557</v>
      </c>
      <c r="O168" s="181">
        <v>32.5</v>
      </c>
      <c r="P168" s="193"/>
      <c r="Q168" s="223" t="str">
        <f>VLOOKUP(Ruimtestaat[[#This Row],[Ruimte code]],Ruimtegroepen[#All],4,FALSE)</f>
        <v>L  (Lesruimte)</v>
      </c>
      <c r="R168" s="194"/>
      <c r="S168" s="195">
        <v>40</v>
      </c>
      <c r="T168" s="195" t="s">
        <v>2</v>
      </c>
      <c r="U168" s="195">
        <f>IF(S168&gt;0,IF(RIGHT(Ruimtestaat[[#This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8" s="195">
        <f>IF(U168&gt;0,VLOOKUP($K168,Ruimtegroepen[],3,FALSE)*VLOOKUP($M168,Vloersoorten[],3,FALSE)*VLOOKUP($T168,Frequenties[],3,FALSE)*VLOOKUP($A168,Locaties[],3,FALSE),0)</f>
        <v>0</v>
      </c>
      <c r="W168" s="195">
        <f>Ruimtestaat[[#This Row],[Uitvoeringen werkdagen]]*Ruimtestaat[[#This Row],[Oppervlak (netto)]]</f>
        <v>6500</v>
      </c>
      <c r="X168" s="233">
        <f>IF(V168&gt;0,Ruimtestaat[[#This Row],[Prest. (m2 /jaar) werkdagen]]/Ruimtestaat[[#This Row],[Norm (m2/uur) werkdagen]],0)</f>
        <v>0</v>
      </c>
      <c r="Y168" s="234">
        <f>Ruimtestaat[[#This Row],[uren / jaar werkdagen]]*Tariefsopbouw!$D$38</f>
        <v>0</v>
      </c>
      <c r="Z168" s="33"/>
      <c r="AA168" s="33">
        <f>IF(Ruimtestaat[[#This Row],[Frequentie weekend]]&gt;0,VALUE(LEFT(Z168,1))*S168,0)</f>
        <v>0</v>
      </c>
      <c r="AB168" s="33">
        <f>IF($AA168&gt;0,VLOOKUP($K168,Ruimtegroepen[],3,FALSE)*VLOOKUP($M168,Vloersoorten[],3,FALSE)*VLOOKUP($Z168,Frequenties[],3,FALSE)*VLOOKUP(#REF!,Locaties[],3,FALSE),0)</f>
        <v>0</v>
      </c>
      <c r="AC168" s="33"/>
      <c r="AD168" s="33"/>
      <c r="AE168" s="33">
        <f>Ruimtestaat[[#This Row],[uren / jaar weekend]]*Tariefsopbouw!$D$40</f>
        <v>0</v>
      </c>
      <c r="AF168" s="79">
        <f>Ruimtestaat[[#This Row],[Prest. (m2 /jaar) weekend]]+Ruimtestaat[[#This Row],[Prest. (m2 /jaar) werkdagen]]</f>
        <v>6500</v>
      </c>
      <c r="AG168" s="79">
        <f>Ruimtestaat[[#This Row],[uren / jaar weekend]]+Ruimtestaat[[#This Row],[uren / jaar werkdagen]]</f>
        <v>0</v>
      </c>
      <c r="AH168" s="80">
        <f>Ruimtestaat[[#This Row],[kosten / jaar weekend]]+Ruimtestaat[[#This Row],[kosten / jaar werkdagen]]</f>
        <v>0</v>
      </c>
    </row>
    <row r="169" spans="1:221" ht="15" customHeight="1">
      <c r="A169" s="119">
        <v>1</v>
      </c>
      <c r="B169" s="21" t="str">
        <f>VLOOKUP(Ruimtestaat[[#This Row],[Code]],Locaties[#All],2,FALSE)</f>
        <v>IJburg College</v>
      </c>
      <c r="C169" s="21" t="str">
        <f>VLOOKUP(Ruimtestaat[[#This Row],[Code]],Locaties[#All],4,FALSE)</f>
        <v>Pampuslaan 1</v>
      </c>
      <c r="D169" s="223" t="str">
        <f>VLOOKUP(Ruimtestaat[[#This Row],[Code]],Locaties[#All],5,FALSE)</f>
        <v>1087 HP</v>
      </c>
      <c r="E169" s="223" t="str">
        <f>VLOOKUP(Ruimtestaat[[#This Row],[Code]],Locaties[#All],6,FALSE)</f>
        <v>Amsterdam</v>
      </c>
      <c r="F169" s="180"/>
      <c r="G169" s="180" t="s">
        <v>715</v>
      </c>
      <c r="H169" s="180" t="s">
        <v>653</v>
      </c>
      <c r="I169" s="180" t="s">
        <v>677</v>
      </c>
      <c r="J169" s="224" t="s">
        <v>631</v>
      </c>
      <c r="K169" s="180">
        <v>16</v>
      </c>
      <c r="L169" s="236" t="str">
        <f>VLOOKUP(Ruimtestaat[[#This Row],[Ruimte code]],Ruimtegroepen[#All],2,FALSE)</f>
        <v>Lokaal</v>
      </c>
      <c r="M169" s="195" t="s">
        <v>111</v>
      </c>
      <c r="N169" s="180" t="s">
        <v>557</v>
      </c>
      <c r="O169" s="181">
        <v>64.900000000000006</v>
      </c>
      <c r="P169" s="193"/>
      <c r="Q169" s="223" t="str">
        <f>VLOOKUP(Ruimtestaat[[#This Row],[Ruimte code]],Ruimtegroepen[#All],4,FALSE)</f>
        <v>L  (Lesruimte)</v>
      </c>
      <c r="R169" s="194"/>
      <c r="S169" s="195">
        <v>40</v>
      </c>
      <c r="T169" s="195" t="s">
        <v>2</v>
      </c>
      <c r="U169" s="195">
        <f>IF(S169&gt;0,IF(RIGHT(Ruimtestaat[[#This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9" s="195">
        <f>IF(U169&gt;0,VLOOKUP($K169,Ruimtegroepen[],3,FALSE)*VLOOKUP($M169,Vloersoorten[],3,FALSE)*VLOOKUP($T169,Frequenties[],3,FALSE)*VLOOKUP($A169,Locaties[],3,FALSE),0)</f>
        <v>0</v>
      </c>
      <c r="W169" s="195">
        <f>Ruimtestaat[[#This Row],[Uitvoeringen werkdagen]]*Ruimtestaat[[#This Row],[Oppervlak (netto)]]</f>
        <v>12980.000000000002</v>
      </c>
      <c r="X169" s="233">
        <f>IF(V169&gt;0,Ruimtestaat[[#This Row],[Prest. (m2 /jaar) werkdagen]]/Ruimtestaat[[#This Row],[Norm (m2/uur) werkdagen]],0)</f>
        <v>0</v>
      </c>
      <c r="Y169" s="234">
        <f>Ruimtestaat[[#This Row],[uren / jaar werkdagen]]*Tariefsopbouw!$D$38</f>
        <v>0</v>
      </c>
      <c r="Z169" s="33"/>
      <c r="AA169" s="33">
        <f>IF(Ruimtestaat[[#This Row],[Frequentie weekend]]&gt;0,VALUE(LEFT(Z169,1))*S169,0)</f>
        <v>0</v>
      </c>
      <c r="AB169" s="33">
        <f>IF($AA169&gt;0,VLOOKUP($K169,Ruimtegroepen[],3,FALSE)*VLOOKUP($M169,Vloersoorten[],3,FALSE)*VLOOKUP($Z169,Frequenties[],3,FALSE)*VLOOKUP(#REF!,Locaties[],3,FALSE),0)</f>
        <v>0</v>
      </c>
      <c r="AC169" s="33"/>
      <c r="AD169" s="33"/>
      <c r="AE169" s="33">
        <f>Ruimtestaat[[#This Row],[uren / jaar weekend]]*Tariefsopbouw!$D$40</f>
        <v>0</v>
      </c>
      <c r="AF169" s="79">
        <f>Ruimtestaat[[#This Row],[Prest. (m2 /jaar) weekend]]+Ruimtestaat[[#This Row],[Prest. (m2 /jaar) werkdagen]]</f>
        <v>12980.000000000002</v>
      </c>
      <c r="AG169" s="79">
        <f>Ruimtestaat[[#This Row],[uren / jaar weekend]]+Ruimtestaat[[#This Row],[uren / jaar werkdagen]]</f>
        <v>0</v>
      </c>
      <c r="AH169" s="80">
        <f>Ruimtestaat[[#This Row],[kosten / jaar weekend]]+Ruimtestaat[[#This Row],[kosten / jaar werkdagen]]</f>
        <v>0</v>
      </c>
    </row>
    <row r="170" spans="1:221" ht="15" customHeight="1">
      <c r="A170" s="119">
        <v>1</v>
      </c>
      <c r="B170" s="21" t="str">
        <f>VLOOKUP(Ruimtestaat[[#This Row],[Code]],Locaties[#All],2,FALSE)</f>
        <v>IJburg College</v>
      </c>
      <c r="C170" s="21" t="str">
        <f>VLOOKUP(Ruimtestaat[[#This Row],[Code]],Locaties[#All],4,FALSE)</f>
        <v>Pampuslaan 1</v>
      </c>
      <c r="D170" s="223" t="str">
        <f>VLOOKUP(Ruimtestaat[[#This Row],[Code]],Locaties[#All],5,FALSE)</f>
        <v>1087 HP</v>
      </c>
      <c r="E170" s="223" t="str">
        <f>VLOOKUP(Ruimtestaat[[#This Row],[Code]],Locaties[#All],6,FALSE)</f>
        <v>Amsterdam</v>
      </c>
      <c r="F170" s="180"/>
      <c r="G170" s="180" t="s">
        <v>715</v>
      </c>
      <c r="H170" s="180" t="s">
        <v>808</v>
      </c>
      <c r="I170" s="180" t="s">
        <v>678</v>
      </c>
      <c r="J170" s="224" t="s">
        <v>641</v>
      </c>
      <c r="K170" s="180">
        <v>6</v>
      </c>
      <c r="L170" s="236" t="str">
        <f>VLOOKUP(Ruimtestaat[[#This Row],[Ruimte code]],Ruimtegroepen[#All],2,FALSE)</f>
        <v>Gangen/hallen</v>
      </c>
      <c r="M170" s="195" t="s">
        <v>111</v>
      </c>
      <c r="N170" s="180" t="s">
        <v>557</v>
      </c>
      <c r="O170" s="181">
        <v>17</v>
      </c>
      <c r="P170" s="193"/>
      <c r="Q170" s="223" t="str">
        <f>VLOOKUP(Ruimtestaat[[#This Row],[Ruimte code]],Ruimtegroepen[#All],4,FALSE)</f>
        <v>V  (Verkeersruimte)</v>
      </c>
      <c r="R170" s="194"/>
      <c r="S170" s="195">
        <v>40</v>
      </c>
      <c r="T170" s="195" t="s">
        <v>2</v>
      </c>
      <c r="U170" s="195">
        <f>IF(S170&gt;0,IF(RIGHT(Ruimtestaat[[#This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0" s="195">
        <f>IF(U170&gt;0,VLOOKUP($K170,Ruimtegroepen[],3,FALSE)*VLOOKUP($M170,Vloersoorten[],3,FALSE)*VLOOKUP($T170,Frequenties[],3,FALSE)*VLOOKUP($A170,Locaties[],3,FALSE),0)</f>
        <v>0</v>
      </c>
      <c r="W170" s="195">
        <f>Ruimtestaat[[#This Row],[Uitvoeringen werkdagen]]*Ruimtestaat[[#This Row],[Oppervlak (netto)]]</f>
        <v>3400</v>
      </c>
      <c r="X170" s="233">
        <f>IF(V170&gt;0,Ruimtestaat[[#This Row],[Prest. (m2 /jaar) werkdagen]]/Ruimtestaat[[#This Row],[Norm (m2/uur) werkdagen]],0)</f>
        <v>0</v>
      </c>
      <c r="Y170" s="234">
        <f>Ruimtestaat[[#This Row],[uren / jaar werkdagen]]*Tariefsopbouw!$D$38</f>
        <v>0</v>
      </c>
      <c r="Z170" s="33"/>
      <c r="AA170" s="33">
        <f>IF(Ruimtestaat[[#This Row],[Frequentie weekend]]&gt;0,VALUE(LEFT(Z170,1))*S170,0)</f>
        <v>0</v>
      </c>
      <c r="AB170" s="33">
        <f>IF($AA170&gt;0,VLOOKUP($K170,Ruimtegroepen[],3,FALSE)*VLOOKUP($M170,Vloersoorten[],3,FALSE)*VLOOKUP($Z170,Frequenties[],3,FALSE)*VLOOKUP(#REF!,Locaties[],3,FALSE),0)</f>
        <v>0</v>
      </c>
      <c r="AC170" s="33"/>
      <c r="AD170" s="33"/>
      <c r="AE170" s="33">
        <f>Ruimtestaat[[#This Row],[uren / jaar weekend]]*Tariefsopbouw!$D$40</f>
        <v>0</v>
      </c>
      <c r="AF170" s="79">
        <f>Ruimtestaat[[#This Row],[Prest. (m2 /jaar) weekend]]+Ruimtestaat[[#This Row],[Prest. (m2 /jaar) werkdagen]]</f>
        <v>3400</v>
      </c>
      <c r="AG170" s="79">
        <f>Ruimtestaat[[#This Row],[uren / jaar weekend]]+Ruimtestaat[[#This Row],[uren / jaar werkdagen]]</f>
        <v>0</v>
      </c>
      <c r="AH170" s="80">
        <f>Ruimtestaat[[#This Row],[kosten / jaar weekend]]+Ruimtestaat[[#This Row],[kosten / jaar werkdagen]]</f>
        <v>0</v>
      </c>
    </row>
    <row r="171" spans="1:221" ht="15" customHeight="1">
      <c r="A171" s="119">
        <v>1</v>
      </c>
      <c r="B171" s="21" t="str">
        <f>VLOOKUP(Ruimtestaat[[#This Row],[Code]],Locaties[#All],2,FALSE)</f>
        <v>IJburg College</v>
      </c>
      <c r="C171" s="21" t="str">
        <f>VLOOKUP(Ruimtestaat[[#This Row],[Code]],Locaties[#All],4,FALSE)</f>
        <v>Pampuslaan 1</v>
      </c>
      <c r="D171" s="223" t="str">
        <f>VLOOKUP(Ruimtestaat[[#This Row],[Code]],Locaties[#All],5,FALSE)</f>
        <v>1087 HP</v>
      </c>
      <c r="E171" s="223" t="str">
        <f>VLOOKUP(Ruimtestaat[[#This Row],[Code]],Locaties[#All],6,FALSE)</f>
        <v>Amsterdam</v>
      </c>
      <c r="F171" s="180"/>
      <c r="G171" s="180" t="s">
        <v>715</v>
      </c>
      <c r="H171" s="180" t="s">
        <v>668</v>
      </c>
      <c r="I171" s="180" t="s">
        <v>679</v>
      </c>
      <c r="J171" s="224" t="s">
        <v>640</v>
      </c>
      <c r="K171" s="180">
        <v>4</v>
      </c>
      <c r="L171" s="236" t="str">
        <f>VLOOKUP(Ruimtestaat[[#This Row],[Ruimte code]],Ruimtegroepen[#All],2,FALSE)</f>
        <v>Vergader/spreekkamers</v>
      </c>
      <c r="M171" s="195" t="s">
        <v>111</v>
      </c>
      <c r="N171" s="180" t="s">
        <v>557</v>
      </c>
      <c r="O171" s="181">
        <v>28.2</v>
      </c>
      <c r="P171" s="193"/>
      <c r="Q171" s="223" t="str">
        <f>VLOOKUP(Ruimtestaat[[#This Row],[Ruimte code]],Ruimtegroepen[#All],4,FALSE)</f>
        <v>B  (Bureauruimte)</v>
      </c>
      <c r="R171" s="194"/>
      <c r="S171" s="195">
        <v>40</v>
      </c>
      <c r="T171" s="195" t="s">
        <v>2</v>
      </c>
      <c r="U171" s="195">
        <f>IF(S171&gt;0,IF(RIGHT(Ruimtestaat[[#This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1" s="195">
        <f>IF(U171&gt;0,VLOOKUP($K171,Ruimtegroepen[],3,FALSE)*VLOOKUP($M171,Vloersoorten[],3,FALSE)*VLOOKUP($T171,Frequenties[],3,FALSE)*VLOOKUP($A171,Locaties[],3,FALSE),0)</f>
        <v>0</v>
      </c>
      <c r="W171" s="195">
        <f>Ruimtestaat[[#This Row],[Uitvoeringen werkdagen]]*Ruimtestaat[[#This Row],[Oppervlak (netto)]]</f>
        <v>5640</v>
      </c>
      <c r="X171" s="233">
        <f>IF(V171&gt;0,Ruimtestaat[[#This Row],[Prest. (m2 /jaar) werkdagen]]/Ruimtestaat[[#This Row],[Norm (m2/uur) werkdagen]],0)</f>
        <v>0</v>
      </c>
      <c r="Y171" s="234">
        <f>Ruimtestaat[[#This Row],[uren / jaar werkdagen]]*Tariefsopbouw!$D$38</f>
        <v>0</v>
      </c>
      <c r="Z171" s="33"/>
      <c r="AA171" s="33">
        <f>IF(Ruimtestaat[[#This Row],[Frequentie weekend]]&gt;0,VALUE(LEFT(Z171,1))*S171,0)</f>
        <v>0</v>
      </c>
      <c r="AB171" s="33">
        <f>IF($AA171&gt;0,VLOOKUP($K171,Ruimtegroepen[],3,FALSE)*VLOOKUP($M171,Vloersoorten[],3,FALSE)*VLOOKUP($Z171,Frequenties[],3,FALSE)*VLOOKUP(#REF!,Locaties[],3,FALSE),0)</f>
        <v>0</v>
      </c>
      <c r="AC171" s="33"/>
      <c r="AD171" s="33"/>
      <c r="AE171" s="33">
        <f>Ruimtestaat[[#This Row],[uren / jaar weekend]]*Tariefsopbouw!$D$40</f>
        <v>0</v>
      </c>
      <c r="AF171" s="79">
        <f>Ruimtestaat[[#This Row],[Prest. (m2 /jaar) weekend]]+Ruimtestaat[[#This Row],[Prest. (m2 /jaar) werkdagen]]</f>
        <v>5640</v>
      </c>
      <c r="AG171" s="79">
        <f>Ruimtestaat[[#This Row],[uren / jaar weekend]]+Ruimtestaat[[#This Row],[uren / jaar werkdagen]]</f>
        <v>0</v>
      </c>
      <c r="AH171" s="80">
        <f>Ruimtestaat[[#This Row],[kosten / jaar weekend]]+Ruimtestaat[[#This Row],[kosten / jaar werkdagen]]</f>
        <v>0</v>
      </c>
    </row>
    <row r="172" spans="1:221" ht="15" customHeight="1">
      <c r="A172" s="119">
        <v>1</v>
      </c>
      <c r="B172" s="21" t="str">
        <f>VLOOKUP(Ruimtestaat[[#This Row],[Code]],Locaties[#All],2,FALSE)</f>
        <v>IJburg College</v>
      </c>
      <c r="C172" s="21" t="str">
        <f>VLOOKUP(Ruimtestaat[[#This Row],[Code]],Locaties[#All],4,FALSE)</f>
        <v>Pampuslaan 1</v>
      </c>
      <c r="D172" s="223" t="str">
        <f>VLOOKUP(Ruimtestaat[[#This Row],[Code]],Locaties[#All],5,FALSE)</f>
        <v>1087 HP</v>
      </c>
      <c r="E172" s="223" t="str">
        <f>VLOOKUP(Ruimtestaat[[#This Row],[Code]],Locaties[#All],6,FALSE)</f>
        <v>Amsterdam</v>
      </c>
      <c r="F172" s="180"/>
      <c r="G172" s="180" t="s">
        <v>715</v>
      </c>
      <c r="H172" s="180" t="s">
        <v>676</v>
      </c>
      <c r="I172" s="180" t="s">
        <v>680</v>
      </c>
      <c r="J172" s="224" t="s">
        <v>640</v>
      </c>
      <c r="K172" s="180">
        <v>4</v>
      </c>
      <c r="L172" s="236" t="str">
        <f>VLOOKUP(Ruimtestaat[[#This Row],[Ruimte code]],Ruimtegroepen[#All],2,FALSE)</f>
        <v>Vergader/spreekkamers</v>
      </c>
      <c r="M172" s="195" t="s">
        <v>111</v>
      </c>
      <c r="N172" s="180" t="s">
        <v>557</v>
      </c>
      <c r="O172" s="181">
        <v>16.399999999999999</v>
      </c>
      <c r="P172" s="193"/>
      <c r="Q172" s="223" t="str">
        <f>VLOOKUP(Ruimtestaat[[#This Row],[Ruimte code]],Ruimtegroepen[#All],4,FALSE)</f>
        <v>B  (Bureauruimte)</v>
      </c>
      <c r="R172" s="194"/>
      <c r="S172" s="195">
        <v>40</v>
      </c>
      <c r="T172" s="195" t="s">
        <v>2</v>
      </c>
      <c r="U172" s="195">
        <f>IF(S172&gt;0,IF(RIGHT(Ruimtestaat[[#This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2" s="195">
        <f>IF(U172&gt;0,VLOOKUP($K172,Ruimtegroepen[],3,FALSE)*VLOOKUP($M172,Vloersoorten[],3,FALSE)*VLOOKUP($T172,Frequenties[],3,FALSE)*VLOOKUP($A172,Locaties[],3,FALSE),0)</f>
        <v>0</v>
      </c>
      <c r="W172" s="195">
        <f>Ruimtestaat[[#This Row],[Uitvoeringen werkdagen]]*Ruimtestaat[[#This Row],[Oppervlak (netto)]]</f>
        <v>3279.9999999999995</v>
      </c>
      <c r="X172" s="233">
        <f>IF(V172&gt;0,Ruimtestaat[[#This Row],[Prest. (m2 /jaar) werkdagen]]/Ruimtestaat[[#This Row],[Norm (m2/uur) werkdagen]],0)</f>
        <v>0</v>
      </c>
      <c r="Y172" s="234">
        <f>Ruimtestaat[[#This Row],[uren / jaar werkdagen]]*Tariefsopbouw!$D$38</f>
        <v>0</v>
      </c>
      <c r="Z172" s="33"/>
      <c r="AA172" s="33">
        <f>IF(Ruimtestaat[[#This Row],[Frequentie weekend]]&gt;0,VALUE(LEFT(Z172,1))*S172,0)</f>
        <v>0</v>
      </c>
      <c r="AB172" s="33">
        <f>IF($AA172&gt;0,VLOOKUP($K172,Ruimtegroepen[],3,FALSE)*VLOOKUP($M172,Vloersoorten[],3,FALSE)*VLOOKUP($Z172,Frequenties[],3,FALSE)*VLOOKUP(#REF!,Locaties[],3,FALSE),0)</f>
        <v>0</v>
      </c>
      <c r="AC172" s="33"/>
      <c r="AD172" s="33"/>
      <c r="AE172" s="33">
        <f>Ruimtestaat[[#This Row],[uren / jaar weekend]]*Tariefsopbouw!$D$40</f>
        <v>0</v>
      </c>
      <c r="AF172" s="79">
        <f>Ruimtestaat[[#This Row],[Prest. (m2 /jaar) weekend]]+Ruimtestaat[[#This Row],[Prest. (m2 /jaar) werkdagen]]</f>
        <v>3279.9999999999995</v>
      </c>
      <c r="AG172" s="79">
        <f>Ruimtestaat[[#This Row],[uren / jaar weekend]]+Ruimtestaat[[#This Row],[uren / jaar werkdagen]]</f>
        <v>0</v>
      </c>
      <c r="AH172" s="80">
        <f>Ruimtestaat[[#This Row],[kosten / jaar weekend]]+Ruimtestaat[[#This Row],[kosten / jaar werkdagen]]</f>
        <v>0</v>
      </c>
    </row>
    <row r="173" spans="1:221" ht="15" customHeight="1">
      <c r="A173" s="119">
        <v>1</v>
      </c>
      <c r="B173" s="21" t="str">
        <f>VLOOKUP(Ruimtestaat[[#This Row],[Code]],Locaties[#All],2,FALSE)</f>
        <v>IJburg College</v>
      </c>
      <c r="C173" s="21" t="str">
        <f>VLOOKUP(Ruimtestaat[[#This Row],[Code]],Locaties[#All],4,FALSE)</f>
        <v>Pampuslaan 1</v>
      </c>
      <c r="D173" s="223" t="str">
        <f>VLOOKUP(Ruimtestaat[[#This Row],[Code]],Locaties[#All],5,FALSE)</f>
        <v>1087 HP</v>
      </c>
      <c r="E173" s="223" t="str">
        <f>VLOOKUP(Ruimtestaat[[#This Row],[Code]],Locaties[#All],6,FALSE)</f>
        <v>Amsterdam</v>
      </c>
      <c r="F173" s="180"/>
      <c r="G173" s="180" t="s">
        <v>715</v>
      </c>
      <c r="H173" s="180" t="s">
        <v>675</v>
      </c>
      <c r="I173" s="180" t="s">
        <v>681</v>
      </c>
      <c r="J173" s="224" t="s">
        <v>640</v>
      </c>
      <c r="K173" s="180">
        <v>4</v>
      </c>
      <c r="L173" s="236" t="str">
        <f>VLOOKUP(Ruimtestaat[[#This Row],[Ruimte code]],Ruimtegroepen[#All],2,FALSE)</f>
        <v>Vergader/spreekkamers</v>
      </c>
      <c r="M173" s="195" t="s">
        <v>111</v>
      </c>
      <c r="N173" s="180" t="s">
        <v>557</v>
      </c>
      <c r="O173" s="181">
        <v>16.399999999999999</v>
      </c>
      <c r="P173" s="193"/>
      <c r="Q173" s="223" t="str">
        <f>VLOOKUP(Ruimtestaat[[#This Row],[Ruimte code]],Ruimtegroepen[#All],4,FALSE)</f>
        <v>B  (Bureauruimte)</v>
      </c>
      <c r="R173" s="194"/>
      <c r="S173" s="195">
        <v>40</v>
      </c>
      <c r="T173" s="195" t="s">
        <v>2</v>
      </c>
      <c r="U173" s="195">
        <f>IF(S173&gt;0,IF(RIGHT(Ruimtestaat[[#This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3" s="195">
        <f>IF(U173&gt;0,VLOOKUP($K173,Ruimtegroepen[],3,FALSE)*VLOOKUP($M173,Vloersoorten[],3,FALSE)*VLOOKUP($T173,Frequenties[],3,FALSE)*VLOOKUP($A173,Locaties[],3,FALSE),0)</f>
        <v>0</v>
      </c>
      <c r="W173" s="195">
        <f>Ruimtestaat[[#This Row],[Uitvoeringen werkdagen]]*Ruimtestaat[[#This Row],[Oppervlak (netto)]]</f>
        <v>3279.9999999999995</v>
      </c>
      <c r="X173" s="233">
        <f>IF(V173&gt;0,Ruimtestaat[[#This Row],[Prest. (m2 /jaar) werkdagen]]/Ruimtestaat[[#This Row],[Norm (m2/uur) werkdagen]],0)</f>
        <v>0</v>
      </c>
      <c r="Y173" s="234">
        <f>Ruimtestaat[[#This Row],[uren / jaar werkdagen]]*Tariefsopbouw!$D$38</f>
        <v>0</v>
      </c>
      <c r="Z173" s="33"/>
      <c r="AA173" s="33">
        <f>IF(Ruimtestaat[[#This Row],[Frequentie weekend]]&gt;0,VALUE(LEFT(Z173,1))*S173,0)</f>
        <v>0</v>
      </c>
      <c r="AB173" s="33">
        <f>IF($AA173&gt;0,VLOOKUP($K173,Ruimtegroepen[],3,FALSE)*VLOOKUP($M173,Vloersoorten[],3,FALSE)*VLOOKUP($Z173,Frequenties[],3,FALSE)*VLOOKUP(#REF!,Locaties[],3,FALSE),0)</f>
        <v>0</v>
      </c>
      <c r="AC173" s="33"/>
      <c r="AD173" s="33"/>
      <c r="AE173" s="33">
        <f>Ruimtestaat[[#This Row],[uren / jaar weekend]]*Tariefsopbouw!$D$40</f>
        <v>0</v>
      </c>
      <c r="AF173" s="79">
        <f>Ruimtestaat[[#This Row],[Prest. (m2 /jaar) weekend]]+Ruimtestaat[[#This Row],[Prest. (m2 /jaar) werkdagen]]</f>
        <v>3279.9999999999995</v>
      </c>
      <c r="AG173" s="79">
        <f>Ruimtestaat[[#This Row],[uren / jaar weekend]]+Ruimtestaat[[#This Row],[uren / jaar werkdagen]]</f>
        <v>0</v>
      </c>
      <c r="AH173" s="80">
        <f>Ruimtestaat[[#This Row],[kosten / jaar weekend]]+Ruimtestaat[[#This Row],[kosten / jaar werkdagen]]</f>
        <v>0</v>
      </c>
    </row>
    <row r="174" spans="1:221" ht="15" customHeight="1">
      <c r="A174" s="119">
        <v>1</v>
      </c>
      <c r="B174" s="21" t="str">
        <f>VLOOKUP(Ruimtestaat[[#This Row],[Code]],Locaties[#All],2,FALSE)</f>
        <v>IJburg College</v>
      </c>
      <c r="C174" s="21" t="str">
        <f>VLOOKUP(Ruimtestaat[[#This Row],[Code]],Locaties[#All],4,FALSE)</f>
        <v>Pampuslaan 1</v>
      </c>
      <c r="D174" s="223" t="str">
        <f>VLOOKUP(Ruimtestaat[[#This Row],[Code]],Locaties[#All],5,FALSE)</f>
        <v>1087 HP</v>
      </c>
      <c r="E174" s="223" t="str">
        <f>VLOOKUP(Ruimtestaat[[#This Row],[Code]],Locaties[#All],6,FALSE)</f>
        <v>Amsterdam</v>
      </c>
      <c r="F174" s="180"/>
      <c r="G174" s="180" t="s">
        <v>715</v>
      </c>
      <c r="H174" s="180" t="s">
        <v>809</v>
      </c>
      <c r="I174" s="180" t="s">
        <v>682</v>
      </c>
      <c r="J174" s="224" t="s">
        <v>543</v>
      </c>
      <c r="K174" s="180">
        <v>5</v>
      </c>
      <c r="L174" s="236" t="str">
        <f>VLOOKUP(Ruimtestaat[[#This Row],[Ruimte code]],Ruimtegroepen[#All],2,FALSE)</f>
        <v>Sanitair</v>
      </c>
      <c r="M174" s="195" t="s">
        <v>111</v>
      </c>
      <c r="N174" s="180" t="s">
        <v>558</v>
      </c>
      <c r="O174" s="181">
        <v>13.8</v>
      </c>
      <c r="P174" s="193"/>
      <c r="Q174" s="223" t="str">
        <f>VLOOKUP(Ruimtestaat[[#This Row],[Ruimte code]],Ruimtegroepen[#All],4,FALSE)</f>
        <v>S  (Sanitair)</v>
      </c>
      <c r="R174" s="194"/>
      <c r="S174" s="195">
        <v>42</v>
      </c>
      <c r="T174" s="195" t="s">
        <v>2</v>
      </c>
      <c r="U174" s="195">
        <f>IF(S174&gt;0,IF(RIGHT(Ruimtestaat[[#This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210</v>
      </c>
      <c r="V174" s="195">
        <f>IF(U174&gt;0,VLOOKUP($K174,Ruimtegroepen[],3,FALSE)*VLOOKUP($M174,Vloersoorten[],3,FALSE)*VLOOKUP($T174,Frequenties[],3,FALSE)*VLOOKUP($A174,Locaties[],3,FALSE),0)</f>
        <v>0</v>
      </c>
      <c r="W174" s="195">
        <f>Ruimtestaat[[#This Row],[Uitvoeringen werkdagen]]*Ruimtestaat[[#This Row],[Oppervlak (netto)]]</f>
        <v>2898</v>
      </c>
      <c r="X174" s="233">
        <f>IF(V174&gt;0,Ruimtestaat[[#This Row],[Prest. (m2 /jaar) werkdagen]]/Ruimtestaat[[#This Row],[Norm (m2/uur) werkdagen]],0)</f>
        <v>0</v>
      </c>
      <c r="Y174" s="234">
        <f>Ruimtestaat[[#This Row],[uren / jaar werkdagen]]*Tariefsopbouw!$D$38</f>
        <v>0</v>
      </c>
      <c r="Z174" s="33"/>
      <c r="AA174" s="33">
        <f>IF(Ruimtestaat[[#This Row],[Frequentie weekend]]&gt;0,VALUE(LEFT(Z174,1))*S174,0)</f>
        <v>0</v>
      </c>
      <c r="AB174" s="33">
        <f>IF($AA174&gt;0,VLOOKUP($K174,Ruimtegroepen[],3,FALSE)*VLOOKUP($M174,Vloersoorten[],3,FALSE)*VLOOKUP($Z174,Frequenties[],3,FALSE)*VLOOKUP(#REF!,Locaties[],3,FALSE),0)</f>
        <v>0</v>
      </c>
      <c r="AC174" s="33"/>
      <c r="AD174" s="33"/>
      <c r="AE174" s="33">
        <f>Ruimtestaat[[#This Row],[uren / jaar weekend]]*Tariefsopbouw!$D$40</f>
        <v>0</v>
      </c>
      <c r="AF174" s="79">
        <f>Ruimtestaat[[#This Row],[Prest. (m2 /jaar) weekend]]+Ruimtestaat[[#This Row],[Prest. (m2 /jaar) werkdagen]]</f>
        <v>2898</v>
      </c>
      <c r="AG174" s="79">
        <f>Ruimtestaat[[#This Row],[uren / jaar weekend]]+Ruimtestaat[[#This Row],[uren / jaar werkdagen]]</f>
        <v>0</v>
      </c>
      <c r="AH174" s="80">
        <f>Ruimtestaat[[#This Row],[kosten / jaar weekend]]+Ruimtestaat[[#This Row],[kosten / jaar werkdagen]]</f>
        <v>0</v>
      </c>
    </row>
    <row r="175" spans="1:221" ht="15" customHeight="1">
      <c r="A175" s="119">
        <v>1</v>
      </c>
      <c r="B175" s="21" t="str">
        <f>VLOOKUP(Ruimtestaat[[#This Row],[Code]],Locaties[#All],2,FALSE)</f>
        <v>IJburg College</v>
      </c>
      <c r="C175" s="21" t="str">
        <f>VLOOKUP(Ruimtestaat[[#This Row],[Code]],Locaties[#All],4,FALSE)</f>
        <v>Pampuslaan 1</v>
      </c>
      <c r="D175" s="223" t="str">
        <f>VLOOKUP(Ruimtestaat[[#This Row],[Code]],Locaties[#All],5,FALSE)</f>
        <v>1087 HP</v>
      </c>
      <c r="E175" s="223" t="str">
        <f>VLOOKUP(Ruimtestaat[[#This Row],[Code]],Locaties[#All],6,FALSE)</f>
        <v>Amsterdam</v>
      </c>
      <c r="F175" s="180"/>
      <c r="G175" s="180" t="s">
        <v>715</v>
      </c>
      <c r="H175" s="180" t="s">
        <v>810</v>
      </c>
      <c r="I175" s="180" t="s">
        <v>683</v>
      </c>
      <c r="J175" s="224" t="s">
        <v>542</v>
      </c>
      <c r="K175" s="223">
        <v>5</v>
      </c>
      <c r="L175" s="236" t="str">
        <f>VLOOKUP(Ruimtestaat[[#This Row],[Ruimte code]],Ruimtegroepen[#All],2,FALSE)</f>
        <v>Sanitair</v>
      </c>
      <c r="M175" s="195" t="s">
        <v>111</v>
      </c>
      <c r="N175" s="180" t="s">
        <v>558</v>
      </c>
      <c r="O175" s="181">
        <v>13.8</v>
      </c>
      <c r="P175" s="193"/>
      <c r="Q175" s="223" t="str">
        <f>VLOOKUP(Ruimtestaat[[#This Row],[Ruimte code]],Ruimtegroepen[#All],4,FALSE)</f>
        <v>S  (Sanitair)</v>
      </c>
      <c r="R175" s="194"/>
      <c r="S175" s="195">
        <v>40</v>
      </c>
      <c r="T175" s="195" t="s">
        <v>2</v>
      </c>
      <c r="U175" s="195">
        <f>IF(S175&gt;0,IF(RIGHT(Ruimtestaat[[#This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5" s="195">
        <f>IF(U175&gt;0,VLOOKUP($K175,Ruimtegroepen[],3,FALSE)*VLOOKUP($M175,Vloersoorten[],3,FALSE)*VLOOKUP($T175,Frequenties[],3,FALSE)*VLOOKUP($A175,Locaties[],3,FALSE),0)</f>
        <v>0</v>
      </c>
      <c r="W175" s="195">
        <f>Ruimtestaat[[#This Row],[Uitvoeringen werkdagen]]*Ruimtestaat[[#This Row],[Oppervlak (netto)]]</f>
        <v>2760</v>
      </c>
      <c r="X175" s="233">
        <f>IF(V175&gt;0,Ruimtestaat[[#This Row],[Prest. (m2 /jaar) werkdagen]]/Ruimtestaat[[#This Row],[Norm (m2/uur) werkdagen]],0)</f>
        <v>0</v>
      </c>
      <c r="Y175" s="234">
        <f>Ruimtestaat[[#This Row],[uren / jaar werkdagen]]*Tariefsopbouw!$D$38</f>
        <v>0</v>
      </c>
      <c r="Z175" s="33"/>
      <c r="AA175" s="33">
        <f>IF(Ruimtestaat[[#This Row],[Frequentie weekend]]&gt;0,VALUE(LEFT(Z175,1))*S175,0)</f>
        <v>0</v>
      </c>
      <c r="AB175" s="33">
        <f>IF($AA175&gt;0,VLOOKUP($K175,Ruimtegroepen[],3,FALSE)*VLOOKUP($M175,Vloersoorten[],3,FALSE)*VLOOKUP($Z175,Frequenties[],3,FALSE)*VLOOKUP(#REF!,Locaties[],3,FALSE),0)</f>
        <v>0</v>
      </c>
      <c r="AC175" s="33"/>
      <c r="AD175" s="33"/>
      <c r="AE175" s="33">
        <f>Ruimtestaat[[#This Row],[uren / jaar weekend]]*Tariefsopbouw!$D$40</f>
        <v>0</v>
      </c>
      <c r="AF175" s="79">
        <f>Ruimtestaat[[#This Row],[Prest. (m2 /jaar) weekend]]+Ruimtestaat[[#This Row],[Prest. (m2 /jaar) werkdagen]]</f>
        <v>2760</v>
      </c>
      <c r="AG175" s="79">
        <f>Ruimtestaat[[#This Row],[uren / jaar weekend]]+Ruimtestaat[[#This Row],[uren / jaar werkdagen]]</f>
        <v>0</v>
      </c>
      <c r="AH175" s="80">
        <f>Ruimtestaat[[#This Row],[kosten / jaar weekend]]+Ruimtestaat[[#This Row],[kosten / jaar werkdagen]]</f>
        <v>0</v>
      </c>
    </row>
    <row r="176" spans="1:221" ht="15" customHeight="1">
      <c r="A176" s="119">
        <v>1</v>
      </c>
      <c r="B176" s="21" t="str">
        <f>VLOOKUP(Ruimtestaat[[#This Row],[Code]],Locaties[#All],2,FALSE)</f>
        <v>IJburg College</v>
      </c>
      <c r="C176" s="21" t="str">
        <f>VLOOKUP(Ruimtestaat[[#This Row],[Code]],Locaties[#All],4,FALSE)</f>
        <v>Pampuslaan 1</v>
      </c>
      <c r="D176" s="223" t="str">
        <f>VLOOKUP(Ruimtestaat[[#This Row],[Code]],Locaties[#All],5,FALSE)</f>
        <v>1087 HP</v>
      </c>
      <c r="E176" s="223" t="str">
        <f>VLOOKUP(Ruimtestaat[[#This Row],[Code]],Locaties[#All],6,FALSE)</f>
        <v>Amsterdam</v>
      </c>
      <c r="F176" s="180"/>
      <c r="G176" s="180" t="s">
        <v>715</v>
      </c>
      <c r="H176" s="180" t="s">
        <v>811</v>
      </c>
      <c r="I176" s="180" t="s">
        <v>684</v>
      </c>
      <c r="J176" s="224" t="s">
        <v>713</v>
      </c>
      <c r="K176" s="180">
        <v>9</v>
      </c>
      <c r="L176" s="236" t="str">
        <f>VLOOKUP(Ruimtestaat[[#This Row],[Ruimte code]],Ruimtegroepen[#All],2,FALSE)</f>
        <v>Garderobe</v>
      </c>
      <c r="M176" s="223" t="s">
        <v>111</v>
      </c>
      <c r="N176" s="180" t="s">
        <v>557</v>
      </c>
      <c r="O176" s="181">
        <v>401</v>
      </c>
      <c r="P176" s="193"/>
      <c r="Q176" s="223" t="str">
        <f>VLOOKUP(Ruimtestaat[[#This Row],[Ruimte code]],Ruimtegroepen[#All],4,FALSE)</f>
        <v>V  (Verkeersruimte)</v>
      </c>
      <c r="R176" s="194"/>
      <c r="S176" s="195">
        <v>40</v>
      </c>
      <c r="T176" s="195" t="s">
        <v>2</v>
      </c>
      <c r="U176" s="195">
        <f>IF(S176&gt;0,IF(RIGHT(Ruimtestaat[[#This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6" s="195">
        <f>IF(U176&gt;0,VLOOKUP($K176,Ruimtegroepen[],3,FALSE)*VLOOKUP($M176,Vloersoorten[],3,FALSE)*VLOOKUP($T176,Frequenties[],3,FALSE)*VLOOKUP($A176,Locaties[],3,FALSE),0)</f>
        <v>0</v>
      </c>
      <c r="W176" s="195">
        <f>Ruimtestaat[[#This Row],[Uitvoeringen werkdagen]]*Ruimtestaat[[#This Row],[Oppervlak (netto)]]</f>
        <v>80200</v>
      </c>
      <c r="X176" s="233">
        <f>IF(V176&gt;0,Ruimtestaat[[#This Row],[Prest. (m2 /jaar) werkdagen]]/Ruimtestaat[[#This Row],[Norm (m2/uur) werkdagen]],0)</f>
        <v>0</v>
      </c>
      <c r="Y176" s="234">
        <f>Ruimtestaat[[#This Row],[uren / jaar werkdagen]]*Tariefsopbouw!$D$38</f>
        <v>0</v>
      </c>
      <c r="Z176" s="33"/>
      <c r="AA176" s="33">
        <f>IF(Ruimtestaat[[#This Row],[Frequentie weekend]]&gt;0,VALUE(LEFT(Z176,1))*S176,0)</f>
        <v>0</v>
      </c>
      <c r="AB176" s="33">
        <f>IF($AA176&gt;0,VLOOKUP($K176,Ruimtegroepen[],3,FALSE)*VLOOKUP($M176,Vloersoorten[],3,FALSE)*VLOOKUP($Z176,Frequenties[],3,FALSE)*VLOOKUP(#REF!,Locaties[],3,FALSE),0)</f>
        <v>0</v>
      </c>
      <c r="AC176" s="33"/>
      <c r="AD176" s="33"/>
      <c r="AE176" s="33">
        <f>Ruimtestaat[[#This Row],[uren / jaar weekend]]*Tariefsopbouw!$D$40</f>
        <v>0</v>
      </c>
      <c r="AF176" s="79">
        <f>Ruimtestaat[[#This Row],[Prest. (m2 /jaar) weekend]]+Ruimtestaat[[#This Row],[Prest. (m2 /jaar) werkdagen]]</f>
        <v>80200</v>
      </c>
      <c r="AG176" s="79">
        <f>Ruimtestaat[[#This Row],[uren / jaar weekend]]+Ruimtestaat[[#This Row],[uren / jaar werkdagen]]</f>
        <v>0</v>
      </c>
      <c r="AH176" s="80">
        <f>Ruimtestaat[[#This Row],[kosten / jaar weekend]]+Ruimtestaat[[#This Row],[kosten / jaar werkdagen]]</f>
        <v>0</v>
      </c>
    </row>
    <row r="177" spans="1:34" ht="15" customHeight="1">
      <c r="A177" s="119">
        <v>1</v>
      </c>
      <c r="B177" s="21" t="str">
        <f>VLOOKUP(Ruimtestaat[[#This Row],[Code]],Locaties[#All],2,FALSE)</f>
        <v>IJburg College</v>
      </c>
      <c r="C177" s="21" t="str">
        <f>VLOOKUP(Ruimtestaat[[#This Row],[Code]],Locaties[#All],4,FALSE)</f>
        <v>Pampuslaan 1</v>
      </c>
      <c r="D177" s="223" t="str">
        <f>VLOOKUP(Ruimtestaat[[#This Row],[Code]],Locaties[#All],5,FALSE)</f>
        <v>1087 HP</v>
      </c>
      <c r="E177" s="223" t="str">
        <f>VLOOKUP(Ruimtestaat[[#This Row],[Code]],Locaties[#All],6,FALSE)</f>
        <v>Amsterdam</v>
      </c>
      <c r="F177" s="180"/>
      <c r="G177" s="180" t="s">
        <v>715</v>
      </c>
      <c r="H177" s="180" t="s">
        <v>674</v>
      </c>
      <c r="I177" s="180" t="s">
        <v>685</v>
      </c>
      <c r="J177" s="224" t="s">
        <v>638</v>
      </c>
      <c r="K177" s="223">
        <v>2</v>
      </c>
      <c r="L177" s="236" t="str">
        <f>VLOOKUP(Ruimtestaat[[#This Row],[Ruimte code]],Ruimtegroepen[#All],2,FALSE)</f>
        <v>Kantoren</v>
      </c>
      <c r="M177" s="195" t="s">
        <v>111</v>
      </c>
      <c r="N177" s="180" t="s">
        <v>557</v>
      </c>
      <c r="O177" s="181">
        <v>20</v>
      </c>
      <c r="P177" s="193"/>
      <c r="Q177" s="223" t="str">
        <f>VLOOKUP(Ruimtestaat[[#This Row],[Ruimte code]],Ruimtegroepen[#All],4,FALSE)</f>
        <v>B  (Bureauruimte)</v>
      </c>
      <c r="R177" s="194"/>
      <c r="S177" s="195">
        <v>40</v>
      </c>
      <c r="T177" s="195" t="s">
        <v>17</v>
      </c>
      <c r="U177" s="195">
        <f>IF(S177&gt;0,IF(RIGHT(Ruimtestaat[[#This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77" s="195">
        <f>IF(U177&gt;0,VLOOKUP($K177,Ruimtegroepen[],3,FALSE)*VLOOKUP($M177,Vloersoorten[],3,FALSE)*VLOOKUP($T177,Frequenties[],3,FALSE)*VLOOKUP($A177,Locaties[],3,FALSE),0)</f>
        <v>0</v>
      </c>
      <c r="W177" s="195">
        <f>Ruimtestaat[[#This Row],[Uitvoeringen werkdagen]]*Ruimtestaat[[#This Row],[Oppervlak (netto)]]</f>
        <v>1600</v>
      </c>
      <c r="X177" s="233">
        <f>IF(V177&gt;0,Ruimtestaat[[#This Row],[Prest. (m2 /jaar) werkdagen]]/Ruimtestaat[[#This Row],[Norm (m2/uur) werkdagen]],0)</f>
        <v>0</v>
      </c>
      <c r="Y177" s="234">
        <f>Ruimtestaat[[#This Row],[uren / jaar werkdagen]]*Tariefsopbouw!$D$38</f>
        <v>0</v>
      </c>
      <c r="Z177" s="33"/>
      <c r="AA177" s="33">
        <f>IF(Ruimtestaat[[#This Row],[Frequentie weekend]]&gt;0,VALUE(LEFT(Z177,1))*S177,0)</f>
        <v>0</v>
      </c>
      <c r="AB177" s="33">
        <f>IF($AA177&gt;0,VLOOKUP($K177,Ruimtegroepen[],3,FALSE)*VLOOKUP($M177,Vloersoorten[],3,FALSE)*VLOOKUP($Z177,Frequenties[],3,FALSE)*VLOOKUP(#REF!,Locaties[],3,FALSE),0)</f>
        <v>0</v>
      </c>
      <c r="AC177" s="33"/>
      <c r="AD177" s="33"/>
      <c r="AE177" s="33">
        <f>Ruimtestaat[[#This Row],[uren / jaar weekend]]*Tariefsopbouw!$D$40</f>
        <v>0</v>
      </c>
      <c r="AF177" s="79">
        <f>Ruimtestaat[[#This Row],[Prest. (m2 /jaar) weekend]]+Ruimtestaat[[#This Row],[Prest. (m2 /jaar) werkdagen]]</f>
        <v>1600</v>
      </c>
      <c r="AG177" s="79">
        <f>Ruimtestaat[[#This Row],[uren / jaar weekend]]+Ruimtestaat[[#This Row],[uren / jaar werkdagen]]</f>
        <v>0</v>
      </c>
      <c r="AH177" s="80">
        <f>Ruimtestaat[[#This Row],[kosten / jaar weekend]]+Ruimtestaat[[#This Row],[kosten / jaar werkdagen]]</f>
        <v>0</v>
      </c>
    </row>
    <row r="178" spans="1:34" ht="15" customHeight="1">
      <c r="A178" s="119">
        <v>1</v>
      </c>
      <c r="B178" s="21" t="str">
        <f>VLOOKUP(Ruimtestaat[[#This Row],[Code]],Locaties[#All],2,FALSE)</f>
        <v>IJburg College</v>
      </c>
      <c r="C178" s="21" t="str">
        <f>VLOOKUP(Ruimtestaat[[#This Row],[Code]],Locaties[#All],4,FALSE)</f>
        <v>Pampuslaan 1</v>
      </c>
      <c r="D178" s="223" t="str">
        <f>VLOOKUP(Ruimtestaat[[#This Row],[Code]],Locaties[#All],5,FALSE)</f>
        <v>1087 HP</v>
      </c>
      <c r="E178" s="223" t="str">
        <f>VLOOKUP(Ruimtestaat[[#This Row],[Code]],Locaties[#All],6,FALSE)</f>
        <v>Amsterdam</v>
      </c>
      <c r="F178" s="180"/>
      <c r="G178" s="180" t="s">
        <v>715</v>
      </c>
      <c r="H178" s="180" t="s">
        <v>669</v>
      </c>
      <c r="I178" s="180" t="s">
        <v>686</v>
      </c>
      <c r="J178" s="224" t="s">
        <v>640</v>
      </c>
      <c r="K178" s="180">
        <v>4</v>
      </c>
      <c r="L178" s="236" t="str">
        <f>VLOOKUP(Ruimtestaat[[#This Row],[Ruimte code]],Ruimtegroepen[#All],2,FALSE)</f>
        <v>Vergader/spreekkamers</v>
      </c>
      <c r="M178" s="195" t="s">
        <v>111</v>
      </c>
      <c r="N178" s="180" t="s">
        <v>557</v>
      </c>
      <c r="O178" s="181">
        <v>25.8</v>
      </c>
      <c r="P178" s="193"/>
      <c r="Q178" s="223" t="str">
        <f>VLOOKUP(Ruimtestaat[[#This Row],[Ruimte code]],Ruimtegroepen[#All],4,FALSE)</f>
        <v>B  (Bureauruimte)</v>
      </c>
      <c r="R178" s="194"/>
      <c r="S178" s="195">
        <v>40</v>
      </c>
      <c r="T178" s="195" t="s">
        <v>2</v>
      </c>
      <c r="U178" s="195">
        <f>IF(S178&gt;0,IF(RIGHT(Ruimtestaat[[#This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8" s="195">
        <f>IF(U178&gt;0,VLOOKUP($K178,Ruimtegroepen[],3,FALSE)*VLOOKUP($M178,Vloersoorten[],3,FALSE)*VLOOKUP($T178,Frequenties[],3,FALSE)*VLOOKUP($A178,Locaties[],3,FALSE),0)</f>
        <v>0</v>
      </c>
      <c r="W178" s="195">
        <f>Ruimtestaat[[#This Row],[Uitvoeringen werkdagen]]*Ruimtestaat[[#This Row],[Oppervlak (netto)]]</f>
        <v>5160</v>
      </c>
      <c r="X178" s="233">
        <f>IF(V178&gt;0,Ruimtestaat[[#This Row],[Prest. (m2 /jaar) werkdagen]]/Ruimtestaat[[#This Row],[Norm (m2/uur) werkdagen]],0)</f>
        <v>0</v>
      </c>
      <c r="Y178" s="234">
        <f>Ruimtestaat[[#This Row],[uren / jaar werkdagen]]*Tariefsopbouw!$D$38</f>
        <v>0</v>
      </c>
      <c r="Z178" s="33"/>
      <c r="AA178" s="33">
        <f>IF(Ruimtestaat[[#This Row],[Frequentie weekend]]&gt;0,VALUE(LEFT(Z178,1))*S178,0)</f>
        <v>0</v>
      </c>
      <c r="AB178" s="33">
        <f>IF($AA178&gt;0,VLOOKUP($K178,Ruimtegroepen[],3,FALSE)*VLOOKUP($M178,Vloersoorten[],3,FALSE)*VLOOKUP($Z178,Frequenties[],3,FALSE)*VLOOKUP(#REF!,Locaties[],3,FALSE),0)</f>
        <v>0</v>
      </c>
      <c r="AC178" s="33"/>
      <c r="AD178" s="33"/>
      <c r="AE178" s="33">
        <f>Ruimtestaat[[#This Row],[uren / jaar weekend]]*Tariefsopbouw!$D$40</f>
        <v>0</v>
      </c>
      <c r="AF178" s="79">
        <f>Ruimtestaat[[#This Row],[Prest. (m2 /jaar) weekend]]+Ruimtestaat[[#This Row],[Prest. (m2 /jaar) werkdagen]]</f>
        <v>5160</v>
      </c>
      <c r="AG178" s="79">
        <f>Ruimtestaat[[#This Row],[uren / jaar weekend]]+Ruimtestaat[[#This Row],[uren / jaar werkdagen]]</f>
        <v>0</v>
      </c>
      <c r="AH178" s="80">
        <f>Ruimtestaat[[#This Row],[kosten / jaar weekend]]+Ruimtestaat[[#This Row],[kosten / jaar werkdagen]]</f>
        <v>0</v>
      </c>
    </row>
    <row r="179" spans="1:34" ht="15" customHeight="1">
      <c r="A179" s="119">
        <v>1</v>
      </c>
      <c r="B179" s="21" t="str">
        <f>VLOOKUP(Ruimtestaat[[#This Row],[Code]],Locaties[#All],2,FALSE)</f>
        <v>IJburg College</v>
      </c>
      <c r="C179" s="21" t="str">
        <f>VLOOKUP(Ruimtestaat[[#This Row],[Code]],Locaties[#All],4,FALSE)</f>
        <v>Pampuslaan 1</v>
      </c>
      <c r="D179" s="223" t="str">
        <f>VLOOKUP(Ruimtestaat[[#This Row],[Code]],Locaties[#All],5,FALSE)</f>
        <v>1087 HP</v>
      </c>
      <c r="E179" s="223" t="str">
        <f>VLOOKUP(Ruimtestaat[[#This Row],[Code]],Locaties[#All],6,FALSE)</f>
        <v>Amsterdam</v>
      </c>
      <c r="F179" s="180"/>
      <c r="G179" s="180" t="s">
        <v>715</v>
      </c>
      <c r="H179" s="180" t="s">
        <v>812</v>
      </c>
      <c r="I179" s="180" t="s">
        <v>687</v>
      </c>
      <c r="J179" s="224" t="s">
        <v>543</v>
      </c>
      <c r="K179" s="180">
        <v>5</v>
      </c>
      <c r="L179" s="236" t="str">
        <f>VLOOKUP(Ruimtestaat[[#This Row],[Ruimte code]],Ruimtegroepen[#All],2,FALSE)</f>
        <v>Sanitair</v>
      </c>
      <c r="M179" s="195" t="s">
        <v>111</v>
      </c>
      <c r="N179" s="180" t="s">
        <v>558</v>
      </c>
      <c r="O179" s="181">
        <v>13.8</v>
      </c>
      <c r="P179" s="193"/>
      <c r="Q179" s="223" t="str">
        <f>VLOOKUP(Ruimtestaat[[#This Row],[Ruimte code]],Ruimtegroepen[#All],4,FALSE)</f>
        <v>S  (Sanitair)</v>
      </c>
      <c r="R179" s="194"/>
      <c r="S179" s="195">
        <v>40</v>
      </c>
      <c r="T179" s="195" t="s">
        <v>2</v>
      </c>
      <c r="U179" s="195">
        <f>IF(S179&gt;0,IF(RIGHT(Ruimtestaat[[#This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9" s="195">
        <f>IF(U179&gt;0,VLOOKUP($K179,Ruimtegroepen[],3,FALSE)*VLOOKUP($M179,Vloersoorten[],3,FALSE)*VLOOKUP($T179,Frequenties[],3,FALSE)*VLOOKUP($A179,Locaties[],3,FALSE),0)</f>
        <v>0</v>
      </c>
      <c r="W179" s="195">
        <f>Ruimtestaat[[#This Row],[Uitvoeringen werkdagen]]*Ruimtestaat[[#This Row],[Oppervlak (netto)]]</f>
        <v>2760</v>
      </c>
      <c r="X179" s="233">
        <f>IF(V179&gt;0,Ruimtestaat[[#This Row],[Prest. (m2 /jaar) werkdagen]]/Ruimtestaat[[#This Row],[Norm (m2/uur) werkdagen]],0)</f>
        <v>0</v>
      </c>
      <c r="Y179" s="234">
        <f>Ruimtestaat[[#This Row],[uren / jaar werkdagen]]*Tariefsopbouw!$D$38</f>
        <v>0</v>
      </c>
      <c r="Z179" s="33"/>
      <c r="AA179" s="33">
        <f>IF(Ruimtestaat[[#This Row],[Frequentie weekend]]&gt;0,VALUE(LEFT(Z179,1))*S179,0)</f>
        <v>0</v>
      </c>
      <c r="AB179" s="33">
        <f>IF($AA179&gt;0,VLOOKUP($K179,Ruimtegroepen[],3,FALSE)*VLOOKUP($M179,Vloersoorten[],3,FALSE)*VLOOKUP($Z179,Frequenties[],3,FALSE)*VLOOKUP(#REF!,Locaties[],3,FALSE),0)</f>
        <v>0</v>
      </c>
      <c r="AC179" s="33"/>
      <c r="AD179" s="33"/>
      <c r="AE179" s="33">
        <f>Ruimtestaat[[#This Row],[uren / jaar weekend]]*Tariefsopbouw!$D$40</f>
        <v>0</v>
      </c>
      <c r="AF179" s="79">
        <f>Ruimtestaat[[#This Row],[Prest. (m2 /jaar) weekend]]+Ruimtestaat[[#This Row],[Prest. (m2 /jaar) werkdagen]]</f>
        <v>2760</v>
      </c>
      <c r="AG179" s="79">
        <f>Ruimtestaat[[#This Row],[uren / jaar weekend]]+Ruimtestaat[[#This Row],[uren / jaar werkdagen]]</f>
        <v>0</v>
      </c>
      <c r="AH179" s="80">
        <f>Ruimtestaat[[#This Row],[kosten / jaar weekend]]+Ruimtestaat[[#This Row],[kosten / jaar werkdagen]]</f>
        <v>0</v>
      </c>
    </row>
    <row r="180" spans="1:34" ht="15" customHeight="1">
      <c r="A180" s="119">
        <v>1</v>
      </c>
      <c r="B180" s="21" t="str">
        <f>VLOOKUP(Ruimtestaat[[#This Row],[Code]],Locaties[#All],2,FALSE)</f>
        <v>IJburg College</v>
      </c>
      <c r="C180" s="21" t="str">
        <f>VLOOKUP(Ruimtestaat[[#This Row],[Code]],Locaties[#All],4,FALSE)</f>
        <v>Pampuslaan 1</v>
      </c>
      <c r="D180" s="223" t="str">
        <f>VLOOKUP(Ruimtestaat[[#This Row],[Code]],Locaties[#All],5,FALSE)</f>
        <v>1087 HP</v>
      </c>
      <c r="E180" s="223" t="str">
        <f>VLOOKUP(Ruimtestaat[[#This Row],[Code]],Locaties[#All],6,FALSE)</f>
        <v>Amsterdam</v>
      </c>
      <c r="F180" s="180"/>
      <c r="G180" s="180" t="s">
        <v>715</v>
      </c>
      <c r="H180" s="180" t="s">
        <v>813</v>
      </c>
      <c r="I180" s="180" t="s">
        <v>688</v>
      </c>
      <c r="J180" s="224" t="s">
        <v>542</v>
      </c>
      <c r="K180" s="180">
        <v>5</v>
      </c>
      <c r="L180" s="236" t="str">
        <f>VLOOKUP(Ruimtestaat[[#This Row],[Ruimte code]],Ruimtegroepen[#All],2,FALSE)</f>
        <v>Sanitair</v>
      </c>
      <c r="M180" s="195" t="s">
        <v>111</v>
      </c>
      <c r="N180" s="180" t="s">
        <v>558</v>
      </c>
      <c r="O180" s="181">
        <v>13.8</v>
      </c>
      <c r="P180" s="193"/>
      <c r="Q180" s="223" t="str">
        <f>VLOOKUP(Ruimtestaat[[#This Row],[Ruimte code]],Ruimtegroepen[#All],4,FALSE)</f>
        <v>S  (Sanitair)</v>
      </c>
      <c r="R180" s="194"/>
      <c r="S180" s="195">
        <v>40</v>
      </c>
      <c r="T180" s="195" t="s">
        <v>2</v>
      </c>
      <c r="U180" s="195">
        <f>IF(S180&gt;0,IF(RIGHT(Ruimtestaat[[#This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0" s="195">
        <f>IF(U180&gt;0,VLOOKUP($K180,Ruimtegroepen[],3,FALSE)*VLOOKUP($M180,Vloersoorten[],3,FALSE)*VLOOKUP($T180,Frequenties[],3,FALSE)*VLOOKUP($A180,Locaties[],3,FALSE),0)</f>
        <v>0</v>
      </c>
      <c r="W180" s="195">
        <f>Ruimtestaat[[#This Row],[Uitvoeringen werkdagen]]*Ruimtestaat[[#This Row],[Oppervlak (netto)]]</f>
        <v>2760</v>
      </c>
      <c r="X180" s="233">
        <f>IF(V180&gt;0,Ruimtestaat[[#This Row],[Prest. (m2 /jaar) werkdagen]]/Ruimtestaat[[#This Row],[Norm (m2/uur) werkdagen]],0)</f>
        <v>0</v>
      </c>
      <c r="Y180" s="234">
        <f>Ruimtestaat[[#This Row],[uren / jaar werkdagen]]*Tariefsopbouw!$D$38</f>
        <v>0</v>
      </c>
      <c r="Z180" s="33"/>
      <c r="AA180" s="33">
        <f>IF(Ruimtestaat[[#This Row],[Frequentie weekend]]&gt;0,VALUE(LEFT(Z180,1))*S180,0)</f>
        <v>0</v>
      </c>
      <c r="AB180" s="33">
        <f>IF($AA180&gt;0,VLOOKUP($K180,Ruimtegroepen[],3,FALSE)*VLOOKUP($M180,Vloersoorten[],3,FALSE)*VLOOKUP($Z180,Frequenties[],3,FALSE)*VLOOKUP(#REF!,Locaties[],3,FALSE),0)</f>
        <v>0</v>
      </c>
      <c r="AC180" s="33"/>
      <c r="AD180" s="33"/>
      <c r="AE180" s="33">
        <f>Ruimtestaat[[#This Row],[uren / jaar weekend]]*Tariefsopbouw!$D$40</f>
        <v>0</v>
      </c>
      <c r="AF180" s="79">
        <f>Ruimtestaat[[#This Row],[Prest. (m2 /jaar) weekend]]+Ruimtestaat[[#This Row],[Prest. (m2 /jaar) werkdagen]]</f>
        <v>2760</v>
      </c>
      <c r="AG180" s="79">
        <f>Ruimtestaat[[#This Row],[uren / jaar weekend]]+Ruimtestaat[[#This Row],[uren / jaar werkdagen]]</f>
        <v>0</v>
      </c>
      <c r="AH180" s="80">
        <f>Ruimtestaat[[#This Row],[kosten / jaar weekend]]+Ruimtestaat[[#This Row],[kosten / jaar werkdagen]]</f>
        <v>0</v>
      </c>
    </row>
    <row r="181" spans="1:34" ht="15" customHeight="1">
      <c r="A181" s="119">
        <v>1</v>
      </c>
      <c r="B181" s="21" t="str">
        <f>VLOOKUP(Ruimtestaat[[#This Row],[Code]],Locaties[#All],2,FALSE)</f>
        <v>IJburg College</v>
      </c>
      <c r="C181" s="21" t="str">
        <f>VLOOKUP(Ruimtestaat[[#This Row],[Code]],Locaties[#All],4,FALSE)</f>
        <v>Pampuslaan 1</v>
      </c>
      <c r="D181" s="223" t="str">
        <f>VLOOKUP(Ruimtestaat[[#This Row],[Code]],Locaties[#All],5,FALSE)</f>
        <v>1087 HP</v>
      </c>
      <c r="E181" s="223" t="str">
        <f>VLOOKUP(Ruimtestaat[[#This Row],[Code]],Locaties[#All],6,FALSE)</f>
        <v>Amsterdam</v>
      </c>
      <c r="F181" s="180"/>
      <c r="G181" s="180" t="s">
        <v>715</v>
      </c>
      <c r="H181" s="180" t="s">
        <v>654</v>
      </c>
      <c r="I181" s="180" t="s">
        <v>689</v>
      </c>
      <c r="J181" s="224" t="s">
        <v>631</v>
      </c>
      <c r="K181" s="180">
        <v>16</v>
      </c>
      <c r="L181" s="236" t="str">
        <f>VLOOKUP(Ruimtestaat[[#This Row],[Ruimte code]],Ruimtegroepen[#All],2,FALSE)</f>
        <v>Lokaal</v>
      </c>
      <c r="M181" s="195" t="s">
        <v>111</v>
      </c>
      <c r="N181" s="180" t="s">
        <v>557</v>
      </c>
      <c r="O181" s="181">
        <v>67.2</v>
      </c>
      <c r="P181" s="193"/>
      <c r="Q181" s="223" t="str">
        <f>VLOOKUP(Ruimtestaat[[#This Row],[Ruimte code]],Ruimtegroepen[#All],4,FALSE)</f>
        <v>L  (Lesruimte)</v>
      </c>
      <c r="R181" s="194"/>
      <c r="S181" s="195">
        <v>40</v>
      </c>
      <c r="T181" s="195" t="s">
        <v>2</v>
      </c>
      <c r="U181" s="195">
        <f>IF(S181&gt;0,IF(RIGHT(Ruimtestaat[[#This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1" s="195">
        <f>IF(U181&gt;0,VLOOKUP($K181,Ruimtegroepen[],3,FALSE)*VLOOKUP($M181,Vloersoorten[],3,FALSE)*VLOOKUP($T181,Frequenties[],3,FALSE)*VLOOKUP($A181,Locaties[],3,FALSE),0)</f>
        <v>0</v>
      </c>
      <c r="W181" s="195">
        <f>Ruimtestaat[[#This Row],[Uitvoeringen werkdagen]]*Ruimtestaat[[#This Row],[Oppervlak (netto)]]</f>
        <v>13440</v>
      </c>
      <c r="X181" s="233">
        <f>IF(V181&gt;0,Ruimtestaat[[#This Row],[Prest. (m2 /jaar) werkdagen]]/Ruimtestaat[[#This Row],[Norm (m2/uur) werkdagen]],0)</f>
        <v>0</v>
      </c>
      <c r="Y181" s="234">
        <f>Ruimtestaat[[#This Row],[uren / jaar werkdagen]]*Tariefsopbouw!$D$38</f>
        <v>0</v>
      </c>
      <c r="Z181" s="33"/>
      <c r="AA181" s="33">
        <f>IF(Ruimtestaat[[#This Row],[Frequentie weekend]]&gt;0,VALUE(LEFT(Z181,1))*S181,0)</f>
        <v>0</v>
      </c>
      <c r="AB181" s="33">
        <f>IF($AA181&gt;0,VLOOKUP($K181,Ruimtegroepen[],3,FALSE)*VLOOKUP($M181,Vloersoorten[],3,FALSE)*VLOOKUP($Z181,Frequenties[],3,FALSE)*VLOOKUP(#REF!,Locaties[],3,FALSE),0)</f>
        <v>0</v>
      </c>
      <c r="AC181" s="33"/>
      <c r="AD181" s="33"/>
      <c r="AE181" s="33">
        <f>Ruimtestaat[[#This Row],[uren / jaar weekend]]*Tariefsopbouw!$D$40</f>
        <v>0</v>
      </c>
      <c r="AF181" s="79">
        <f>Ruimtestaat[[#This Row],[Prest. (m2 /jaar) weekend]]+Ruimtestaat[[#This Row],[Prest. (m2 /jaar) werkdagen]]</f>
        <v>13440</v>
      </c>
      <c r="AG181" s="79">
        <f>Ruimtestaat[[#This Row],[uren / jaar weekend]]+Ruimtestaat[[#This Row],[uren / jaar werkdagen]]</f>
        <v>0</v>
      </c>
      <c r="AH181" s="80">
        <f>Ruimtestaat[[#This Row],[kosten / jaar weekend]]+Ruimtestaat[[#This Row],[kosten / jaar werkdagen]]</f>
        <v>0</v>
      </c>
    </row>
    <row r="182" spans="1:34" ht="15" customHeight="1">
      <c r="A182" s="119">
        <v>1</v>
      </c>
      <c r="B182" s="21" t="str">
        <f>VLOOKUP(Ruimtestaat[[#This Row],[Code]],Locaties[#All],2,FALSE)</f>
        <v>IJburg College</v>
      </c>
      <c r="C182" s="21" t="str">
        <f>VLOOKUP(Ruimtestaat[[#This Row],[Code]],Locaties[#All],4,FALSE)</f>
        <v>Pampuslaan 1</v>
      </c>
      <c r="D182" s="223" t="str">
        <f>VLOOKUP(Ruimtestaat[[#This Row],[Code]],Locaties[#All],5,FALSE)</f>
        <v>1087 HP</v>
      </c>
      <c r="E182" s="223" t="str">
        <f>VLOOKUP(Ruimtestaat[[#This Row],[Code]],Locaties[#All],6,FALSE)</f>
        <v>Amsterdam</v>
      </c>
      <c r="F182" s="180"/>
      <c r="G182" s="180" t="s">
        <v>715</v>
      </c>
      <c r="H182" s="180" t="s">
        <v>655</v>
      </c>
      <c r="I182" s="180" t="s">
        <v>690</v>
      </c>
      <c r="J182" s="224" t="s">
        <v>640</v>
      </c>
      <c r="K182" s="180">
        <v>4</v>
      </c>
      <c r="L182" s="236" t="str">
        <f>VLOOKUP(Ruimtestaat[[#This Row],[Ruimte code]],Ruimtegroepen[#All],2,FALSE)</f>
        <v>Vergader/spreekkamers</v>
      </c>
      <c r="M182" s="195" t="s">
        <v>111</v>
      </c>
      <c r="N182" s="180" t="s">
        <v>557</v>
      </c>
      <c r="O182" s="181">
        <v>29.7</v>
      </c>
      <c r="P182" s="193"/>
      <c r="Q182" s="223" t="str">
        <f>VLOOKUP(Ruimtestaat[[#This Row],[Ruimte code]],Ruimtegroepen[#All],4,FALSE)</f>
        <v>B  (Bureauruimte)</v>
      </c>
      <c r="R182" s="194"/>
      <c r="S182" s="195">
        <v>40</v>
      </c>
      <c r="T182" s="195" t="s">
        <v>2</v>
      </c>
      <c r="U182" s="195">
        <f>IF(S182&gt;0,IF(RIGHT(Ruimtestaat[[#This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2" s="195">
        <f>IF(U182&gt;0,VLOOKUP($K182,Ruimtegroepen[],3,FALSE)*VLOOKUP($M182,Vloersoorten[],3,FALSE)*VLOOKUP($T182,Frequenties[],3,FALSE)*VLOOKUP($A182,Locaties[],3,FALSE),0)</f>
        <v>0</v>
      </c>
      <c r="W182" s="195">
        <f>Ruimtestaat[[#This Row],[Uitvoeringen werkdagen]]*Ruimtestaat[[#This Row],[Oppervlak (netto)]]</f>
        <v>5940</v>
      </c>
      <c r="X182" s="233">
        <f>IF(V182&gt;0,Ruimtestaat[[#This Row],[Prest. (m2 /jaar) werkdagen]]/Ruimtestaat[[#This Row],[Norm (m2/uur) werkdagen]],0)</f>
        <v>0</v>
      </c>
      <c r="Y182" s="234">
        <f>Ruimtestaat[[#This Row],[uren / jaar werkdagen]]*Tariefsopbouw!$D$38</f>
        <v>0</v>
      </c>
      <c r="Z182" s="33"/>
      <c r="AA182" s="33">
        <f>IF(Ruimtestaat[[#This Row],[Frequentie weekend]]&gt;0,VALUE(LEFT(Z182,1))*S182,0)</f>
        <v>0</v>
      </c>
      <c r="AB182" s="33">
        <f>IF($AA182&gt;0,VLOOKUP($K182,Ruimtegroepen[],3,FALSE)*VLOOKUP($M182,Vloersoorten[],3,FALSE)*VLOOKUP($Z182,Frequenties[],3,FALSE)*VLOOKUP(#REF!,Locaties[],3,FALSE),0)</f>
        <v>0</v>
      </c>
      <c r="AC182" s="33"/>
      <c r="AD182" s="33"/>
      <c r="AE182" s="33">
        <f>Ruimtestaat[[#This Row],[uren / jaar weekend]]*Tariefsopbouw!$D$40</f>
        <v>0</v>
      </c>
      <c r="AF182" s="79">
        <f>Ruimtestaat[[#This Row],[Prest. (m2 /jaar) weekend]]+Ruimtestaat[[#This Row],[Prest. (m2 /jaar) werkdagen]]</f>
        <v>5940</v>
      </c>
      <c r="AG182" s="79">
        <f>Ruimtestaat[[#This Row],[uren / jaar weekend]]+Ruimtestaat[[#This Row],[uren / jaar werkdagen]]</f>
        <v>0</v>
      </c>
      <c r="AH182" s="80">
        <f>Ruimtestaat[[#This Row],[kosten / jaar weekend]]+Ruimtestaat[[#This Row],[kosten / jaar werkdagen]]</f>
        <v>0</v>
      </c>
    </row>
    <row r="183" spans="1:34" ht="15" customHeight="1">
      <c r="A183" s="119">
        <v>1</v>
      </c>
      <c r="B183" s="21" t="str">
        <f>VLOOKUP(Ruimtestaat[[#This Row],[Code]],Locaties[#All],2,FALSE)</f>
        <v>IJburg College</v>
      </c>
      <c r="C183" s="21" t="str">
        <f>VLOOKUP(Ruimtestaat[[#This Row],[Code]],Locaties[#All],4,FALSE)</f>
        <v>Pampuslaan 1</v>
      </c>
      <c r="D183" s="223" t="str">
        <f>VLOOKUP(Ruimtestaat[[#This Row],[Code]],Locaties[#All],5,FALSE)</f>
        <v>1087 HP</v>
      </c>
      <c r="E183" s="223" t="str">
        <f>VLOOKUP(Ruimtestaat[[#This Row],[Code]],Locaties[#All],6,FALSE)</f>
        <v>Amsterdam</v>
      </c>
      <c r="F183" s="180"/>
      <c r="G183" s="180" t="s">
        <v>715</v>
      </c>
      <c r="H183" s="180" t="s">
        <v>656</v>
      </c>
      <c r="I183" s="180" t="s">
        <v>691</v>
      </c>
      <c r="J183" s="224" t="s">
        <v>631</v>
      </c>
      <c r="K183" s="180">
        <v>16</v>
      </c>
      <c r="L183" s="236" t="str">
        <f>VLOOKUP(Ruimtestaat[[#This Row],[Ruimte code]],Ruimtegroepen[#All],2,FALSE)</f>
        <v>Lokaal</v>
      </c>
      <c r="M183" s="195" t="s">
        <v>111</v>
      </c>
      <c r="N183" s="180" t="s">
        <v>557</v>
      </c>
      <c r="O183" s="181">
        <v>64.900000000000006</v>
      </c>
      <c r="P183" s="193"/>
      <c r="Q183" s="223" t="str">
        <f>VLOOKUP(Ruimtestaat[[#This Row],[Ruimte code]],Ruimtegroepen[#All],4,FALSE)</f>
        <v>L  (Lesruimte)</v>
      </c>
      <c r="R183" s="194"/>
      <c r="S183" s="195">
        <v>40</v>
      </c>
      <c r="T183" s="195" t="s">
        <v>2</v>
      </c>
      <c r="U183" s="195">
        <f>IF(S183&gt;0,IF(RIGHT(Ruimtestaat[[#This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3" s="195">
        <f>IF(U183&gt;0,VLOOKUP($K183,Ruimtegroepen[],3,FALSE)*VLOOKUP($M183,Vloersoorten[],3,FALSE)*VLOOKUP($T183,Frequenties[],3,FALSE)*VLOOKUP($A183,Locaties[],3,FALSE),0)</f>
        <v>0</v>
      </c>
      <c r="W183" s="195">
        <f>Ruimtestaat[[#This Row],[Uitvoeringen werkdagen]]*Ruimtestaat[[#This Row],[Oppervlak (netto)]]</f>
        <v>12980.000000000002</v>
      </c>
      <c r="X183" s="233">
        <f>IF(V183&gt;0,Ruimtestaat[[#This Row],[Prest. (m2 /jaar) werkdagen]]/Ruimtestaat[[#This Row],[Norm (m2/uur) werkdagen]],0)</f>
        <v>0</v>
      </c>
      <c r="Y183" s="234">
        <f>Ruimtestaat[[#This Row],[uren / jaar werkdagen]]*Tariefsopbouw!$D$38</f>
        <v>0</v>
      </c>
      <c r="Z183" s="33"/>
      <c r="AA183" s="33">
        <f>IF(Ruimtestaat[[#This Row],[Frequentie weekend]]&gt;0,VALUE(LEFT(Z183,1))*S183,0)</f>
        <v>0</v>
      </c>
      <c r="AB183" s="33">
        <f>IF($AA183&gt;0,VLOOKUP($K183,Ruimtegroepen[],3,FALSE)*VLOOKUP($M183,Vloersoorten[],3,FALSE)*VLOOKUP($Z183,Frequenties[],3,FALSE)*VLOOKUP(#REF!,Locaties[],3,FALSE),0)</f>
        <v>0</v>
      </c>
      <c r="AC183" s="33"/>
      <c r="AD183" s="33"/>
      <c r="AE183" s="33">
        <f>Ruimtestaat[[#This Row],[uren / jaar weekend]]*Tariefsopbouw!$D$40</f>
        <v>0</v>
      </c>
      <c r="AF183" s="79">
        <f>Ruimtestaat[[#This Row],[Prest. (m2 /jaar) weekend]]+Ruimtestaat[[#This Row],[Prest. (m2 /jaar) werkdagen]]</f>
        <v>12980.000000000002</v>
      </c>
      <c r="AG183" s="79">
        <f>Ruimtestaat[[#This Row],[uren / jaar weekend]]+Ruimtestaat[[#This Row],[uren / jaar werkdagen]]</f>
        <v>0</v>
      </c>
      <c r="AH183" s="80">
        <f>Ruimtestaat[[#This Row],[kosten / jaar weekend]]+Ruimtestaat[[#This Row],[kosten / jaar werkdagen]]</f>
        <v>0</v>
      </c>
    </row>
    <row r="184" spans="1:34" ht="15" customHeight="1">
      <c r="A184" s="119">
        <v>1</v>
      </c>
      <c r="B184" s="21" t="str">
        <f>VLOOKUP(Ruimtestaat[[#This Row],[Code]],Locaties[#All],2,FALSE)</f>
        <v>IJburg College</v>
      </c>
      <c r="C184" s="21" t="str">
        <f>VLOOKUP(Ruimtestaat[[#This Row],[Code]],Locaties[#All],4,FALSE)</f>
        <v>Pampuslaan 1</v>
      </c>
      <c r="D184" s="223" t="str">
        <f>VLOOKUP(Ruimtestaat[[#This Row],[Code]],Locaties[#All],5,FALSE)</f>
        <v>1087 HP</v>
      </c>
      <c r="E184" s="223" t="str">
        <f>VLOOKUP(Ruimtestaat[[#This Row],[Code]],Locaties[#All],6,FALSE)</f>
        <v>Amsterdam</v>
      </c>
      <c r="F184" s="180"/>
      <c r="G184" s="180" t="s">
        <v>715</v>
      </c>
      <c r="H184" s="180" t="s">
        <v>657</v>
      </c>
      <c r="I184" s="180" t="s">
        <v>692</v>
      </c>
      <c r="J184" s="224" t="s">
        <v>631</v>
      </c>
      <c r="K184" s="180">
        <v>16</v>
      </c>
      <c r="L184" s="236" t="str">
        <f>VLOOKUP(Ruimtestaat[[#This Row],[Ruimte code]],Ruimtegroepen[#All],2,FALSE)</f>
        <v>Lokaal</v>
      </c>
      <c r="M184" s="195" t="s">
        <v>111</v>
      </c>
      <c r="N184" s="180" t="s">
        <v>557</v>
      </c>
      <c r="O184" s="181">
        <v>63.9</v>
      </c>
      <c r="P184" s="193"/>
      <c r="Q184" s="223" t="str">
        <f>VLOOKUP(Ruimtestaat[[#This Row],[Ruimte code]],Ruimtegroepen[#All],4,FALSE)</f>
        <v>L  (Lesruimte)</v>
      </c>
      <c r="R184" s="194"/>
      <c r="S184" s="195">
        <v>40</v>
      </c>
      <c r="T184" s="195" t="s">
        <v>2</v>
      </c>
      <c r="U184" s="195">
        <f>IF(S184&gt;0,IF(RIGHT(Ruimtestaat[[#This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4" s="195">
        <f>IF(U184&gt;0,VLOOKUP($K184,Ruimtegroepen[],3,FALSE)*VLOOKUP($M184,Vloersoorten[],3,FALSE)*VLOOKUP($T184,Frequenties[],3,FALSE)*VLOOKUP($A184,Locaties[],3,FALSE),0)</f>
        <v>0</v>
      </c>
      <c r="W184" s="195">
        <f>Ruimtestaat[[#This Row],[Uitvoeringen werkdagen]]*Ruimtestaat[[#This Row],[Oppervlak (netto)]]</f>
        <v>12780</v>
      </c>
      <c r="X184" s="233">
        <f>IF(V184&gt;0,Ruimtestaat[[#This Row],[Prest. (m2 /jaar) werkdagen]]/Ruimtestaat[[#This Row],[Norm (m2/uur) werkdagen]],0)</f>
        <v>0</v>
      </c>
      <c r="Y184" s="234">
        <f>Ruimtestaat[[#This Row],[uren / jaar werkdagen]]*Tariefsopbouw!$D$38</f>
        <v>0</v>
      </c>
      <c r="Z184" s="33"/>
      <c r="AA184" s="33">
        <f>IF(Ruimtestaat[[#This Row],[Frequentie weekend]]&gt;0,VALUE(LEFT(Z184,1))*S184,0)</f>
        <v>0</v>
      </c>
      <c r="AB184" s="33">
        <f>IF($AA184&gt;0,VLOOKUP($K184,Ruimtegroepen[],3,FALSE)*VLOOKUP($M184,Vloersoorten[],3,FALSE)*VLOOKUP($Z184,Frequenties[],3,FALSE)*VLOOKUP(#REF!,Locaties[],3,FALSE),0)</f>
        <v>0</v>
      </c>
      <c r="AC184" s="33"/>
      <c r="AD184" s="33"/>
      <c r="AE184" s="33">
        <f>Ruimtestaat[[#This Row],[uren / jaar weekend]]*Tariefsopbouw!$D$40</f>
        <v>0</v>
      </c>
      <c r="AF184" s="79">
        <f>Ruimtestaat[[#This Row],[Prest. (m2 /jaar) weekend]]+Ruimtestaat[[#This Row],[Prest. (m2 /jaar) werkdagen]]</f>
        <v>12780</v>
      </c>
      <c r="AG184" s="79">
        <f>Ruimtestaat[[#This Row],[uren / jaar weekend]]+Ruimtestaat[[#This Row],[uren / jaar werkdagen]]</f>
        <v>0</v>
      </c>
      <c r="AH184" s="80">
        <f>Ruimtestaat[[#This Row],[kosten / jaar weekend]]+Ruimtestaat[[#This Row],[kosten / jaar werkdagen]]</f>
        <v>0</v>
      </c>
    </row>
    <row r="185" spans="1:34" ht="15" customHeight="1">
      <c r="A185" s="119">
        <v>1</v>
      </c>
      <c r="B185" s="21" t="str">
        <f>VLOOKUP(Ruimtestaat[[#This Row],[Code]],Locaties[#All],2,FALSE)</f>
        <v>IJburg College</v>
      </c>
      <c r="C185" s="21" t="str">
        <f>VLOOKUP(Ruimtestaat[[#This Row],[Code]],Locaties[#All],4,FALSE)</f>
        <v>Pampuslaan 1</v>
      </c>
      <c r="D185" s="223" t="str">
        <f>VLOOKUP(Ruimtestaat[[#This Row],[Code]],Locaties[#All],5,FALSE)</f>
        <v>1087 HP</v>
      </c>
      <c r="E185" s="223" t="str">
        <f>VLOOKUP(Ruimtestaat[[#This Row],[Code]],Locaties[#All],6,FALSE)</f>
        <v>Amsterdam</v>
      </c>
      <c r="F185" s="180"/>
      <c r="G185" s="180" t="s">
        <v>715</v>
      </c>
      <c r="H185" s="180">
        <v>2103</v>
      </c>
      <c r="I185" s="180" t="s">
        <v>693</v>
      </c>
      <c r="J185" s="224" t="s">
        <v>628</v>
      </c>
      <c r="K185" s="180">
        <v>10</v>
      </c>
      <c r="L185" s="236" t="str">
        <f>VLOOKUP(Ruimtestaat[[#This Row],[Ruimte code]],Ruimtegroepen[#All],2,FALSE)</f>
        <v>Trappenhuizen/lift</v>
      </c>
      <c r="M185" s="195" t="s">
        <v>111</v>
      </c>
      <c r="N185" s="180" t="s">
        <v>714</v>
      </c>
      <c r="O185" s="181">
        <v>32</v>
      </c>
      <c r="P185" s="193"/>
      <c r="Q185" s="223" t="str">
        <f>VLOOKUP(Ruimtestaat[[#This Row],[Ruimte code]],Ruimtegroepen[#All],4,FALSE)</f>
        <v>V  (Verkeersruimte)</v>
      </c>
      <c r="R185" s="194"/>
      <c r="S185" s="195">
        <v>40</v>
      </c>
      <c r="T185" s="195" t="s">
        <v>2</v>
      </c>
      <c r="U185" s="195">
        <f>IF(S185&gt;0,IF(RIGHT(Ruimtestaat[[#This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5" s="195">
        <f>IF(U185&gt;0,VLOOKUP($K185,Ruimtegroepen[],3,FALSE)*VLOOKUP($M185,Vloersoorten[],3,FALSE)*VLOOKUP($T185,Frequenties[],3,FALSE)*VLOOKUP($A185,Locaties[],3,FALSE),0)</f>
        <v>0</v>
      </c>
      <c r="W185" s="195">
        <f>Ruimtestaat[[#This Row],[Uitvoeringen werkdagen]]*Ruimtestaat[[#This Row],[Oppervlak (netto)]]</f>
        <v>6400</v>
      </c>
      <c r="X185" s="233">
        <f>IF(V185&gt;0,Ruimtestaat[[#This Row],[Prest. (m2 /jaar) werkdagen]]/Ruimtestaat[[#This Row],[Norm (m2/uur) werkdagen]],0)</f>
        <v>0</v>
      </c>
      <c r="Y185" s="234">
        <f>Ruimtestaat[[#This Row],[uren / jaar werkdagen]]*Tariefsopbouw!$D$38</f>
        <v>0</v>
      </c>
      <c r="Z185" s="33"/>
      <c r="AA185" s="33">
        <f>IF(Ruimtestaat[[#This Row],[Frequentie weekend]]&gt;0,VALUE(LEFT(Z185,1))*S185,0)</f>
        <v>0</v>
      </c>
      <c r="AB185" s="33">
        <f>IF($AA185&gt;0,VLOOKUP($K185,Ruimtegroepen[],3,FALSE)*VLOOKUP($M185,Vloersoorten[],3,FALSE)*VLOOKUP($Z185,Frequenties[],3,FALSE)*VLOOKUP(#REF!,Locaties[],3,FALSE),0)</f>
        <v>0</v>
      </c>
      <c r="AC185" s="33"/>
      <c r="AD185" s="33"/>
      <c r="AE185" s="33">
        <f>Ruimtestaat[[#This Row],[uren / jaar weekend]]*Tariefsopbouw!$D$40</f>
        <v>0</v>
      </c>
      <c r="AF185" s="79">
        <f>Ruimtestaat[[#This Row],[Prest. (m2 /jaar) weekend]]+Ruimtestaat[[#This Row],[Prest. (m2 /jaar) werkdagen]]</f>
        <v>6400</v>
      </c>
      <c r="AG185" s="79">
        <f>Ruimtestaat[[#This Row],[uren / jaar weekend]]+Ruimtestaat[[#This Row],[uren / jaar werkdagen]]</f>
        <v>0</v>
      </c>
      <c r="AH185" s="80">
        <f>Ruimtestaat[[#This Row],[kosten / jaar weekend]]+Ruimtestaat[[#This Row],[kosten / jaar werkdagen]]</f>
        <v>0</v>
      </c>
    </row>
    <row r="186" spans="1:34" ht="15" customHeight="1">
      <c r="A186" s="119">
        <v>1</v>
      </c>
      <c r="B186" s="21" t="str">
        <f>VLOOKUP(Ruimtestaat[[#This Row],[Code]],Locaties[#All],2,FALSE)</f>
        <v>IJburg College</v>
      </c>
      <c r="C186" s="21" t="str">
        <f>VLOOKUP(Ruimtestaat[[#This Row],[Code]],Locaties[#All],4,FALSE)</f>
        <v>Pampuslaan 1</v>
      </c>
      <c r="D186" s="223" t="str">
        <f>VLOOKUP(Ruimtestaat[[#This Row],[Code]],Locaties[#All],5,FALSE)</f>
        <v>1087 HP</v>
      </c>
      <c r="E186" s="223" t="str">
        <f>VLOOKUP(Ruimtestaat[[#This Row],[Code]],Locaties[#All],6,FALSE)</f>
        <v>Amsterdam</v>
      </c>
      <c r="F186" s="180"/>
      <c r="G186" s="180" t="s">
        <v>715</v>
      </c>
      <c r="H186" s="180" t="s">
        <v>659</v>
      </c>
      <c r="I186" s="180" t="s">
        <v>694</v>
      </c>
      <c r="J186" s="224" t="s">
        <v>631</v>
      </c>
      <c r="K186" s="180">
        <v>16</v>
      </c>
      <c r="L186" s="236" t="str">
        <f>VLOOKUP(Ruimtestaat[[#This Row],[Ruimte code]],Ruimtegroepen[#All],2,FALSE)</f>
        <v>Lokaal</v>
      </c>
      <c r="M186" s="195" t="s">
        <v>111</v>
      </c>
      <c r="N186" s="180" t="s">
        <v>557</v>
      </c>
      <c r="O186" s="181">
        <v>52</v>
      </c>
      <c r="P186" s="193"/>
      <c r="Q186" s="223" t="str">
        <f>VLOOKUP(Ruimtestaat[[#This Row],[Ruimte code]],Ruimtegroepen[#All],4,FALSE)</f>
        <v>L  (Lesruimte)</v>
      </c>
      <c r="R186" s="194"/>
      <c r="S186" s="195">
        <v>40</v>
      </c>
      <c r="T186" s="195" t="s">
        <v>2</v>
      </c>
      <c r="U186" s="195">
        <f>IF(S186&gt;0,IF(RIGHT(Ruimtestaat[[#This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6" s="195">
        <f>IF(U186&gt;0,VLOOKUP($K186,Ruimtegroepen[],3,FALSE)*VLOOKUP($M186,Vloersoorten[],3,FALSE)*VLOOKUP($T186,Frequenties[],3,FALSE)*VLOOKUP($A186,Locaties[],3,FALSE),0)</f>
        <v>0</v>
      </c>
      <c r="W186" s="195">
        <f>Ruimtestaat[[#This Row],[Uitvoeringen werkdagen]]*Ruimtestaat[[#This Row],[Oppervlak (netto)]]</f>
        <v>10400</v>
      </c>
      <c r="X186" s="233">
        <f>IF(V186&gt;0,Ruimtestaat[[#This Row],[Prest. (m2 /jaar) werkdagen]]/Ruimtestaat[[#This Row],[Norm (m2/uur) werkdagen]],0)</f>
        <v>0</v>
      </c>
      <c r="Y186" s="234">
        <f>Ruimtestaat[[#This Row],[uren / jaar werkdagen]]*Tariefsopbouw!$D$38</f>
        <v>0</v>
      </c>
      <c r="Z186" s="33"/>
      <c r="AA186" s="33">
        <f>IF(Ruimtestaat[[#This Row],[Frequentie weekend]]&gt;0,VALUE(LEFT(Z186,1))*S186,0)</f>
        <v>0</v>
      </c>
      <c r="AB186" s="33">
        <f>IF($AA186&gt;0,VLOOKUP($K186,Ruimtegroepen[],3,FALSE)*VLOOKUP($M186,Vloersoorten[],3,FALSE)*VLOOKUP($Z186,Frequenties[],3,FALSE)*VLOOKUP(#REF!,Locaties[],3,FALSE),0)</f>
        <v>0</v>
      </c>
      <c r="AC186" s="33"/>
      <c r="AD186" s="33"/>
      <c r="AE186" s="33">
        <f>Ruimtestaat[[#This Row],[uren / jaar weekend]]*Tariefsopbouw!$D$40</f>
        <v>0</v>
      </c>
      <c r="AF186" s="79">
        <f>Ruimtestaat[[#This Row],[Prest. (m2 /jaar) weekend]]+Ruimtestaat[[#This Row],[Prest. (m2 /jaar) werkdagen]]</f>
        <v>10400</v>
      </c>
      <c r="AG186" s="79">
        <f>Ruimtestaat[[#This Row],[uren / jaar weekend]]+Ruimtestaat[[#This Row],[uren / jaar werkdagen]]</f>
        <v>0</v>
      </c>
      <c r="AH186" s="80">
        <f>Ruimtestaat[[#This Row],[kosten / jaar weekend]]+Ruimtestaat[[#This Row],[kosten / jaar werkdagen]]</f>
        <v>0</v>
      </c>
    </row>
    <row r="187" spans="1:34" ht="15" customHeight="1">
      <c r="A187" s="119">
        <v>1</v>
      </c>
      <c r="B187" s="21" t="str">
        <f>VLOOKUP(Ruimtestaat[[#This Row],[Code]],Locaties[#All],2,FALSE)</f>
        <v>IJburg College</v>
      </c>
      <c r="C187" s="21" t="str">
        <f>VLOOKUP(Ruimtestaat[[#This Row],[Code]],Locaties[#All],4,FALSE)</f>
        <v>Pampuslaan 1</v>
      </c>
      <c r="D187" s="223" t="str">
        <f>VLOOKUP(Ruimtestaat[[#This Row],[Code]],Locaties[#All],5,FALSE)</f>
        <v>1087 HP</v>
      </c>
      <c r="E187" s="223" t="str">
        <f>VLOOKUP(Ruimtestaat[[#This Row],[Code]],Locaties[#All],6,FALSE)</f>
        <v>Amsterdam</v>
      </c>
      <c r="F187" s="180"/>
      <c r="G187" s="180" t="s">
        <v>715</v>
      </c>
      <c r="H187" s="180" t="s">
        <v>677</v>
      </c>
      <c r="I187" s="180" t="s">
        <v>695</v>
      </c>
      <c r="J187" s="224" t="s">
        <v>631</v>
      </c>
      <c r="K187" s="180">
        <v>16</v>
      </c>
      <c r="L187" s="236" t="str">
        <f>VLOOKUP(Ruimtestaat[[#This Row],[Ruimte code]],Ruimtegroepen[#All],2,FALSE)</f>
        <v>Lokaal</v>
      </c>
      <c r="M187" s="195" t="s">
        <v>111</v>
      </c>
      <c r="N187" s="180" t="s">
        <v>557</v>
      </c>
      <c r="O187" s="181">
        <v>74.2</v>
      </c>
      <c r="P187" s="193"/>
      <c r="Q187" s="223" t="str">
        <f>VLOOKUP(Ruimtestaat[[#This Row],[Ruimte code]],Ruimtegroepen[#All],4,FALSE)</f>
        <v>L  (Lesruimte)</v>
      </c>
      <c r="R187" s="194"/>
      <c r="S187" s="195">
        <v>40</v>
      </c>
      <c r="T187" s="195" t="s">
        <v>2</v>
      </c>
      <c r="U187" s="195">
        <f>IF(S187&gt;0,IF(RIGHT(Ruimtestaat[[#This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7" s="195">
        <f>IF(U187&gt;0,VLOOKUP($K187,Ruimtegroepen[],3,FALSE)*VLOOKUP($M187,Vloersoorten[],3,FALSE)*VLOOKUP($T187,Frequenties[],3,FALSE)*VLOOKUP($A187,Locaties[],3,FALSE),0)</f>
        <v>0</v>
      </c>
      <c r="W187" s="195">
        <f>Ruimtestaat[[#This Row],[Uitvoeringen werkdagen]]*Ruimtestaat[[#This Row],[Oppervlak (netto)]]</f>
        <v>14840</v>
      </c>
      <c r="X187" s="233">
        <f>IF(V187&gt;0,Ruimtestaat[[#This Row],[Prest. (m2 /jaar) werkdagen]]/Ruimtestaat[[#This Row],[Norm (m2/uur) werkdagen]],0)</f>
        <v>0</v>
      </c>
      <c r="Y187" s="234">
        <f>Ruimtestaat[[#This Row],[uren / jaar werkdagen]]*Tariefsopbouw!$D$38</f>
        <v>0</v>
      </c>
      <c r="Z187" s="33"/>
      <c r="AA187" s="33">
        <f>IF(Ruimtestaat[[#This Row],[Frequentie weekend]]&gt;0,VALUE(LEFT(Z187,1))*S187,0)</f>
        <v>0</v>
      </c>
      <c r="AB187" s="33">
        <f>IF($AA187&gt;0,VLOOKUP($K187,Ruimtegroepen[],3,FALSE)*VLOOKUP($M187,Vloersoorten[],3,FALSE)*VLOOKUP($Z187,Frequenties[],3,FALSE)*VLOOKUP(#REF!,Locaties[],3,FALSE),0)</f>
        <v>0</v>
      </c>
      <c r="AC187" s="33"/>
      <c r="AD187" s="33"/>
      <c r="AE187" s="33">
        <f>Ruimtestaat[[#This Row],[uren / jaar weekend]]*Tariefsopbouw!$D$40</f>
        <v>0</v>
      </c>
      <c r="AF187" s="79">
        <f>Ruimtestaat[[#This Row],[Prest. (m2 /jaar) weekend]]+Ruimtestaat[[#This Row],[Prest. (m2 /jaar) werkdagen]]</f>
        <v>14840</v>
      </c>
      <c r="AG187" s="79">
        <f>Ruimtestaat[[#This Row],[uren / jaar weekend]]+Ruimtestaat[[#This Row],[uren / jaar werkdagen]]</f>
        <v>0</v>
      </c>
      <c r="AH187" s="80">
        <f>Ruimtestaat[[#This Row],[kosten / jaar weekend]]+Ruimtestaat[[#This Row],[kosten / jaar werkdagen]]</f>
        <v>0</v>
      </c>
    </row>
    <row r="188" spans="1:34" ht="15" customHeight="1">
      <c r="A188" s="119">
        <v>1</v>
      </c>
      <c r="B188" s="21" t="str">
        <f>VLOOKUP(Ruimtestaat[[#This Row],[Code]],Locaties[#All],2,FALSE)</f>
        <v>IJburg College</v>
      </c>
      <c r="C188" s="21" t="str">
        <f>VLOOKUP(Ruimtestaat[[#This Row],[Code]],Locaties[#All],4,FALSE)</f>
        <v>Pampuslaan 1</v>
      </c>
      <c r="D188" s="223" t="str">
        <f>VLOOKUP(Ruimtestaat[[#This Row],[Code]],Locaties[#All],5,FALSE)</f>
        <v>1087 HP</v>
      </c>
      <c r="E188" s="223" t="str">
        <f>VLOOKUP(Ruimtestaat[[#This Row],[Code]],Locaties[#All],6,FALSE)</f>
        <v>Amsterdam</v>
      </c>
      <c r="F188" s="180"/>
      <c r="G188" s="180" t="s">
        <v>715</v>
      </c>
      <c r="H188" s="180" t="s">
        <v>658</v>
      </c>
      <c r="I188" s="180" t="s">
        <v>696</v>
      </c>
      <c r="J188" s="224" t="s">
        <v>712</v>
      </c>
      <c r="K188" s="180">
        <v>14</v>
      </c>
      <c r="L188" s="236" t="str">
        <f>VLOOKUP(Ruimtestaat[[#This Row],[Ruimte code]],Ruimtegroepen[#All],2,FALSE)</f>
        <v>Personeelsruimte</v>
      </c>
      <c r="M188" s="195" t="s">
        <v>111</v>
      </c>
      <c r="N188" s="180" t="s">
        <v>557</v>
      </c>
      <c r="O188" s="181">
        <v>70.599999999999994</v>
      </c>
      <c r="P188" s="193"/>
      <c r="Q188" s="223" t="str">
        <f>VLOOKUP(Ruimtestaat[[#This Row],[Ruimte code]],Ruimtegroepen[#All],4,FALSE)</f>
        <v>V  (Verkeersruimte)</v>
      </c>
      <c r="R188" s="194"/>
      <c r="S188" s="195">
        <v>40</v>
      </c>
      <c r="T188" s="195" t="s">
        <v>2</v>
      </c>
      <c r="U188" s="195">
        <f>IF(S188&gt;0,IF(RIGHT(Ruimtestaat[[#This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8" s="195">
        <f>IF(U188&gt;0,VLOOKUP($K188,Ruimtegroepen[],3,FALSE)*VLOOKUP($M188,Vloersoorten[],3,FALSE)*VLOOKUP($T188,Frequenties[],3,FALSE)*VLOOKUP($A188,Locaties[],3,FALSE),0)</f>
        <v>0</v>
      </c>
      <c r="W188" s="195">
        <f>Ruimtestaat[[#This Row],[Uitvoeringen werkdagen]]*Ruimtestaat[[#This Row],[Oppervlak (netto)]]</f>
        <v>14119.999999999998</v>
      </c>
      <c r="X188" s="233">
        <f>IF(V188&gt;0,Ruimtestaat[[#This Row],[Prest. (m2 /jaar) werkdagen]]/Ruimtestaat[[#This Row],[Norm (m2/uur) werkdagen]],0)</f>
        <v>0</v>
      </c>
      <c r="Y188" s="234">
        <f>Ruimtestaat[[#This Row],[uren / jaar werkdagen]]*Tariefsopbouw!$D$38</f>
        <v>0</v>
      </c>
      <c r="Z188" s="33"/>
      <c r="AA188" s="33">
        <f>IF(Ruimtestaat[[#This Row],[Frequentie weekend]]&gt;0,VALUE(LEFT(Z188,1))*S188,0)</f>
        <v>0</v>
      </c>
      <c r="AB188" s="33">
        <f>IF($AA188&gt;0,VLOOKUP($K188,Ruimtegroepen[],3,FALSE)*VLOOKUP($M188,Vloersoorten[],3,FALSE)*VLOOKUP($Z188,Frequenties[],3,FALSE)*VLOOKUP(#REF!,Locaties[],3,FALSE),0)</f>
        <v>0</v>
      </c>
      <c r="AC188" s="33"/>
      <c r="AD188" s="33"/>
      <c r="AE188" s="33">
        <f>Ruimtestaat[[#This Row],[uren / jaar weekend]]*Tariefsopbouw!$D$40</f>
        <v>0</v>
      </c>
      <c r="AF188" s="79">
        <f>Ruimtestaat[[#This Row],[Prest. (m2 /jaar) weekend]]+Ruimtestaat[[#This Row],[Prest. (m2 /jaar) werkdagen]]</f>
        <v>14119.999999999998</v>
      </c>
      <c r="AG188" s="79">
        <f>Ruimtestaat[[#This Row],[uren / jaar weekend]]+Ruimtestaat[[#This Row],[uren / jaar werkdagen]]</f>
        <v>0</v>
      </c>
      <c r="AH188" s="80">
        <f>Ruimtestaat[[#This Row],[kosten / jaar weekend]]+Ruimtestaat[[#This Row],[kosten / jaar werkdagen]]</f>
        <v>0</v>
      </c>
    </row>
    <row r="189" spans="1:34" ht="15" customHeight="1">
      <c r="A189" s="119">
        <v>1</v>
      </c>
      <c r="B189" s="21" t="str">
        <f>VLOOKUP(Ruimtestaat[[#This Row],[Code]],Locaties[#All],2,FALSE)</f>
        <v>IJburg College</v>
      </c>
      <c r="C189" s="21" t="str">
        <f>VLOOKUP(Ruimtestaat[[#This Row],[Code]],Locaties[#All],4,FALSE)</f>
        <v>Pampuslaan 1</v>
      </c>
      <c r="D189" s="223" t="str">
        <f>VLOOKUP(Ruimtestaat[[#This Row],[Code]],Locaties[#All],5,FALSE)</f>
        <v>1087 HP</v>
      </c>
      <c r="E189" s="223" t="str">
        <f>VLOOKUP(Ruimtestaat[[#This Row],[Code]],Locaties[#All],6,FALSE)</f>
        <v>Amsterdam</v>
      </c>
      <c r="F189" s="180"/>
      <c r="G189" s="180" t="s">
        <v>755</v>
      </c>
      <c r="H189" s="180"/>
      <c r="I189" s="180" t="s">
        <v>716</v>
      </c>
      <c r="J189" s="224" t="s">
        <v>738</v>
      </c>
      <c r="K189" s="180">
        <v>10</v>
      </c>
      <c r="L189" s="236" t="str">
        <f>VLOOKUP(Ruimtestaat[[#This Row],[Ruimte code]],Ruimtegroepen[#All],2,FALSE)</f>
        <v>Trappenhuizen/lift</v>
      </c>
      <c r="M189" s="195" t="s">
        <v>111</v>
      </c>
      <c r="N189" s="180" t="s">
        <v>714</v>
      </c>
      <c r="O189" s="181">
        <v>24</v>
      </c>
      <c r="P189" s="193"/>
      <c r="Q189" s="223" t="str">
        <f>VLOOKUP(Ruimtestaat[[#This Row],[Ruimte code]],Ruimtegroepen[#All],4,FALSE)</f>
        <v>V  (Verkeersruimte)</v>
      </c>
      <c r="R189" s="194"/>
      <c r="S189" s="195">
        <v>40</v>
      </c>
      <c r="T189" s="195" t="s">
        <v>2</v>
      </c>
      <c r="U189" s="195">
        <f>IF(S189&gt;0,IF(RIGHT(Ruimtestaat[[#This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9" s="195">
        <f>IF(U189&gt;0,VLOOKUP($K189,Ruimtegroepen[],3,FALSE)*VLOOKUP($M189,Vloersoorten[],3,FALSE)*VLOOKUP($T189,Frequenties[],3,FALSE)*VLOOKUP($A189,Locaties[],3,FALSE),0)</f>
        <v>0</v>
      </c>
      <c r="W189" s="195">
        <f>Ruimtestaat[[#This Row],[Uitvoeringen werkdagen]]*Ruimtestaat[[#This Row],[Oppervlak (netto)]]</f>
        <v>4800</v>
      </c>
      <c r="X189" s="233">
        <f>IF(V189&gt;0,Ruimtestaat[[#This Row],[Prest. (m2 /jaar) werkdagen]]/Ruimtestaat[[#This Row],[Norm (m2/uur) werkdagen]],0)</f>
        <v>0</v>
      </c>
      <c r="Y189" s="234">
        <f>Ruimtestaat[[#This Row],[uren / jaar werkdagen]]*Tariefsopbouw!$D$38</f>
        <v>0</v>
      </c>
      <c r="Z189" s="33"/>
      <c r="AA189" s="33">
        <f>IF(Ruimtestaat[[#This Row],[Frequentie weekend]]&gt;0,VALUE(LEFT(Z189,1))*S189,0)</f>
        <v>0</v>
      </c>
      <c r="AB189" s="33">
        <f>IF($AA189&gt;0,VLOOKUP($K189,Ruimtegroepen[],3,FALSE)*VLOOKUP($M189,Vloersoorten[],3,FALSE)*VLOOKUP($Z189,Frequenties[],3,FALSE)*VLOOKUP(#REF!,Locaties[],3,FALSE),0)</f>
        <v>0</v>
      </c>
      <c r="AC189" s="33"/>
      <c r="AD189" s="33"/>
      <c r="AE189" s="33">
        <f>Ruimtestaat[[#This Row],[uren / jaar weekend]]*Tariefsopbouw!$D$40</f>
        <v>0</v>
      </c>
      <c r="AF189" s="79">
        <f>Ruimtestaat[[#This Row],[Prest. (m2 /jaar) weekend]]+Ruimtestaat[[#This Row],[Prest. (m2 /jaar) werkdagen]]</f>
        <v>4800</v>
      </c>
      <c r="AG189" s="79">
        <f>Ruimtestaat[[#This Row],[uren / jaar weekend]]+Ruimtestaat[[#This Row],[uren / jaar werkdagen]]</f>
        <v>0</v>
      </c>
      <c r="AH189" s="80">
        <f>Ruimtestaat[[#This Row],[kosten / jaar weekend]]+Ruimtestaat[[#This Row],[kosten / jaar werkdagen]]</f>
        <v>0</v>
      </c>
    </row>
    <row r="190" spans="1:34" ht="15" customHeight="1">
      <c r="A190" s="119">
        <v>1</v>
      </c>
      <c r="B190" s="21" t="str">
        <f>VLOOKUP(Ruimtestaat[[#This Row],[Code]],Locaties[#All],2,FALSE)</f>
        <v>IJburg College</v>
      </c>
      <c r="C190" s="21" t="str">
        <f>VLOOKUP(Ruimtestaat[[#This Row],[Code]],Locaties[#All],4,FALSE)</f>
        <v>Pampuslaan 1</v>
      </c>
      <c r="D190" s="223" t="str">
        <f>VLOOKUP(Ruimtestaat[[#This Row],[Code]],Locaties[#All],5,FALSE)</f>
        <v>1087 HP</v>
      </c>
      <c r="E190" s="223" t="str">
        <f>VLOOKUP(Ruimtestaat[[#This Row],[Code]],Locaties[#All],6,FALSE)</f>
        <v>Amsterdam</v>
      </c>
      <c r="F190" s="180"/>
      <c r="G190" s="180" t="s">
        <v>755</v>
      </c>
      <c r="H190" s="180" t="s">
        <v>783</v>
      </c>
      <c r="I190" s="180" t="s">
        <v>717</v>
      </c>
      <c r="J190" s="224" t="s">
        <v>697</v>
      </c>
      <c r="K190" s="180">
        <v>10</v>
      </c>
      <c r="L190" s="236" t="str">
        <f>VLOOKUP(Ruimtestaat[[#This Row],[Ruimte code]],Ruimtegroepen[#All],2,FALSE)</f>
        <v>Trappenhuizen/lift</v>
      </c>
      <c r="M190" s="195" t="s">
        <v>111</v>
      </c>
      <c r="N190" s="180" t="s">
        <v>557</v>
      </c>
      <c r="O190" s="181">
        <v>48.1</v>
      </c>
      <c r="P190" s="193"/>
      <c r="Q190" s="223" t="str">
        <f>VLOOKUP(Ruimtestaat[[#This Row],[Ruimte code]],Ruimtegroepen[#All],4,FALSE)</f>
        <v>V  (Verkeersruimte)</v>
      </c>
      <c r="R190" s="194"/>
      <c r="S190" s="195">
        <v>40</v>
      </c>
      <c r="T190" s="195" t="s">
        <v>2</v>
      </c>
      <c r="U190" s="195">
        <f>IF(S190&gt;0,IF(RIGHT(Ruimtestaat[[#This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90" s="195">
        <f>IF(U190&gt;0,VLOOKUP($K190,Ruimtegroepen[],3,FALSE)*VLOOKUP($M190,Vloersoorten[],3,FALSE)*VLOOKUP($T190,Frequenties[],3,FALSE)*VLOOKUP($A190,Locaties[],3,FALSE),0)</f>
        <v>0</v>
      </c>
      <c r="W190" s="195">
        <f>Ruimtestaat[[#This Row],[Uitvoeringen werkdagen]]*Ruimtestaat[[#This Row],[Oppervlak (netto)]]</f>
        <v>9620</v>
      </c>
      <c r="X190" s="233">
        <f>IF(V190&gt;0,Ruimtestaat[[#This Row],[Prest. (m2 /jaar) werkdagen]]/Ruimtestaat[[#This Row],[Norm (m2/uur) werkdagen]],0)</f>
        <v>0</v>
      </c>
      <c r="Y190" s="234">
        <f>Ruimtestaat[[#This Row],[uren / jaar werkdagen]]*Tariefsopbouw!$D$38</f>
        <v>0</v>
      </c>
      <c r="Z190" s="33"/>
      <c r="AA190" s="33">
        <f>IF(Ruimtestaat[[#This Row],[Frequentie weekend]]&gt;0,VALUE(LEFT(Z190,1))*S190,0)</f>
        <v>0</v>
      </c>
      <c r="AB190" s="33">
        <f>IF($AA190&gt;0,VLOOKUP($K190,Ruimtegroepen[],3,FALSE)*VLOOKUP($M190,Vloersoorten[],3,FALSE)*VLOOKUP($Z190,Frequenties[],3,FALSE)*VLOOKUP(#REF!,Locaties[],3,FALSE),0)</f>
        <v>0</v>
      </c>
      <c r="AC190" s="33"/>
      <c r="AD190" s="33"/>
      <c r="AE190" s="33">
        <f>Ruimtestaat[[#This Row],[uren / jaar weekend]]*Tariefsopbouw!$D$40</f>
        <v>0</v>
      </c>
      <c r="AF190" s="79">
        <f>Ruimtestaat[[#This Row],[Prest. (m2 /jaar) weekend]]+Ruimtestaat[[#This Row],[Prest. (m2 /jaar) werkdagen]]</f>
        <v>9620</v>
      </c>
      <c r="AG190" s="79">
        <f>Ruimtestaat[[#This Row],[uren / jaar weekend]]+Ruimtestaat[[#This Row],[uren / jaar werkdagen]]</f>
        <v>0</v>
      </c>
      <c r="AH190" s="80">
        <f>Ruimtestaat[[#This Row],[kosten / jaar weekend]]+Ruimtestaat[[#This Row],[kosten / jaar werkdagen]]</f>
        <v>0</v>
      </c>
    </row>
    <row r="191" spans="1:34" ht="15" customHeight="1">
      <c r="A191" s="119">
        <v>1</v>
      </c>
      <c r="B191" s="21" t="str">
        <f>VLOOKUP(Ruimtestaat[[#This Row],[Code]],Locaties[#All],2,FALSE)</f>
        <v>IJburg College</v>
      </c>
      <c r="C191" s="21" t="str">
        <f>VLOOKUP(Ruimtestaat[[#This Row],[Code]],Locaties[#All],4,FALSE)</f>
        <v>Pampuslaan 1</v>
      </c>
      <c r="D191" s="223" t="str">
        <f>VLOOKUP(Ruimtestaat[[#This Row],[Code]],Locaties[#All],5,FALSE)</f>
        <v>1087 HP</v>
      </c>
      <c r="E191" s="223" t="str">
        <f>VLOOKUP(Ruimtestaat[[#This Row],[Code]],Locaties[#All],6,FALSE)</f>
        <v>Amsterdam</v>
      </c>
      <c r="F191" s="180"/>
      <c r="G191" s="180" t="s">
        <v>755</v>
      </c>
      <c r="H191" s="180" t="s">
        <v>784</v>
      </c>
      <c r="I191" s="180" t="s">
        <v>718</v>
      </c>
      <c r="J191" s="224" t="s">
        <v>540</v>
      </c>
      <c r="K191" s="180">
        <v>5</v>
      </c>
      <c r="L191" s="236" t="str">
        <f>VLOOKUP(Ruimtestaat[[#This Row],[Ruimte code]],Ruimtegroepen[#All],2,FALSE)</f>
        <v>Sanitair</v>
      </c>
      <c r="M191" s="195" t="s">
        <v>111</v>
      </c>
      <c r="N191" s="180" t="s">
        <v>558</v>
      </c>
      <c r="O191" s="181">
        <v>4</v>
      </c>
      <c r="P191" s="193"/>
      <c r="Q191" s="223" t="str">
        <f>VLOOKUP(Ruimtestaat[[#This Row],[Ruimte code]],Ruimtegroepen[#All],4,FALSE)</f>
        <v>S  (Sanitair)</v>
      </c>
      <c r="R191" s="194"/>
      <c r="S191" s="195">
        <v>40</v>
      </c>
      <c r="T191" s="195" t="s">
        <v>2</v>
      </c>
      <c r="U191" s="195">
        <f>IF(S191&gt;0,IF(RIGHT(Ruimtestaat[[#This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91" s="195">
        <f>IF(U191&gt;0,VLOOKUP($K191,Ruimtegroepen[],3,FALSE)*VLOOKUP($M191,Vloersoorten[],3,FALSE)*VLOOKUP($T191,Frequenties[],3,FALSE)*VLOOKUP($A191,Locaties[],3,FALSE),0)</f>
        <v>0</v>
      </c>
      <c r="W191" s="195">
        <f>Ruimtestaat[[#This Row],[Uitvoeringen werkdagen]]*Ruimtestaat[[#This Row],[Oppervlak (netto)]]</f>
        <v>800</v>
      </c>
      <c r="X191" s="233">
        <f>IF(V191&gt;0,Ruimtestaat[[#This Row],[Prest. (m2 /jaar) werkdagen]]/Ruimtestaat[[#This Row],[Norm (m2/uur) werkdagen]],0)</f>
        <v>0</v>
      </c>
      <c r="Y191" s="234">
        <f>Ruimtestaat[[#This Row],[uren / jaar werkdagen]]*Tariefsopbouw!$D$38</f>
        <v>0</v>
      </c>
      <c r="Z191" s="33"/>
      <c r="AA191" s="33">
        <f>IF(Ruimtestaat[[#This Row],[Frequentie weekend]]&gt;0,VALUE(LEFT(Z191,1))*S191,0)</f>
        <v>0</v>
      </c>
      <c r="AB191" s="33">
        <f>IF($AA191&gt;0,VLOOKUP($K191,Ruimtegroepen[],3,FALSE)*VLOOKUP($M191,Vloersoorten[],3,FALSE)*VLOOKUP($Z191,Frequenties[],3,FALSE)*VLOOKUP(#REF!,Locaties[],3,FALSE),0)</f>
        <v>0</v>
      </c>
      <c r="AC191" s="33"/>
      <c r="AD191" s="33"/>
      <c r="AE191" s="33">
        <f>Ruimtestaat[[#This Row],[uren / jaar weekend]]*Tariefsopbouw!$D$40</f>
        <v>0</v>
      </c>
      <c r="AF191" s="79">
        <f>Ruimtestaat[[#This Row],[Prest. (m2 /jaar) weekend]]+Ruimtestaat[[#This Row],[Prest. (m2 /jaar) werkdagen]]</f>
        <v>800</v>
      </c>
      <c r="AG191" s="79">
        <f>Ruimtestaat[[#This Row],[uren / jaar weekend]]+Ruimtestaat[[#This Row],[uren / jaar werkdagen]]</f>
        <v>0</v>
      </c>
      <c r="AH191" s="80">
        <f>Ruimtestaat[[#This Row],[kosten / jaar weekend]]+Ruimtestaat[[#This Row],[kosten / jaar werkdagen]]</f>
        <v>0</v>
      </c>
    </row>
    <row r="192" spans="1:34" ht="15" customHeight="1">
      <c r="A192" s="119">
        <v>1</v>
      </c>
      <c r="B192" s="21" t="str">
        <f>VLOOKUP(Ruimtestaat[[#This Row],[Code]],Locaties[#All],2,FALSE)</f>
        <v>IJburg College</v>
      </c>
      <c r="C192" s="21" t="str">
        <f>VLOOKUP(Ruimtestaat[[#This Row],[Code]],Locaties[#All],4,FALSE)</f>
        <v>Pampuslaan 1</v>
      </c>
      <c r="D192" s="223" t="str">
        <f>VLOOKUP(Ruimtestaat[[#This Row],[Code]],Locaties[#All],5,FALSE)</f>
        <v>1087 HP</v>
      </c>
      <c r="E192" s="223" t="str">
        <f>VLOOKUP(Ruimtestaat[[#This Row],[Code]],Locaties[#All],6,FALSE)</f>
        <v>Amsterdam</v>
      </c>
      <c r="F192" s="180"/>
      <c r="G192" s="180" t="s">
        <v>755</v>
      </c>
      <c r="H192" s="180" t="s">
        <v>785</v>
      </c>
      <c r="I192" s="180" t="s">
        <v>719</v>
      </c>
      <c r="J192" s="224" t="s">
        <v>739</v>
      </c>
      <c r="K192" s="180">
        <v>21</v>
      </c>
      <c r="L192" s="236" t="str">
        <f>VLOOKUP(Ruimtestaat[[#This Row],[Ruimte code]],Ruimtegroepen[#All],2,FALSE)</f>
        <v>Niet in onderhoud</v>
      </c>
      <c r="M192" s="195"/>
      <c r="N192" s="180"/>
      <c r="O192" s="181"/>
      <c r="P192" s="193">
        <v>10.85</v>
      </c>
      <c r="Q192" s="223" t="str">
        <f>VLOOKUP(Ruimtestaat[[#This Row],[Ruimte code]],Ruimtegroepen[#All],4,FALSE)</f>
        <v>Niet in onderhoud</v>
      </c>
      <c r="R192" s="194" t="s">
        <v>911</v>
      </c>
      <c r="S192" s="195"/>
      <c r="T192" s="195"/>
      <c r="U192" s="195">
        <f>IF(S192&gt;0,IF(RIGHT(Ruimtestaat[[#This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92" s="195">
        <f>IF(U192&gt;0,VLOOKUP($K192,Ruimtegroepen[],3,FALSE)*VLOOKUP($M192,Vloersoorten[],3,FALSE)*VLOOKUP($T192,Frequenties[],3,FALSE)*VLOOKUP($A192,Locaties[],3,FALSE),0)</f>
        <v>0</v>
      </c>
      <c r="W192" s="195">
        <f>Ruimtestaat[[#This Row],[Uitvoeringen werkdagen]]*Ruimtestaat[[#This Row],[Oppervlak (netto)]]</f>
        <v>0</v>
      </c>
      <c r="X192" s="233">
        <f>IF(V192&gt;0,Ruimtestaat[[#This Row],[Prest. (m2 /jaar) werkdagen]]/Ruimtestaat[[#This Row],[Norm (m2/uur) werkdagen]],0)</f>
        <v>0</v>
      </c>
      <c r="Y192" s="234">
        <f>Ruimtestaat[[#This Row],[uren / jaar werkdagen]]*Tariefsopbouw!$D$38</f>
        <v>0</v>
      </c>
      <c r="Z192" s="33"/>
      <c r="AA192" s="33">
        <f>IF(Ruimtestaat[[#This Row],[Frequentie weekend]]&gt;0,VALUE(LEFT(Z192,1))*S192,0)</f>
        <v>0</v>
      </c>
      <c r="AB192" s="33">
        <f>IF($AA192&gt;0,VLOOKUP($K192,Ruimtegroepen[],3,FALSE)*VLOOKUP($M192,Vloersoorten[],3,FALSE)*VLOOKUP($Z192,Frequenties[],3,FALSE)*VLOOKUP(#REF!,Locaties[],3,FALSE),0)</f>
        <v>0</v>
      </c>
      <c r="AC192" s="33"/>
      <c r="AD192" s="33"/>
      <c r="AE192" s="33">
        <f>Ruimtestaat[[#This Row],[uren / jaar weekend]]*Tariefsopbouw!$D$40</f>
        <v>0</v>
      </c>
      <c r="AF192" s="79">
        <f>Ruimtestaat[[#This Row],[Prest. (m2 /jaar) weekend]]+Ruimtestaat[[#This Row],[Prest. (m2 /jaar) werkdagen]]</f>
        <v>0</v>
      </c>
      <c r="AG192" s="79">
        <f>Ruimtestaat[[#This Row],[uren / jaar weekend]]+Ruimtestaat[[#This Row],[uren / jaar werkdagen]]</f>
        <v>0</v>
      </c>
      <c r="AH192" s="80">
        <f>Ruimtestaat[[#This Row],[kosten / jaar weekend]]+Ruimtestaat[[#This Row],[kosten / jaar werkdagen]]</f>
        <v>0</v>
      </c>
    </row>
    <row r="193" spans="1:34" ht="15" customHeight="1">
      <c r="A193" s="119">
        <v>1</v>
      </c>
      <c r="B193" s="21" t="str">
        <f>VLOOKUP(Ruimtestaat[[#This Row],[Code]],Locaties[#All],2,FALSE)</f>
        <v>IJburg College</v>
      </c>
      <c r="C193" s="21" t="str">
        <f>VLOOKUP(Ruimtestaat[[#This Row],[Code]],Locaties[#All],4,FALSE)</f>
        <v>Pampuslaan 1</v>
      </c>
      <c r="D193" s="223" t="str">
        <f>VLOOKUP(Ruimtestaat[[#This Row],[Code]],Locaties[#All],5,FALSE)</f>
        <v>1087 HP</v>
      </c>
      <c r="E193" s="223" t="str">
        <f>VLOOKUP(Ruimtestaat[[#This Row],[Code]],Locaties[#All],6,FALSE)</f>
        <v>Amsterdam</v>
      </c>
      <c r="F193" s="180"/>
      <c r="G193" s="180" t="s">
        <v>755</v>
      </c>
      <c r="H193" s="180" t="s">
        <v>786</v>
      </c>
      <c r="I193" s="180" t="s">
        <v>720</v>
      </c>
      <c r="J193" s="224" t="s">
        <v>740</v>
      </c>
      <c r="K193" s="180">
        <v>21</v>
      </c>
      <c r="L193" s="236" t="str">
        <f>VLOOKUP(Ruimtestaat[[#This Row],[Ruimte code]],Ruimtegroepen[#All],2,FALSE)</f>
        <v>Niet in onderhoud</v>
      </c>
      <c r="M193" s="223" t="s">
        <v>111</v>
      </c>
      <c r="N193" s="180" t="s">
        <v>714</v>
      </c>
      <c r="O193" s="181"/>
      <c r="P193" s="193">
        <v>10.85</v>
      </c>
      <c r="Q193" s="223" t="str">
        <f>VLOOKUP(Ruimtestaat[[#This Row],[Ruimte code]],Ruimtegroepen[#All],4,FALSE)</f>
        <v>Niet in onderhoud</v>
      </c>
      <c r="R193" s="194" t="s">
        <v>911</v>
      </c>
      <c r="S193" s="195"/>
      <c r="T193" s="195"/>
      <c r="U193" s="195">
        <f>IF(S193&gt;0,IF(RIGHT(Ruimtestaat[[#This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93" s="195">
        <f>IF(U193&gt;0,VLOOKUP($K193,Ruimtegroepen[],3,FALSE)*VLOOKUP($M193,Vloersoorten[],3,FALSE)*VLOOKUP($T193,Frequenties[],3,FALSE)*VLOOKUP($A193,Locaties[],3,FALSE),0)</f>
        <v>0</v>
      </c>
      <c r="W193" s="195">
        <f>Ruimtestaat[[#This Row],[Uitvoeringen werkdagen]]*Ruimtestaat[[#This Row],[Oppervlak (netto)]]</f>
        <v>0</v>
      </c>
      <c r="X193" s="233">
        <f>IF(V193&gt;0,Ruimtestaat[[#This Row],[Prest. (m2 /jaar) werkdagen]]/Ruimtestaat[[#This Row],[Norm (m2/uur) werkdagen]],0)</f>
        <v>0</v>
      </c>
      <c r="Y193" s="234">
        <f>Ruimtestaat[[#This Row],[uren / jaar werkdagen]]*Tariefsopbouw!$D$38</f>
        <v>0</v>
      </c>
      <c r="Z193" s="33"/>
      <c r="AA193" s="33">
        <f>IF(Ruimtestaat[[#This Row],[Frequentie weekend]]&gt;0,VALUE(LEFT(Z193,1))*S193,0)</f>
        <v>0</v>
      </c>
      <c r="AB193" s="33">
        <f>IF($AA193&gt;0,VLOOKUP($K193,Ruimtegroepen[],3,FALSE)*VLOOKUP($M193,Vloersoorten[],3,FALSE)*VLOOKUP($Z193,Frequenties[],3,FALSE)*VLOOKUP(#REF!,Locaties[],3,FALSE),0)</f>
        <v>0</v>
      </c>
      <c r="AC193" s="33"/>
      <c r="AD193" s="33"/>
      <c r="AE193" s="33">
        <f>Ruimtestaat[[#This Row],[uren / jaar weekend]]*Tariefsopbouw!$D$40</f>
        <v>0</v>
      </c>
      <c r="AF193" s="79">
        <f>Ruimtestaat[[#This Row],[Prest. (m2 /jaar) weekend]]+Ruimtestaat[[#This Row],[Prest. (m2 /jaar) werkdagen]]</f>
        <v>0</v>
      </c>
      <c r="AG193" s="79">
        <f>Ruimtestaat[[#This Row],[uren / jaar weekend]]+Ruimtestaat[[#This Row],[uren / jaar werkdagen]]</f>
        <v>0</v>
      </c>
      <c r="AH193" s="80">
        <f>Ruimtestaat[[#This Row],[kosten / jaar weekend]]+Ruimtestaat[[#This Row],[kosten / jaar werkdagen]]</f>
        <v>0</v>
      </c>
    </row>
    <row r="194" spans="1:34" ht="15" customHeight="1">
      <c r="A194" s="119">
        <v>1</v>
      </c>
      <c r="B194" s="21" t="str">
        <f>VLOOKUP(Ruimtestaat[[#This Row],[Code]],Locaties[#All],2,FALSE)</f>
        <v>IJburg College</v>
      </c>
      <c r="C194" s="21" t="str">
        <f>VLOOKUP(Ruimtestaat[[#This Row],[Code]],Locaties[#All],4,FALSE)</f>
        <v>Pampuslaan 1</v>
      </c>
      <c r="D194" s="223" t="str">
        <f>VLOOKUP(Ruimtestaat[[#This Row],[Code]],Locaties[#All],5,FALSE)</f>
        <v>1087 HP</v>
      </c>
      <c r="E194" s="223" t="str">
        <f>VLOOKUP(Ruimtestaat[[#This Row],[Code]],Locaties[#All],6,FALSE)</f>
        <v>Amsterdam</v>
      </c>
      <c r="F194" s="180"/>
      <c r="G194" s="180" t="s">
        <v>755</v>
      </c>
      <c r="H194" s="180"/>
      <c r="I194" s="180" t="s">
        <v>721</v>
      </c>
      <c r="J194" s="224" t="s">
        <v>741</v>
      </c>
      <c r="K194" s="180">
        <v>21</v>
      </c>
      <c r="L194" s="236" t="str">
        <f>VLOOKUP(Ruimtestaat[[#This Row],[Ruimte code]],Ruimtegroepen[#All],2,FALSE)</f>
        <v>Niet in onderhoud</v>
      </c>
      <c r="M194" s="223" t="s">
        <v>112</v>
      </c>
      <c r="N194" s="180" t="s">
        <v>754</v>
      </c>
      <c r="O194" s="181"/>
      <c r="P194" s="193">
        <v>400</v>
      </c>
      <c r="Q194" s="223" t="str">
        <f>VLOOKUP(Ruimtestaat[[#This Row],[Ruimte code]],Ruimtegroepen[#All],4,FALSE)</f>
        <v>Niet in onderhoud</v>
      </c>
      <c r="R194" s="194" t="s">
        <v>911</v>
      </c>
      <c r="S194" s="195"/>
      <c r="T194" s="195"/>
      <c r="U194" s="195">
        <f>IF(S194&gt;0,IF(RIGHT(Ruimtestaat[[#This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94" s="195">
        <f>IF(U194&gt;0,VLOOKUP($K194,Ruimtegroepen[],3,FALSE)*VLOOKUP($M194,Vloersoorten[],3,FALSE)*VLOOKUP($T194,Frequenties[],3,FALSE)*VLOOKUP($A194,Locaties[],3,FALSE),0)</f>
        <v>0</v>
      </c>
      <c r="W194" s="195">
        <f>Ruimtestaat[[#This Row],[Uitvoeringen werkdagen]]*Ruimtestaat[[#This Row],[Oppervlak (netto)]]</f>
        <v>0</v>
      </c>
      <c r="X194" s="233">
        <f>IF(V194&gt;0,Ruimtestaat[[#This Row],[Prest. (m2 /jaar) werkdagen]]/Ruimtestaat[[#This Row],[Norm (m2/uur) werkdagen]],0)</f>
        <v>0</v>
      </c>
      <c r="Y194" s="234">
        <f>Ruimtestaat[[#This Row],[uren / jaar werkdagen]]*Tariefsopbouw!$D$38</f>
        <v>0</v>
      </c>
      <c r="Z194" s="33"/>
      <c r="AA194" s="33">
        <f>IF(Ruimtestaat[[#This Row],[Frequentie weekend]]&gt;0,VALUE(LEFT(Z194,1))*S194,0)</f>
        <v>0</v>
      </c>
      <c r="AB194" s="33">
        <f>IF($AA194&gt;0,VLOOKUP($K194,Ruimtegroepen[],3,FALSE)*VLOOKUP($M194,Vloersoorten[],3,FALSE)*VLOOKUP($Z194,Frequenties[],3,FALSE)*VLOOKUP(#REF!,Locaties[],3,FALSE),0)</f>
        <v>0</v>
      </c>
      <c r="AC194" s="33"/>
      <c r="AD194" s="33"/>
      <c r="AE194" s="33">
        <f>Ruimtestaat[[#This Row],[uren / jaar weekend]]*Tariefsopbouw!$D$40</f>
        <v>0</v>
      </c>
      <c r="AF194" s="79">
        <f>Ruimtestaat[[#This Row],[Prest. (m2 /jaar) weekend]]+Ruimtestaat[[#This Row],[Prest. (m2 /jaar) werkdagen]]</f>
        <v>0</v>
      </c>
      <c r="AG194" s="79">
        <f>Ruimtestaat[[#This Row],[uren / jaar weekend]]+Ruimtestaat[[#This Row],[uren / jaar werkdagen]]</f>
        <v>0</v>
      </c>
      <c r="AH194" s="80">
        <f>Ruimtestaat[[#This Row],[kosten / jaar weekend]]+Ruimtestaat[[#This Row],[kosten / jaar werkdagen]]</f>
        <v>0</v>
      </c>
    </row>
    <row r="195" spans="1:34" ht="15" customHeight="1">
      <c r="A195" s="119">
        <v>1</v>
      </c>
      <c r="B195" s="21" t="str">
        <f>VLOOKUP(Ruimtestaat[[#This Row],[Code]],Locaties[#All],2,FALSE)</f>
        <v>IJburg College</v>
      </c>
      <c r="C195" s="21" t="str">
        <f>VLOOKUP(Ruimtestaat[[#This Row],[Code]],Locaties[#All],4,FALSE)</f>
        <v>Pampuslaan 1</v>
      </c>
      <c r="D195" s="223" t="str">
        <f>VLOOKUP(Ruimtestaat[[#This Row],[Code]],Locaties[#All],5,FALSE)</f>
        <v>1087 HP</v>
      </c>
      <c r="E195" s="223" t="str">
        <f>VLOOKUP(Ruimtestaat[[#This Row],[Code]],Locaties[#All],6,FALSE)</f>
        <v>Amsterdam</v>
      </c>
      <c r="F195" s="180"/>
      <c r="G195" s="180" t="s">
        <v>755</v>
      </c>
      <c r="H195" s="180"/>
      <c r="I195" s="180" t="s">
        <v>722</v>
      </c>
      <c r="J195" s="224" t="s">
        <v>742</v>
      </c>
      <c r="K195" s="180">
        <v>21</v>
      </c>
      <c r="L195" s="236" t="str">
        <f>VLOOKUP(Ruimtestaat[[#This Row],[Ruimte code]],Ruimtegroepen[#All],2,FALSE)</f>
        <v>Niet in onderhoud</v>
      </c>
      <c r="M195" s="195" t="s">
        <v>111</v>
      </c>
      <c r="N195" s="180" t="s">
        <v>557</v>
      </c>
      <c r="O195" s="181"/>
      <c r="P195" s="193">
        <v>18</v>
      </c>
      <c r="Q195" s="223" t="str">
        <f>VLOOKUP(Ruimtestaat[[#This Row],[Ruimte code]],Ruimtegroepen[#All],4,FALSE)</f>
        <v>Niet in onderhoud</v>
      </c>
      <c r="R195" s="194" t="s">
        <v>911</v>
      </c>
      <c r="S195" s="195"/>
      <c r="T195" s="195"/>
      <c r="U195" s="195">
        <f>IF(S195&gt;0,IF(RIGHT(Ruimtestaat[[#This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95" s="195">
        <f>IF(U195&gt;0,VLOOKUP($K195,Ruimtegroepen[],3,FALSE)*VLOOKUP($M195,Vloersoorten[],3,FALSE)*VLOOKUP($T195,Frequenties[],3,FALSE)*VLOOKUP($A195,Locaties[],3,FALSE),0)</f>
        <v>0</v>
      </c>
      <c r="W195" s="195">
        <f>Ruimtestaat[[#This Row],[Uitvoeringen werkdagen]]*Ruimtestaat[[#This Row],[Oppervlak (netto)]]</f>
        <v>0</v>
      </c>
      <c r="X195" s="233">
        <f>IF(V195&gt;0,Ruimtestaat[[#This Row],[Prest. (m2 /jaar) werkdagen]]/Ruimtestaat[[#This Row],[Norm (m2/uur) werkdagen]],0)</f>
        <v>0</v>
      </c>
      <c r="Y195" s="234">
        <f>Ruimtestaat[[#This Row],[uren / jaar werkdagen]]*Tariefsopbouw!$D$38</f>
        <v>0</v>
      </c>
      <c r="Z195" s="33"/>
      <c r="AA195" s="33">
        <f>IF(Ruimtestaat[[#This Row],[Frequentie weekend]]&gt;0,VALUE(LEFT(Z195,1))*S195,0)</f>
        <v>0</v>
      </c>
      <c r="AB195" s="33">
        <f>IF($AA195&gt;0,VLOOKUP($K195,Ruimtegroepen[],3,FALSE)*VLOOKUP($M195,Vloersoorten[],3,FALSE)*VLOOKUP($Z195,Frequenties[],3,FALSE)*VLOOKUP(#REF!,Locaties[],3,FALSE),0)</f>
        <v>0</v>
      </c>
      <c r="AC195" s="33"/>
      <c r="AD195" s="33"/>
      <c r="AE195" s="33">
        <f>Ruimtestaat[[#This Row],[uren / jaar weekend]]*Tariefsopbouw!$D$40</f>
        <v>0</v>
      </c>
      <c r="AF195" s="79">
        <f>Ruimtestaat[[#This Row],[Prest. (m2 /jaar) weekend]]+Ruimtestaat[[#This Row],[Prest. (m2 /jaar) werkdagen]]</f>
        <v>0</v>
      </c>
      <c r="AG195" s="79">
        <f>Ruimtestaat[[#This Row],[uren / jaar weekend]]+Ruimtestaat[[#This Row],[uren / jaar werkdagen]]</f>
        <v>0</v>
      </c>
      <c r="AH195" s="80">
        <f>Ruimtestaat[[#This Row],[kosten / jaar weekend]]+Ruimtestaat[[#This Row],[kosten / jaar werkdagen]]</f>
        <v>0</v>
      </c>
    </row>
    <row r="196" spans="1:34" ht="15" customHeight="1">
      <c r="A196" s="119">
        <v>1</v>
      </c>
      <c r="B196" s="21" t="str">
        <f>VLOOKUP(Ruimtestaat[[#This Row],[Code]],Locaties[#All],2,FALSE)</f>
        <v>IJburg College</v>
      </c>
      <c r="C196" s="21" t="str">
        <f>VLOOKUP(Ruimtestaat[[#This Row],[Code]],Locaties[#All],4,FALSE)</f>
        <v>Pampuslaan 1</v>
      </c>
      <c r="D196" s="223" t="str">
        <f>VLOOKUP(Ruimtestaat[[#This Row],[Code]],Locaties[#All],5,FALSE)</f>
        <v>1087 HP</v>
      </c>
      <c r="E196" s="223" t="str">
        <f>VLOOKUP(Ruimtestaat[[#This Row],[Code]],Locaties[#All],6,FALSE)</f>
        <v>Amsterdam</v>
      </c>
      <c r="F196" s="180"/>
      <c r="G196" s="180" t="s">
        <v>755</v>
      </c>
      <c r="H196" s="180" t="s">
        <v>787</v>
      </c>
      <c r="I196" s="180" t="s">
        <v>723</v>
      </c>
      <c r="J196" s="224" t="s">
        <v>743</v>
      </c>
      <c r="K196" s="180">
        <v>21</v>
      </c>
      <c r="L196" s="236" t="str">
        <f>VLOOKUP(Ruimtestaat[[#This Row],[Ruimte code]],Ruimtegroepen[#All],2,FALSE)</f>
        <v>Niet in onderhoud</v>
      </c>
      <c r="M196" s="195" t="s">
        <v>111</v>
      </c>
      <c r="N196" s="180" t="s">
        <v>557</v>
      </c>
      <c r="O196" s="181"/>
      <c r="P196" s="193">
        <v>45.3</v>
      </c>
      <c r="Q196" s="223" t="str">
        <f>VLOOKUP(Ruimtestaat[[#This Row],[Ruimte code]],Ruimtegroepen[#All],4,FALSE)</f>
        <v>Niet in onderhoud</v>
      </c>
      <c r="R196" s="194" t="s">
        <v>911</v>
      </c>
      <c r="S196" s="195"/>
      <c r="T196" s="195"/>
      <c r="U196" s="195">
        <f>IF(S196&gt;0,IF(RIGHT(Ruimtestaat[[#This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96" s="195">
        <f>IF(U196&gt;0,VLOOKUP($K196,Ruimtegroepen[],3,FALSE)*VLOOKUP($M196,Vloersoorten[],3,FALSE)*VLOOKUP($T196,Frequenties[],3,FALSE)*VLOOKUP($A196,Locaties[],3,FALSE),0)</f>
        <v>0</v>
      </c>
      <c r="W196" s="195">
        <f>Ruimtestaat[[#This Row],[Uitvoeringen werkdagen]]*Ruimtestaat[[#This Row],[Oppervlak (netto)]]</f>
        <v>0</v>
      </c>
      <c r="X196" s="233">
        <f>IF(V196&gt;0,Ruimtestaat[[#This Row],[Prest. (m2 /jaar) werkdagen]]/Ruimtestaat[[#This Row],[Norm (m2/uur) werkdagen]],0)</f>
        <v>0</v>
      </c>
      <c r="Y196" s="234">
        <f>Ruimtestaat[[#This Row],[uren / jaar werkdagen]]*Tariefsopbouw!$D$38</f>
        <v>0</v>
      </c>
      <c r="Z196" s="33"/>
      <c r="AA196" s="33">
        <f>IF(Ruimtestaat[[#This Row],[Frequentie weekend]]&gt;0,VALUE(LEFT(Z196,1))*S196,0)</f>
        <v>0</v>
      </c>
      <c r="AB196" s="33">
        <f>IF($AA196&gt;0,VLOOKUP($K196,Ruimtegroepen[],3,FALSE)*VLOOKUP($M196,Vloersoorten[],3,FALSE)*VLOOKUP($Z196,Frequenties[],3,FALSE)*VLOOKUP(#REF!,Locaties[],3,FALSE),0)</f>
        <v>0</v>
      </c>
      <c r="AC196" s="33"/>
      <c r="AD196" s="33"/>
      <c r="AE196" s="33">
        <f>Ruimtestaat[[#This Row],[uren / jaar weekend]]*Tariefsopbouw!$D$40</f>
        <v>0</v>
      </c>
      <c r="AF196" s="79">
        <f>Ruimtestaat[[#This Row],[Prest. (m2 /jaar) weekend]]+Ruimtestaat[[#This Row],[Prest. (m2 /jaar) werkdagen]]</f>
        <v>0</v>
      </c>
      <c r="AG196" s="79">
        <f>Ruimtestaat[[#This Row],[uren / jaar weekend]]+Ruimtestaat[[#This Row],[uren / jaar werkdagen]]</f>
        <v>0</v>
      </c>
      <c r="AH196" s="80">
        <f>Ruimtestaat[[#This Row],[kosten / jaar weekend]]+Ruimtestaat[[#This Row],[kosten / jaar werkdagen]]</f>
        <v>0</v>
      </c>
    </row>
    <row r="197" spans="1:34" ht="15" customHeight="1">
      <c r="A197" s="119">
        <v>1</v>
      </c>
      <c r="B197" s="21" t="str">
        <f>VLOOKUP(Ruimtestaat[[#This Row],[Code]],Locaties[#All],2,FALSE)</f>
        <v>IJburg College</v>
      </c>
      <c r="C197" s="21" t="str">
        <f>VLOOKUP(Ruimtestaat[[#This Row],[Code]],Locaties[#All],4,FALSE)</f>
        <v>Pampuslaan 1</v>
      </c>
      <c r="D197" s="223" t="str">
        <f>VLOOKUP(Ruimtestaat[[#This Row],[Code]],Locaties[#All],5,FALSE)</f>
        <v>1087 HP</v>
      </c>
      <c r="E197" s="223" t="str">
        <f>VLOOKUP(Ruimtestaat[[#This Row],[Code]],Locaties[#All],6,FALSE)</f>
        <v>Amsterdam</v>
      </c>
      <c r="F197" s="180"/>
      <c r="G197" s="180" t="s">
        <v>755</v>
      </c>
      <c r="H197" s="180" t="s">
        <v>788</v>
      </c>
      <c r="I197" s="180" t="s">
        <v>724</v>
      </c>
      <c r="J197" s="224" t="s">
        <v>744</v>
      </c>
      <c r="K197" s="180">
        <v>21</v>
      </c>
      <c r="L197" s="236" t="str">
        <f>VLOOKUP(Ruimtestaat[[#This Row],[Ruimte code]],Ruimtegroepen[#All],2,FALSE)</f>
        <v>Niet in onderhoud</v>
      </c>
      <c r="M197" s="195" t="s">
        <v>111</v>
      </c>
      <c r="N197" s="180" t="s">
        <v>557</v>
      </c>
      <c r="O197" s="181"/>
      <c r="P197" s="193">
        <v>127</v>
      </c>
      <c r="Q197" s="223" t="str">
        <f>VLOOKUP(Ruimtestaat[[#This Row],[Ruimte code]],Ruimtegroepen[#All],4,FALSE)</f>
        <v>Niet in onderhoud</v>
      </c>
      <c r="R197" s="194" t="s">
        <v>911</v>
      </c>
      <c r="S197" s="195"/>
      <c r="T197" s="195"/>
      <c r="U197" s="195">
        <f>IF(S197&gt;0,IF(RIGHT(Ruimtestaat[[#This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97" s="195">
        <f>IF(U197&gt;0,VLOOKUP($K197,Ruimtegroepen[],3,FALSE)*VLOOKUP($M197,Vloersoorten[],3,FALSE)*VLOOKUP($T197,Frequenties[],3,FALSE)*VLOOKUP($A197,Locaties[],3,FALSE),0)</f>
        <v>0</v>
      </c>
      <c r="W197" s="195">
        <f>Ruimtestaat[[#This Row],[Uitvoeringen werkdagen]]*Ruimtestaat[[#This Row],[Oppervlak (netto)]]</f>
        <v>0</v>
      </c>
      <c r="X197" s="233">
        <f>IF(V197&gt;0,Ruimtestaat[[#This Row],[Prest. (m2 /jaar) werkdagen]]/Ruimtestaat[[#This Row],[Norm (m2/uur) werkdagen]],0)</f>
        <v>0</v>
      </c>
      <c r="Y197" s="234">
        <f>Ruimtestaat[[#This Row],[uren / jaar werkdagen]]*Tariefsopbouw!$D$38</f>
        <v>0</v>
      </c>
      <c r="Z197" s="33"/>
      <c r="AA197" s="33">
        <f>IF(Ruimtestaat[[#This Row],[Frequentie weekend]]&gt;0,VALUE(LEFT(Z197,1))*S197,0)</f>
        <v>0</v>
      </c>
      <c r="AB197" s="33">
        <f>IF($AA197&gt;0,VLOOKUP($K197,Ruimtegroepen[],3,FALSE)*VLOOKUP($M197,Vloersoorten[],3,FALSE)*VLOOKUP($Z197,Frequenties[],3,FALSE)*VLOOKUP(#REF!,Locaties[],3,FALSE),0)</f>
        <v>0</v>
      </c>
      <c r="AC197" s="33"/>
      <c r="AD197" s="33"/>
      <c r="AE197" s="33">
        <f>Ruimtestaat[[#This Row],[uren / jaar weekend]]*Tariefsopbouw!$D$40</f>
        <v>0</v>
      </c>
      <c r="AF197" s="79">
        <f>Ruimtestaat[[#This Row],[Prest. (m2 /jaar) weekend]]+Ruimtestaat[[#This Row],[Prest. (m2 /jaar) werkdagen]]</f>
        <v>0</v>
      </c>
      <c r="AG197" s="79">
        <f>Ruimtestaat[[#This Row],[uren / jaar weekend]]+Ruimtestaat[[#This Row],[uren / jaar werkdagen]]</f>
        <v>0</v>
      </c>
      <c r="AH197" s="80">
        <f>Ruimtestaat[[#This Row],[kosten / jaar weekend]]+Ruimtestaat[[#This Row],[kosten / jaar werkdagen]]</f>
        <v>0</v>
      </c>
    </row>
    <row r="198" spans="1:34" ht="15" customHeight="1">
      <c r="A198" s="119">
        <v>1</v>
      </c>
      <c r="B198" s="21" t="str">
        <f>VLOOKUP(Ruimtestaat[[#This Row],[Code]],Locaties[#All],2,FALSE)</f>
        <v>IJburg College</v>
      </c>
      <c r="C198" s="21" t="str">
        <f>VLOOKUP(Ruimtestaat[[#This Row],[Code]],Locaties[#All],4,FALSE)</f>
        <v>Pampuslaan 1</v>
      </c>
      <c r="D198" s="223" t="str">
        <f>VLOOKUP(Ruimtestaat[[#This Row],[Code]],Locaties[#All],5,FALSE)</f>
        <v>1087 HP</v>
      </c>
      <c r="E198" s="223" t="str">
        <f>VLOOKUP(Ruimtestaat[[#This Row],[Code]],Locaties[#All],6,FALSE)</f>
        <v>Amsterdam</v>
      </c>
      <c r="F198" s="180"/>
      <c r="G198" s="180" t="s">
        <v>755</v>
      </c>
      <c r="H198" s="180" t="s">
        <v>789</v>
      </c>
      <c r="I198" s="180" t="s">
        <v>725</v>
      </c>
      <c r="J198" s="224" t="s">
        <v>743</v>
      </c>
      <c r="K198" s="180">
        <v>21</v>
      </c>
      <c r="L198" s="236" t="str">
        <f>VLOOKUP(Ruimtestaat[[#This Row],[Ruimte code]],Ruimtegroepen[#All],2,FALSE)</f>
        <v>Niet in onderhoud</v>
      </c>
      <c r="M198" s="195" t="s">
        <v>111</v>
      </c>
      <c r="N198" s="180" t="s">
        <v>557</v>
      </c>
      <c r="O198" s="181"/>
      <c r="P198" s="193">
        <v>49.8</v>
      </c>
      <c r="Q198" s="223" t="str">
        <f>VLOOKUP(Ruimtestaat[[#This Row],[Ruimte code]],Ruimtegroepen[#All],4,FALSE)</f>
        <v>Niet in onderhoud</v>
      </c>
      <c r="R198" s="194" t="s">
        <v>911</v>
      </c>
      <c r="S198" s="195"/>
      <c r="T198" s="195"/>
      <c r="U198" s="195">
        <f>IF(S198&gt;0,IF(RIGHT(Ruimtestaat[[#This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98" s="195">
        <f>IF(U198&gt;0,VLOOKUP($K198,Ruimtegroepen[],3,FALSE)*VLOOKUP($M198,Vloersoorten[],3,FALSE)*VLOOKUP($T198,Frequenties[],3,FALSE)*VLOOKUP($A198,Locaties[],3,FALSE),0)</f>
        <v>0</v>
      </c>
      <c r="W198" s="195">
        <f>Ruimtestaat[[#This Row],[Uitvoeringen werkdagen]]*Ruimtestaat[[#This Row],[Oppervlak (netto)]]</f>
        <v>0</v>
      </c>
      <c r="X198" s="233">
        <f>IF(V198&gt;0,Ruimtestaat[[#This Row],[Prest. (m2 /jaar) werkdagen]]/Ruimtestaat[[#This Row],[Norm (m2/uur) werkdagen]],0)</f>
        <v>0</v>
      </c>
      <c r="Y198" s="234">
        <f>Ruimtestaat[[#This Row],[uren / jaar werkdagen]]*Tariefsopbouw!$D$38</f>
        <v>0</v>
      </c>
      <c r="Z198" s="33"/>
      <c r="AA198" s="33">
        <f>IF(Ruimtestaat[[#This Row],[Frequentie weekend]]&gt;0,VALUE(LEFT(Z198,1))*S198,0)</f>
        <v>0</v>
      </c>
      <c r="AB198" s="33">
        <f>IF($AA198&gt;0,VLOOKUP($K198,Ruimtegroepen[],3,FALSE)*VLOOKUP($M198,Vloersoorten[],3,FALSE)*VLOOKUP($Z198,Frequenties[],3,FALSE)*VLOOKUP(#REF!,Locaties[],3,FALSE),0)</f>
        <v>0</v>
      </c>
      <c r="AC198" s="33"/>
      <c r="AD198" s="33"/>
      <c r="AE198" s="33">
        <f>Ruimtestaat[[#This Row],[uren / jaar weekend]]*Tariefsopbouw!$D$40</f>
        <v>0</v>
      </c>
      <c r="AF198" s="79">
        <f>Ruimtestaat[[#This Row],[Prest. (m2 /jaar) weekend]]+Ruimtestaat[[#This Row],[Prest. (m2 /jaar) werkdagen]]</f>
        <v>0</v>
      </c>
      <c r="AG198" s="79">
        <f>Ruimtestaat[[#This Row],[uren / jaar weekend]]+Ruimtestaat[[#This Row],[uren / jaar werkdagen]]</f>
        <v>0</v>
      </c>
      <c r="AH198" s="80">
        <f>Ruimtestaat[[#This Row],[kosten / jaar weekend]]+Ruimtestaat[[#This Row],[kosten / jaar werkdagen]]</f>
        <v>0</v>
      </c>
    </row>
    <row r="199" spans="1:34" ht="15" customHeight="1">
      <c r="A199" s="119">
        <v>1</v>
      </c>
      <c r="B199" s="21" t="str">
        <f>VLOOKUP(Ruimtestaat[[#This Row],[Code]],Locaties[#All],2,FALSE)</f>
        <v>IJburg College</v>
      </c>
      <c r="C199" s="21" t="str">
        <f>VLOOKUP(Ruimtestaat[[#This Row],[Code]],Locaties[#All],4,FALSE)</f>
        <v>Pampuslaan 1</v>
      </c>
      <c r="D199" s="223" t="str">
        <f>VLOOKUP(Ruimtestaat[[#This Row],[Code]],Locaties[#All],5,FALSE)</f>
        <v>1087 HP</v>
      </c>
      <c r="E199" s="223" t="str">
        <f>VLOOKUP(Ruimtestaat[[#This Row],[Code]],Locaties[#All],6,FALSE)</f>
        <v>Amsterdam</v>
      </c>
      <c r="F199" s="180"/>
      <c r="G199" s="180" t="s">
        <v>755</v>
      </c>
      <c r="H199" s="180"/>
      <c r="I199" s="180" t="s">
        <v>726</v>
      </c>
      <c r="J199" s="224" t="s">
        <v>745</v>
      </c>
      <c r="K199" s="180">
        <v>21</v>
      </c>
      <c r="L199" s="236" t="str">
        <f>VLOOKUP(Ruimtestaat[[#This Row],[Ruimte code]],Ruimtegroepen[#All],2,FALSE)</f>
        <v>Niet in onderhoud</v>
      </c>
      <c r="M199" s="195" t="s">
        <v>111</v>
      </c>
      <c r="N199" s="180" t="s">
        <v>557</v>
      </c>
      <c r="O199" s="274"/>
      <c r="P199" s="181">
        <v>18.45</v>
      </c>
      <c r="Q199" s="223" t="str">
        <f>VLOOKUP(Ruimtestaat[[#This Row],[Ruimte code]],Ruimtegroepen[#All],4,FALSE)</f>
        <v>Niet in onderhoud</v>
      </c>
      <c r="R199" s="194" t="s">
        <v>911</v>
      </c>
      <c r="S199" s="195"/>
      <c r="T199" s="195"/>
      <c r="U199" s="195">
        <f>IF(S199&gt;0,IF(RIGHT(Ruimtestaat[[#This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99" s="195">
        <f>IF(U199&gt;0,VLOOKUP($K199,Ruimtegroepen[],3,FALSE)*VLOOKUP($M199,Vloersoorten[],3,FALSE)*VLOOKUP($T199,Frequenties[],3,FALSE)*VLOOKUP($A199,Locaties[],3,FALSE),0)</f>
        <v>0</v>
      </c>
      <c r="W199" s="195">
        <f>Ruimtestaat[[#This Row],[Uitvoeringen werkdagen]]*Ruimtestaat[[#This Row],[Oppervlak (netto)]]</f>
        <v>0</v>
      </c>
      <c r="X199" s="233">
        <f>IF(V199&gt;0,Ruimtestaat[[#This Row],[Prest. (m2 /jaar) werkdagen]]/Ruimtestaat[[#This Row],[Norm (m2/uur) werkdagen]],0)</f>
        <v>0</v>
      </c>
      <c r="Y199" s="234">
        <f>Ruimtestaat[[#This Row],[uren / jaar werkdagen]]*Tariefsopbouw!$D$38</f>
        <v>0</v>
      </c>
      <c r="Z199" s="33"/>
      <c r="AA199" s="33">
        <f>IF(Ruimtestaat[[#This Row],[Frequentie weekend]]&gt;0,VALUE(LEFT(Z199,1))*S199,0)</f>
        <v>0</v>
      </c>
      <c r="AB199" s="33">
        <f>IF($AA199&gt;0,VLOOKUP($K199,Ruimtegroepen[],3,FALSE)*VLOOKUP($M199,Vloersoorten[],3,FALSE)*VLOOKUP($Z199,Frequenties[],3,FALSE)*VLOOKUP(#REF!,Locaties[],3,FALSE),0)</f>
        <v>0</v>
      </c>
      <c r="AC199" s="33"/>
      <c r="AD199" s="33"/>
      <c r="AE199" s="33">
        <f>Ruimtestaat[[#This Row],[uren / jaar weekend]]*Tariefsopbouw!$D$40</f>
        <v>0</v>
      </c>
      <c r="AF199" s="79">
        <f>Ruimtestaat[[#This Row],[Prest. (m2 /jaar) weekend]]+Ruimtestaat[[#This Row],[Prest. (m2 /jaar) werkdagen]]</f>
        <v>0</v>
      </c>
      <c r="AG199" s="79">
        <f>Ruimtestaat[[#This Row],[uren / jaar weekend]]+Ruimtestaat[[#This Row],[uren / jaar werkdagen]]</f>
        <v>0</v>
      </c>
      <c r="AH199" s="80">
        <f>Ruimtestaat[[#This Row],[kosten / jaar weekend]]+Ruimtestaat[[#This Row],[kosten / jaar werkdagen]]</f>
        <v>0</v>
      </c>
    </row>
    <row r="200" spans="1:34" ht="15" customHeight="1">
      <c r="A200" s="119">
        <v>1</v>
      </c>
      <c r="B200" s="21" t="str">
        <f>VLOOKUP(Ruimtestaat[[#This Row],[Code]],Locaties[#All],2,FALSE)</f>
        <v>IJburg College</v>
      </c>
      <c r="C200" s="21" t="str">
        <f>VLOOKUP(Ruimtestaat[[#This Row],[Code]],Locaties[#All],4,FALSE)</f>
        <v>Pampuslaan 1</v>
      </c>
      <c r="D200" s="223" t="str">
        <f>VLOOKUP(Ruimtestaat[[#This Row],[Code]],Locaties[#All],5,FALSE)</f>
        <v>1087 HP</v>
      </c>
      <c r="E200" s="223" t="str">
        <f>VLOOKUP(Ruimtestaat[[#This Row],[Code]],Locaties[#All],6,FALSE)</f>
        <v>Amsterdam</v>
      </c>
      <c r="F200" s="180"/>
      <c r="G200" s="180" t="s">
        <v>755</v>
      </c>
      <c r="H200" s="180"/>
      <c r="I200" s="180" t="s">
        <v>727</v>
      </c>
      <c r="J200" s="224" t="s">
        <v>746</v>
      </c>
      <c r="K200" s="180">
        <v>21</v>
      </c>
      <c r="L200" s="236" t="str">
        <f>VLOOKUP(Ruimtestaat[[#This Row],[Ruimte code]],Ruimtegroepen[#All],2,FALSE)</f>
        <v>Niet in onderhoud</v>
      </c>
      <c r="M200" s="195" t="s">
        <v>111</v>
      </c>
      <c r="N200" s="180" t="s">
        <v>557</v>
      </c>
      <c r="O200" s="181"/>
      <c r="P200" s="193">
        <v>96</v>
      </c>
      <c r="Q200" s="223" t="str">
        <f>VLOOKUP(Ruimtestaat[[#This Row],[Ruimte code]],Ruimtegroepen[#All],4,FALSE)</f>
        <v>Niet in onderhoud</v>
      </c>
      <c r="R200" s="194" t="s">
        <v>911</v>
      </c>
      <c r="S200" s="195"/>
      <c r="T200" s="195"/>
      <c r="U200" s="195">
        <f>IF(S200&gt;0,IF(RIGHT(Ruimtestaat[[#This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00" s="195">
        <f>IF(U200&gt;0,VLOOKUP($K200,Ruimtegroepen[],3,FALSE)*VLOOKUP($M200,Vloersoorten[],3,FALSE)*VLOOKUP($T200,Frequenties[],3,FALSE)*VLOOKUP($A200,Locaties[],3,FALSE),0)</f>
        <v>0</v>
      </c>
      <c r="W200" s="195">
        <f>Ruimtestaat[[#This Row],[Uitvoeringen werkdagen]]*Ruimtestaat[[#This Row],[Oppervlak (netto)]]</f>
        <v>0</v>
      </c>
      <c r="X200" s="233">
        <f>IF(V200&gt;0,Ruimtestaat[[#This Row],[Prest. (m2 /jaar) werkdagen]]/Ruimtestaat[[#This Row],[Norm (m2/uur) werkdagen]],0)</f>
        <v>0</v>
      </c>
      <c r="Y200" s="234">
        <f>Ruimtestaat[[#This Row],[uren / jaar werkdagen]]*Tariefsopbouw!$D$38</f>
        <v>0</v>
      </c>
      <c r="Z200" s="33"/>
      <c r="AA200" s="33">
        <f>IF(Ruimtestaat[[#This Row],[Frequentie weekend]]&gt;0,VALUE(LEFT(Z200,1))*S200,0)</f>
        <v>0</v>
      </c>
      <c r="AB200" s="33">
        <f>IF($AA200&gt;0,VLOOKUP($K200,Ruimtegroepen[],3,FALSE)*VLOOKUP($M200,Vloersoorten[],3,FALSE)*VLOOKUP($Z200,Frequenties[],3,FALSE)*VLOOKUP(#REF!,Locaties[],3,FALSE),0)</f>
        <v>0</v>
      </c>
      <c r="AC200" s="33"/>
      <c r="AD200" s="33"/>
      <c r="AE200" s="33">
        <f>Ruimtestaat[[#This Row],[uren / jaar weekend]]*Tariefsopbouw!$D$40</f>
        <v>0</v>
      </c>
      <c r="AF200" s="79">
        <f>Ruimtestaat[[#This Row],[Prest. (m2 /jaar) weekend]]+Ruimtestaat[[#This Row],[Prest. (m2 /jaar) werkdagen]]</f>
        <v>0</v>
      </c>
      <c r="AG200" s="79">
        <f>Ruimtestaat[[#This Row],[uren / jaar weekend]]+Ruimtestaat[[#This Row],[uren / jaar werkdagen]]</f>
        <v>0</v>
      </c>
      <c r="AH200" s="80">
        <f>Ruimtestaat[[#This Row],[kosten / jaar weekend]]+Ruimtestaat[[#This Row],[kosten / jaar werkdagen]]</f>
        <v>0</v>
      </c>
    </row>
    <row r="201" spans="1:34" ht="15" customHeight="1">
      <c r="A201" s="119">
        <v>1</v>
      </c>
      <c r="B201" s="21" t="str">
        <f>VLOOKUP(Ruimtestaat[[#This Row],[Code]],Locaties[#All],2,FALSE)</f>
        <v>IJburg College</v>
      </c>
      <c r="C201" s="21" t="str">
        <f>VLOOKUP(Ruimtestaat[[#This Row],[Code]],Locaties[#All],4,FALSE)</f>
        <v>Pampuslaan 1</v>
      </c>
      <c r="D201" s="223" t="str">
        <f>VLOOKUP(Ruimtestaat[[#This Row],[Code]],Locaties[#All],5,FALSE)</f>
        <v>1087 HP</v>
      </c>
      <c r="E201" s="223" t="str">
        <f>VLOOKUP(Ruimtestaat[[#This Row],[Code]],Locaties[#All],6,FALSE)</f>
        <v>Amsterdam</v>
      </c>
      <c r="F201" s="180"/>
      <c r="G201" s="180" t="s">
        <v>755</v>
      </c>
      <c r="H201" s="180"/>
      <c r="I201" s="180" t="s">
        <v>728</v>
      </c>
      <c r="J201" s="224" t="s">
        <v>747</v>
      </c>
      <c r="K201" s="180">
        <v>21</v>
      </c>
      <c r="L201" s="236" t="str">
        <f>VLOOKUP(Ruimtestaat[[#This Row],[Ruimte code]],Ruimtegroepen[#All],2,FALSE)</f>
        <v>Niet in onderhoud</v>
      </c>
      <c r="M201" s="195" t="s">
        <v>111</v>
      </c>
      <c r="N201" s="180" t="s">
        <v>714</v>
      </c>
      <c r="O201" s="181"/>
      <c r="P201" s="193">
        <v>13</v>
      </c>
      <c r="Q201" s="223" t="str">
        <f>VLOOKUP(Ruimtestaat[[#This Row],[Ruimte code]],Ruimtegroepen[#All],4,FALSE)</f>
        <v>Niet in onderhoud</v>
      </c>
      <c r="R201" s="194" t="s">
        <v>911</v>
      </c>
      <c r="S201" s="195"/>
      <c r="T201" s="195"/>
      <c r="U201" s="195">
        <f>IF(S201&gt;0,IF(RIGHT(Ruimtestaat[[#This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01" s="195">
        <f>IF(U201&gt;0,VLOOKUP($K201,Ruimtegroepen[],3,FALSE)*VLOOKUP($M201,Vloersoorten[],3,FALSE)*VLOOKUP($T201,Frequenties[],3,FALSE)*VLOOKUP($A201,Locaties[],3,FALSE),0)</f>
        <v>0</v>
      </c>
      <c r="W201" s="195">
        <f>Ruimtestaat[[#This Row],[Uitvoeringen werkdagen]]*Ruimtestaat[[#This Row],[Oppervlak (netto)]]</f>
        <v>0</v>
      </c>
      <c r="X201" s="233">
        <f>IF(V201&gt;0,Ruimtestaat[[#This Row],[Prest. (m2 /jaar) werkdagen]]/Ruimtestaat[[#This Row],[Norm (m2/uur) werkdagen]],0)</f>
        <v>0</v>
      </c>
      <c r="Y201" s="234">
        <f>Ruimtestaat[[#This Row],[uren / jaar werkdagen]]*Tariefsopbouw!$D$38</f>
        <v>0</v>
      </c>
      <c r="Z201" s="33"/>
      <c r="AA201" s="33">
        <f>IF(Ruimtestaat[[#This Row],[Frequentie weekend]]&gt;0,VALUE(LEFT(Z201,1))*S201,0)</f>
        <v>0</v>
      </c>
      <c r="AB201" s="33">
        <f>IF($AA201&gt;0,VLOOKUP($K201,Ruimtegroepen[],3,FALSE)*VLOOKUP($M201,Vloersoorten[],3,FALSE)*VLOOKUP($Z201,Frequenties[],3,FALSE)*VLOOKUP(#REF!,Locaties[],3,FALSE),0)</f>
        <v>0</v>
      </c>
      <c r="AC201" s="33"/>
      <c r="AD201" s="33"/>
      <c r="AE201" s="33">
        <f>Ruimtestaat[[#This Row],[uren / jaar weekend]]*Tariefsopbouw!$D$40</f>
        <v>0</v>
      </c>
      <c r="AF201" s="79">
        <f>Ruimtestaat[[#This Row],[Prest. (m2 /jaar) weekend]]+Ruimtestaat[[#This Row],[Prest. (m2 /jaar) werkdagen]]</f>
        <v>0</v>
      </c>
      <c r="AG201" s="79">
        <f>Ruimtestaat[[#This Row],[uren / jaar weekend]]+Ruimtestaat[[#This Row],[uren / jaar werkdagen]]</f>
        <v>0</v>
      </c>
      <c r="AH201" s="80">
        <f>Ruimtestaat[[#This Row],[kosten / jaar weekend]]+Ruimtestaat[[#This Row],[kosten / jaar werkdagen]]</f>
        <v>0</v>
      </c>
    </row>
    <row r="202" spans="1:34" ht="15" customHeight="1">
      <c r="A202" s="119">
        <v>1</v>
      </c>
      <c r="B202" s="21" t="str">
        <f>VLOOKUP(Ruimtestaat[[#This Row],[Code]],Locaties[#All],2,FALSE)</f>
        <v>IJburg College</v>
      </c>
      <c r="C202" s="21" t="str">
        <f>VLOOKUP(Ruimtestaat[[#This Row],[Code]],Locaties[#All],4,FALSE)</f>
        <v>Pampuslaan 1</v>
      </c>
      <c r="D202" s="223" t="str">
        <f>VLOOKUP(Ruimtestaat[[#This Row],[Code]],Locaties[#All],5,FALSE)</f>
        <v>1087 HP</v>
      </c>
      <c r="E202" s="223" t="str">
        <f>VLOOKUP(Ruimtestaat[[#This Row],[Code]],Locaties[#All],6,FALSE)</f>
        <v>Amsterdam</v>
      </c>
      <c r="F202" s="180"/>
      <c r="G202" s="180" t="s">
        <v>755</v>
      </c>
      <c r="H202" s="180" t="s">
        <v>718</v>
      </c>
      <c r="I202" s="180" t="s">
        <v>729</v>
      </c>
      <c r="J202" s="224" t="s">
        <v>748</v>
      </c>
      <c r="K202" s="180">
        <v>21</v>
      </c>
      <c r="L202" s="236" t="str">
        <f>VLOOKUP(Ruimtestaat[[#This Row],[Ruimte code]],Ruimtegroepen[#All],2,FALSE)</f>
        <v>Niet in onderhoud</v>
      </c>
      <c r="M202" s="195" t="s">
        <v>111</v>
      </c>
      <c r="N202" s="180" t="s">
        <v>557</v>
      </c>
      <c r="O202" s="181"/>
      <c r="P202" s="193">
        <v>23.8</v>
      </c>
      <c r="Q202" s="223" t="str">
        <f>VLOOKUP(Ruimtestaat[[#This Row],[Ruimte code]],Ruimtegroepen[#All],4,FALSE)</f>
        <v>Niet in onderhoud</v>
      </c>
      <c r="R202" s="194" t="s">
        <v>911</v>
      </c>
      <c r="S202" s="195"/>
      <c r="T202" s="195"/>
      <c r="U202" s="195">
        <f>IF(S202&gt;0,IF(RIGHT(Ruimtestaat[[#This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02" s="195">
        <f>IF(U202&gt;0,VLOOKUP($K202,Ruimtegroepen[],3,FALSE)*VLOOKUP($M202,Vloersoorten[],3,FALSE)*VLOOKUP($T202,Frequenties[],3,FALSE)*VLOOKUP($A202,Locaties[],3,FALSE),0)</f>
        <v>0</v>
      </c>
      <c r="W202" s="195">
        <f>Ruimtestaat[[#This Row],[Uitvoeringen werkdagen]]*Ruimtestaat[[#This Row],[Oppervlak (netto)]]</f>
        <v>0</v>
      </c>
      <c r="X202" s="233">
        <f>IF(V202&gt;0,Ruimtestaat[[#This Row],[Prest. (m2 /jaar) werkdagen]]/Ruimtestaat[[#This Row],[Norm (m2/uur) werkdagen]],0)</f>
        <v>0</v>
      </c>
      <c r="Y202" s="234">
        <f>Ruimtestaat[[#This Row],[uren / jaar werkdagen]]*Tariefsopbouw!$D$38</f>
        <v>0</v>
      </c>
      <c r="Z202" s="33"/>
      <c r="AA202" s="33">
        <f>IF(Ruimtestaat[[#This Row],[Frequentie weekend]]&gt;0,VALUE(LEFT(Z202,1))*S202,0)</f>
        <v>0</v>
      </c>
      <c r="AB202" s="33">
        <f>IF($AA202&gt;0,VLOOKUP($K202,Ruimtegroepen[],3,FALSE)*VLOOKUP($M202,Vloersoorten[],3,FALSE)*VLOOKUP($Z202,Frequenties[],3,FALSE)*VLOOKUP(#REF!,Locaties[],3,FALSE),0)</f>
        <v>0</v>
      </c>
      <c r="AC202" s="33"/>
      <c r="AD202" s="33"/>
      <c r="AE202" s="33">
        <f>Ruimtestaat[[#This Row],[uren / jaar weekend]]*Tariefsopbouw!$D$40</f>
        <v>0</v>
      </c>
      <c r="AF202" s="79">
        <f>Ruimtestaat[[#This Row],[Prest. (m2 /jaar) weekend]]+Ruimtestaat[[#This Row],[Prest. (m2 /jaar) werkdagen]]</f>
        <v>0</v>
      </c>
      <c r="AG202" s="79">
        <f>Ruimtestaat[[#This Row],[uren / jaar weekend]]+Ruimtestaat[[#This Row],[uren / jaar werkdagen]]</f>
        <v>0</v>
      </c>
      <c r="AH202" s="80">
        <f>Ruimtestaat[[#This Row],[kosten / jaar weekend]]+Ruimtestaat[[#This Row],[kosten / jaar werkdagen]]</f>
        <v>0</v>
      </c>
    </row>
    <row r="203" spans="1:34" ht="15" customHeight="1">
      <c r="A203" s="119">
        <v>1</v>
      </c>
      <c r="B203" s="21" t="str">
        <f>VLOOKUP(Ruimtestaat[[#This Row],[Code]],Locaties[#All],2,FALSE)</f>
        <v>IJburg College</v>
      </c>
      <c r="C203" s="21" t="str">
        <f>VLOOKUP(Ruimtestaat[[#This Row],[Code]],Locaties[#All],4,FALSE)</f>
        <v>Pampuslaan 1</v>
      </c>
      <c r="D203" s="223" t="str">
        <f>VLOOKUP(Ruimtestaat[[#This Row],[Code]],Locaties[#All],5,FALSE)</f>
        <v>1087 HP</v>
      </c>
      <c r="E203" s="223" t="str">
        <f>VLOOKUP(Ruimtestaat[[#This Row],[Code]],Locaties[#All],6,FALSE)</f>
        <v>Amsterdam</v>
      </c>
      <c r="F203" s="180"/>
      <c r="G203" s="180" t="s">
        <v>755</v>
      </c>
      <c r="H203" s="180" t="s">
        <v>790</v>
      </c>
      <c r="I203" s="180" t="s">
        <v>730</v>
      </c>
      <c r="J203" s="224" t="s">
        <v>749</v>
      </c>
      <c r="K203" s="180">
        <v>21</v>
      </c>
      <c r="L203" s="236" t="str">
        <f>VLOOKUP(Ruimtestaat[[#This Row],[Ruimte code]],Ruimtegroepen[#All],2,FALSE)</f>
        <v>Niet in onderhoud</v>
      </c>
      <c r="M203" s="195" t="s">
        <v>111</v>
      </c>
      <c r="N203" s="180" t="s">
        <v>558</v>
      </c>
      <c r="O203" s="181"/>
      <c r="P203" s="193">
        <v>24.9</v>
      </c>
      <c r="Q203" s="223" t="str">
        <f>VLOOKUP(Ruimtestaat[[#This Row],[Ruimte code]],Ruimtegroepen[#All],4,FALSE)</f>
        <v>Niet in onderhoud</v>
      </c>
      <c r="R203" s="194" t="s">
        <v>911</v>
      </c>
      <c r="S203" s="195"/>
      <c r="T203" s="195"/>
      <c r="U203" s="195">
        <f>IF(S203&gt;0,IF(RIGHT(Ruimtestaat[[#This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03" s="195">
        <f>IF(U203&gt;0,VLOOKUP($K203,Ruimtegroepen[],3,FALSE)*VLOOKUP($M203,Vloersoorten[],3,FALSE)*VLOOKUP($T203,Frequenties[],3,FALSE)*VLOOKUP($A203,Locaties[],3,FALSE),0)</f>
        <v>0</v>
      </c>
      <c r="W203" s="195">
        <f>Ruimtestaat[[#This Row],[Uitvoeringen werkdagen]]*Ruimtestaat[[#This Row],[Oppervlak (netto)]]</f>
        <v>0</v>
      </c>
      <c r="X203" s="233">
        <f>IF(V203&gt;0,Ruimtestaat[[#This Row],[Prest. (m2 /jaar) werkdagen]]/Ruimtestaat[[#This Row],[Norm (m2/uur) werkdagen]],0)</f>
        <v>0</v>
      </c>
      <c r="Y203" s="234">
        <f>Ruimtestaat[[#This Row],[uren / jaar werkdagen]]*Tariefsopbouw!$D$38</f>
        <v>0</v>
      </c>
      <c r="Z203" s="33"/>
      <c r="AA203" s="33">
        <f>IF(Ruimtestaat[[#This Row],[Frequentie weekend]]&gt;0,VALUE(LEFT(Z203,1))*S203,0)</f>
        <v>0</v>
      </c>
      <c r="AB203" s="33">
        <f>IF($AA203&gt;0,VLOOKUP($K203,Ruimtegroepen[],3,FALSE)*VLOOKUP($M203,Vloersoorten[],3,FALSE)*VLOOKUP($Z203,Frequenties[],3,FALSE)*VLOOKUP(#REF!,Locaties[],3,FALSE),0)</f>
        <v>0</v>
      </c>
      <c r="AC203" s="33"/>
      <c r="AD203" s="33"/>
      <c r="AE203" s="33">
        <f>Ruimtestaat[[#This Row],[uren / jaar weekend]]*Tariefsopbouw!$D$40</f>
        <v>0</v>
      </c>
      <c r="AF203" s="79">
        <f>Ruimtestaat[[#This Row],[Prest. (m2 /jaar) weekend]]+Ruimtestaat[[#This Row],[Prest. (m2 /jaar) werkdagen]]</f>
        <v>0</v>
      </c>
      <c r="AG203" s="79">
        <f>Ruimtestaat[[#This Row],[uren / jaar weekend]]+Ruimtestaat[[#This Row],[uren / jaar werkdagen]]</f>
        <v>0</v>
      </c>
      <c r="AH203" s="80">
        <f>Ruimtestaat[[#This Row],[kosten / jaar weekend]]+Ruimtestaat[[#This Row],[kosten / jaar werkdagen]]</f>
        <v>0</v>
      </c>
    </row>
    <row r="204" spans="1:34" ht="15" customHeight="1">
      <c r="A204" s="119">
        <v>1</v>
      </c>
      <c r="B204" s="21" t="str">
        <f>VLOOKUP(Ruimtestaat[[#This Row],[Code]],Locaties[#All],2,FALSE)</f>
        <v>IJburg College</v>
      </c>
      <c r="C204" s="21" t="str">
        <f>VLOOKUP(Ruimtestaat[[#This Row],[Code]],Locaties[#All],4,FALSE)</f>
        <v>Pampuslaan 1</v>
      </c>
      <c r="D204" s="223" t="str">
        <f>VLOOKUP(Ruimtestaat[[#This Row],[Code]],Locaties[#All],5,FALSE)</f>
        <v>1087 HP</v>
      </c>
      <c r="E204" s="223" t="str">
        <f>VLOOKUP(Ruimtestaat[[#This Row],[Code]],Locaties[#All],6,FALSE)</f>
        <v>Amsterdam</v>
      </c>
      <c r="F204" s="180"/>
      <c r="G204" s="180" t="s">
        <v>755</v>
      </c>
      <c r="H204" s="180" t="s">
        <v>791</v>
      </c>
      <c r="I204" s="180" t="s">
        <v>731</v>
      </c>
      <c r="J204" s="224" t="s">
        <v>750</v>
      </c>
      <c r="K204" s="180">
        <v>21</v>
      </c>
      <c r="L204" s="236" t="str">
        <f>VLOOKUP(Ruimtestaat[[#This Row],[Ruimte code]],Ruimtegroepen[#All],2,FALSE)</f>
        <v>Niet in onderhoud</v>
      </c>
      <c r="M204" s="195" t="s">
        <v>111</v>
      </c>
      <c r="N204" s="180" t="s">
        <v>558</v>
      </c>
      <c r="O204" s="181"/>
      <c r="P204" s="193">
        <v>22.45</v>
      </c>
      <c r="Q204" s="223" t="str">
        <f>VLOOKUP(Ruimtestaat[[#This Row],[Ruimte code]],Ruimtegroepen[#All],4,FALSE)</f>
        <v>Niet in onderhoud</v>
      </c>
      <c r="R204" s="194" t="s">
        <v>911</v>
      </c>
      <c r="S204" s="195"/>
      <c r="T204" s="195"/>
      <c r="U204" s="195">
        <f>IF(S204&gt;0,IF(RIGHT(Ruimtestaat[[#This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04" s="195">
        <f>IF(U204&gt;0,VLOOKUP($K204,Ruimtegroepen[],3,FALSE)*VLOOKUP($M204,Vloersoorten[],3,FALSE)*VLOOKUP($T204,Frequenties[],3,FALSE)*VLOOKUP($A204,Locaties[],3,FALSE),0)</f>
        <v>0</v>
      </c>
      <c r="W204" s="195">
        <f>Ruimtestaat[[#This Row],[Uitvoeringen werkdagen]]*Ruimtestaat[[#This Row],[Oppervlak (netto)]]</f>
        <v>0</v>
      </c>
      <c r="X204" s="233">
        <f>IF(V204&gt;0,Ruimtestaat[[#This Row],[Prest. (m2 /jaar) werkdagen]]/Ruimtestaat[[#This Row],[Norm (m2/uur) werkdagen]],0)</f>
        <v>0</v>
      </c>
      <c r="Y204" s="234">
        <f>Ruimtestaat[[#This Row],[uren / jaar werkdagen]]*Tariefsopbouw!$D$38</f>
        <v>0</v>
      </c>
      <c r="Z204" s="33"/>
      <c r="AA204" s="33">
        <f>IF(Ruimtestaat[[#This Row],[Frequentie weekend]]&gt;0,VALUE(LEFT(Z204,1))*S204,0)</f>
        <v>0</v>
      </c>
      <c r="AB204" s="33">
        <f>IF($AA204&gt;0,VLOOKUP($K204,Ruimtegroepen[],3,FALSE)*VLOOKUP($M204,Vloersoorten[],3,FALSE)*VLOOKUP($Z204,Frequenties[],3,FALSE)*VLOOKUP(#REF!,Locaties[],3,FALSE),0)</f>
        <v>0</v>
      </c>
      <c r="AC204" s="33"/>
      <c r="AD204" s="33"/>
      <c r="AE204" s="33">
        <f>Ruimtestaat[[#This Row],[uren / jaar weekend]]*Tariefsopbouw!$D$40</f>
        <v>0</v>
      </c>
      <c r="AF204" s="79">
        <f>Ruimtestaat[[#This Row],[Prest. (m2 /jaar) weekend]]+Ruimtestaat[[#This Row],[Prest. (m2 /jaar) werkdagen]]</f>
        <v>0</v>
      </c>
      <c r="AG204" s="79">
        <f>Ruimtestaat[[#This Row],[uren / jaar weekend]]+Ruimtestaat[[#This Row],[uren / jaar werkdagen]]</f>
        <v>0</v>
      </c>
      <c r="AH204" s="80">
        <f>Ruimtestaat[[#This Row],[kosten / jaar weekend]]+Ruimtestaat[[#This Row],[kosten / jaar werkdagen]]</f>
        <v>0</v>
      </c>
    </row>
    <row r="205" spans="1:34" ht="15" customHeight="1">
      <c r="A205" s="119">
        <v>1</v>
      </c>
      <c r="B205" s="21" t="str">
        <f>VLOOKUP(Ruimtestaat[[#This Row],[Code]],Locaties[#All],2,FALSE)</f>
        <v>IJburg College</v>
      </c>
      <c r="C205" s="21" t="str">
        <f>VLOOKUP(Ruimtestaat[[#This Row],[Code]],Locaties[#All],4,FALSE)</f>
        <v>Pampuslaan 1</v>
      </c>
      <c r="D205" s="223" t="str">
        <f>VLOOKUP(Ruimtestaat[[#This Row],[Code]],Locaties[#All],5,FALSE)</f>
        <v>1087 HP</v>
      </c>
      <c r="E205" s="223" t="str">
        <f>VLOOKUP(Ruimtestaat[[#This Row],[Code]],Locaties[#All],6,FALSE)</f>
        <v>Amsterdam</v>
      </c>
      <c r="F205" s="180"/>
      <c r="G205" s="180" t="s">
        <v>755</v>
      </c>
      <c r="H205" s="180" t="s">
        <v>792</v>
      </c>
      <c r="I205" s="180" t="s">
        <v>732</v>
      </c>
      <c r="J205" s="224" t="s">
        <v>743</v>
      </c>
      <c r="K205" s="180">
        <v>21</v>
      </c>
      <c r="L205" s="236" t="str">
        <f>VLOOKUP(Ruimtestaat[[#This Row],[Ruimte code]],Ruimtegroepen[#All],2,FALSE)</f>
        <v>Niet in onderhoud</v>
      </c>
      <c r="M205" s="195" t="s">
        <v>111</v>
      </c>
      <c r="N205" s="180" t="s">
        <v>557</v>
      </c>
      <c r="O205" s="181"/>
      <c r="P205" s="193">
        <v>25.2</v>
      </c>
      <c r="Q205" s="223" t="str">
        <f>VLOOKUP(Ruimtestaat[[#This Row],[Ruimte code]],Ruimtegroepen[#All],4,FALSE)</f>
        <v>Niet in onderhoud</v>
      </c>
      <c r="R205" s="194" t="s">
        <v>911</v>
      </c>
      <c r="S205" s="195"/>
      <c r="T205" s="195"/>
      <c r="U205" s="195">
        <f>IF(S205&gt;0,IF(RIGHT(Ruimtestaat[[#This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05" s="195">
        <f>IF(U205&gt;0,VLOOKUP($K205,Ruimtegroepen[],3,FALSE)*VLOOKUP($M205,Vloersoorten[],3,FALSE)*VLOOKUP($T205,Frequenties[],3,FALSE)*VLOOKUP($A205,Locaties[],3,FALSE),0)</f>
        <v>0</v>
      </c>
      <c r="W205" s="195">
        <f>Ruimtestaat[[#This Row],[Uitvoeringen werkdagen]]*Ruimtestaat[[#This Row],[Oppervlak (netto)]]</f>
        <v>0</v>
      </c>
      <c r="X205" s="233">
        <f>IF(V205&gt;0,Ruimtestaat[[#This Row],[Prest. (m2 /jaar) werkdagen]]/Ruimtestaat[[#This Row],[Norm (m2/uur) werkdagen]],0)</f>
        <v>0</v>
      </c>
      <c r="Y205" s="234">
        <f>Ruimtestaat[[#This Row],[uren / jaar werkdagen]]*Tariefsopbouw!$D$38</f>
        <v>0</v>
      </c>
      <c r="Z205" s="33"/>
      <c r="AA205" s="33">
        <f>IF(Ruimtestaat[[#This Row],[Frequentie weekend]]&gt;0,VALUE(LEFT(Z205,1))*S205,0)</f>
        <v>0</v>
      </c>
      <c r="AB205" s="33">
        <f>IF($AA205&gt;0,VLOOKUP($K205,Ruimtegroepen[],3,FALSE)*VLOOKUP($M205,Vloersoorten[],3,FALSE)*VLOOKUP($Z205,Frequenties[],3,FALSE)*VLOOKUP(#REF!,Locaties[],3,FALSE),0)</f>
        <v>0</v>
      </c>
      <c r="AC205" s="33"/>
      <c r="AD205" s="33"/>
      <c r="AE205" s="33">
        <f>Ruimtestaat[[#This Row],[uren / jaar weekend]]*Tariefsopbouw!$D$40</f>
        <v>0</v>
      </c>
      <c r="AF205" s="79">
        <f>Ruimtestaat[[#This Row],[Prest. (m2 /jaar) weekend]]+Ruimtestaat[[#This Row],[Prest. (m2 /jaar) werkdagen]]</f>
        <v>0</v>
      </c>
      <c r="AG205" s="79">
        <f>Ruimtestaat[[#This Row],[uren / jaar weekend]]+Ruimtestaat[[#This Row],[uren / jaar werkdagen]]</f>
        <v>0</v>
      </c>
      <c r="AH205" s="80">
        <f>Ruimtestaat[[#This Row],[kosten / jaar weekend]]+Ruimtestaat[[#This Row],[kosten / jaar werkdagen]]</f>
        <v>0</v>
      </c>
    </row>
    <row r="206" spans="1:34" ht="15" customHeight="1">
      <c r="A206" s="119">
        <v>1</v>
      </c>
      <c r="B206" s="21" t="str">
        <f>VLOOKUP(Ruimtestaat[[#This Row],[Code]],Locaties[#All],2,FALSE)</f>
        <v>IJburg College</v>
      </c>
      <c r="C206" s="21" t="str">
        <f>VLOOKUP(Ruimtestaat[[#This Row],[Code]],Locaties[#All],4,FALSE)</f>
        <v>Pampuslaan 1</v>
      </c>
      <c r="D206" s="223" t="str">
        <f>VLOOKUP(Ruimtestaat[[#This Row],[Code]],Locaties[#All],5,FALSE)</f>
        <v>1087 HP</v>
      </c>
      <c r="E206" s="223" t="str">
        <f>VLOOKUP(Ruimtestaat[[#This Row],[Code]],Locaties[#All],6,FALSE)</f>
        <v>Amsterdam</v>
      </c>
      <c r="F206" s="180"/>
      <c r="G206" s="180" t="s">
        <v>755</v>
      </c>
      <c r="H206" s="180" t="s">
        <v>793</v>
      </c>
      <c r="I206" s="180" t="s">
        <v>733</v>
      </c>
      <c r="J206" s="224" t="s">
        <v>751</v>
      </c>
      <c r="K206" s="180">
        <v>21</v>
      </c>
      <c r="L206" s="236" t="str">
        <f>VLOOKUP(Ruimtestaat[[#This Row],[Ruimte code]],Ruimtegroepen[#All],2,FALSE)</f>
        <v>Niet in onderhoud</v>
      </c>
      <c r="M206" s="195" t="s">
        <v>111</v>
      </c>
      <c r="N206" s="180" t="s">
        <v>557</v>
      </c>
      <c r="O206" s="181"/>
      <c r="P206" s="193">
        <v>25.16</v>
      </c>
      <c r="Q206" s="223" t="str">
        <f>VLOOKUP(Ruimtestaat[[#This Row],[Ruimte code]],Ruimtegroepen[#All],4,FALSE)</f>
        <v>Niet in onderhoud</v>
      </c>
      <c r="R206" s="194" t="s">
        <v>911</v>
      </c>
      <c r="S206" s="195"/>
      <c r="T206" s="195"/>
      <c r="U206" s="195">
        <f>IF(S206&gt;0,IF(RIGHT(Ruimtestaat[[#This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06" s="195">
        <f>IF(U206&gt;0,VLOOKUP($K206,Ruimtegroepen[],3,FALSE)*VLOOKUP($M206,Vloersoorten[],3,FALSE)*VLOOKUP($T206,Frequenties[],3,FALSE)*VLOOKUP($A206,Locaties[],3,FALSE),0)</f>
        <v>0</v>
      </c>
      <c r="W206" s="195">
        <f>Ruimtestaat[[#This Row],[Uitvoeringen werkdagen]]*Ruimtestaat[[#This Row],[Oppervlak (netto)]]</f>
        <v>0</v>
      </c>
      <c r="X206" s="233">
        <f>IF(V206&gt;0,Ruimtestaat[[#This Row],[Prest. (m2 /jaar) werkdagen]]/Ruimtestaat[[#This Row],[Norm (m2/uur) werkdagen]],0)</f>
        <v>0</v>
      </c>
      <c r="Y206" s="234">
        <f>Ruimtestaat[[#This Row],[uren / jaar werkdagen]]*Tariefsopbouw!$D$38</f>
        <v>0</v>
      </c>
      <c r="Z206" s="33"/>
      <c r="AA206" s="33">
        <f>IF(Ruimtestaat[[#This Row],[Frequentie weekend]]&gt;0,VALUE(LEFT(Z206,1))*S206,0)</f>
        <v>0</v>
      </c>
      <c r="AB206" s="33">
        <f>IF($AA206&gt;0,VLOOKUP($K206,Ruimtegroepen[],3,FALSE)*VLOOKUP($M206,Vloersoorten[],3,FALSE)*VLOOKUP($Z206,Frequenties[],3,FALSE)*VLOOKUP(#REF!,Locaties[],3,FALSE),0)</f>
        <v>0</v>
      </c>
      <c r="AC206" s="33"/>
      <c r="AD206" s="33"/>
      <c r="AE206" s="33">
        <f>Ruimtestaat[[#This Row],[uren / jaar weekend]]*Tariefsopbouw!$D$40</f>
        <v>0</v>
      </c>
      <c r="AF206" s="79">
        <f>Ruimtestaat[[#This Row],[Prest. (m2 /jaar) weekend]]+Ruimtestaat[[#This Row],[Prest. (m2 /jaar) werkdagen]]</f>
        <v>0</v>
      </c>
      <c r="AG206" s="79">
        <f>Ruimtestaat[[#This Row],[uren / jaar weekend]]+Ruimtestaat[[#This Row],[uren / jaar werkdagen]]</f>
        <v>0</v>
      </c>
      <c r="AH206" s="80">
        <f>Ruimtestaat[[#This Row],[kosten / jaar weekend]]+Ruimtestaat[[#This Row],[kosten / jaar werkdagen]]</f>
        <v>0</v>
      </c>
    </row>
    <row r="207" spans="1:34" ht="15" customHeight="1">
      <c r="A207" s="119">
        <v>1</v>
      </c>
      <c r="B207" s="21" t="str">
        <f>VLOOKUP(Ruimtestaat[[#This Row],[Code]],Locaties[#All],2,FALSE)</f>
        <v>IJburg College</v>
      </c>
      <c r="C207" s="21" t="str">
        <f>VLOOKUP(Ruimtestaat[[#This Row],[Code]],Locaties[#All],4,FALSE)</f>
        <v>Pampuslaan 1</v>
      </c>
      <c r="D207" s="223" t="str">
        <f>VLOOKUP(Ruimtestaat[[#This Row],[Code]],Locaties[#All],5,FALSE)</f>
        <v>1087 HP</v>
      </c>
      <c r="E207" s="223" t="str">
        <f>VLOOKUP(Ruimtestaat[[#This Row],[Code]],Locaties[#All],6,FALSE)</f>
        <v>Amsterdam</v>
      </c>
      <c r="F207" s="180"/>
      <c r="G207" s="180" t="s">
        <v>755</v>
      </c>
      <c r="H207" s="180" t="s">
        <v>794</v>
      </c>
      <c r="I207" s="180" t="s">
        <v>734</v>
      </c>
      <c r="J207" s="224" t="s">
        <v>743</v>
      </c>
      <c r="K207" s="180">
        <v>21</v>
      </c>
      <c r="L207" s="236" t="str">
        <f>VLOOKUP(Ruimtestaat[[#This Row],[Ruimte code]],Ruimtegroepen[#All],2,FALSE)</f>
        <v>Niet in onderhoud</v>
      </c>
      <c r="M207" s="195" t="s">
        <v>111</v>
      </c>
      <c r="N207" s="180" t="s">
        <v>557</v>
      </c>
      <c r="O207" s="181"/>
      <c r="P207" s="193">
        <v>28.54</v>
      </c>
      <c r="Q207" s="223" t="str">
        <f>VLOOKUP(Ruimtestaat[[#This Row],[Ruimte code]],Ruimtegroepen[#All],4,FALSE)</f>
        <v>Niet in onderhoud</v>
      </c>
      <c r="R207" s="194" t="s">
        <v>911</v>
      </c>
      <c r="S207" s="195"/>
      <c r="T207" s="195"/>
      <c r="U207" s="195">
        <f>IF(S207&gt;0,IF(RIGHT(Ruimtestaat[[#This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07" s="195">
        <f>IF(U207&gt;0,VLOOKUP($K207,Ruimtegroepen[],3,FALSE)*VLOOKUP($M207,Vloersoorten[],3,FALSE)*VLOOKUP($T207,Frequenties[],3,FALSE)*VLOOKUP($A207,Locaties[],3,FALSE),0)</f>
        <v>0</v>
      </c>
      <c r="W207" s="195">
        <f>Ruimtestaat[[#This Row],[Uitvoeringen werkdagen]]*Ruimtestaat[[#This Row],[Oppervlak (netto)]]</f>
        <v>0</v>
      </c>
      <c r="X207" s="233">
        <f>IF(V207&gt;0,Ruimtestaat[[#This Row],[Prest. (m2 /jaar) werkdagen]]/Ruimtestaat[[#This Row],[Norm (m2/uur) werkdagen]],0)</f>
        <v>0</v>
      </c>
      <c r="Y207" s="234">
        <f>Ruimtestaat[[#This Row],[uren / jaar werkdagen]]*Tariefsopbouw!$D$38</f>
        <v>0</v>
      </c>
      <c r="Z207" s="33"/>
      <c r="AA207" s="33">
        <f>IF(Ruimtestaat[[#This Row],[Frequentie weekend]]&gt;0,VALUE(LEFT(Z207,1))*S207,0)</f>
        <v>0</v>
      </c>
      <c r="AB207" s="33">
        <f>IF($AA207&gt;0,VLOOKUP($K207,Ruimtegroepen[],3,FALSE)*VLOOKUP($M207,Vloersoorten[],3,FALSE)*VLOOKUP($Z207,Frequenties[],3,FALSE)*VLOOKUP(#REF!,Locaties[],3,FALSE),0)</f>
        <v>0</v>
      </c>
      <c r="AC207" s="33"/>
      <c r="AD207" s="33"/>
      <c r="AE207" s="33">
        <f>Ruimtestaat[[#This Row],[uren / jaar weekend]]*Tariefsopbouw!$D$40</f>
        <v>0</v>
      </c>
      <c r="AF207" s="79">
        <f>Ruimtestaat[[#This Row],[Prest. (m2 /jaar) weekend]]+Ruimtestaat[[#This Row],[Prest. (m2 /jaar) werkdagen]]</f>
        <v>0</v>
      </c>
      <c r="AG207" s="79">
        <f>Ruimtestaat[[#This Row],[uren / jaar weekend]]+Ruimtestaat[[#This Row],[uren / jaar werkdagen]]</f>
        <v>0</v>
      </c>
      <c r="AH207" s="80">
        <f>Ruimtestaat[[#This Row],[kosten / jaar weekend]]+Ruimtestaat[[#This Row],[kosten / jaar werkdagen]]</f>
        <v>0</v>
      </c>
    </row>
    <row r="208" spans="1:34" ht="15" customHeight="1">
      <c r="A208" s="119">
        <v>1</v>
      </c>
      <c r="B208" s="21" t="str">
        <f>VLOOKUP(Ruimtestaat[[#This Row],[Code]],Locaties[#All],2,FALSE)</f>
        <v>IJburg College</v>
      </c>
      <c r="C208" s="21" t="str">
        <f>VLOOKUP(Ruimtestaat[[#This Row],[Code]],Locaties[#All],4,FALSE)</f>
        <v>Pampuslaan 1</v>
      </c>
      <c r="D208" s="223" t="str">
        <f>VLOOKUP(Ruimtestaat[[#This Row],[Code]],Locaties[#All],5,FALSE)</f>
        <v>1087 HP</v>
      </c>
      <c r="E208" s="223" t="str">
        <f>VLOOKUP(Ruimtestaat[[#This Row],[Code]],Locaties[#All],6,FALSE)</f>
        <v>Amsterdam</v>
      </c>
      <c r="F208" s="180"/>
      <c r="G208" s="180" t="s">
        <v>755</v>
      </c>
      <c r="H208" s="180"/>
      <c r="I208" s="180" t="s">
        <v>735</v>
      </c>
      <c r="J208" s="224" t="s">
        <v>752</v>
      </c>
      <c r="K208" s="180">
        <v>21</v>
      </c>
      <c r="L208" s="236" t="str">
        <f>VLOOKUP(Ruimtestaat[[#This Row],[Ruimte code]],Ruimtegroepen[#All],2,FALSE)</f>
        <v>Niet in onderhoud</v>
      </c>
      <c r="M208" s="195" t="s">
        <v>111</v>
      </c>
      <c r="N208" s="180" t="s">
        <v>557</v>
      </c>
      <c r="O208" s="181"/>
      <c r="P208" s="193">
        <v>18</v>
      </c>
      <c r="Q208" s="223" t="str">
        <f>VLOOKUP(Ruimtestaat[[#This Row],[Ruimte code]],Ruimtegroepen[#All],4,FALSE)</f>
        <v>Niet in onderhoud</v>
      </c>
      <c r="R208" s="194" t="s">
        <v>911</v>
      </c>
      <c r="S208" s="195"/>
      <c r="T208" s="195"/>
      <c r="U208" s="195">
        <f>IF(S208&gt;0,IF(RIGHT(Ruimtestaat[[#This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08" s="195">
        <f>IF(U208&gt;0,VLOOKUP($K208,Ruimtegroepen[],3,FALSE)*VLOOKUP($M208,Vloersoorten[],3,FALSE)*VLOOKUP($T208,Frequenties[],3,FALSE)*VLOOKUP($A208,Locaties[],3,FALSE),0)</f>
        <v>0</v>
      </c>
      <c r="W208" s="195">
        <f>Ruimtestaat[[#This Row],[Uitvoeringen werkdagen]]*Ruimtestaat[[#This Row],[Oppervlak (netto)]]</f>
        <v>0</v>
      </c>
      <c r="X208" s="233">
        <f>IF(V208&gt;0,Ruimtestaat[[#This Row],[Prest. (m2 /jaar) werkdagen]]/Ruimtestaat[[#This Row],[Norm (m2/uur) werkdagen]],0)</f>
        <v>0</v>
      </c>
      <c r="Y208" s="234">
        <f>Ruimtestaat[[#This Row],[uren / jaar werkdagen]]*Tariefsopbouw!$D$38</f>
        <v>0</v>
      </c>
      <c r="Z208" s="33"/>
      <c r="AA208" s="33">
        <f>IF(Ruimtestaat[[#This Row],[Frequentie weekend]]&gt;0,VALUE(LEFT(Z208,1))*S208,0)</f>
        <v>0</v>
      </c>
      <c r="AB208" s="33">
        <f>IF($AA208&gt;0,VLOOKUP($K208,Ruimtegroepen[],3,FALSE)*VLOOKUP($M208,Vloersoorten[],3,FALSE)*VLOOKUP($Z208,Frequenties[],3,FALSE)*VLOOKUP(#REF!,Locaties[],3,FALSE),0)</f>
        <v>0</v>
      </c>
      <c r="AC208" s="33"/>
      <c r="AD208" s="33"/>
      <c r="AE208" s="33">
        <f>Ruimtestaat[[#This Row],[uren / jaar weekend]]*Tariefsopbouw!$D$40</f>
        <v>0</v>
      </c>
      <c r="AF208" s="79">
        <f>Ruimtestaat[[#This Row],[Prest. (m2 /jaar) weekend]]+Ruimtestaat[[#This Row],[Prest. (m2 /jaar) werkdagen]]</f>
        <v>0</v>
      </c>
      <c r="AG208" s="79">
        <f>Ruimtestaat[[#This Row],[uren / jaar weekend]]+Ruimtestaat[[#This Row],[uren / jaar werkdagen]]</f>
        <v>0</v>
      </c>
      <c r="AH208" s="80">
        <f>Ruimtestaat[[#This Row],[kosten / jaar weekend]]+Ruimtestaat[[#This Row],[kosten / jaar werkdagen]]</f>
        <v>0</v>
      </c>
    </row>
    <row r="209" spans="1:34" ht="15" customHeight="1">
      <c r="A209" s="119">
        <v>1</v>
      </c>
      <c r="B209" s="21" t="str">
        <f>VLOOKUP(Ruimtestaat[[#This Row],[Code]],Locaties[#All],2,FALSE)</f>
        <v>IJburg College</v>
      </c>
      <c r="C209" s="21" t="str">
        <f>VLOOKUP(Ruimtestaat[[#This Row],[Code]],Locaties[#All],4,FALSE)</f>
        <v>Pampuslaan 1</v>
      </c>
      <c r="D209" s="223" t="str">
        <f>VLOOKUP(Ruimtestaat[[#This Row],[Code]],Locaties[#All],5,FALSE)</f>
        <v>1087 HP</v>
      </c>
      <c r="E209" s="223" t="str">
        <f>VLOOKUP(Ruimtestaat[[#This Row],[Code]],Locaties[#All],6,FALSE)</f>
        <v>Amsterdam</v>
      </c>
      <c r="F209" s="180"/>
      <c r="G209" s="180" t="s">
        <v>755</v>
      </c>
      <c r="H209" s="180">
        <v>3103</v>
      </c>
      <c r="I209" s="180" t="s">
        <v>736</v>
      </c>
      <c r="J209" s="224" t="s">
        <v>628</v>
      </c>
      <c r="K209" s="180">
        <v>10</v>
      </c>
      <c r="L209" s="236" t="str">
        <f>VLOOKUP(Ruimtestaat[[#This Row],[Ruimte code]],Ruimtegroepen[#All],2,FALSE)</f>
        <v>Trappenhuizen/lift</v>
      </c>
      <c r="M209" s="195" t="s">
        <v>111</v>
      </c>
      <c r="N209" s="180" t="s">
        <v>714</v>
      </c>
      <c r="O209" s="181">
        <v>18.75</v>
      </c>
      <c r="P209" s="193"/>
      <c r="Q209" s="223" t="str">
        <f>VLOOKUP(Ruimtestaat[[#This Row],[Ruimte code]],Ruimtegroepen[#All],4,FALSE)</f>
        <v>V  (Verkeersruimte)</v>
      </c>
      <c r="R209" s="194"/>
      <c r="S209" s="195">
        <v>40</v>
      </c>
      <c r="T209" s="195" t="s">
        <v>2</v>
      </c>
      <c r="U209" s="195">
        <f>IF(S209&gt;0,IF(RIGHT(Ruimtestaat[[#This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09" s="195">
        <f>IF(U209&gt;0,VLOOKUP($K209,Ruimtegroepen[],3,FALSE)*VLOOKUP($M209,Vloersoorten[],3,FALSE)*VLOOKUP($T209,Frequenties[],3,FALSE)*VLOOKUP($A209,Locaties[],3,FALSE),0)</f>
        <v>0</v>
      </c>
      <c r="W209" s="195">
        <f>Ruimtestaat[[#This Row],[Uitvoeringen werkdagen]]*Ruimtestaat[[#This Row],[Oppervlak (netto)]]</f>
        <v>3750</v>
      </c>
      <c r="X209" s="233">
        <f>IF(V209&gt;0,Ruimtestaat[[#This Row],[Prest. (m2 /jaar) werkdagen]]/Ruimtestaat[[#This Row],[Norm (m2/uur) werkdagen]],0)</f>
        <v>0</v>
      </c>
      <c r="Y209" s="234">
        <f>Ruimtestaat[[#This Row],[uren / jaar werkdagen]]*Tariefsopbouw!$D$38</f>
        <v>0</v>
      </c>
      <c r="Z209" s="33"/>
      <c r="AA209" s="33">
        <f>IF(Ruimtestaat[[#This Row],[Frequentie weekend]]&gt;0,VALUE(LEFT(Z209,1))*S209,0)</f>
        <v>0</v>
      </c>
      <c r="AB209" s="33">
        <f>IF($AA209&gt;0,VLOOKUP($K209,Ruimtegroepen[],3,FALSE)*VLOOKUP($M209,Vloersoorten[],3,FALSE)*VLOOKUP($Z209,Frequenties[],3,FALSE)*VLOOKUP(#REF!,Locaties[],3,FALSE),0)</f>
        <v>0</v>
      </c>
      <c r="AC209" s="33"/>
      <c r="AD209" s="33"/>
      <c r="AE209" s="33">
        <f>Ruimtestaat[[#This Row],[uren / jaar weekend]]*Tariefsopbouw!$D$40</f>
        <v>0</v>
      </c>
      <c r="AF209" s="79">
        <f>Ruimtestaat[[#This Row],[Prest. (m2 /jaar) weekend]]+Ruimtestaat[[#This Row],[Prest. (m2 /jaar) werkdagen]]</f>
        <v>3750</v>
      </c>
      <c r="AG209" s="79">
        <f>Ruimtestaat[[#This Row],[uren / jaar weekend]]+Ruimtestaat[[#This Row],[uren / jaar werkdagen]]</f>
        <v>0</v>
      </c>
      <c r="AH209" s="80">
        <f>Ruimtestaat[[#This Row],[kosten / jaar weekend]]+Ruimtestaat[[#This Row],[kosten / jaar werkdagen]]</f>
        <v>0</v>
      </c>
    </row>
    <row r="210" spans="1:34" ht="15" customHeight="1">
      <c r="A210" s="119">
        <v>1</v>
      </c>
      <c r="B210" s="21" t="str">
        <f>VLOOKUP(Ruimtestaat[[#This Row],[Code]],Locaties[#All],2,FALSE)</f>
        <v>IJburg College</v>
      </c>
      <c r="C210" s="21" t="str">
        <f>VLOOKUP(Ruimtestaat[[#This Row],[Code]],Locaties[#All],4,FALSE)</f>
        <v>Pampuslaan 1</v>
      </c>
      <c r="D210" s="223" t="str">
        <f>VLOOKUP(Ruimtestaat[[#This Row],[Code]],Locaties[#All],5,FALSE)</f>
        <v>1087 HP</v>
      </c>
      <c r="E210" s="223" t="str">
        <f>VLOOKUP(Ruimtestaat[[#This Row],[Code]],Locaties[#All],6,FALSE)</f>
        <v>Amsterdam</v>
      </c>
      <c r="F210" s="180"/>
      <c r="G210" s="180" t="s">
        <v>755</v>
      </c>
      <c r="H210" s="180" t="s">
        <v>795</v>
      </c>
      <c r="I210" s="180" t="s">
        <v>737</v>
      </c>
      <c r="J210" s="224" t="s">
        <v>753</v>
      </c>
      <c r="K210" s="180">
        <v>21</v>
      </c>
      <c r="L210" s="236" t="str">
        <f>VLOOKUP(Ruimtestaat[[#This Row],[Ruimte code]],Ruimtegroepen[#All],2,FALSE)</f>
        <v>Niet in onderhoud</v>
      </c>
      <c r="M210" s="195" t="s">
        <v>111</v>
      </c>
      <c r="N210" s="180" t="s">
        <v>557</v>
      </c>
      <c r="O210" s="181"/>
      <c r="P210" s="193">
        <v>95</v>
      </c>
      <c r="Q210" s="223" t="str">
        <f>VLOOKUP(Ruimtestaat[[#This Row],[Ruimte code]],Ruimtegroepen[#All],4,FALSE)</f>
        <v>Niet in onderhoud</v>
      </c>
      <c r="R210" s="194" t="s">
        <v>911</v>
      </c>
      <c r="S210" s="195"/>
      <c r="T210" s="195"/>
      <c r="U210" s="195">
        <f>IF(S210&gt;0,IF(RIGHT(Ruimtestaat[[#This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10" s="195">
        <f>IF(U210&gt;0,VLOOKUP($K210,Ruimtegroepen[],3,FALSE)*VLOOKUP($M210,Vloersoorten[],3,FALSE)*VLOOKUP($T210,Frequenties[],3,FALSE)*VLOOKUP($A210,Locaties[],3,FALSE),0)</f>
        <v>0</v>
      </c>
      <c r="W210" s="195">
        <f>Ruimtestaat[[#This Row],[Uitvoeringen werkdagen]]*Ruimtestaat[[#This Row],[Oppervlak (netto)]]</f>
        <v>0</v>
      </c>
      <c r="X210" s="233">
        <f>IF(V210&gt;0,Ruimtestaat[[#This Row],[Prest. (m2 /jaar) werkdagen]]/Ruimtestaat[[#This Row],[Norm (m2/uur) werkdagen]],0)</f>
        <v>0</v>
      </c>
      <c r="Y210" s="234">
        <f>Ruimtestaat[[#This Row],[uren / jaar werkdagen]]*Tariefsopbouw!$D$38</f>
        <v>0</v>
      </c>
      <c r="Z210" s="33"/>
      <c r="AA210" s="33">
        <f>IF(Ruimtestaat[[#This Row],[Frequentie weekend]]&gt;0,VALUE(LEFT(Z210,1))*S210,0)</f>
        <v>0</v>
      </c>
      <c r="AB210" s="33">
        <f>IF($AA210&gt;0,VLOOKUP($K210,Ruimtegroepen[],3,FALSE)*VLOOKUP($M210,Vloersoorten[],3,FALSE)*VLOOKUP($Z210,Frequenties[],3,FALSE)*VLOOKUP(#REF!,Locaties[],3,FALSE),0)</f>
        <v>0</v>
      </c>
      <c r="AC210" s="33"/>
      <c r="AD210" s="33"/>
      <c r="AE210" s="33">
        <f>Ruimtestaat[[#This Row],[uren / jaar weekend]]*Tariefsopbouw!$D$40</f>
        <v>0</v>
      </c>
      <c r="AF210" s="79">
        <f>Ruimtestaat[[#This Row],[Prest. (m2 /jaar) weekend]]+Ruimtestaat[[#This Row],[Prest. (m2 /jaar) werkdagen]]</f>
        <v>0</v>
      </c>
      <c r="AG210" s="79">
        <f>Ruimtestaat[[#This Row],[uren / jaar weekend]]+Ruimtestaat[[#This Row],[uren / jaar werkdagen]]</f>
        <v>0</v>
      </c>
      <c r="AH210" s="80">
        <f>Ruimtestaat[[#This Row],[kosten / jaar weekend]]+Ruimtestaat[[#This Row],[kosten / jaar werkdagen]]</f>
        <v>0</v>
      </c>
    </row>
    <row r="211" spans="1:34" ht="15" customHeight="1">
      <c r="A211" s="119">
        <v>1</v>
      </c>
      <c r="B211" s="21" t="str">
        <f>VLOOKUP(Ruimtestaat[[#This Row],[Code]],Locaties[#All],2,FALSE)</f>
        <v>IJburg College</v>
      </c>
      <c r="C211" s="21" t="str">
        <f>VLOOKUP(Ruimtestaat[[#This Row],[Code]],Locaties[#All],4,FALSE)</f>
        <v>Pampuslaan 1</v>
      </c>
      <c r="D211" s="223" t="str">
        <f>VLOOKUP(Ruimtestaat[[#This Row],[Code]],Locaties[#All],5,FALSE)</f>
        <v>1087 HP</v>
      </c>
      <c r="E211" s="223" t="str">
        <f>VLOOKUP(Ruimtestaat[[#This Row],[Code]],Locaties[#All],6,FALSE)</f>
        <v>Amsterdam</v>
      </c>
      <c r="F211" s="180"/>
      <c r="G211" s="180" t="s">
        <v>877</v>
      </c>
      <c r="H211" s="180"/>
      <c r="I211" s="180" t="s">
        <v>763</v>
      </c>
      <c r="J211" s="224" t="s">
        <v>548</v>
      </c>
      <c r="K211" s="180">
        <v>21</v>
      </c>
      <c r="L211" s="236" t="str">
        <f>VLOOKUP(Ruimtestaat[[#This Row],[Ruimte code]],Ruimtegroepen[#All],2,FALSE)</f>
        <v>Niet in onderhoud</v>
      </c>
      <c r="M211" s="195" t="s">
        <v>111</v>
      </c>
      <c r="N211" s="180" t="s">
        <v>557</v>
      </c>
      <c r="O211" s="181"/>
      <c r="P211" s="193">
        <v>24</v>
      </c>
      <c r="Q211" s="223" t="str">
        <f>VLOOKUP(Ruimtestaat[[#This Row],[Ruimte code]],Ruimtegroepen[#All],4,FALSE)</f>
        <v>Niet in onderhoud</v>
      </c>
      <c r="R211" s="194" t="s">
        <v>912</v>
      </c>
      <c r="S211" s="195"/>
      <c r="T211" s="195"/>
      <c r="U211" s="195">
        <f>IF(S211&gt;0,IF(RIGHT(Ruimtestaat[[#This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11" s="195">
        <f>IF(U211&gt;0,VLOOKUP($K211,Ruimtegroepen[],3,FALSE)*VLOOKUP($M211,Vloersoorten[],3,FALSE)*VLOOKUP($T211,Frequenties[],3,FALSE)*VLOOKUP($A211,Locaties[],3,FALSE),0)</f>
        <v>0</v>
      </c>
      <c r="W211" s="195">
        <f>Ruimtestaat[[#This Row],[Uitvoeringen werkdagen]]*Ruimtestaat[[#This Row],[Oppervlak (netto)]]</f>
        <v>0</v>
      </c>
      <c r="X211" s="233">
        <f>IF(V211&gt;0,Ruimtestaat[[#This Row],[Prest. (m2 /jaar) werkdagen]]/Ruimtestaat[[#This Row],[Norm (m2/uur) werkdagen]],0)</f>
        <v>0</v>
      </c>
      <c r="Y211" s="234">
        <f>Ruimtestaat[[#This Row],[uren / jaar werkdagen]]*Tariefsopbouw!$D$38</f>
        <v>0</v>
      </c>
      <c r="Z211" s="33"/>
      <c r="AA211" s="33">
        <f>IF(Ruimtestaat[[#This Row],[Frequentie weekend]]&gt;0,VALUE(LEFT(Z211,1))*S211,0)</f>
        <v>0</v>
      </c>
      <c r="AB211" s="33">
        <f>IF($AA211&gt;0,VLOOKUP($K211,Ruimtegroepen[],3,FALSE)*VLOOKUP($M211,Vloersoorten[],3,FALSE)*VLOOKUP($Z211,Frequenties[],3,FALSE)*VLOOKUP(#REF!,Locaties[],3,FALSE),0)</f>
        <v>0</v>
      </c>
      <c r="AC211" s="33"/>
      <c r="AD211" s="33"/>
      <c r="AE211" s="33">
        <f>Ruimtestaat[[#This Row],[uren / jaar weekend]]*Tariefsopbouw!$D$40</f>
        <v>0</v>
      </c>
      <c r="AF211" s="79">
        <f>Ruimtestaat[[#This Row],[Prest. (m2 /jaar) weekend]]+Ruimtestaat[[#This Row],[Prest. (m2 /jaar) werkdagen]]</f>
        <v>0</v>
      </c>
      <c r="AG211" s="79">
        <f>Ruimtestaat[[#This Row],[uren / jaar weekend]]+Ruimtestaat[[#This Row],[uren / jaar werkdagen]]</f>
        <v>0</v>
      </c>
      <c r="AH211" s="80">
        <f>Ruimtestaat[[#This Row],[kosten / jaar weekend]]+Ruimtestaat[[#This Row],[kosten / jaar werkdagen]]</f>
        <v>0</v>
      </c>
    </row>
    <row r="212" spans="1:34" ht="15" customHeight="1">
      <c r="A212" s="119">
        <v>1</v>
      </c>
      <c r="B212" s="21" t="str">
        <f>VLOOKUP(Ruimtestaat[[#This Row],[Code]],Locaties[#All],2,FALSE)</f>
        <v>IJburg College</v>
      </c>
      <c r="C212" s="21" t="str">
        <f>VLOOKUP(Ruimtestaat[[#This Row],[Code]],Locaties[#All],4,FALSE)</f>
        <v>Pampuslaan 1</v>
      </c>
      <c r="D212" s="223" t="str">
        <f>VLOOKUP(Ruimtestaat[[#This Row],[Code]],Locaties[#All],5,FALSE)</f>
        <v>1087 HP</v>
      </c>
      <c r="E212" s="223" t="str">
        <f>VLOOKUP(Ruimtestaat[[#This Row],[Code]],Locaties[#All],6,FALSE)</f>
        <v>Amsterdam</v>
      </c>
      <c r="F212" s="180"/>
      <c r="G212" s="180" t="s">
        <v>877</v>
      </c>
      <c r="H212" s="180" t="s">
        <v>756</v>
      </c>
      <c r="I212" s="180" t="s">
        <v>764</v>
      </c>
      <c r="J212" s="224" t="s">
        <v>697</v>
      </c>
      <c r="K212" s="180">
        <v>21</v>
      </c>
      <c r="L212" s="236" t="str">
        <f>VLOOKUP(Ruimtestaat[[#This Row],[Ruimte code]],Ruimtegroepen[#All],2,FALSE)</f>
        <v>Niet in onderhoud</v>
      </c>
      <c r="M212" s="195" t="s">
        <v>111</v>
      </c>
      <c r="N212" s="180" t="s">
        <v>557</v>
      </c>
      <c r="O212" s="181"/>
      <c r="P212" s="193">
        <v>48.1</v>
      </c>
      <c r="Q212" s="223" t="str">
        <f>VLOOKUP(Ruimtestaat[[#This Row],[Ruimte code]],Ruimtegroepen[#All],4,FALSE)</f>
        <v>Niet in onderhoud</v>
      </c>
      <c r="R212" s="194"/>
      <c r="S212" s="195"/>
      <c r="T212" s="195"/>
      <c r="U212" s="195">
        <f>IF(S212&gt;0,IF(RIGHT(Ruimtestaat[[#This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12" s="195">
        <f>IF(U212&gt;0,VLOOKUP($K212,Ruimtegroepen[],3,FALSE)*VLOOKUP($M212,Vloersoorten[],3,FALSE)*VLOOKUP($T212,Frequenties[],3,FALSE)*VLOOKUP($A212,Locaties[],3,FALSE),0)</f>
        <v>0</v>
      </c>
      <c r="W212" s="195">
        <f>Ruimtestaat[[#This Row],[Uitvoeringen werkdagen]]*Ruimtestaat[[#This Row],[Oppervlak (netto)]]</f>
        <v>0</v>
      </c>
      <c r="X212" s="233">
        <f>IF(V212&gt;0,Ruimtestaat[[#This Row],[Prest. (m2 /jaar) werkdagen]]/Ruimtestaat[[#This Row],[Norm (m2/uur) werkdagen]],0)</f>
        <v>0</v>
      </c>
      <c r="Y212" s="234">
        <f>Ruimtestaat[[#This Row],[uren / jaar werkdagen]]*Tariefsopbouw!$D$38</f>
        <v>0</v>
      </c>
      <c r="Z212" s="33"/>
      <c r="AA212" s="33">
        <f>IF(Ruimtestaat[[#This Row],[Frequentie weekend]]&gt;0,VALUE(LEFT(Z212,1))*S212,0)</f>
        <v>0</v>
      </c>
      <c r="AB212" s="33">
        <f>IF($AA212&gt;0,VLOOKUP($K212,Ruimtegroepen[],3,FALSE)*VLOOKUP($M212,Vloersoorten[],3,FALSE)*VLOOKUP($Z212,Frequenties[],3,FALSE)*VLOOKUP(#REF!,Locaties[],3,FALSE),0)</f>
        <v>0</v>
      </c>
      <c r="AC212" s="33"/>
      <c r="AD212" s="33"/>
      <c r="AE212" s="33">
        <f>Ruimtestaat[[#This Row],[uren / jaar weekend]]*Tariefsopbouw!$D$40</f>
        <v>0</v>
      </c>
      <c r="AF212" s="79">
        <f>Ruimtestaat[[#This Row],[Prest. (m2 /jaar) weekend]]+Ruimtestaat[[#This Row],[Prest. (m2 /jaar) werkdagen]]</f>
        <v>0</v>
      </c>
      <c r="AG212" s="79">
        <f>Ruimtestaat[[#This Row],[uren / jaar weekend]]+Ruimtestaat[[#This Row],[uren / jaar werkdagen]]</f>
        <v>0</v>
      </c>
      <c r="AH212" s="80">
        <f>Ruimtestaat[[#This Row],[kosten / jaar weekend]]+Ruimtestaat[[#This Row],[kosten / jaar werkdagen]]</f>
        <v>0</v>
      </c>
    </row>
    <row r="213" spans="1:34" ht="15" customHeight="1">
      <c r="A213" s="119">
        <v>1</v>
      </c>
      <c r="B213" s="180" t="str">
        <f>VLOOKUP(Ruimtestaat[[#This Row],[Code]],Locaties[#All],2,FALSE)</f>
        <v>IJburg College</v>
      </c>
      <c r="C213" s="223" t="str">
        <f>VLOOKUP(Ruimtestaat[[#This Row],[Code]],Locaties[#All],4,FALSE)</f>
        <v>Pampuslaan 1</v>
      </c>
      <c r="D213" s="223" t="str">
        <f>VLOOKUP(Ruimtestaat[[#This Row],[Code]],Locaties[#All],5,FALSE)</f>
        <v>1087 HP</v>
      </c>
      <c r="E213" s="223" t="str">
        <f>VLOOKUP(Ruimtestaat[[#This Row],[Code]],Locaties[#All],6,FALSE)</f>
        <v>Amsterdam</v>
      </c>
      <c r="F213" s="180"/>
      <c r="G213" s="180" t="s">
        <v>877</v>
      </c>
      <c r="H213" s="180" t="s">
        <v>757</v>
      </c>
      <c r="I213" s="180" t="s">
        <v>760</v>
      </c>
      <c r="J213" s="224" t="s">
        <v>540</v>
      </c>
      <c r="K213" s="180">
        <v>21</v>
      </c>
      <c r="L213" s="236" t="str">
        <f>VLOOKUP(Ruimtestaat[[#This Row],[Ruimte code]],Ruimtegroepen[#All],2,FALSE)</f>
        <v>Niet in onderhoud</v>
      </c>
      <c r="M213" s="195" t="s">
        <v>111</v>
      </c>
      <c r="N213" s="180" t="s">
        <v>558</v>
      </c>
      <c r="O213" s="181"/>
      <c r="P213" s="193">
        <v>4</v>
      </c>
      <c r="Q213" s="223" t="str">
        <f>VLOOKUP(Ruimtestaat[[#This Row],[Ruimte code]],Ruimtegroepen[#All],4,FALSE)</f>
        <v>Niet in onderhoud</v>
      </c>
      <c r="R213" s="194" t="s">
        <v>912</v>
      </c>
      <c r="S213" s="195"/>
      <c r="T213" s="195"/>
      <c r="U213" s="195">
        <f>IF(S213&gt;0,IF(RIGHT(Ruimtestaat[[#This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13" s="195">
        <f>IF(U213&gt;0,VLOOKUP($K213,Ruimtegroepen[],3,FALSE)*VLOOKUP($M213,Vloersoorten[],3,FALSE)*VLOOKUP($T213,Frequenties[],3,FALSE)*VLOOKUP($A213,Locaties[],3,FALSE),0)</f>
        <v>0</v>
      </c>
      <c r="W213" s="195">
        <f>Ruimtestaat[[#This Row],[Uitvoeringen werkdagen]]*Ruimtestaat[[#This Row],[Oppervlak (netto)]]</f>
        <v>0</v>
      </c>
      <c r="X213" s="233">
        <f>IF(V213&gt;0,Ruimtestaat[[#This Row],[Prest. (m2 /jaar) werkdagen]]/Ruimtestaat[[#This Row],[Norm (m2/uur) werkdagen]],0)</f>
        <v>0</v>
      </c>
      <c r="Y213" s="234">
        <f>Ruimtestaat[[#This Row],[uren / jaar werkdagen]]*Tariefsopbouw!$D$38</f>
        <v>0</v>
      </c>
      <c r="Z213" s="33"/>
      <c r="AA213" s="33">
        <f>IF(Ruimtestaat[[#This Row],[Frequentie weekend]]&gt;0,VALUE(LEFT(Z213,1))*S213,0)</f>
        <v>0</v>
      </c>
      <c r="AB213" s="33">
        <f>IF($AA213&gt;0,VLOOKUP($K213,Ruimtegroepen[],3,FALSE)*VLOOKUP($M213,Vloersoorten[],3,FALSE)*VLOOKUP($Z213,Frequenties[],3,FALSE)*VLOOKUP(#REF!,Locaties[],3,FALSE),0)</f>
        <v>0</v>
      </c>
      <c r="AC213" s="33"/>
      <c r="AD213" s="33"/>
      <c r="AE213" s="33">
        <f>Ruimtestaat[[#This Row],[uren / jaar weekend]]*Tariefsopbouw!$D$40</f>
        <v>0</v>
      </c>
      <c r="AF213" s="79">
        <f>Ruimtestaat[[#This Row],[Prest. (m2 /jaar) weekend]]+Ruimtestaat[[#This Row],[Prest. (m2 /jaar) werkdagen]]</f>
        <v>0</v>
      </c>
      <c r="AG213" s="79">
        <f>Ruimtestaat[[#This Row],[uren / jaar weekend]]+Ruimtestaat[[#This Row],[uren / jaar werkdagen]]</f>
        <v>0</v>
      </c>
      <c r="AH213" s="80">
        <f>Ruimtestaat[[#This Row],[kosten / jaar weekend]]+Ruimtestaat[[#This Row],[kosten / jaar werkdagen]]</f>
        <v>0</v>
      </c>
    </row>
    <row r="214" spans="1:34" ht="15" customHeight="1">
      <c r="A214" s="119">
        <v>1</v>
      </c>
      <c r="B214" s="180" t="str">
        <f>VLOOKUP(Ruimtestaat[[#This Row],[Code]],Locaties[#All],2,FALSE)</f>
        <v>IJburg College</v>
      </c>
      <c r="C214" s="223" t="str">
        <f>VLOOKUP(Ruimtestaat[[#This Row],[Code]],Locaties[#All],4,FALSE)</f>
        <v>Pampuslaan 1</v>
      </c>
      <c r="D214" s="223" t="str">
        <f>VLOOKUP(Ruimtestaat[[#This Row],[Code]],Locaties[#All],5,FALSE)</f>
        <v>1087 HP</v>
      </c>
      <c r="E214" s="223" t="str">
        <f>VLOOKUP(Ruimtestaat[[#This Row],[Code]],Locaties[#All],6,FALSE)</f>
        <v>Amsterdam</v>
      </c>
      <c r="F214" s="180"/>
      <c r="G214" s="180" t="s">
        <v>877</v>
      </c>
      <c r="H214" s="180" t="s">
        <v>758</v>
      </c>
      <c r="I214" s="180" t="s">
        <v>761</v>
      </c>
      <c r="J214" s="224" t="s">
        <v>746</v>
      </c>
      <c r="K214" s="180">
        <v>21</v>
      </c>
      <c r="L214" s="236" t="str">
        <f>VLOOKUP(Ruimtestaat[[#This Row],[Ruimte code]],Ruimtegroepen[#All],2,FALSE)</f>
        <v>Niet in onderhoud</v>
      </c>
      <c r="M214" s="195" t="s">
        <v>111</v>
      </c>
      <c r="N214" s="180" t="s">
        <v>557</v>
      </c>
      <c r="O214" s="181"/>
      <c r="P214" s="193">
        <v>10.85</v>
      </c>
      <c r="Q214" s="223" t="str">
        <f>VLOOKUP(Ruimtestaat[[#This Row],[Ruimte code]],Ruimtegroepen[#All],4,FALSE)</f>
        <v>Niet in onderhoud</v>
      </c>
      <c r="R214" s="194" t="s">
        <v>912</v>
      </c>
      <c r="S214" s="195"/>
      <c r="T214" s="195"/>
      <c r="U214" s="195">
        <f>IF(S214&gt;0,IF(RIGHT(Ruimtestaat[[#This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14" s="195">
        <f>IF(U214&gt;0,VLOOKUP($K214,Ruimtegroepen[],3,FALSE)*VLOOKUP($M214,Vloersoorten[],3,FALSE)*VLOOKUP($T214,Frequenties[],3,FALSE)*VLOOKUP($A214,Locaties[],3,FALSE),0)</f>
        <v>0</v>
      </c>
      <c r="W214" s="195">
        <f>Ruimtestaat[[#This Row],[Uitvoeringen werkdagen]]*Ruimtestaat[[#This Row],[Oppervlak (netto)]]</f>
        <v>0</v>
      </c>
      <c r="X214" s="233">
        <f>IF(V214&gt;0,Ruimtestaat[[#This Row],[Prest. (m2 /jaar) werkdagen]]/Ruimtestaat[[#This Row],[Norm (m2/uur) werkdagen]],0)</f>
        <v>0</v>
      </c>
      <c r="Y214" s="234">
        <f>Ruimtestaat[[#This Row],[uren / jaar werkdagen]]*Tariefsopbouw!$D$38</f>
        <v>0</v>
      </c>
      <c r="Z214" s="33"/>
      <c r="AA214" s="33">
        <f>IF(Ruimtestaat[[#This Row],[Frequentie weekend]]&gt;0,VALUE(LEFT(Z214,1))*S214,0)</f>
        <v>0</v>
      </c>
      <c r="AB214" s="33">
        <f>IF($AA214&gt;0,VLOOKUP($K214,Ruimtegroepen[],3,FALSE)*VLOOKUP($M214,Vloersoorten[],3,FALSE)*VLOOKUP($Z214,Frequenties[],3,FALSE)*VLOOKUP(#REF!,Locaties[],3,FALSE),0)</f>
        <v>0</v>
      </c>
      <c r="AC214" s="33"/>
      <c r="AD214" s="33"/>
      <c r="AE214" s="33">
        <f>Ruimtestaat[[#This Row],[uren / jaar weekend]]*Tariefsopbouw!$D$40</f>
        <v>0</v>
      </c>
      <c r="AF214" s="79">
        <f>Ruimtestaat[[#This Row],[Prest. (m2 /jaar) weekend]]+Ruimtestaat[[#This Row],[Prest. (m2 /jaar) werkdagen]]</f>
        <v>0</v>
      </c>
      <c r="AG214" s="79">
        <f>Ruimtestaat[[#This Row],[uren / jaar weekend]]+Ruimtestaat[[#This Row],[uren / jaar werkdagen]]</f>
        <v>0</v>
      </c>
      <c r="AH214" s="80">
        <f>Ruimtestaat[[#This Row],[kosten / jaar weekend]]+Ruimtestaat[[#This Row],[kosten / jaar werkdagen]]</f>
        <v>0</v>
      </c>
    </row>
    <row r="215" spans="1:34" ht="15" customHeight="1">
      <c r="A215" s="119">
        <v>1</v>
      </c>
      <c r="B215" s="180" t="str">
        <f>VLOOKUP(Ruimtestaat[[#This Row],[Code]],Locaties[#All],2,FALSE)</f>
        <v>IJburg College</v>
      </c>
      <c r="C215" s="223" t="str">
        <f>VLOOKUP(Ruimtestaat[[#This Row],[Code]],Locaties[#All],4,FALSE)</f>
        <v>Pampuslaan 1</v>
      </c>
      <c r="D215" s="223" t="str">
        <f>VLOOKUP(Ruimtestaat[[#This Row],[Code]],Locaties[#All],5,FALSE)</f>
        <v>1087 HP</v>
      </c>
      <c r="E215" s="223" t="str">
        <f>VLOOKUP(Ruimtestaat[[#This Row],[Code]],Locaties[#All],6,FALSE)</f>
        <v>Amsterdam</v>
      </c>
      <c r="F215" s="180"/>
      <c r="G215" s="180" t="s">
        <v>877</v>
      </c>
      <c r="H215" s="180" t="s">
        <v>759</v>
      </c>
      <c r="I215" s="180" t="s">
        <v>768</v>
      </c>
      <c r="J215" s="224" t="s">
        <v>629</v>
      </c>
      <c r="K215" s="180">
        <v>21</v>
      </c>
      <c r="L215" s="236" t="str">
        <f>VLOOKUP(Ruimtestaat[[#This Row],[Ruimte code]],Ruimtegroepen[#All],2,FALSE)</f>
        <v>Niet in onderhoud</v>
      </c>
      <c r="M215" s="195"/>
      <c r="N215" s="180"/>
      <c r="O215" s="181"/>
      <c r="P215" s="193"/>
      <c r="Q215" s="223" t="str">
        <f>VLOOKUP(Ruimtestaat[[#This Row],[Ruimte code]],Ruimtegroepen[#All],4,FALSE)</f>
        <v>Niet in onderhoud</v>
      </c>
      <c r="R215" s="194" t="s">
        <v>912</v>
      </c>
      <c r="S215" s="195"/>
      <c r="T215" s="195"/>
      <c r="U215" s="195">
        <f>IF(S215&gt;0,IF(RIGHT(Ruimtestaat[[#This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15" s="195">
        <f>IF(U215&gt;0,VLOOKUP($K215,Ruimtegroepen[],3,FALSE)*VLOOKUP($M215,Vloersoorten[],3,FALSE)*VLOOKUP($T215,Frequenties[],3,FALSE)*VLOOKUP($A215,Locaties[],3,FALSE),0)</f>
        <v>0</v>
      </c>
      <c r="W215" s="195">
        <f>Ruimtestaat[[#This Row],[Uitvoeringen werkdagen]]*Ruimtestaat[[#This Row],[Oppervlak (netto)]]</f>
        <v>0</v>
      </c>
      <c r="X215" s="233">
        <f>IF(V215&gt;0,Ruimtestaat[[#This Row],[Prest. (m2 /jaar) werkdagen]]/Ruimtestaat[[#This Row],[Norm (m2/uur) werkdagen]],0)</f>
        <v>0</v>
      </c>
      <c r="Y215" s="234">
        <f>Ruimtestaat[[#This Row],[uren / jaar werkdagen]]*Tariefsopbouw!$D$38</f>
        <v>0</v>
      </c>
      <c r="Z215" s="33"/>
      <c r="AA215" s="33">
        <f>IF(Ruimtestaat[[#This Row],[Frequentie weekend]]&gt;0,VALUE(LEFT(Z215,1))*S215,0)</f>
        <v>0</v>
      </c>
      <c r="AB215" s="33">
        <f>IF($AA215&gt;0,VLOOKUP($K215,Ruimtegroepen[],3,FALSE)*VLOOKUP($M215,Vloersoorten[],3,FALSE)*VLOOKUP($Z215,Frequenties[],3,FALSE)*VLOOKUP(#REF!,Locaties[],3,FALSE),0)</f>
        <v>0</v>
      </c>
      <c r="AC215" s="33"/>
      <c r="AD215" s="33"/>
      <c r="AE215" s="33">
        <f>Ruimtestaat[[#This Row],[uren / jaar weekend]]*Tariefsopbouw!$D$40</f>
        <v>0</v>
      </c>
      <c r="AF215" s="79">
        <f>Ruimtestaat[[#This Row],[Prest. (m2 /jaar) weekend]]+Ruimtestaat[[#This Row],[Prest. (m2 /jaar) werkdagen]]</f>
        <v>0</v>
      </c>
      <c r="AG215" s="79">
        <f>Ruimtestaat[[#This Row],[uren / jaar weekend]]+Ruimtestaat[[#This Row],[uren / jaar werkdagen]]</f>
        <v>0</v>
      </c>
      <c r="AH215" s="80">
        <f>Ruimtestaat[[#This Row],[kosten / jaar weekend]]+Ruimtestaat[[#This Row],[kosten / jaar werkdagen]]</f>
        <v>0</v>
      </c>
    </row>
    <row r="216" spans="1:34" ht="15" customHeight="1">
      <c r="A216" s="119">
        <v>1</v>
      </c>
      <c r="B216" s="180" t="str">
        <f>VLOOKUP(Ruimtestaat[[#This Row],[Code]],Locaties[#All],2,FALSE)</f>
        <v>IJburg College</v>
      </c>
      <c r="C216" s="223" t="str">
        <f>VLOOKUP(Ruimtestaat[[#This Row],[Code]],Locaties[#All],4,FALSE)</f>
        <v>Pampuslaan 1</v>
      </c>
      <c r="D216" s="223" t="str">
        <f>VLOOKUP(Ruimtestaat[[#This Row],[Code]],Locaties[#All],5,FALSE)</f>
        <v>1087 HP</v>
      </c>
      <c r="E216" s="223" t="str">
        <f>VLOOKUP(Ruimtestaat[[#This Row],[Code]],Locaties[#All],6,FALSE)</f>
        <v>Amsterdam</v>
      </c>
      <c r="F216" s="180"/>
      <c r="G216" s="180" t="s">
        <v>877</v>
      </c>
      <c r="H216" s="180" t="s">
        <v>760</v>
      </c>
      <c r="I216" s="180" t="s">
        <v>769</v>
      </c>
      <c r="J216" s="224" t="s">
        <v>777</v>
      </c>
      <c r="K216" s="180">
        <v>21</v>
      </c>
      <c r="L216" s="236" t="str">
        <f>VLOOKUP(Ruimtestaat[[#This Row],[Ruimte code]],Ruimtegroepen[#All],2,FALSE)</f>
        <v>Niet in onderhoud</v>
      </c>
      <c r="M216" s="195" t="s">
        <v>111</v>
      </c>
      <c r="N216" s="180" t="s">
        <v>557</v>
      </c>
      <c r="O216" s="181"/>
      <c r="P216" s="193">
        <v>49.5</v>
      </c>
      <c r="Q216" s="223" t="str">
        <f>VLOOKUP(Ruimtestaat[[#This Row],[Ruimte code]],Ruimtegroepen[#All],4,FALSE)</f>
        <v>Niet in onderhoud</v>
      </c>
      <c r="R216" s="194" t="s">
        <v>912</v>
      </c>
      <c r="S216" s="195"/>
      <c r="T216" s="195"/>
      <c r="U216" s="195">
        <f>IF(S216&gt;0,IF(RIGHT(Ruimtestaat[[#This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16" s="195">
        <f>IF(U216&gt;0,VLOOKUP($K216,Ruimtegroepen[],3,FALSE)*VLOOKUP($M216,Vloersoorten[],3,FALSE)*VLOOKUP($T216,Frequenties[],3,FALSE)*VLOOKUP($A216,Locaties[],3,FALSE),0)</f>
        <v>0</v>
      </c>
      <c r="W216" s="195">
        <f>Ruimtestaat[[#This Row],[Uitvoeringen werkdagen]]*Ruimtestaat[[#This Row],[Oppervlak (netto)]]</f>
        <v>0</v>
      </c>
      <c r="X216" s="233">
        <f>IF(V216&gt;0,Ruimtestaat[[#This Row],[Prest. (m2 /jaar) werkdagen]]/Ruimtestaat[[#This Row],[Norm (m2/uur) werkdagen]],0)</f>
        <v>0</v>
      </c>
      <c r="Y216" s="234">
        <f>Ruimtestaat[[#This Row],[uren / jaar werkdagen]]*Tariefsopbouw!$D$38</f>
        <v>0</v>
      </c>
      <c r="Z216" s="33"/>
      <c r="AA216" s="33">
        <f>IF(Ruimtestaat[[#This Row],[Frequentie weekend]]&gt;0,VALUE(LEFT(Z216,1))*S216,0)</f>
        <v>0</v>
      </c>
      <c r="AB216" s="33">
        <f>IF($AA216&gt;0,VLOOKUP($K216,Ruimtegroepen[],3,FALSE)*VLOOKUP($M216,Vloersoorten[],3,FALSE)*VLOOKUP($Z216,Frequenties[],3,FALSE)*VLOOKUP(#REF!,Locaties[],3,FALSE),0)</f>
        <v>0</v>
      </c>
      <c r="AC216" s="33"/>
      <c r="AD216" s="33"/>
      <c r="AE216" s="33">
        <f>Ruimtestaat[[#This Row],[uren / jaar weekend]]*Tariefsopbouw!$D$40</f>
        <v>0</v>
      </c>
      <c r="AF216" s="79">
        <f>Ruimtestaat[[#This Row],[Prest. (m2 /jaar) weekend]]+Ruimtestaat[[#This Row],[Prest. (m2 /jaar) werkdagen]]</f>
        <v>0</v>
      </c>
      <c r="AG216" s="79">
        <f>Ruimtestaat[[#This Row],[uren / jaar weekend]]+Ruimtestaat[[#This Row],[uren / jaar werkdagen]]</f>
        <v>0</v>
      </c>
      <c r="AH216" s="80">
        <f>Ruimtestaat[[#This Row],[kosten / jaar weekend]]+Ruimtestaat[[#This Row],[kosten / jaar werkdagen]]</f>
        <v>0</v>
      </c>
    </row>
    <row r="217" spans="1:34" ht="15" customHeight="1">
      <c r="A217" s="119">
        <v>1</v>
      </c>
      <c r="B217" s="180" t="str">
        <f>VLOOKUP(Ruimtestaat[[#This Row],[Code]],Locaties[#All],2,FALSE)</f>
        <v>IJburg College</v>
      </c>
      <c r="C217" s="223" t="str">
        <f>VLOOKUP(Ruimtestaat[[#This Row],[Code]],Locaties[#All],4,FALSE)</f>
        <v>Pampuslaan 1</v>
      </c>
      <c r="D217" s="223" t="str">
        <f>VLOOKUP(Ruimtestaat[[#This Row],[Code]],Locaties[#All],5,FALSE)</f>
        <v>1087 HP</v>
      </c>
      <c r="E217" s="223" t="str">
        <f>VLOOKUP(Ruimtestaat[[#This Row],[Code]],Locaties[#All],6,FALSE)</f>
        <v>Amsterdam</v>
      </c>
      <c r="F217" s="180"/>
      <c r="G217" s="180" t="s">
        <v>877</v>
      </c>
      <c r="H217" s="180" t="s">
        <v>761</v>
      </c>
      <c r="I217" s="180" t="s">
        <v>770</v>
      </c>
      <c r="J217" s="224" t="s">
        <v>778</v>
      </c>
      <c r="K217" s="180">
        <v>21</v>
      </c>
      <c r="L217" s="236" t="str">
        <f>VLOOKUP(Ruimtestaat[[#This Row],[Ruimte code]],Ruimtegroepen[#All],2,FALSE)</f>
        <v>Niet in onderhoud</v>
      </c>
      <c r="M217" s="195" t="s">
        <v>111</v>
      </c>
      <c r="N217" s="180" t="s">
        <v>557</v>
      </c>
      <c r="O217" s="181"/>
      <c r="P217" s="193">
        <v>31</v>
      </c>
      <c r="Q217" s="223" t="str">
        <f>VLOOKUP(Ruimtestaat[[#This Row],[Ruimte code]],Ruimtegroepen[#All],4,FALSE)</f>
        <v>Niet in onderhoud</v>
      </c>
      <c r="R217" s="194" t="s">
        <v>912</v>
      </c>
      <c r="S217" s="195"/>
      <c r="T217" s="195"/>
      <c r="U217" s="195">
        <f>IF(S217&gt;0,IF(RIGHT(Ruimtestaat[[#This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17" s="195">
        <f>IF(U217&gt;0,VLOOKUP($K217,Ruimtegroepen[],3,FALSE)*VLOOKUP($M217,Vloersoorten[],3,FALSE)*VLOOKUP($T217,Frequenties[],3,FALSE)*VLOOKUP($A217,Locaties[],3,FALSE),0)</f>
        <v>0</v>
      </c>
      <c r="W217" s="195">
        <f>Ruimtestaat[[#This Row],[Uitvoeringen werkdagen]]*Ruimtestaat[[#This Row],[Oppervlak (netto)]]</f>
        <v>0</v>
      </c>
      <c r="X217" s="233">
        <f>IF(V217&gt;0,Ruimtestaat[[#This Row],[Prest. (m2 /jaar) werkdagen]]/Ruimtestaat[[#This Row],[Norm (m2/uur) werkdagen]],0)</f>
        <v>0</v>
      </c>
      <c r="Y217" s="234">
        <f>Ruimtestaat[[#This Row],[uren / jaar werkdagen]]*Tariefsopbouw!$D$38</f>
        <v>0</v>
      </c>
      <c r="Z217" s="33"/>
      <c r="AA217" s="33">
        <f>IF(Ruimtestaat[[#This Row],[Frequentie weekend]]&gt;0,VALUE(LEFT(Z217,1))*S217,0)</f>
        <v>0</v>
      </c>
      <c r="AB217" s="33">
        <f>IF($AA217&gt;0,VLOOKUP($K217,Ruimtegroepen[],3,FALSE)*VLOOKUP($M217,Vloersoorten[],3,FALSE)*VLOOKUP($Z217,Frequenties[],3,FALSE)*VLOOKUP(#REF!,Locaties[],3,FALSE),0)</f>
        <v>0</v>
      </c>
      <c r="AC217" s="33"/>
      <c r="AD217" s="33"/>
      <c r="AE217" s="33">
        <f>Ruimtestaat[[#This Row],[uren / jaar weekend]]*Tariefsopbouw!$D$40</f>
        <v>0</v>
      </c>
      <c r="AF217" s="79">
        <f>Ruimtestaat[[#This Row],[Prest. (m2 /jaar) weekend]]+Ruimtestaat[[#This Row],[Prest. (m2 /jaar) werkdagen]]</f>
        <v>0</v>
      </c>
      <c r="AG217" s="79">
        <f>Ruimtestaat[[#This Row],[uren / jaar weekend]]+Ruimtestaat[[#This Row],[uren / jaar werkdagen]]</f>
        <v>0</v>
      </c>
      <c r="AH217" s="80">
        <f>Ruimtestaat[[#This Row],[kosten / jaar weekend]]+Ruimtestaat[[#This Row],[kosten / jaar werkdagen]]</f>
        <v>0</v>
      </c>
    </row>
    <row r="218" spans="1:34" ht="15" customHeight="1">
      <c r="A218" s="119">
        <v>1</v>
      </c>
      <c r="B218" s="180" t="str">
        <f>VLOOKUP(Ruimtestaat[[#This Row],[Code]],Locaties[#All],2,FALSE)</f>
        <v>IJburg College</v>
      </c>
      <c r="C218" s="223" t="str">
        <f>VLOOKUP(Ruimtestaat[[#This Row],[Code]],Locaties[#All],4,FALSE)</f>
        <v>Pampuslaan 1</v>
      </c>
      <c r="D218" s="223" t="str">
        <f>VLOOKUP(Ruimtestaat[[#This Row],[Code]],Locaties[#All],5,FALSE)</f>
        <v>1087 HP</v>
      </c>
      <c r="E218" s="223" t="str">
        <f>VLOOKUP(Ruimtestaat[[#This Row],[Code]],Locaties[#All],6,FALSE)</f>
        <v>Amsterdam</v>
      </c>
      <c r="F218" s="180"/>
      <c r="G218" s="180" t="s">
        <v>877</v>
      </c>
      <c r="H218" s="180" t="s">
        <v>762</v>
      </c>
      <c r="I218" s="180" t="s">
        <v>771</v>
      </c>
      <c r="J218" s="224" t="s">
        <v>779</v>
      </c>
      <c r="K218" s="180">
        <v>21</v>
      </c>
      <c r="L218" s="236" t="str">
        <f>VLOOKUP(Ruimtestaat[[#This Row],[Ruimte code]],Ruimtegroepen[#All],2,FALSE)</f>
        <v>Niet in onderhoud</v>
      </c>
      <c r="M218" s="195" t="s">
        <v>111</v>
      </c>
      <c r="N218" s="180" t="s">
        <v>714</v>
      </c>
      <c r="O218" s="181"/>
      <c r="P218" s="181">
        <v>212.31</v>
      </c>
      <c r="Q218" s="223" t="str">
        <f>VLOOKUP(Ruimtestaat[[#This Row],[Ruimte code]],Ruimtegroepen[#All],4,FALSE)</f>
        <v>Niet in onderhoud</v>
      </c>
      <c r="R218" s="194" t="s">
        <v>912</v>
      </c>
      <c r="S218" s="195"/>
      <c r="T218" s="195"/>
      <c r="U218" s="195">
        <f>IF(S218&gt;0,IF(RIGHT(Ruimtestaat[[#This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18" s="195">
        <f>IF(U218&gt;0,VLOOKUP($K218,Ruimtegroepen[],3,FALSE)*VLOOKUP($M218,Vloersoorten[],3,FALSE)*VLOOKUP($T218,Frequenties[],3,FALSE)*VLOOKUP($A218,Locaties[],3,FALSE),0)</f>
        <v>0</v>
      </c>
      <c r="W218" s="195">
        <f>Ruimtestaat[[#This Row],[Uitvoeringen werkdagen]]*Ruimtestaat[[#This Row],[Oppervlak (netto)]]</f>
        <v>0</v>
      </c>
      <c r="X218" s="233">
        <f>IF(V218&gt;0,Ruimtestaat[[#This Row],[Prest. (m2 /jaar) werkdagen]]/Ruimtestaat[[#This Row],[Norm (m2/uur) werkdagen]],0)</f>
        <v>0</v>
      </c>
      <c r="Y218" s="234">
        <f>Ruimtestaat[[#This Row],[uren / jaar werkdagen]]*Tariefsopbouw!$D$38</f>
        <v>0</v>
      </c>
      <c r="Z218" s="33"/>
      <c r="AA218" s="33">
        <f>IF(Ruimtestaat[[#This Row],[Frequentie weekend]]&gt;0,VALUE(LEFT(Z218,1))*S218,0)</f>
        <v>0</v>
      </c>
      <c r="AB218" s="33">
        <f>IF($AA218&gt;0,VLOOKUP($K218,Ruimtegroepen[],3,FALSE)*VLOOKUP($M218,Vloersoorten[],3,FALSE)*VLOOKUP($Z218,Frequenties[],3,FALSE)*VLOOKUP(#REF!,Locaties[],3,FALSE),0)</f>
        <v>0</v>
      </c>
      <c r="AC218" s="33"/>
      <c r="AD218" s="33"/>
      <c r="AE218" s="33">
        <f>Ruimtestaat[[#This Row],[uren / jaar weekend]]*Tariefsopbouw!$D$40</f>
        <v>0</v>
      </c>
      <c r="AF218" s="79">
        <f>Ruimtestaat[[#This Row],[Prest. (m2 /jaar) weekend]]+Ruimtestaat[[#This Row],[Prest. (m2 /jaar) werkdagen]]</f>
        <v>0</v>
      </c>
      <c r="AG218" s="79">
        <f>Ruimtestaat[[#This Row],[uren / jaar weekend]]+Ruimtestaat[[#This Row],[uren / jaar werkdagen]]</f>
        <v>0</v>
      </c>
      <c r="AH218" s="80">
        <f>Ruimtestaat[[#This Row],[kosten / jaar weekend]]+Ruimtestaat[[#This Row],[kosten / jaar werkdagen]]</f>
        <v>0</v>
      </c>
    </row>
    <row r="219" spans="1:34" ht="15" customHeight="1">
      <c r="A219" s="119">
        <v>1</v>
      </c>
      <c r="B219" s="180" t="str">
        <f>VLOOKUP(Ruimtestaat[[#This Row],[Code]],Locaties[#All],2,FALSE)</f>
        <v>IJburg College</v>
      </c>
      <c r="C219" s="223" t="str">
        <f>VLOOKUP(Ruimtestaat[[#This Row],[Code]],Locaties[#All],4,FALSE)</f>
        <v>Pampuslaan 1</v>
      </c>
      <c r="D219" s="223" t="str">
        <f>VLOOKUP(Ruimtestaat[[#This Row],[Code]],Locaties[#All],5,FALSE)</f>
        <v>1087 HP</v>
      </c>
      <c r="E219" s="223" t="str">
        <f>VLOOKUP(Ruimtestaat[[#This Row],[Code]],Locaties[#All],6,FALSE)</f>
        <v>Amsterdam</v>
      </c>
      <c r="F219" s="180"/>
      <c r="G219" s="180" t="s">
        <v>877</v>
      </c>
      <c r="H219" s="180" t="s">
        <v>763</v>
      </c>
      <c r="I219" s="180" t="s">
        <v>772</v>
      </c>
      <c r="J219" s="224" t="s">
        <v>780</v>
      </c>
      <c r="K219" s="180">
        <v>21</v>
      </c>
      <c r="L219" s="236" t="str">
        <f>VLOOKUP(Ruimtestaat[[#This Row],[Ruimte code]],Ruimtegroepen[#All],2,FALSE)</f>
        <v>Niet in onderhoud</v>
      </c>
      <c r="M219" s="195" t="s">
        <v>909</v>
      </c>
      <c r="N219" s="180" t="s">
        <v>908</v>
      </c>
      <c r="O219" s="181"/>
      <c r="P219" s="193"/>
      <c r="Q219" s="223" t="str">
        <f>VLOOKUP(Ruimtestaat[[#This Row],[Ruimte code]],Ruimtegroepen[#All],4,FALSE)</f>
        <v>Niet in onderhoud</v>
      </c>
      <c r="R219" s="194" t="s">
        <v>912</v>
      </c>
      <c r="S219" s="195"/>
      <c r="T219" s="195"/>
      <c r="U219" s="195">
        <f>IF(S219&gt;0,IF(RIGHT(Ruimtestaat[[#This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19" s="195">
        <f>IF(U219&gt;0,VLOOKUP($K219,Ruimtegroepen[],3,FALSE)*VLOOKUP($M219,Vloersoorten[],3,FALSE)*VLOOKUP($T219,Frequenties[],3,FALSE)*VLOOKUP($A219,Locaties[],3,FALSE),0)</f>
        <v>0</v>
      </c>
      <c r="W219" s="195">
        <f>Ruimtestaat[[#This Row],[Uitvoeringen werkdagen]]*Ruimtestaat[[#This Row],[Oppervlak (netto)]]</f>
        <v>0</v>
      </c>
      <c r="X219" s="233">
        <f>IF(V219&gt;0,Ruimtestaat[[#This Row],[Prest. (m2 /jaar) werkdagen]]/Ruimtestaat[[#This Row],[Norm (m2/uur) werkdagen]],0)</f>
        <v>0</v>
      </c>
      <c r="Y219" s="234">
        <f>Ruimtestaat[[#This Row],[uren / jaar werkdagen]]*Tariefsopbouw!$D$38</f>
        <v>0</v>
      </c>
      <c r="Z219" s="33"/>
      <c r="AA219" s="33">
        <f>IF(Ruimtestaat[[#This Row],[Frequentie weekend]]&gt;0,VALUE(LEFT(Z219,1))*S219,0)</f>
        <v>0</v>
      </c>
      <c r="AB219" s="33">
        <f>IF($AA219&gt;0,VLOOKUP($K219,Ruimtegroepen[],3,FALSE)*VLOOKUP($M219,Vloersoorten[],3,FALSE)*VLOOKUP($Z219,Frequenties[],3,FALSE)*VLOOKUP(#REF!,Locaties[],3,FALSE),0)</f>
        <v>0</v>
      </c>
      <c r="AC219" s="33"/>
      <c r="AD219" s="33"/>
      <c r="AE219" s="33">
        <f>Ruimtestaat[[#This Row],[uren / jaar weekend]]*Tariefsopbouw!$D$40</f>
        <v>0</v>
      </c>
      <c r="AF219" s="79">
        <f>Ruimtestaat[[#This Row],[Prest. (m2 /jaar) weekend]]+Ruimtestaat[[#This Row],[Prest. (m2 /jaar) werkdagen]]</f>
        <v>0</v>
      </c>
      <c r="AG219" s="79">
        <f>Ruimtestaat[[#This Row],[uren / jaar weekend]]+Ruimtestaat[[#This Row],[uren / jaar werkdagen]]</f>
        <v>0</v>
      </c>
      <c r="AH219" s="80">
        <f>Ruimtestaat[[#This Row],[kosten / jaar weekend]]+Ruimtestaat[[#This Row],[kosten / jaar werkdagen]]</f>
        <v>0</v>
      </c>
    </row>
    <row r="220" spans="1:34" ht="15" customHeight="1">
      <c r="A220" s="119">
        <v>1</v>
      </c>
      <c r="B220" s="180" t="str">
        <f>VLOOKUP(Ruimtestaat[[#This Row],[Code]],Locaties[#All],2,FALSE)</f>
        <v>IJburg College</v>
      </c>
      <c r="C220" s="223" t="str">
        <f>VLOOKUP(Ruimtestaat[[#This Row],[Code]],Locaties[#All],4,FALSE)</f>
        <v>Pampuslaan 1</v>
      </c>
      <c r="D220" s="223" t="str">
        <f>VLOOKUP(Ruimtestaat[[#This Row],[Code]],Locaties[#All],5,FALSE)</f>
        <v>1087 HP</v>
      </c>
      <c r="E220" s="223" t="str">
        <f>VLOOKUP(Ruimtestaat[[#This Row],[Code]],Locaties[#All],6,FALSE)</f>
        <v>Amsterdam</v>
      </c>
      <c r="F220" s="180"/>
      <c r="G220" s="180" t="s">
        <v>877</v>
      </c>
      <c r="H220" s="180" t="s">
        <v>764</v>
      </c>
      <c r="I220" s="180" t="s">
        <v>773</v>
      </c>
      <c r="J220" s="224" t="s">
        <v>781</v>
      </c>
      <c r="K220" s="180">
        <v>21</v>
      </c>
      <c r="L220" s="236" t="str">
        <f>VLOOKUP(Ruimtestaat[[#This Row],[Ruimte code]],Ruimtegroepen[#All],2,FALSE)</f>
        <v>Niet in onderhoud</v>
      </c>
      <c r="M220" s="195" t="s">
        <v>111</v>
      </c>
      <c r="N220" s="180" t="s">
        <v>557</v>
      </c>
      <c r="O220" s="181"/>
      <c r="P220" s="193"/>
      <c r="Q220" s="223" t="str">
        <f>VLOOKUP(Ruimtestaat[[#This Row],[Ruimte code]],Ruimtegroepen[#All],4,FALSE)</f>
        <v>Niet in onderhoud</v>
      </c>
      <c r="R220" s="194" t="s">
        <v>912</v>
      </c>
      <c r="S220" s="195"/>
      <c r="T220" s="195"/>
      <c r="U220" s="195">
        <f>IF(S220&gt;0,IF(RIGHT(Ruimtestaat[[#This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20" s="195">
        <f>IF(U220&gt;0,VLOOKUP($K220,Ruimtegroepen[],3,FALSE)*VLOOKUP($M220,Vloersoorten[],3,FALSE)*VLOOKUP($T220,Frequenties[],3,FALSE)*VLOOKUP($A220,Locaties[],3,FALSE),0)</f>
        <v>0</v>
      </c>
      <c r="W220" s="195">
        <f>Ruimtestaat[[#This Row],[Uitvoeringen werkdagen]]*Ruimtestaat[[#This Row],[Oppervlak (netto)]]</f>
        <v>0</v>
      </c>
      <c r="X220" s="233">
        <f>IF(V220&gt;0,Ruimtestaat[[#This Row],[Prest. (m2 /jaar) werkdagen]]/Ruimtestaat[[#This Row],[Norm (m2/uur) werkdagen]],0)</f>
        <v>0</v>
      </c>
      <c r="Y220" s="234">
        <f>Ruimtestaat[[#This Row],[uren / jaar werkdagen]]*Tariefsopbouw!$D$38</f>
        <v>0</v>
      </c>
      <c r="Z220" s="33"/>
      <c r="AA220" s="33">
        <f>IF(Ruimtestaat[[#This Row],[Frequentie weekend]]&gt;0,VALUE(LEFT(Z220,1))*S220,0)</f>
        <v>0</v>
      </c>
      <c r="AB220" s="33">
        <f>IF($AA220&gt;0,VLOOKUP($K220,Ruimtegroepen[],3,FALSE)*VLOOKUP($M220,Vloersoorten[],3,FALSE)*VLOOKUP($Z220,Frequenties[],3,FALSE)*VLOOKUP(#REF!,Locaties[],3,FALSE),0)</f>
        <v>0</v>
      </c>
      <c r="AC220" s="33"/>
      <c r="AD220" s="33"/>
      <c r="AE220" s="33">
        <f>Ruimtestaat[[#This Row],[uren / jaar weekend]]*Tariefsopbouw!$D$40</f>
        <v>0</v>
      </c>
      <c r="AF220" s="79">
        <f>Ruimtestaat[[#This Row],[Prest. (m2 /jaar) weekend]]+Ruimtestaat[[#This Row],[Prest. (m2 /jaar) werkdagen]]</f>
        <v>0</v>
      </c>
      <c r="AG220" s="79">
        <f>Ruimtestaat[[#This Row],[uren / jaar weekend]]+Ruimtestaat[[#This Row],[uren / jaar werkdagen]]</f>
        <v>0</v>
      </c>
      <c r="AH220" s="80">
        <f>Ruimtestaat[[#This Row],[kosten / jaar weekend]]+Ruimtestaat[[#This Row],[kosten / jaar werkdagen]]</f>
        <v>0</v>
      </c>
    </row>
    <row r="221" spans="1:34" ht="15" customHeight="1">
      <c r="A221" s="119">
        <v>1</v>
      </c>
      <c r="B221" s="180" t="str">
        <f>VLOOKUP(Ruimtestaat[[#This Row],[Code]],Locaties[#All],2,FALSE)</f>
        <v>IJburg College</v>
      </c>
      <c r="C221" s="223" t="str">
        <f>VLOOKUP(Ruimtestaat[[#This Row],[Code]],Locaties[#All],4,FALSE)</f>
        <v>Pampuslaan 1</v>
      </c>
      <c r="D221" s="223" t="str">
        <f>VLOOKUP(Ruimtestaat[[#This Row],[Code]],Locaties[#All],5,FALSE)</f>
        <v>1087 HP</v>
      </c>
      <c r="E221" s="223" t="str">
        <f>VLOOKUP(Ruimtestaat[[#This Row],[Code]],Locaties[#All],6,FALSE)</f>
        <v>Amsterdam</v>
      </c>
      <c r="F221" s="180"/>
      <c r="G221" s="180" t="s">
        <v>877</v>
      </c>
      <c r="H221" s="180" t="s">
        <v>765</v>
      </c>
      <c r="I221" s="180" t="s">
        <v>774</v>
      </c>
      <c r="J221" s="224" t="s">
        <v>641</v>
      </c>
      <c r="K221" s="223">
        <v>6</v>
      </c>
      <c r="L221" s="236" t="str">
        <f>VLOOKUP(Ruimtestaat[[#This Row],[Ruimte code]],Ruimtegroepen[#All],2,FALSE)</f>
        <v>Gangen/hallen</v>
      </c>
      <c r="M221" s="195" t="s">
        <v>111</v>
      </c>
      <c r="N221" s="180" t="s">
        <v>557</v>
      </c>
      <c r="O221" s="181">
        <v>4</v>
      </c>
      <c r="P221" s="193"/>
      <c r="Q221" s="223" t="str">
        <f>VLOOKUP(Ruimtestaat[[#This Row],[Ruimte code]],Ruimtegroepen[#All],4,FALSE)</f>
        <v>V  (Verkeersruimte)</v>
      </c>
      <c r="R221" s="194"/>
      <c r="S221" s="195">
        <v>40</v>
      </c>
      <c r="T221" s="195" t="s">
        <v>2</v>
      </c>
      <c r="U221" s="195">
        <f>IF(S221&gt;0,IF(RIGHT(Ruimtestaat[[#This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21" s="195">
        <f>IF(U221&gt;0,VLOOKUP($K221,Ruimtegroepen[],3,FALSE)*VLOOKUP($M221,Vloersoorten[],3,FALSE)*VLOOKUP($T221,Frequenties[],3,FALSE)*VLOOKUP($A221,Locaties[],3,FALSE),0)</f>
        <v>0</v>
      </c>
      <c r="W221" s="195">
        <f>Ruimtestaat[[#This Row],[Uitvoeringen werkdagen]]*Ruimtestaat[[#This Row],[Oppervlak (netto)]]</f>
        <v>800</v>
      </c>
      <c r="X221" s="233">
        <f>IF(V221&gt;0,Ruimtestaat[[#This Row],[Prest. (m2 /jaar) werkdagen]]/Ruimtestaat[[#This Row],[Norm (m2/uur) werkdagen]],0)</f>
        <v>0</v>
      </c>
      <c r="Y221" s="234">
        <f>Ruimtestaat[[#This Row],[uren / jaar werkdagen]]*Tariefsopbouw!$D$38</f>
        <v>0</v>
      </c>
      <c r="Z221" s="33"/>
      <c r="AA221" s="33">
        <f>IF(Ruimtestaat[[#This Row],[Frequentie weekend]]&gt;0,VALUE(LEFT(Z221,1))*S221,0)</f>
        <v>0</v>
      </c>
      <c r="AB221" s="33">
        <f>IF($AA221&gt;0,VLOOKUP($K221,Ruimtegroepen[],3,FALSE)*VLOOKUP($M221,Vloersoorten[],3,FALSE)*VLOOKUP($Z221,Frequenties[],3,FALSE)*VLOOKUP(#REF!,Locaties[],3,FALSE),0)</f>
        <v>0</v>
      </c>
      <c r="AC221" s="33"/>
      <c r="AD221" s="33"/>
      <c r="AE221" s="33">
        <f>Ruimtestaat[[#This Row],[uren / jaar weekend]]*Tariefsopbouw!$D$40</f>
        <v>0</v>
      </c>
      <c r="AF221" s="79">
        <f>Ruimtestaat[[#This Row],[Prest. (m2 /jaar) weekend]]+Ruimtestaat[[#This Row],[Prest. (m2 /jaar) werkdagen]]</f>
        <v>800</v>
      </c>
      <c r="AG221" s="79">
        <f>Ruimtestaat[[#This Row],[uren / jaar weekend]]+Ruimtestaat[[#This Row],[uren / jaar werkdagen]]</f>
        <v>0</v>
      </c>
      <c r="AH221" s="80">
        <f>Ruimtestaat[[#This Row],[kosten / jaar weekend]]+Ruimtestaat[[#This Row],[kosten / jaar werkdagen]]</f>
        <v>0</v>
      </c>
    </row>
    <row r="222" spans="1:34" ht="15" customHeight="1">
      <c r="A222" s="119">
        <v>1</v>
      </c>
      <c r="B222" s="180" t="str">
        <f>VLOOKUP(Ruimtestaat[[#This Row],[Code]],Locaties[#All],2,FALSE)</f>
        <v>IJburg College</v>
      </c>
      <c r="C222" s="223" t="str">
        <f>VLOOKUP(Ruimtestaat[[#This Row],[Code]],Locaties[#All],4,FALSE)</f>
        <v>Pampuslaan 1</v>
      </c>
      <c r="D222" s="223" t="str">
        <f>VLOOKUP(Ruimtestaat[[#This Row],[Code]],Locaties[#All],5,FALSE)</f>
        <v>1087 HP</v>
      </c>
      <c r="E222" s="223" t="str">
        <f>VLOOKUP(Ruimtestaat[[#This Row],[Code]],Locaties[#All],6,FALSE)</f>
        <v>Amsterdam</v>
      </c>
      <c r="F222" s="180"/>
      <c r="G222" s="180" t="s">
        <v>877</v>
      </c>
      <c r="H222" s="180" t="s">
        <v>766</v>
      </c>
      <c r="I222" s="180" t="s">
        <v>775</v>
      </c>
      <c r="J222" s="224" t="s">
        <v>749</v>
      </c>
      <c r="K222" s="180">
        <v>5</v>
      </c>
      <c r="L222" s="236" t="str">
        <f>VLOOKUP(Ruimtestaat[[#This Row],[Ruimte code]],Ruimtegroepen[#All],2,FALSE)</f>
        <v>Sanitair</v>
      </c>
      <c r="M222" s="195" t="s">
        <v>111</v>
      </c>
      <c r="N222" s="180" t="s">
        <v>558</v>
      </c>
      <c r="O222" s="181">
        <v>14</v>
      </c>
      <c r="P222" s="193"/>
      <c r="Q222" s="223" t="str">
        <f>VLOOKUP(Ruimtestaat[[#This Row],[Ruimte code]],Ruimtegroepen[#All],4,FALSE)</f>
        <v>S  (Sanitair)</v>
      </c>
      <c r="R222" s="194"/>
      <c r="S222" s="195">
        <v>40</v>
      </c>
      <c r="T222" s="195" t="s">
        <v>2</v>
      </c>
      <c r="U222" s="195">
        <f>IF(S222&gt;0,IF(RIGHT(Ruimtestaat[[#This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22" s="195">
        <f>IF(U222&gt;0,VLOOKUP($K222,Ruimtegroepen[],3,FALSE)*VLOOKUP($M222,Vloersoorten[],3,FALSE)*VLOOKUP($T222,Frequenties[],3,FALSE)*VLOOKUP($A222,Locaties[],3,FALSE),0)</f>
        <v>0</v>
      </c>
      <c r="W222" s="195">
        <f>Ruimtestaat[[#This Row],[Uitvoeringen werkdagen]]*Ruimtestaat[[#This Row],[Oppervlak (netto)]]</f>
        <v>2800</v>
      </c>
      <c r="X222" s="233">
        <f>IF(V222&gt;0,Ruimtestaat[[#This Row],[Prest. (m2 /jaar) werkdagen]]/Ruimtestaat[[#This Row],[Norm (m2/uur) werkdagen]],0)</f>
        <v>0</v>
      </c>
      <c r="Y222" s="234">
        <f>Ruimtestaat[[#This Row],[uren / jaar werkdagen]]*Tariefsopbouw!$D$38</f>
        <v>0</v>
      </c>
      <c r="Z222" s="33"/>
      <c r="AA222" s="33">
        <f>IF(Ruimtestaat[[#This Row],[Frequentie weekend]]&gt;0,VALUE(LEFT(Z222,1))*S222,0)</f>
        <v>0</v>
      </c>
      <c r="AB222" s="33">
        <f>IF($AA222&gt;0,VLOOKUP($K222,Ruimtegroepen[],3,FALSE)*VLOOKUP($M222,Vloersoorten[],3,FALSE)*VLOOKUP($Z222,Frequenties[],3,FALSE)*VLOOKUP(#REF!,Locaties[],3,FALSE),0)</f>
        <v>0</v>
      </c>
      <c r="AC222" s="33"/>
      <c r="AD222" s="33"/>
      <c r="AE222" s="33">
        <f>Ruimtestaat[[#This Row],[uren / jaar weekend]]*Tariefsopbouw!$D$40</f>
        <v>0</v>
      </c>
      <c r="AF222" s="79">
        <f>Ruimtestaat[[#This Row],[Prest. (m2 /jaar) weekend]]+Ruimtestaat[[#This Row],[Prest. (m2 /jaar) werkdagen]]</f>
        <v>2800</v>
      </c>
      <c r="AG222" s="79">
        <f>Ruimtestaat[[#This Row],[uren / jaar weekend]]+Ruimtestaat[[#This Row],[uren / jaar werkdagen]]</f>
        <v>0</v>
      </c>
      <c r="AH222" s="80">
        <f>Ruimtestaat[[#This Row],[kosten / jaar weekend]]+Ruimtestaat[[#This Row],[kosten / jaar werkdagen]]</f>
        <v>0</v>
      </c>
    </row>
    <row r="223" spans="1:34" ht="15" customHeight="1">
      <c r="A223" s="119">
        <v>1</v>
      </c>
      <c r="B223" s="180" t="str">
        <f>VLOOKUP(Ruimtestaat[[#This Row],[Code]],Locaties[#All],2,FALSE)</f>
        <v>IJburg College</v>
      </c>
      <c r="C223" s="223" t="str">
        <f>VLOOKUP(Ruimtestaat[[#This Row],[Code]],Locaties[#All],4,FALSE)</f>
        <v>Pampuslaan 1</v>
      </c>
      <c r="D223" s="223" t="str">
        <f>VLOOKUP(Ruimtestaat[[#This Row],[Code]],Locaties[#All],5,FALSE)</f>
        <v>1087 HP</v>
      </c>
      <c r="E223" s="223" t="str">
        <f>VLOOKUP(Ruimtestaat[[#This Row],[Code]],Locaties[#All],6,FALSE)</f>
        <v>Amsterdam</v>
      </c>
      <c r="F223" s="180"/>
      <c r="G223" s="180" t="s">
        <v>877</v>
      </c>
      <c r="H223" s="180" t="s">
        <v>767</v>
      </c>
      <c r="I223" s="180" t="s">
        <v>776</v>
      </c>
      <c r="J223" s="224" t="s">
        <v>750</v>
      </c>
      <c r="K223" s="180">
        <v>5</v>
      </c>
      <c r="L223" s="236" t="str">
        <f>VLOOKUP(Ruimtestaat[[#This Row],[Ruimte code]],Ruimtegroepen[#All],2,FALSE)</f>
        <v>Sanitair</v>
      </c>
      <c r="M223" s="195" t="s">
        <v>111</v>
      </c>
      <c r="N223" s="180" t="s">
        <v>558</v>
      </c>
      <c r="O223" s="181">
        <v>19</v>
      </c>
      <c r="P223" s="193"/>
      <c r="Q223" s="223" t="str">
        <f>VLOOKUP(Ruimtestaat[[#This Row],[Ruimte code]],Ruimtegroepen[#All],4,FALSE)</f>
        <v>S  (Sanitair)</v>
      </c>
      <c r="R223" s="194"/>
      <c r="S223" s="195">
        <v>40</v>
      </c>
      <c r="T223" s="195" t="s">
        <v>2</v>
      </c>
      <c r="U223" s="195">
        <f>IF(S223&gt;0,IF(RIGHT(Ruimtestaat[[#This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23" s="195">
        <f>IF(U223&gt;0,VLOOKUP($K223,Ruimtegroepen[],3,FALSE)*VLOOKUP($M223,Vloersoorten[],3,FALSE)*VLOOKUP($T223,Frequenties[],3,FALSE)*VLOOKUP($A223,Locaties[],3,FALSE),0)</f>
        <v>0</v>
      </c>
      <c r="W223" s="195">
        <f>Ruimtestaat[[#This Row],[Uitvoeringen werkdagen]]*Ruimtestaat[[#This Row],[Oppervlak (netto)]]</f>
        <v>3800</v>
      </c>
      <c r="X223" s="233">
        <f>IF(V223&gt;0,Ruimtestaat[[#This Row],[Prest. (m2 /jaar) werkdagen]]/Ruimtestaat[[#This Row],[Norm (m2/uur) werkdagen]],0)</f>
        <v>0</v>
      </c>
      <c r="Y223" s="234">
        <f>Ruimtestaat[[#This Row],[uren / jaar werkdagen]]*Tariefsopbouw!$D$38</f>
        <v>0</v>
      </c>
      <c r="Z223" s="33"/>
      <c r="AA223" s="33">
        <f>IF(Ruimtestaat[[#This Row],[Frequentie weekend]]&gt;0,VALUE(LEFT(Z223,1))*S223,0)</f>
        <v>0</v>
      </c>
      <c r="AB223" s="33">
        <f>IF($AA223&gt;0,VLOOKUP($K223,Ruimtegroepen[],3,FALSE)*VLOOKUP($M223,Vloersoorten[],3,FALSE)*VLOOKUP($Z223,Frequenties[],3,FALSE)*VLOOKUP(#REF!,Locaties[],3,FALSE),0)</f>
        <v>0</v>
      </c>
      <c r="AC223" s="33"/>
      <c r="AD223" s="33"/>
      <c r="AE223" s="33">
        <f>Ruimtestaat[[#This Row],[uren / jaar weekend]]*Tariefsopbouw!$D$40</f>
        <v>0</v>
      </c>
      <c r="AF223" s="79">
        <f>Ruimtestaat[[#This Row],[Prest. (m2 /jaar) weekend]]+Ruimtestaat[[#This Row],[Prest. (m2 /jaar) werkdagen]]</f>
        <v>3800</v>
      </c>
      <c r="AG223" s="79">
        <f>Ruimtestaat[[#This Row],[uren / jaar weekend]]+Ruimtestaat[[#This Row],[uren / jaar werkdagen]]</f>
        <v>0</v>
      </c>
      <c r="AH223" s="80">
        <f>Ruimtestaat[[#This Row],[kosten / jaar weekend]]+Ruimtestaat[[#This Row],[kosten / jaar werkdagen]]</f>
        <v>0</v>
      </c>
    </row>
  </sheetData>
  <sortState xmlns:xlrd2="http://schemas.microsoft.com/office/spreadsheetml/2017/richdata2" ref="B27:T324">
    <sortCondition ref="B27:B324"/>
    <sortCondition ref="F27:F324"/>
  </sortState>
  <mergeCells count="5">
    <mergeCell ref="A1:R1"/>
    <mergeCell ref="S1:AH1"/>
    <mergeCell ref="T3:Y3"/>
    <mergeCell ref="Z3:AE3"/>
    <mergeCell ref="AF3:AH3"/>
  </mergeCells>
  <phoneticPr fontId="9" type="noConversion"/>
  <pageMargins left="0.23622047244094491" right="0.23622047244094491" top="0.74803149606299213" bottom="0.74803149606299213" header="0.31496062992125984" footer="0.31496062992125984"/>
  <pageSetup paperSize="8" scale="51" fitToWidth="2" fitToHeight="0" orientation="landscape" r:id="rId1"/>
  <headerFooter alignWithMargins="0">
    <oddFooter>&amp;L&amp;P&amp;Cparaaf Inschrijver&amp;R&amp;D</oddFooter>
  </headerFooter>
  <colBreaks count="1" manualBreakCount="1">
    <brk id="26" max="1048575" man="1"/>
  </colBreak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tabColor theme="0" tint="-0.14999847407452621"/>
    <pageSetUpPr fitToPage="1"/>
  </sheetPr>
  <dimension ref="A1:J98"/>
  <sheetViews>
    <sheetView showGridLines="0" view="pageBreakPreview" zoomScaleNormal="100" zoomScaleSheetLayoutView="100" workbookViewId="0">
      <selection sqref="A1:G1"/>
    </sheetView>
  </sheetViews>
  <sheetFormatPr defaultColWidth="9.140625" defaultRowHeight="15" customHeight="1"/>
  <cols>
    <col min="1" max="1" width="11.5703125" style="21" customWidth="1"/>
    <col min="2" max="2" width="47.42578125" style="4" bestFit="1" customWidth="1"/>
    <col min="3" max="3" width="12.5703125" style="4" customWidth="1"/>
    <col min="4" max="4" width="52.140625" style="21" bestFit="1" customWidth="1"/>
    <col min="5" max="7" width="19" style="4" customWidth="1"/>
    <col min="8" max="9" width="17.7109375" style="4" bestFit="1" customWidth="1"/>
    <col min="10" max="16384" width="9.140625" style="4"/>
  </cols>
  <sheetData>
    <row r="1" spans="1:9" s="9" customFormat="1" ht="17.25" customHeight="1">
      <c r="A1" s="312" t="s">
        <v>41</v>
      </c>
      <c r="B1" s="312"/>
      <c r="C1" s="312"/>
      <c r="D1" s="312"/>
      <c r="E1" s="312"/>
      <c r="F1" s="312"/>
      <c r="G1" s="312"/>
      <c r="H1" s="72"/>
    </row>
    <row r="2" spans="1:9" s="9" customFormat="1" ht="15" customHeight="1">
      <c r="A2" s="323" t="s">
        <v>215</v>
      </c>
      <c r="B2" s="286"/>
      <c r="C2" s="286"/>
      <c r="D2" s="286"/>
      <c r="E2" s="286"/>
      <c r="F2" s="286"/>
      <c r="G2" s="286"/>
    </row>
    <row r="3" spans="1:9" ht="15" customHeight="1">
      <c r="B3" s="21"/>
      <c r="D3" s="4"/>
    </row>
    <row r="4" spans="1:9" ht="15" customHeight="1">
      <c r="A4" s="4" t="s">
        <v>180</v>
      </c>
      <c r="B4" s="21"/>
      <c r="D4" s="4"/>
    </row>
    <row r="5" spans="1:9" ht="15" customHeight="1">
      <c r="A5" s="4" t="s">
        <v>245</v>
      </c>
      <c r="B5" s="21"/>
      <c r="D5" s="4"/>
    </row>
    <row r="6" spans="1:9" ht="15" customHeight="1">
      <c r="A6" s="4" t="s">
        <v>198</v>
      </c>
      <c r="B6" s="38"/>
      <c r="C6" s="38"/>
      <c r="D6" s="34"/>
      <c r="E6" s="34"/>
      <c r="F6" s="39"/>
      <c r="G6" s="39"/>
    </row>
    <row r="7" spans="1:9" ht="15" customHeight="1">
      <c r="A7" s="4"/>
      <c r="B7" s="38"/>
      <c r="C7" s="38"/>
      <c r="D7" s="34"/>
      <c r="E7" s="324" t="s">
        <v>400</v>
      </c>
      <c r="F7" s="324"/>
      <c r="G7" s="324"/>
      <c r="H7" s="324"/>
      <c r="I7" s="324"/>
    </row>
    <row r="8" spans="1:9" s="8" customFormat="1" ht="26.25" customHeight="1">
      <c r="A8" s="50" t="s">
        <v>212</v>
      </c>
      <c r="B8" s="51" t="s">
        <v>146</v>
      </c>
      <c r="C8" s="52" t="s">
        <v>179</v>
      </c>
      <c r="D8" s="50" t="s">
        <v>151</v>
      </c>
      <c r="E8" s="50" t="s">
        <v>429</v>
      </c>
      <c r="F8" s="50" t="s">
        <v>430</v>
      </c>
      <c r="G8" s="50" t="s">
        <v>431</v>
      </c>
      <c r="H8" s="50" t="s">
        <v>432</v>
      </c>
      <c r="I8" s="50" t="s">
        <v>435</v>
      </c>
    </row>
    <row r="9" spans="1:9" ht="15" customHeight="1">
      <c r="A9" s="53">
        <v>1</v>
      </c>
      <c r="B9" s="54" t="s">
        <v>232</v>
      </c>
      <c r="C9" s="55">
        <v>0</v>
      </c>
      <c r="D9" s="58" t="s">
        <v>149</v>
      </c>
      <c r="E9" s="208" t="e">
        <f>(InvulGlas[[#This Row],[Prijs excl. BTW]]*Tariefsopbouw!$I$37)+InvulGlas[[#This Row],[Prijs excl. BTW]]</f>
        <v>#DIV/0!</v>
      </c>
      <c r="F9" s="208" t="e">
        <f>E9*Tariefsopbouw!$K$37+Glasbewassing!E9</f>
        <v>#DIV/0!</v>
      </c>
      <c r="G9" s="208" t="e">
        <f>F9*Tariefsopbouw!$M$37+Glasbewassing!F9</f>
        <v>#DIV/0!</v>
      </c>
      <c r="H9" s="261" t="e">
        <f>G9*Tariefsopbouw!$O$37+Glasbewassing!G9</f>
        <v>#DIV/0!</v>
      </c>
      <c r="I9" s="208" t="e">
        <f>H9*Tariefsopbouw!$Q$37+Glasbewassing!H9</f>
        <v>#DIV/0!</v>
      </c>
    </row>
    <row r="10" spans="1:9" ht="15" customHeight="1">
      <c r="A10" s="56">
        <v>2</v>
      </c>
      <c r="B10" s="57" t="s">
        <v>148</v>
      </c>
      <c r="C10" s="55">
        <v>0</v>
      </c>
      <c r="D10" s="60" t="s">
        <v>149</v>
      </c>
      <c r="E10" s="209" t="e">
        <f>(InvulGlas[[#This Row],[Prijs excl. BTW]]*Tariefsopbouw!$I$37)+InvulGlas[[#This Row],[Prijs excl. BTW]]</f>
        <v>#DIV/0!</v>
      </c>
      <c r="F10" s="209" t="e">
        <f>E10*Tariefsopbouw!$K$37+Glasbewassing!E10</f>
        <v>#DIV/0!</v>
      </c>
      <c r="G10" s="209" t="e">
        <f>F10*Tariefsopbouw!$M$37+Glasbewassing!F10</f>
        <v>#DIV/0!</v>
      </c>
      <c r="H10" s="209" t="e">
        <f>G10*Tariefsopbouw!$O$37+Glasbewassing!G10</f>
        <v>#DIV/0!</v>
      </c>
      <c r="I10" s="209" t="e">
        <f>H10*Tariefsopbouw!$Q$37+Glasbewassing!H10</f>
        <v>#DIV/0!</v>
      </c>
    </row>
    <row r="11" spans="1:9" ht="15" customHeight="1">
      <c r="A11" s="53">
        <v>3</v>
      </c>
      <c r="B11" s="54" t="s">
        <v>150</v>
      </c>
      <c r="C11" s="55">
        <v>0</v>
      </c>
      <c r="D11" s="58" t="s">
        <v>149</v>
      </c>
      <c r="E11" s="208" t="e">
        <f>(InvulGlas[[#This Row],[Prijs excl. BTW]]*Tariefsopbouw!$I$37)+InvulGlas[[#This Row],[Prijs excl. BTW]]</f>
        <v>#DIV/0!</v>
      </c>
      <c r="F11" s="208" t="e">
        <f>E11*Tariefsopbouw!$K$37+Glasbewassing!E11</f>
        <v>#DIV/0!</v>
      </c>
      <c r="G11" s="208" t="e">
        <f>F11*Tariefsopbouw!$M$37+Glasbewassing!F11</f>
        <v>#DIV/0!</v>
      </c>
      <c r="H11" s="208" t="e">
        <f>G11*Tariefsopbouw!$O$37+Glasbewassing!G11</f>
        <v>#DIV/0!</v>
      </c>
      <c r="I11" s="208" t="e">
        <f>H11*Tariefsopbouw!$Q$37+Glasbewassing!H11</f>
        <v>#DIV/0!</v>
      </c>
    </row>
    <row r="12" spans="1:9" ht="15" customHeight="1">
      <c r="A12" s="56">
        <v>4</v>
      </c>
      <c r="B12" s="57" t="s">
        <v>900</v>
      </c>
      <c r="C12" s="55">
        <v>0</v>
      </c>
      <c r="D12" s="60" t="s">
        <v>149</v>
      </c>
      <c r="E12" s="209" t="e">
        <f>(InvulGlas[[#This Row],[Prijs excl. BTW]]*Tariefsopbouw!$I$37)+InvulGlas[[#This Row],[Prijs excl. BTW]]</f>
        <v>#DIV/0!</v>
      </c>
      <c r="F12" s="209" t="e">
        <f>E12*Tariefsopbouw!$K$37+Glasbewassing!E12</f>
        <v>#DIV/0!</v>
      </c>
      <c r="G12" s="209" t="e">
        <f>F12*Tariefsopbouw!$M$37+Glasbewassing!F12</f>
        <v>#DIV/0!</v>
      </c>
      <c r="H12" s="209" t="e">
        <f>G12*Tariefsopbouw!$O$37+Glasbewassing!G12</f>
        <v>#DIV/0!</v>
      </c>
      <c r="I12" s="209" t="e">
        <f>H12*Tariefsopbouw!$Q$37+Glasbewassing!H12</f>
        <v>#DIV/0!</v>
      </c>
    </row>
    <row r="13" spans="1:9" ht="15" customHeight="1">
      <c r="A13" s="53">
        <v>5</v>
      </c>
      <c r="B13" s="54" t="s">
        <v>256</v>
      </c>
      <c r="C13" s="55">
        <v>0</v>
      </c>
      <c r="D13" s="58" t="s">
        <v>149</v>
      </c>
      <c r="E13" s="208" t="e">
        <f>(InvulGlas[[#This Row],[Prijs excl. BTW]]*Tariefsopbouw!$I$37)+InvulGlas[[#This Row],[Prijs excl. BTW]]</f>
        <v>#DIV/0!</v>
      </c>
      <c r="F13" s="208" t="e">
        <f>E13*Tariefsopbouw!$K$37+Glasbewassing!E13</f>
        <v>#DIV/0!</v>
      </c>
      <c r="G13" s="208" t="e">
        <f>F13*Tariefsopbouw!$M$37+Glasbewassing!F13</f>
        <v>#DIV/0!</v>
      </c>
      <c r="H13" s="208" t="e">
        <f>G13*Tariefsopbouw!$O$37+Glasbewassing!G13</f>
        <v>#DIV/0!</v>
      </c>
      <c r="I13" s="208" t="e">
        <f>H13*Tariefsopbouw!$Q$37+Glasbewassing!H13</f>
        <v>#DIV/0!</v>
      </c>
    </row>
    <row r="14" spans="1:9" ht="15" customHeight="1">
      <c r="A14" s="56">
        <v>6</v>
      </c>
      <c r="B14" s="57" t="s">
        <v>231</v>
      </c>
      <c r="C14" s="55">
        <v>0</v>
      </c>
      <c r="D14" s="60" t="s">
        <v>149</v>
      </c>
      <c r="E14" s="209" t="e">
        <f>(InvulGlas[[#This Row],[Prijs excl. BTW]]*Tariefsopbouw!$I$37)+InvulGlas[[#This Row],[Prijs excl. BTW]]</f>
        <v>#DIV/0!</v>
      </c>
      <c r="F14" s="209" t="e">
        <f>E14*Tariefsopbouw!$K$37+Glasbewassing!E14</f>
        <v>#DIV/0!</v>
      </c>
      <c r="G14" s="209" t="e">
        <f>F14*Tariefsopbouw!$M$37+Glasbewassing!F14</f>
        <v>#DIV/0!</v>
      </c>
      <c r="H14" s="209" t="e">
        <f>G14*Tariefsopbouw!$O$37+Glasbewassing!G14</f>
        <v>#DIV/0!</v>
      </c>
      <c r="I14" s="209" t="e">
        <f>H14*Tariefsopbouw!$Q$37+Glasbewassing!H14</f>
        <v>#DIV/0!</v>
      </c>
    </row>
    <row r="15" spans="1:9" ht="15" customHeight="1">
      <c r="A15" s="53">
        <v>7</v>
      </c>
      <c r="B15" s="54" t="s">
        <v>899</v>
      </c>
      <c r="C15" s="55">
        <v>0</v>
      </c>
      <c r="D15" s="58" t="s">
        <v>252</v>
      </c>
      <c r="E15" s="208" t="e">
        <f>(InvulGlas[[#This Row],[Prijs excl. BTW]]*Tariefsopbouw!$I$37)+InvulGlas[[#This Row],[Prijs excl. BTW]]</f>
        <v>#DIV/0!</v>
      </c>
      <c r="F15" s="208" t="e">
        <f>E15*Tariefsopbouw!$K$37+Glasbewassing!E15</f>
        <v>#DIV/0!</v>
      </c>
      <c r="G15" s="208" t="e">
        <f>F15*Tariefsopbouw!$M$37+Glasbewassing!F15</f>
        <v>#DIV/0!</v>
      </c>
      <c r="H15" s="208" t="e">
        <f>G15*Tariefsopbouw!$O$37+Glasbewassing!G15</f>
        <v>#DIV/0!</v>
      </c>
      <c r="I15" s="208" t="e">
        <f>H15*Tariefsopbouw!$Q$37+Glasbewassing!H15</f>
        <v>#DIV/0!</v>
      </c>
    </row>
    <row r="16" spans="1:9" ht="15" customHeight="1">
      <c r="A16" s="53" t="s">
        <v>157</v>
      </c>
      <c r="B16" s="54" t="s">
        <v>153</v>
      </c>
      <c r="C16" s="55">
        <v>0</v>
      </c>
      <c r="D16" s="58" t="s">
        <v>48</v>
      </c>
      <c r="E16" s="208" t="e">
        <f>(InvulGlas[[#This Row],[Prijs excl. BTW]]*Tariefsopbouw!$I$37)+InvulGlas[[#This Row],[Prijs excl. BTW]]</f>
        <v>#DIV/0!</v>
      </c>
      <c r="F16" s="208" t="e">
        <f>E16*Tariefsopbouw!$K$37+Glasbewassing!E16</f>
        <v>#DIV/0!</v>
      </c>
      <c r="G16" s="208" t="e">
        <f>F16*Tariefsopbouw!$M$37+Glasbewassing!F16</f>
        <v>#DIV/0!</v>
      </c>
      <c r="H16" s="208" t="e">
        <f>G16*Tariefsopbouw!$O$37+Glasbewassing!G16</f>
        <v>#DIV/0!</v>
      </c>
      <c r="I16" s="208" t="e">
        <f>H16*Tariefsopbouw!$Q$37+Glasbewassing!H16</f>
        <v>#DIV/0!</v>
      </c>
    </row>
    <row r="17" spans="1:10" ht="15" customHeight="1">
      <c r="A17" s="56" t="s">
        <v>158</v>
      </c>
      <c r="B17" s="57" t="s">
        <v>154</v>
      </c>
      <c r="C17" s="55">
        <v>0</v>
      </c>
      <c r="D17" s="60" t="s">
        <v>48</v>
      </c>
      <c r="E17" s="209" t="e">
        <f>(InvulGlas[[#This Row],[Prijs excl. BTW]]*Tariefsopbouw!$I$37)+InvulGlas[[#This Row],[Prijs excl. BTW]]</f>
        <v>#DIV/0!</v>
      </c>
      <c r="F17" s="209" t="e">
        <f>E17*Tariefsopbouw!$K$37+Glasbewassing!E17</f>
        <v>#DIV/0!</v>
      </c>
      <c r="G17" s="209" t="e">
        <f>F17*Tariefsopbouw!$M$37+Glasbewassing!F17</f>
        <v>#DIV/0!</v>
      </c>
      <c r="H17" s="209" t="e">
        <f>G17*Tariefsopbouw!$O$37+Glasbewassing!G17</f>
        <v>#DIV/0!</v>
      </c>
      <c r="I17" s="209" t="e">
        <f>H17*Tariefsopbouw!$Q$37+Glasbewassing!H17</f>
        <v>#DIV/0!</v>
      </c>
    </row>
    <row r="18" spans="1:10" ht="15" customHeight="1">
      <c r="A18" s="53" t="s">
        <v>159</v>
      </c>
      <c r="B18" s="54" t="s">
        <v>155</v>
      </c>
      <c r="C18" s="55">
        <v>0</v>
      </c>
      <c r="D18" s="58" t="s">
        <v>48</v>
      </c>
      <c r="E18" s="208" t="e">
        <f>(InvulGlas[[#This Row],[Prijs excl. BTW]]*Tariefsopbouw!$I$37)+InvulGlas[[#This Row],[Prijs excl. BTW]]</f>
        <v>#DIV/0!</v>
      </c>
      <c r="F18" s="208" t="e">
        <f>E18*Tariefsopbouw!$K$37+Glasbewassing!E18</f>
        <v>#DIV/0!</v>
      </c>
      <c r="G18" s="208" t="e">
        <f>F18*Tariefsopbouw!$M$37+Glasbewassing!F18</f>
        <v>#DIV/0!</v>
      </c>
      <c r="H18" s="208" t="e">
        <f>G18*Tariefsopbouw!$O$37+Glasbewassing!G18</f>
        <v>#DIV/0!</v>
      </c>
      <c r="I18" s="208" t="e">
        <f>H18*Tariefsopbouw!$Q$37+Glasbewassing!H18</f>
        <v>#DIV/0!</v>
      </c>
    </row>
    <row r="19" spans="1:10" ht="15" customHeight="1">
      <c r="A19" s="56" t="s">
        <v>253</v>
      </c>
      <c r="B19" s="57" t="s">
        <v>254</v>
      </c>
      <c r="C19" s="55">
        <v>0</v>
      </c>
      <c r="D19" s="60" t="s">
        <v>48</v>
      </c>
      <c r="E19" s="210" t="e">
        <f>(InvulGlas[[#This Row],[Prijs excl. BTW]]*Tariefsopbouw!$I$37)+InvulGlas[[#This Row],[Prijs excl. BTW]]</f>
        <v>#DIV/0!</v>
      </c>
      <c r="F19" s="210" t="e">
        <f>E19*Tariefsopbouw!$K$37+Glasbewassing!E19</f>
        <v>#DIV/0!</v>
      </c>
      <c r="G19" s="210" t="e">
        <f>F19*Tariefsopbouw!$M$37+Glasbewassing!F19</f>
        <v>#DIV/0!</v>
      </c>
      <c r="H19" s="210" t="e">
        <f>G19*Tariefsopbouw!$O$37+Glasbewassing!G19</f>
        <v>#DIV/0!</v>
      </c>
      <c r="I19" s="210" t="e">
        <f>H19*Tariefsopbouw!$Q$37+Glasbewassing!H19</f>
        <v>#DIV/0!</v>
      </c>
    </row>
    <row r="20" spans="1:10" ht="15" customHeight="1">
      <c r="C20" s="35"/>
      <c r="D20" s="35"/>
    </row>
    <row r="21" spans="1:10" s="66" customFormat="1" ht="26.25" customHeight="1">
      <c r="A21" s="67" t="s">
        <v>210</v>
      </c>
      <c r="B21" s="67" t="s">
        <v>145</v>
      </c>
      <c r="C21" s="67" t="s">
        <v>212</v>
      </c>
      <c r="D21" s="68" t="s">
        <v>146</v>
      </c>
      <c r="E21" s="68" t="s">
        <v>156</v>
      </c>
      <c r="F21" s="68" t="s">
        <v>126</v>
      </c>
      <c r="G21" s="69" t="s">
        <v>147</v>
      </c>
      <c r="J21" s="273"/>
    </row>
    <row r="22" spans="1:10" ht="15" customHeight="1">
      <c r="A22" s="243">
        <v>1</v>
      </c>
      <c r="B22" s="244" t="str">
        <f>VLOOKUP(OverzichtGlas[[#This Row],[Code Locatie]],Locaties[],2,0)</f>
        <v>IJburg College</v>
      </c>
      <c r="C22" s="243">
        <v>1</v>
      </c>
      <c r="D22" s="245" t="str">
        <f>IF(Glasbewassing!$C22&gt;0,VLOOKUP(Glasbewassing!$C22,$A$8:$B$19,2,FALSE),"Hier vult u de inzet van eventuele hoogwerkers in")</f>
        <v>Gevelglas binnenzijde</v>
      </c>
      <c r="E22" s="246">
        <v>531.5</v>
      </c>
      <c r="F22" s="246">
        <v>2</v>
      </c>
      <c r="G22" s="247">
        <f>IF(C22&gt;0,VLOOKUP(OverzichtGlas[[#This Row],[Code taak]],InvulGlas[],3,0)*E22*F22,0)</f>
        <v>0</v>
      </c>
    </row>
    <row r="23" spans="1:10" ht="15" customHeight="1">
      <c r="A23" s="243">
        <v>1</v>
      </c>
      <c r="B23" s="244" t="str">
        <f>VLOOKUP(OverzichtGlas[[#This Row],[Code Locatie]],Locaties[],2,0)</f>
        <v>IJburg College</v>
      </c>
      <c r="C23" s="243">
        <v>2</v>
      </c>
      <c r="D23" s="245" t="str">
        <f>IF(Glasbewassing!$C23&gt;0,VLOOKUP(Glasbewassing!$C23,$A$8:$B$19,2,FALSE),"Hier vult u de inzet van eventuele hoogwerkers in")</f>
        <v>Gevelglas buitenzijde</v>
      </c>
      <c r="E23" s="246">
        <v>531.5</v>
      </c>
      <c r="F23" s="246">
        <v>2</v>
      </c>
      <c r="G23" s="247">
        <f>IF(C23&gt;0,VLOOKUP(OverzichtGlas[[#This Row],[Code taak]],InvulGlas[],3,0)*E23*F23,0)</f>
        <v>0</v>
      </c>
    </row>
    <row r="24" spans="1:10" ht="15" customHeight="1">
      <c r="A24" s="243">
        <v>1</v>
      </c>
      <c r="B24" s="244" t="str">
        <f>VLOOKUP(OverzichtGlas[[#This Row],[Code Locatie]],Locaties[],2,0)</f>
        <v>IJburg College</v>
      </c>
      <c r="C24" s="243">
        <v>3</v>
      </c>
      <c r="D24" s="245" t="str">
        <f>IF(Glasbewassing!$C24&gt;0,VLOOKUP(Glasbewassing!$C24,$A$8:$B$19,2,FALSE),"Hier vult u de inzet van eventuele hoogwerkers in")</f>
        <v>Separatieglas (enkel gemeten, dubbel te wassen)</v>
      </c>
      <c r="E24" s="246">
        <v>831</v>
      </c>
      <c r="F24" s="246">
        <v>2</v>
      </c>
      <c r="G24" s="247">
        <f>IF(C24&gt;0,VLOOKUP(OverzichtGlas[[#This Row],[Code taak]],InvulGlas[],3,0)*E24*F24,0)</f>
        <v>0</v>
      </c>
    </row>
    <row r="25" spans="1:10" ht="15" customHeight="1">
      <c r="A25" s="243">
        <v>1</v>
      </c>
      <c r="B25" s="244" t="str">
        <f>VLOOKUP(OverzichtGlas[[#This Row],[Code Locatie]],Locaties[],2,0)</f>
        <v>IJburg College</v>
      </c>
      <c r="C25" s="243">
        <v>4</v>
      </c>
      <c r="D25" s="245" t="str">
        <f>IF(Glasbewassing!$C25&gt;0,VLOOKUP(Glasbewassing!$C25,$A$8:$B$19,2,FALSE),"Hier vult u de inzet van eventuele hoogwerkers in")</f>
        <v>Daklicht (enkel gemeten, dubbel te wassen)</v>
      </c>
      <c r="E25" s="246">
        <v>16.010000000000002</v>
      </c>
      <c r="F25" s="246">
        <v>2</v>
      </c>
      <c r="G25" s="247">
        <f>IF(C25&gt;0,VLOOKUP(OverzichtGlas[[#This Row],[Code taak]],InvulGlas[],3,0)*E25*F25,0)</f>
        <v>0</v>
      </c>
    </row>
    <row r="26" spans="1:10" ht="15" customHeight="1">
      <c r="A26" s="243">
        <v>1</v>
      </c>
      <c r="B26" s="244" t="str">
        <f>VLOOKUP(OverzichtGlas[[#This Row],[Code Locatie]],Locaties[],2,0)</f>
        <v>IJburg College</v>
      </c>
      <c r="C26" s="243">
        <v>7</v>
      </c>
      <c r="D26" s="245" t="str">
        <f>IF(Glasbewassing!$C26&gt;0,VLOOKUP(Glasbewassing!$C26,$A$8:$B$19,2,FALSE),"Hier vult u de inzet van eventuele hoogwerkers in")</f>
        <v>Gevelbeplating</v>
      </c>
      <c r="E26" s="246">
        <v>2150.77</v>
      </c>
      <c r="F26" s="246">
        <v>1</v>
      </c>
      <c r="G26" s="247">
        <f>IF(C26&gt;0,VLOOKUP(OverzichtGlas[[#This Row],[Code taak]],InvulGlas[],3,0)*E26*F26,0)</f>
        <v>0</v>
      </c>
    </row>
    <row r="27" spans="1:10" ht="15" customHeight="1">
      <c r="A27" s="243">
        <v>1</v>
      </c>
      <c r="B27" s="244" t="str">
        <f>VLOOKUP(OverzichtGlas[[#This Row],[Code Locatie]],Locaties[],2,0)</f>
        <v>IJburg College</v>
      </c>
      <c r="C27" s="222"/>
      <c r="D27" s="245" t="str">
        <f>IF(Glasbewassing!$C27&gt;0,VLOOKUP(Glasbewassing!$C27,$A$8:$B$19,2,FALSE),"Hier vult u de inzet van eventuele hoogwerkers in")</f>
        <v>Hier vult u de inzet van eventuele hoogwerkers in</v>
      </c>
      <c r="E27" s="222"/>
      <c r="F27" s="246">
        <v>1</v>
      </c>
      <c r="G27" s="247">
        <f>IF(C27&gt;0,VLOOKUP(OverzichtGlas[[#This Row],[Code taak]],InvulGlas[],3,0)*E27*F27,0)</f>
        <v>0</v>
      </c>
    </row>
    <row r="28" spans="1:10" ht="15" customHeight="1">
      <c r="A28" s="151" t="s">
        <v>33</v>
      </c>
      <c r="B28" s="152"/>
      <c r="C28" s="151"/>
      <c r="D28" s="153"/>
      <c r="E28" s="151"/>
      <c r="F28" s="151"/>
      <c r="G28" s="154">
        <f>SUBTOTAL(109,OverzichtGlas[Kosten/jaar excl. BTW])</f>
        <v>0</v>
      </c>
    </row>
    <row r="29" spans="1:10" ht="15" customHeight="1">
      <c r="C29" s="21"/>
      <c r="D29" s="4"/>
    </row>
    <row r="30" spans="1:10" ht="15" customHeight="1">
      <c r="C30" s="21"/>
      <c r="D30" s="4"/>
    </row>
    <row r="31" spans="1:10" ht="15" customHeight="1">
      <c r="C31" s="21"/>
      <c r="D31" s="4"/>
    </row>
    <row r="32" spans="1:10" ht="15" customHeight="1">
      <c r="C32" s="21"/>
      <c r="D32" s="4"/>
    </row>
    <row r="33" spans="3:4" ht="15" customHeight="1">
      <c r="C33" s="21"/>
      <c r="D33" s="4"/>
    </row>
    <row r="34" spans="3:4" ht="15" customHeight="1">
      <c r="C34" s="21"/>
      <c r="D34" s="4"/>
    </row>
    <row r="35" spans="3:4" ht="15" customHeight="1">
      <c r="C35" s="21"/>
      <c r="D35" s="4"/>
    </row>
    <row r="36" spans="3:4" ht="15" customHeight="1">
      <c r="C36" s="21"/>
      <c r="D36" s="4"/>
    </row>
    <row r="37" spans="3:4" ht="15" customHeight="1">
      <c r="C37" s="21"/>
      <c r="D37" s="4"/>
    </row>
    <row r="38" spans="3:4" ht="15" customHeight="1">
      <c r="C38" s="21"/>
      <c r="D38" s="4"/>
    </row>
    <row r="39" spans="3:4" ht="15" customHeight="1">
      <c r="C39" s="21"/>
      <c r="D39" s="4"/>
    </row>
    <row r="40" spans="3:4" ht="15" customHeight="1">
      <c r="C40" s="21"/>
      <c r="D40" s="4"/>
    </row>
    <row r="41" spans="3:4" ht="15" customHeight="1">
      <c r="C41" s="21"/>
      <c r="D41" s="4"/>
    </row>
    <row r="42" spans="3:4" ht="15" customHeight="1">
      <c r="C42" s="21"/>
      <c r="D42" s="4"/>
    </row>
    <row r="43" spans="3:4" ht="15" customHeight="1">
      <c r="C43" s="21"/>
      <c r="D43" s="4"/>
    </row>
    <row r="44" spans="3:4" ht="15" customHeight="1">
      <c r="C44" s="21"/>
      <c r="D44" s="4"/>
    </row>
    <row r="45" spans="3:4" ht="15" customHeight="1">
      <c r="C45" s="21"/>
      <c r="D45" s="4"/>
    </row>
    <row r="46" spans="3:4" ht="15" customHeight="1">
      <c r="C46" s="21"/>
      <c r="D46" s="4"/>
    </row>
    <row r="47" spans="3:4" ht="15" customHeight="1">
      <c r="C47" s="21"/>
      <c r="D47" s="4"/>
    </row>
    <row r="48" spans="3:4" ht="15" customHeight="1">
      <c r="C48" s="21"/>
      <c r="D48" s="4"/>
    </row>
    <row r="49" spans="3:4" ht="15" customHeight="1">
      <c r="C49" s="21"/>
      <c r="D49" s="4"/>
    </row>
    <row r="50" spans="3:4" ht="15" customHeight="1">
      <c r="C50" s="21"/>
      <c r="D50" s="4"/>
    </row>
    <row r="51" spans="3:4" ht="15" customHeight="1">
      <c r="C51" s="21"/>
      <c r="D51" s="4"/>
    </row>
    <row r="52" spans="3:4" ht="15" customHeight="1">
      <c r="C52" s="21"/>
      <c r="D52" s="4"/>
    </row>
    <row r="53" spans="3:4" ht="15" customHeight="1">
      <c r="C53" s="21"/>
      <c r="D53" s="4"/>
    </row>
    <row r="54" spans="3:4" ht="15" customHeight="1">
      <c r="C54" s="21"/>
      <c r="D54" s="4"/>
    </row>
    <row r="55" spans="3:4" ht="15" customHeight="1">
      <c r="C55" s="21"/>
      <c r="D55" s="4"/>
    </row>
    <row r="56" spans="3:4" ht="15" customHeight="1">
      <c r="C56" s="21"/>
      <c r="D56" s="4"/>
    </row>
    <row r="57" spans="3:4" ht="15" customHeight="1">
      <c r="C57" s="21"/>
      <c r="D57" s="4"/>
    </row>
    <row r="58" spans="3:4" ht="15" customHeight="1">
      <c r="C58" s="21"/>
      <c r="D58" s="4"/>
    </row>
    <row r="59" spans="3:4" ht="15" customHeight="1">
      <c r="C59" s="21"/>
      <c r="D59" s="4"/>
    </row>
    <row r="60" spans="3:4" ht="15" customHeight="1">
      <c r="C60" s="21"/>
      <c r="D60" s="4"/>
    </row>
    <row r="61" spans="3:4" ht="15" customHeight="1">
      <c r="C61" s="21"/>
      <c r="D61" s="4"/>
    </row>
    <row r="62" spans="3:4" ht="15" customHeight="1">
      <c r="C62" s="21"/>
      <c r="D62" s="4"/>
    </row>
    <row r="63" spans="3:4" ht="15" customHeight="1">
      <c r="C63" s="21"/>
      <c r="D63" s="4"/>
    </row>
    <row r="64" spans="3:4" ht="15" customHeight="1">
      <c r="C64" s="21"/>
      <c r="D64" s="4"/>
    </row>
    <row r="65" spans="3:4" ht="15" customHeight="1">
      <c r="C65" s="21"/>
      <c r="D65" s="4"/>
    </row>
    <row r="66" spans="3:4" ht="15" customHeight="1">
      <c r="C66" s="21"/>
      <c r="D66" s="4"/>
    </row>
    <row r="67" spans="3:4" ht="15" customHeight="1">
      <c r="C67" s="21"/>
      <c r="D67" s="4"/>
    </row>
    <row r="68" spans="3:4" ht="15" customHeight="1">
      <c r="C68" s="21"/>
      <c r="D68" s="4"/>
    </row>
    <row r="69" spans="3:4" ht="15" customHeight="1">
      <c r="C69" s="21"/>
      <c r="D69" s="4"/>
    </row>
    <row r="70" spans="3:4" ht="15" customHeight="1">
      <c r="C70" s="21"/>
      <c r="D70" s="4"/>
    </row>
    <row r="71" spans="3:4" ht="15" customHeight="1">
      <c r="C71" s="21"/>
      <c r="D71" s="4"/>
    </row>
    <row r="72" spans="3:4" ht="15" customHeight="1">
      <c r="C72" s="21"/>
      <c r="D72" s="4"/>
    </row>
    <row r="73" spans="3:4" ht="15" customHeight="1">
      <c r="C73" s="21"/>
      <c r="D73" s="4"/>
    </row>
    <row r="74" spans="3:4" ht="15" customHeight="1">
      <c r="C74" s="21"/>
      <c r="D74" s="4"/>
    </row>
    <row r="75" spans="3:4" ht="15" customHeight="1">
      <c r="C75" s="21"/>
      <c r="D75" s="4"/>
    </row>
    <row r="76" spans="3:4" ht="15" customHeight="1">
      <c r="C76" s="21"/>
      <c r="D76" s="4"/>
    </row>
    <row r="77" spans="3:4" ht="15" customHeight="1">
      <c r="C77" s="21"/>
      <c r="D77" s="4"/>
    </row>
    <row r="78" spans="3:4" ht="15" customHeight="1">
      <c r="C78" s="21"/>
      <c r="D78" s="4"/>
    </row>
    <row r="79" spans="3:4" ht="15" customHeight="1">
      <c r="C79" s="21"/>
      <c r="D79" s="4"/>
    </row>
    <row r="80" spans="3:4" ht="15" customHeight="1">
      <c r="C80" s="21"/>
      <c r="D80" s="4"/>
    </row>
    <row r="81" spans="3:4" ht="15" customHeight="1">
      <c r="C81" s="21"/>
      <c r="D81" s="4"/>
    </row>
    <row r="82" spans="3:4" ht="15" customHeight="1">
      <c r="C82" s="21"/>
      <c r="D82" s="4"/>
    </row>
    <row r="83" spans="3:4" ht="15" customHeight="1">
      <c r="C83" s="21"/>
      <c r="D83" s="4"/>
    </row>
    <row r="84" spans="3:4" ht="15" customHeight="1">
      <c r="C84" s="21"/>
      <c r="D84" s="4"/>
    </row>
    <row r="85" spans="3:4" ht="15" customHeight="1">
      <c r="C85" s="21"/>
      <c r="D85" s="4"/>
    </row>
    <row r="86" spans="3:4" ht="15" customHeight="1">
      <c r="C86" s="21"/>
      <c r="D86" s="4"/>
    </row>
    <row r="87" spans="3:4" ht="15" customHeight="1">
      <c r="C87" s="21"/>
      <c r="D87" s="4"/>
    </row>
    <row r="88" spans="3:4" ht="15" customHeight="1">
      <c r="C88" s="21"/>
      <c r="D88" s="4"/>
    </row>
    <row r="89" spans="3:4" ht="15" customHeight="1">
      <c r="C89" s="21"/>
      <c r="D89" s="4"/>
    </row>
    <row r="90" spans="3:4" ht="15" customHeight="1">
      <c r="C90" s="21"/>
      <c r="D90" s="4"/>
    </row>
    <row r="91" spans="3:4" ht="15" customHeight="1">
      <c r="C91" s="21"/>
      <c r="D91" s="4"/>
    </row>
    <row r="92" spans="3:4" ht="15" customHeight="1">
      <c r="C92" s="21"/>
      <c r="D92" s="4"/>
    </row>
    <row r="93" spans="3:4" ht="15" customHeight="1">
      <c r="C93" s="21"/>
      <c r="D93" s="4"/>
    </row>
    <row r="94" spans="3:4" ht="15" customHeight="1">
      <c r="C94" s="21"/>
      <c r="D94" s="4"/>
    </row>
    <row r="95" spans="3:4" ht="15" customHeight="1">
      <c r="C95" s="21"/>
      <c r="D95" s="4"/>
    </row>
    <row r="96" spans="3:4" ht="15" customHeight="1">
      <c r="C96" s="21"/>
      <c r="D96" s="4"/>
    </row>
    <row r="97" spans="3:4" ht="15" customHeight="1">
      <c r="C97" s="21"/>
      <c r="D97" s="4"/>
    </row>
    <row r="98" spans="3:4" ht="15" customHeight="1">
      <c r="C98" s="21"/>
      <c r="D98" s="4"/>
    </row>
  </sheetData>
  <mergeCells count="3">
    <mergeCell ref="A2:G2"/>
    <mergeCell ref="A1:G1"/>
    <mergeCell ref="E7:I7"/>
  </mergeCells>
  <phoneticPr fontId="19" type="noConversion"/>
  <pageMargins left="0.70866141732283472" right="0.70866141732283472" top="0.35433070866141736" bottom="0.47244094488188981" header="0.31496062992125984" footer="0.31496062992125984"/>
  <pageSetup paperSize="9" scale="41" orientation="portrait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I26"/>
  <sheetViews>
    <sheetView showGridLines="0" view="pageBreakPreview" zoomScaleNormal="100" zoomScaleSheetLayoutView="100" workbookViewId="0">
      <selection sqref="A1:H1"/>
    </sheetView>
  </sheetViews>
  <sheetFormatPr defaultColWidth="9.140625" defaultRowHeight="15" customHeight="1"/>
  <cols>
    <col min="1" max="1" width="9.7109375" style="4" customWidth="1"/>
    <col min="2" max="2" width="44.85546875" style="4" customWidth="1"/>
    <col min="3" max="3" width="14.85546875" style="21" customWidth="1"/>
    <col min="4" max="4" width="59.85546875" style="4" bestFit="1" customWidth="1"/>
    <col min="5" max="5" width="17.7109375" style="4" bestFit="1" customWidth="1"/>
    <col min="6" max="6" width="17.7109375" style="146" bestFit="1" customWidth="1"/>
    <col min="7" max="7" width="17.7109375" style="4" bestFit="1" customWidth="1"/>
    <col min="8" max="8" width="18" style="4" bestFit="1" customWidth="1"/>
    <col min="9" max="9" width="19" style="4" customWidth="1"/>
    <col min="10" max="16384" width="9.140625" style="4"/>
  </cols>
  <sheetData>
    <row r="1" spans="1:9" s="9" customFormat="1" ht="26.25" customHeight="1">
      <c r="A1" s="284" t="s">
        <v>169</v>
      </c>
      <c r="B1" s="284"/>
      <c r="C1" s="284"/>
      <c r="D1" s="284"/>
      <c r="E1" s="284"/>
      <c r="F1" s="284"/>
      <c r="G1" s="284"/>
      <c r="H1" s="284"/>
    </row>
    <row r="2" spans="1:9" s="9" customFormat="1" ht="15" customHeight="1">
      <c r="A2" s="323" t="s">
        <v>428</v>
      </c>
      <c r="B2" s="286"/>
      <c r="C2" s="286"/>
      <c r="D2" s="286"/>
      <c r="E2" s="286"/>
      <c r="F2" s="286"/>
      <c r="G2" s="286"/>
      <c r="H2" s="286"/>
    </row>
    <row r="3" spans="1:9" ht="15" customHeight="1">
      <c r="B3" s="21"/>
      <c r="C3" s="4"/>
    </row>
    <row r="4" spans="1:9" ht="15" customHeight="1">
      <c r="A4" s="4" t="s">
        <v>180</v>
      </c>
      <c r="B4" s="35"/>
      <c r="C4" s="35"/>
      <c r="D4" s="35"/>
      <c r="E4" s="35"/>
      <c r="F4" s="147"/>
      <c r="G4" s="36"/>
    </row>
    <row r="5" spans="1:9" ht="15" customHeight="1">
      <c r="A5" s="4" t="s">
        <v>245</v>
      </c>
      <c r="B5" s="35"/>
      <c r="C5" s="35"/>
      <c r="D5" s="35"/>
      <c r="E5" s="35"/>
      <c r="F5" s="147"/>
      <c r="G5" s="36"/>
    </row>
    <row r="6" spans="1:9" ht="15" customHeight="1">
      <c r="A6" s="4" t="s">
        <v>238</v>
      </c>
      <c r="B6" s="38"/>
      <c r="C6" s="39"/>
      <c r="D6" s="39"/>
      <c r="E6" s="39"/>
      <c r="F6" s="148"/>
    </row>
    <row r="7" spans="1:9" ht="15" customHeight="1">
      <c r="B7" s="38"/>
      <c r="C7" s="38"/>
      <c r="D7" s="34"/>
      <c r="E7" s="324" t="s">
        <v>400</v>
      </c>
      <c r="F7" s="324"/>
      <c r="G7" s="324"/>
      <c r="H7" s="324"/>
      <c r="I7" s="324"/>
    </row>
    <row r="8" spans="1:9" s="8" customFormat="1" ht="26.25" customHeight="1">
      <c r="A8" s="50" t="s">
        <v>211</v>
      </c>
      <c r="B8" s="51" t="s">
        <v>160</v>
      </c>
      <c r="C8" s="52" t="s">
        <v>152</v>
      </c>
      <c r="D8" s="50" t="s">
        <v>213</v>
      </c>
      <c r="E8" s="50" t="s">
        <v>429</v>
      </c>
      <c r="F8" s="50" t="s">
        <v>430</v>
      </c>
      <c r="G8" s="50" t="s">
        <v>431</v>
      </c>
      <c r="H8" s="50" t="s">
        <v>432</v>
      </c>
      <c r="I8" s="50" t="s">
        <v>435</v>
      </c>
    </row>
    <row r="9" spans="1:9" ht="15" customHeight="1">
      <c r="A9" s="53">
        <v>1</v>
      </c>
      <c r="B9" s="54" t="s">
        <v>438</v>
      </c>
      <c r="C9" s="55">
        <v>0</v>
      </c>
      <c r="D9" s="58" t="s">
        <v>161</v>
      </c>
      <c r="E9" s="208" t="e">
        <f>(InvulVloer[[#This Row],[Prijs]]*Tariefsopbouw!$I$37)+InvulVloer[[#This Row],[Prijs]]</f>
        <v>#DIV/0!</v>
      </c>
      <c r="F9" s="211" t="e">
        <f>E9*Tariefsopbouw!$K$37+E9</f>
        <v>#DIV/0!</v>
      </c>
      <c r="G9" s="211" t="e">
        <f>F9*Tariefsopbouw!$M$37+F9</f>
        <v>#DIV/0!</v>
      </c>
      <c r="H9" s="211" t="e">
        <f>G9*Tariefsopbouw!$O$37+Vloeronderhoud!G9</f>
        <v>#DIV/0!</v>
      </c>
      <c r="I9" s="211" t="e">
        <f>H9*Tariefsopbouw!$Q$37+Vloeronderhoud!H9</f>
        <v>#DIV/0!</v>
      </c>
    </row>
    <row r="10" spans="1:9" ht="15" customHeight="1">
      <c r="A10" s="56">
        <v>2</v>
      </c>
      <c r="B10" s="57" t="s">
        <v>401</v>
      </c>
      <c r="C10" s="55">
        <v>0</v>
      </c>
      <c r="D10" s="60" t="s">
        <v>161</v>
      </c>
      <c r="E10" s="209" t="e">
        <f>(InvulVloer[[#This Row],[Prijs]]*Tariefsopbouw!$I$37)+InvulVloer[[#This Row],[Prijs]]</f>
        <v>#DIV/0!</v>
      </c>
      <c r="F10" s="209" t="e">
        <f>E10*Tariefsopbouw!$K$37+E10</f>
        <v>#DIV/0!</v>
      </c>
      <c r="G10" s="209" t="e">
        <f>F10*Tariefsopbouw!$M$37+F10</f>
        <v>#DIV/0!</v>
      </c>
      <c r="H10" s="209" t="e">
        <f>G10*Tariefsopbouw!$O$37+Vloeronderhoud!G10</f>
        <v>#DIV/0!</v>
      </c>
      <c r="I10" s="209" t="e">
        <f>H10*Tariefsopbouw!$Q$37+Vloeronderhoud!H10</f>
        <v>#DIV/0!</v>
      </c>
    </row>
    <row r="11" spans="1:9" ht="15" customHeight="1">
      <c r="A11" s="53">
        <v>3</v>
      </c>
      <c r="B11" s="54" t="s">
        <v>165</v>
      </c>
      <c r="C11" s="55">
        <v>0</v>
      </c>
      <c r="D11" s="58" t="s">
        <v>162</v>
      </c>
      <c r="E11" s="208" t="e">
        <f>(InvulVloer[[#This Row],[Prijs]]*Tariefsopbouw!$I$37)+InvulVloer[[#This Row],[Prijs]]</f>
        <v>#DIV/0!</v>
      </c>
      <c r="F11" s="208" t="e">
        <f>E11*Tariefsopbouw!$K$37+E11</f>
        <v>#DIV/0!</v>
      </c>
      <c r="G11" s="208" t="e">
        <f>F11*Tariefsopbouw!$M$37+F11</f>
        <v>#DIV/0!</v>
      </c>
      <c r="H11" s="208" t="e">
        <f>G11*Tariefsopbouw!$O$37+Vloeronderhoud!G11</f>
        <v>#DIV/0!</v>
      </c>
      <c r="I11" s="208" t="e">
        <f>H11*Tariefsopbouw!$Q$37+Vloeronderhoud!H11</f>
        <v>#DIV/0!</v>
      </c>
    </row>
    <row r="12" spans="1:9" ht="15" customHeight="1">
      <c r="A12" s="56">
        <v>4</v>
      </c>
      <c r="B12" s="57" t="s">
        <v>402</v>
      </c>
      <c r="C12" s="55">
        <v>0</v>
      </c>
      <c r="D12" s="60" t="s">
        <v>161</v>
      </c>
      <c r="E12" s="209" t="e">
        <f>(InvulVloer[[#This Row],[Prijs]]*Tariefsopbouw!$I$37)+InvulVloer[[#This Row],[Prijs]]</f>
        <v>#DIV/0!</v>
      </c>
      <c r="F12" s="209" t="e">
        <f>E12*Tariefsopbouw!$K$37+E12</f>
        <v>#DIV/0!</v>
      </c>
      <c r="G12" s="209" t="e">
        <f>F12*Tariefsopbouw!$M$37+F12</f>
        <v>#DIV/0!</v>
      </c>
      <c r="H12" s="209" t="e">
        <f>G12*Tariefsopbouw!$O$37+Vloeronderhoud!G12</f>
        <v>#DIV/0!</v>
      </c>
      <c r="I12" s="209" t="e">
        <f>H12*Tariefsopbouw!$Q$37+Vloeronderhoud!H12</f>
        <v>#DIV/0!</v>
      </c>
    </row>
    <row r="13" spans="1:9" ht="15" customHeight="1">
      <c r="A13" s="53">
        <v>5</v>
      </c>
      <c r="B13" s="54" t="s">
        <v>403</v>
      </c>
      <c r="C13" s="55">
        <v>0</v>
      </c>
      <c r="D13" s="58" t="s">
        <v>161</v>
      </c>
      <c r="E13" s="208" t="e">
        <f>(InvulVloer[[#This Row],[Prijs]]*Tariefsopbouw!$I$37)+InvulVloer[[#This Row],[Prijs]]</f>
        <v>#DIV/0!</v>
      </c>
      <c r="F13" s="208" t="e">
        <f>E13*Tariefsopbouw!$K$37+E13</f>
        <v>#DIV/0!</v>
      </c>
      <c r="G13" s="208" t="e">
        <f>F13*Tariefsopbouw!$M$37+F13</f>
        <v>#DIV/0!</v>
      </c>
      <c r="H13" s="208" t="e">
        <f>G13*Tariefsopbouw!$O$37+Vloeronderhoud!G13</f>
        <v>#DIV/0!</v>
      </c>
      <c r="I13" s="208" t="e">
        <f>H13*Tariefsopbouw!$Q$37+Vloeronderhoud!H13</f>
        <v>#DIV/0!</v>
      </c>
    </row>
    <row r="14" spans="1:9" ht="15" customHeight="1">
      <c r="A14" s="56">
        <v>6</v>
      </c>
      <c r="B14" s="57" t="s">
        <v>166</v>
      </c>
      <c r="C14" s="55">
        <v>0</v>
      </c>
      <c r="D14" s="60" t="s">
        <v>161</v>
      </c>
      <c r="E14" s="209" t="e">
        <f>(InvulVloer[[#This Row],[Prijs]]*Tariefsopbouw!$I$37)+InvulVloer[[#This Row],[Prijs]]</f>
        <v>#DIV/0!</v>
      </c>
      <c r="F14" s="209" t="e">
        <f>E14*Tariefsopbouw!$K$37+E14</f>
        <v>#DIV/0!</v>
      </c>
      <c r="G14" s="209" t="e">
        <f>F14*Tariefsopbouw!$M$37+F14</f>
        <v>#DIV/0!</v>
      </c>
      <c r="H14" s="209" t="e">
        <f>G14*Tariefsopbouw!$O$37+Vloeronderhoud!G14</f>
        <v>#DIV/0!</v>
      </c>
      <c r="I14" s="209" t="e">
        <f>H14*Tariefsopbouw!$Q$37+Vloeronderhoud!H14</f>
        <v>#DIV/0!</v>
      </c>
    </row>
    <row r="15" spans="1:9" ht="15" customHeight="1">
      <c r="A15" s="53">
        <v>7</v>
      </c>
      <c r="B15" s="58" t="s">
        <v>168</v>
      </c>
      <c r="C15" s="55">
        <v>0</v>
      </c>
      <c r="D15" s="58" t="s">
        <v>161</v>
      </c>
      <c r="E15" s="208" t="e">
        <f>(InvulVloer[[#This Row],[Prijs]]*Tariefsopbouw!$I$37)+InvulVloer[[#This Row],[Prijs]]</f>
        <v>#DIV/0!</v>
      </c>
      <c r="F15" s="208" t="e">
        <f>E15*Tariefsopbouw!$K$37+E15</f>
        <v>#DIV/0!</v>
      </c>
      <c r="G15" s="208" t="e">
        <f>F15*Tariefsopbouw!$M$37+F15</f>
        <v>#DIV/0!</v>
      </c>
      <c r="H15" s="208" t="e">
        <f>G15*Tariefsopbouw!$O$37+Vloeronderhoud!G15</f>
        <v>#DIV/0!</v>
      </c>
      <c r="I15" s="208" t="e">
        <f>H15*Tariefsopbouw!$Q$37+Vloeronderhoud!H15</f>
        <v>#DIV/0!</v>
      </c>
    </row>
    <row r="16" spans="1:9" ht="15" customHeight="1">
      <c r="A16" s="56">
        <v>8</v>
      </c>
      <c r="B16" s="59" t="s">
        <v>199</v>
      </c>
      <c r="C16" s="55">
        <v>0</v>
      </c>
      <c r="D16" s="60" t="s">
        <v>161</v>
      </c>
      <c r="E16" s="209" t="e">
        <f>(InvulVloer[[#This Row],[Prijs]]*Tariefsopbouw!$I$37)+InvulVloer[[#This Row],[Prijs]]</f>
        <v>#DIV/0!</v>
      </c>
      <c r="F16" s="209" t="e">
        <f>E16*Tariefsopbouw!$K$37+E16</f>
        <v>#DIV/0!</v>
      </c>
      <c r="G16" s="209" t="e">
        <f>F16*Tariefsopbouw!$M$37+F16</f>
        <v>#DIV/0!</v>
      </c>
      <c r="H16" s="209" t="e">
        <f>G16*Tariefsopbouw!$O$37+Vloeronderhoud!G16</f>
        <v>#DIV/0!</v>
      </c>
      <c r="I16" s="209" t="e">
        <f>H16*Tariefsopbouw!$Q$37+Vloeronderhoud!H16</f>
        <v>#DIV/0!</v>
      </c>
    </row>
    <row r="17" spans="1:9" ht="15" customHeight="1">
      <c r="B17" s="21"/>
      <c r="E17" s="40"/>
      <c r="F17" s="149"/>
      <c r="G17" s="40"/>
      <c r="H17" s="40"/>
    </row>
    <row r="18" spans="1:9" s="33" customFormat="1" ht="26.25" customHeight="1">
      <c r="A18" s="50" t="s">
        <v>210</v>
      </c>
      <c r="B18" s="51" t="s">
        <v>145</v>
      </c>
      <c r="C18" s="50" t="s">
        <v>211</v>
      </c>
      <c r="D18" s="61" t="s">
        <v>250</v>
      </c>
      <c r="E18" s="61" t="s">
        <v>163</v>
      </c>
      <c r="F18" s="150" t="s">
        <v>164</v>
      </c>
      <c r="G18" s="61" t="s">
        <v>167</v>
      </c>
      <c r="H18" s="62" t="s">
        <v>147</v>
      </c>
      <c r="I18" s="61" t="s">
        <v>422</v>
      </c>
    </row>
    <row r="19" spans="1:9" ht="15" customHeight="1">
      <c r="A19" s="243">
        <v>1</v>
      </c>
      <c r="B19" s="244" t="str">
        <f>VLOOKUP(OverzichtVloer[[#This Row],[Code Locatie]],Locaties[],2,0)</f>
        <v>IJburg College</v>
      </c>
      <c r="C19" s="243">
        <v>1</v>
      </c>
      <c r="D19" s="245" t="str">
        <f>IF(Vloeronderhoud!$C19&gt;0,VLOOKUP(Vloeronderhoud!$C19,$A$8:$B$16,2,FALSE),"")</f>
        <v>Sprayen</v>
      </c>
      <c r="E19" s="246" t="s">
        <v>110</v>
      </c>
      <c r="F19" s="278">
        <f>SUMIFS('Ruimtestaat'!$O:$O,'Ruimtestaat'!M:M,Vloeronderhoud!E19,'Ruimtestaat'!A:A,Vloeronderhoud!A19)</f>
        <v>25</v>
      </c>
      <c r="G19" s="256">
        <v>1</v>
      </c>
      <c r="H19" s="247">
        <f>VLOOKUP(OverzichtVloer[[#This Row],[Code Taak]],InvulVloer[],3,3)*F19*G19</f>
        <v>0</v>
      </c>
      <c r="I19" s="243"/>
    </row>
    <row r="20" spans="1:9" ht="15" customHeight="1">
      <c r="A20" s="243">
        <v>1</v>
      </c>
      <c r="B20" s="244" t="str">
        <f>VLOOKUP(OverzichtVloer[[#This Row],[Code Locatie]],Locaties[],2,0)</f>
        <v>IJburg College</v>
      </c>
      <c r="C20" s="243">
        <v>2</v>
      </c>
      <c r="D20" s="245" t="str">
        <f>IF(Vloeronderhoud!$C20&gt;0,VLOOKUP(Vloeronderhoud!$C20,$A$8:$B$16,2,FALSE),"")</f>
        <v>Topstrippen en conserveren</v>
      </c>
      <c r="E20" s="246" t="s">
        <v>110</v>
      </c>
      <c r="F20" s="278">
        <f>SUMIFS('Ruimtestaat'!$O:$O,'Ruimtestaat'!M:M,Vloeronderhoud!E20,'Ruimtestaat'!A:A,Vloeronderhoud!A20)</f>
        <v>25</v>
      </c>
      <c r="G20" s="256">
        <v>1</v>
      </c>
      <c r="H20" s="247">
        <f>VLOOKUP(OverzichtVloer[[#This Row],[Code Taak]],InvulVloer[],3,3)*F20*G20</f>
        <v>0</v>
      </c>
      <c r="I20" s="245"/>
    </row>
    <row r="21" spans="1:9" ht="15" customHeight="1">
      <c r="A21" s="243">
        <v>1</v>
      </c>
      <c r="B21" s="244" t="str">
        <f>VLOOKUP(OverzichtVloer[[#This Row],[Code Locatie]],Locaties[],2,0)</f>
        <v>IJburg College</v>
      </c>
      <c r="C21" s="243">
        <v>8</v>
      </c>
      <c r="D21" s="245" t="str">
        <f>IF(Vloeronderhoud!$C21&gt;0,VLOOKUP(Vloeronderhoud!$C21,$A$8:$B$16,2,FALSE),"")</f>
        <v>Machinaal schrobben en droogzuigen</v>
      </c>
      <c r="E21" s="246" t="s">
        <v>111</v>
      </c>
      <c r="F21" s="278">
        <f>SUMIFS('Ruimtestaat'!$O:$O,'Ruimtestaat'!M:M,Vloeronderhoud!E21,'Ruimtestaat'!A:A,Vloeronderhoud!A21)</f>
        <v>10567.119999999995</v>
      </c>
      <c r="G21" s="256">
        <v>2</v>
      </c>
      <c r="H21" s="247">
        <f>VLOOKUP(OverzichtVloer[[#This Row],[Code Taak]],InvulVloer[],3,3)*F21*G21</f>
        <v>0</v>
      </c>
      <c r="I21" s="243"/>
    </row>
    <row r="22" spans="1:9" ht="15" customHeight="1">
      <c r="A22" s="243">
        <v>1</v>
      </c>
      <c r="B22" s="244" t="str">
        <f>VLOOKUP(OverzichtVloer[[#This Row],[Code Locatie]],Locaties[],2,0)</f>
        <v>IJburg College</v>
      </c>
      <c r="C22" s="243">
        <v>8</v>
      </c>
      <c r="D22" s="245" t="str">
        <f>IF(Vloeronderhoud!$C22&gt;0,VLOOKUP(Vloeronderhoud!$C22,$A$8:$B$16,2,FALSE),"")</f>
        <v>Machinaal schrobben en droogzuigen</v>
      </c>
      <c r="E22" s="246" t="s">
        <v>112</v>
      </c>
      <c r="F22" s="278">
        <f>SUMIFS('Ruimtestaat'!$O:$O,'Ruimtestaat'!M:M,Vloeronderhoud!E22,'Ruimtestaat'!A:A,Vloeronderhoud!A22)</f>
        <v>0</v>
      </c>
      <c r="G22" s="256">
        <v>2</v>
      </c>
      <c r="H22" s="247">
        <f>VLOOKUP(OverzichtVloer[[#This Row],[Code Taak]],InvulVloer[],3,3)*F22*G22</f>
        <v>0</v>
      </c>
      <c r="I22" s="245"/>
    </row>
    <row r="23" spans="1:9" ht="15" customHeight="1">
      <c r="A23" s="243">
        <v>1</v>
      </c>
      <c r="B23" s="244" t="str">
        <f>VLOOKUP(OverzichtVloer[[#This Row],[Code Locatie]],Locaties[],2,0)</f>
        <v>IJburg College</v>
      </c>
      <c r="C23" s="243">
        <v>6</v>
      </c>
      <c r="D23" s="245" t="str">
        <f>IF(Vloeronderhoud!$C23&gt;0,VLOOKUP(Vloeronderhoud!$C23,$A$8:$B$16,2,FALSE),"")</f>
        <v>Schuren en lakken houten vloer</v>
      </c>
      <c r="E23" s="246" t="s">
        <v>909</v>
      </c>
      <c r="F23" s="278">
        <f>SUMIFS('Ruimtestaat'!$O:$O,'Ruimtestaat'!M:M,Vloeronderhoud!E23,'Ruimtestaat'!A:A,Vloeronderhoud!A23)</f>
        <v>44.77</v>
      </c>
      <c r="G23" s="256">
        <v>1</v>
      </c>
      <c r="H23" s="247">
        <f>VLOOKUP(OverzichtVloer[[#This Row],[Code Taak]],InvulVloer[],3,3)*F23*G23</f>
        <v>0</v>
      </c>
      <c r="I23" s="245"/>
    </row>
    <row r="24" spans="1:9" ht="15" customHeight="1">
      <c r="A24" s="243">
        <v>1</v>
      </c>
      <c r="B24" s="244" t="str">
        <f>VLOOKUP(OverzichtVloer[[#This Row],[Code Locatie]],Locaties[],2,0)</f>
        <v>IJburg College</v>
      </c>
      <c r="C24" s="243">
        <v>4</v>
      </c>
      <c r="D24" s="245" t="str">
        <f>IF(Vloeronderhoud!$C24&gt;0,VLOOKUP(Vloeronderhoud!$C24,$A$8:$B$16,2,FALSE),"")</f>
        <v>Tapijtreinigen, sproei-extractiemethode</v>
      </c>
      <c r="E24" s="246" t="s">
        <v>109</v>
      </c>
      <c r="F24" s="278">
        <f>SUMIFS('Ruimtestaat'!$O:$O,'Ruimtestaat'!M:M,Vloeronderhoud!E24,'Ruimtestaat'!A:A,Vloeronderhoud!A24)</f>
        <v>151.49</v>
      </c>
      <c r="G24" s="256">
        <v>1</v>
      </c>
      <c r="H24" s="247">
        <f>VLOOKUP(OverzichtVloer[[#This Row],[Code Taak]],InvulVloer[],3,3)*F24*G24</f>
        <v>0</v>
      </c>
      <c r="I24" s="243"/>
    </row>
    <row r="25" spans="1:9" ht="15" customHeight="1">
      <c r="A25" s="158"/>
      <c r="B25" s="159" t="s">
        <v>33</v>
      </c>
      <c r="C25" s="158"/>
      <c r="D25" s="160"/>
      <c r="E25" s="158"/>
      <c r="F25" s="161"/>
      <c r="G25" s="158"/>
      <c r="H25" s="162">
        <f>SUBTOTAL(109,OverzichtVloer[Kosten/jaar excl. BTW])</f>
        <v>0</v>
      </c>
      <c r="I25" s="226"/>
    </row>
    <row r="26" spans="1:9" ht="15" customHeight="1">
      <c r="A26" s="37"/>
      <c r="C26" s="35"/>
      <c r="D26" s="35"/>
      <c r="E26" s="35"/>
      <c r="F26" s="149"/>
      <c r="G26" s="41"/>
      <c r="H26" s="36"/>
    </row>
  </sheetData>
  <mergeCells count="3">
    <mergeCell ref="A1:H1"/>
    <mergeCell ref="A2:H2"/>
    <mergeCell ref="E7:I7"/>
  </mergeCells>
  <pageMargins left="0.70866141732283472" right="0.70866141732283472" top="0.35433070866141736" bottom="0.47244094488188981" header="0.31496062992125984" footer="0.31496062992125984"/>
  <pageSetup paperSize="9" scale="60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D33D4D-CE06-430B-A89B-74397568C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01D780-3B97-493C-9478-2802C9533A1F}">
  <ds:schemaRefs>
    <ds:schemaRef ds:uri="http://schemas.microsoft.com/office/2006/metadata/properties"/>
    <ds:schemaRef ds:uri="46c995e6-7f53-48aa-a5ad-a9d38912b46a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d807127-6dfe-4777-9fc9-8a2ccfc388c3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952470-B124-415D-8014-2581EF5533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11</vt:i4>
      </vt:variant>
    </vt:vector>
  </HeadingPairs>
  <TitlesOfParts>
    <vt:vector size="23" baseType="lpstr">
      <vt:lpstr>Opleverstaat dagelijks</vt:lpstr>
      <vt:lpstr>Werkprogramma periodiek</vt:lpstr>
      <vt:lpstr>Werkprogramma diepreinigen</vt:lpstr>
      <vt:lpstr>Tariefsopbouw</vt:lpstr>
      <vt:lpstr>Overnamegegevens</vt:lpstr>
      <vt:lpstr>Prestatiefactoren</vt:lpstr>
      <vt:lpstr>Ruimtestaat</vt:lpstr>
      <vt:lpstr>Glasbewassing</vt:lpstr>
      <vt:lpstr>Vloeronderhoud</vt:lpstr>
      <vt:lpstr>Extra werkzaamheden</vt:lpstr>
      <vt:lpstr>Regie en afroep</vt:lpstr>
      <vt:lpstr>Totalisatie</vt:lpstr>
      <vt:lpstr>Glasbewassing!Afdrukbereik</vt:lpstr>
      <vt:lpstr>Prestatiefactoren!Afdrukbereik</vt:lpstr>
      <vt:lpstr>'Regie en afroep'!Afdrukbereik</vt:lpstr>
      <vt:lpstr>'Ruimtestaat'!Afdrukbereik</vt:lpstr>
      <vt:lpstr>Tariefsopbouw!Afdrukbereik</vt:lpstr>
      <vt:lpstr>Totalisatie!Afdrukbereik</vt:lpstr>
      <vt:lpstr>Vloeronderhoud!Afdrukbereik</vt:lpstr>
      <vt:lpstr>'Werkprogramma diepreinigen'!Afdrukbereik</vt:lpstr>
      <vt:lpstr>'Ruimtestaat'!Afdruktitels</vt:lpstr>
      <vt:lpstr>Invulglas1</vt:lpstr>
      <vt:lpstr>Invulvloer1</vt:lpstr>
    </vt:vector>
  </TitlesOfParts>
  <Company>Facet Facilitaire Diensten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calculatiesysteem</dc:title>
  <dc:creator>Mark Reichenfeld</dc:creator>
  <cp:lastModifiedBy>Myrna Lansink | Inkada Inkoop &amp; Advies</cp:lastModifiedBy>
  <cp:lastPrinted>2021-06-14T14:08:25Z</cp:lastPrinted>
  <dcterms:created xsi:type="dcterms:W3CDTF">1999-03-23T11:24:21Z</dcterms:created>
  <dcterms:modified xsi:type="dcterms:W3CDTF">2021-06-21T09:00:46Z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